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9320" windowHeight="11760" tabRatio="909" firstSheet="2" activeTab="2"/>
  </bookViews>
  <sheets>
    <sheet name="추가" sheetId="42" state="hidden" r:id="rId1"/>
    <sheet name="감액" sheetId="43" state="hidden" r:id="rId2"/>
    <sheet name="표지" sheetId="18" r:id="rId3"/>
    <sheet name="총괄표 " sheetId="49" r:id="rId4"/>
    <sheet name="표" sheetId="30" state="hidden" r:id="rId5"/>
    <sheet name="일입" sheetId="34" r:id="rId6"/>
    <sheet name="일출" sheetId="35" r:id="rId7"/>
    <sheet name="특입" sheetId="14" state="hidden" r:id="rId8"/>
    <sheet name="특출" sheetId="15" state="hidden" r:id="rId9"/>
    <sheet name="표지(기특)" sheetId="54" r:id="rId10"/>
    <sheet name="기특입출" sheetId="53" r:id="rId11"/>
    <sheet name="표지(기)" sheetId="19" r:id="rId12"/>
    <sheet name="기입출" sheetId="45" r:id="rId13"/>
    <sheet name="표지(중기)" sheetId="39" r:id="rId14"/>
    <sheet name="중기재정" sheetId="38" r:id="rId15"/>
    <sheet name="추 표지" sheetId="20" r:id="rId16"/>
    <sheet name="총괄표" sheetId="48" r:id="rId17"/>
    <sheet name="추 표" sheetId="33" state="hidden" r:id="rId18"/>
    <sheet name="추 일입" sheetId="36" r:id="rId19"/>
    <sheet name="추 일출" sheetId="37" r:id="rId20"/>
    <sheet name="추 표지(명)" sheetId="27" r:id="rId21"/>
    <sheet name="명시" sheetId="44" r:id="rId22"/>
    <sheet name="추 기입출" sheetId="28" state="hidden" r:id="rId23"/>
  </sheets>
  <externalReferences>
    <externalReference r:id="rId24"/>
    <externalReference r:id="rId25"/>
  </externalReferences>
  <definedNames>
    <definedName name="_xlnm._FilterDatabase" localSheetId="1" hidden="1">감액!$A$6:$M$11</definedName>
    <definedName name="_xlnm._FilterDatabase" localSheetId="12" hidden="1">기입출!$A$6:$V$9</definedName>
    <definedName name="_xlnm._FilterDatabase" localSheetId="10" hidden="1">기특입출!$A$6:$V$9</definedName>
    <definedName name="_xlnm._FilterDatabase" localSheetId="21" hidden="1">명시!#REF!</definedName>
    <definedName name="_xlnm._FilterDatabase" localSheetId="5" hidden="1">일입!$A$6:$T$49</definedName>
    <definedName name="_xlnm._FilterDatabase" localSheetId="6" hidden="1">일출!$A$6:$T$597</definedName>
    <definedName name="_xlnm._FilterDatabase" localSheetId="14" hidden="1">중기재정!#REF!</definedName>
    <definedName name="_xlnm._FilterDatabase" localSheetId="22" hidden="1">'추 기입출'!$A$6:$V$9</definedName>
    <definedName name="_xlnm._FilterDatabase" localSheetId="18" hidden="1">'추 일입'!$A$6:$X$88</definedName>
    <definedName name="_xlnm._FilterDatabase" localSheetId="19" hidden="1">'추 일출'!$A$6:$W$128</definedName>
    <definedName name="_xlnm._FilterDatabase" localSheetId="0" hidden="1">추가!$A$6:$M$20</definedName>
    <definedName name="_xlnm._FilterDatabase" localSheetId="7" hidden="1">특입!$A$6:$V$17</definedName>
    <definedName name="_xlnm._FilterDatabase" localSheetId="8" hidden="1">특출!$A$6:$V$17</definedName>
    <definedName name="_xlnm.Print_Area" localSheetId="1">감액!$A$1:$M$11</definedName>
    <definedName name="_xlnm.Print_Area" localSheetId="12">기입출!$A$1:$N$31</definedName>
    <definedName name="_xlnm.Print_Area" localSheetId="10">기특입출!$A$1:$N$18</definedName>
    <definedName name="_xlnm.Print_Area" localSheetId="21">명시!$B$1:$K$24</definedName>
    <definedName name="_xlnm.Print_Area" localSheetId="5">일입!$A$1:$N$49</definedName>
    <definedName name="_xlnm.Print_Area" localSheetId="6">일출!$A$1:$O$597</definedName>
    <definedName name="_xlnm.Print_Area" localSheetId="14">중기재정!$B$2:$I$11</definedName>
    <definedName name="_xlnm.Print_Area" localSheetId="16">총괄표!$B$1:$H$28</definedName>
    <definedName name="_xlnm.Print_Area" localSheetId="3">'총괄표 '!$B$1:$H$28</definedName>
    <definedName name="_xlnm.Print_Area" localSheetId="22">'추 기입출'!$A$1:$N$51</definedName>
    <definedName name="_xlnm.Print_Area" localSheetId="18">'추 일입'!$A$1:$P$88</definedName>
    <definedName name="_xlnm.Print_Area" localSheetId="19">'추 일출'!$A$1:$O$128</definedName>
    <definedName name="_xlnm.Print_Area" localSheetId="17">'추 표'!$B$1:$L$19</definedName>
    <definedName name="_xlnm.Print_Area" localSheetId="15">'추 표지'!$A$1:$J$37</definedName>
    <definedName name="_xlnm.Print_Area" localSheetId="20">'추 표지(명)'!$A$1:$J$37</definedName>
    <definedName name="_xlnm.Print_Area" localSheetId="0">추가!$A$1:$M$42</definedName>
    <definedName name="_xlnm.Print_Area" localSheetId="4">표!$B$1:$T$19</definedName>
    <definedName name="_xlnm.Print_Area" localSheetId="2">표지!$A$1:$J$37</definedName>
    <definedName name="_xlnm.Print_Area" localSheetId="11">'표지(기)'!$A$1:$J$37</definedName>
    <definedName name="_xlnm.Print_Area" localSheetId="9">'표지(기특)'!$A$1:$J$37</definedName>
    <definedName name="_xlnm.Print_Area" localSheetId="13">'표지(중기)'!$A$1:$J$37</definedName>
    <definedName name="_xlnm.Print_Titles" localSheetId="1">감액!$3:$5</definedName>
    <definedName name="_xlnm.Print_Titles" localSheetId="5">일입!$3:$5</definedName>
    <definedName name="_xlnm.Print_Titles" localSheetId="6">일출!$3:$5</definedName>
    <definedName name="_xlnm.Print_Titles" localSheetId="22">'추 기입출'!$3:$5</definedName>
    <definedName name="_xlnm.Print_Titles" localSheetId="18">'추 일입'!$3:$5</definedName>
    <definedName name="_xlnm.Print_Titles" localSheetId="19">'추 일출'!$4:$5</definedName>
    <definedName name="_xlnm.Print_Titles" localSheetId="0">추가!$3:$5</definedName>
  </definedNames>
  <calcPr calcId="145621"/>
</workbook>
</file>

<file path=xl/calcChain.xml><?xml version="1.0" encoding="utf-8"?>
<calcChain xmlns="http://schemas.openxmlformats.org/spreadsheetml/2006/main">
  <c r="J55" i="35" l="1"/>
  <c r="L530" i="35"/>
  <c r="J11" i="44" l="1"/>
  <c r="I7" i="44"/>
  <c r="J7" i="44"/>
  <c r="J6" i="44"/>
  <c r="J114" i="35" l="1"/>
  <c r="J525" i="35"/>
  <c r="J526" i="35"/>
  <c r="J524" i="35"/>
  <c r="R584" i="35" l="1"/>
  <c r="S584" i="35" s="1"/>
  <c r="N584" i="35"/>
  <c r="L584" i="35"/>
  <c r="I584" i="35"/>
  <c r="F572" i="35"/>
  <c r="N49" i="35"/>
  <c r="N50" i="35"/>
  <c r="N10" i="35"/>
  <c r="L10" i="35"/>
  <c r="I10" i="35"/>
  <c r="I11" i="35"/>
  <c r="I12" i="35"/>
  <c r="I13" i="35"/>
  <c r="M584" i="35" l="1"/>
  <c r="R451" i="35"/>
  <c r="J17" i="44" l="1"/>
  <c r="I17" i="44"/>
  <c r="L316" i="35" l="1"/>
  <c r="L315" i="35"/>
  <c r="L314" i="35"/>
  <c r="L313" i="35"/>
  <c r="L312" i="35"/>
  <c r="L311" i="35"/>
  <c r="L310" i="35"/>
  <c r="L309" i="35"/>
  <c r="L308" i="35"/>
  <c r="L307" i="35"/>
  <c r="L306" i="35"/>
  <c r="L305" i="35"/>
  <c r="L304" i="35"/>
  <c r="L303" i="35"/>
  <c r="L302" i="35"/>
  <c r="L301" i="35"/>
  <c r="L300" i="35"/>
  <c r="L297" i="35"/>
  <c r="L296" i="35"/>
  <c r="L295" i="35"/>
  <c r="L294" i="35"/>
  <c r="L293" i="35"/>
  <c r="L291" i="35"/>
  <c r="L290" i="35"/>
  <c r="L289" i="35"/>
  <c r="L288" i="35"/>
  <c r="L287" i="35"/>
  <c r="L286" i="35"/>
  <c r="L285" i="35"/>
  <c r="L284" i="35"/>
  <c r="L283" i="35"/>
  <c r="L282" i="35"/>
  <c r="L281" i="35"/>
  <c r="L278" i="35"/>
  <c r="L277" i="35"/>
  <c r="L275" i="35"/>
  <c r="L274" i="35"/>
  <c r="L273" i="35"/>
  <c r="L272" i="35"/>
  <c r="L271" i="35"/>
  <c r="L270" i="35"/>
  <c r="L269" i="35"/>
  <c r="L268" i="35"/>
  <c r="L267" i="35"/>
  <c r="L266" i="35"/>
  <c r="L265" i="35"/>
  <c r="L264" i="35"/>
  <c r="L263" i="35"/>
  <c r="L262" i="35"/>
  <c r="L261" i="35"/>
  <c r="L260" i="35"/>
  <c r="L259" i="35"/>
  <c r="L258" i="35"/>
  <c r="L257" i="35"/>
  <c r="L256" i="35"/>
  <c r="L255" i="35"/>
  <c r="L254" i="35"/>
  <c r="L253" i="35"/>
  <c r="L252" i="35"/>
  <c r="L251" i="35"/>
  <c r="L250" i="35"/>
  <c r="L249" i="35"/>
  <c r="L248" i="35"/>
  <c r="L247" i="35"/>
  <c r="L246" i="35"/>
  <c r="L245" i="35"/>
  <c r="L244" i="35"/>
  <c r="L243" i="35"/>
  <c r="L242" i="35"/>
  <c r="L241" i="35"/>
  <c r="L240" i="35"/>
  <c r="L239" i="35"/>
  <c r="L238" i="35"/>
  <c r="L237" i="35"/>
  <c r="L235" i="35"/>
  <c r="L234" i="35"/>
  <c r="L233" i="35"/>
  <c r="L232" i="35"/>
  <c r="L231" i="35"/>
  <c r="L230" i="35"/>
  <c r="L229" i="35"/>
  <c r="L228" i="35"/>
  <c r="L227" i="35"/>
  <c r="L226" i="35"/>
  <c r="L225" i="35"/>
  <c r="L224" i="35"/>
  <c r="L223" i="35"/>
  <c r="L222" i="35"/>
  <c r="L221" i="35"/>
  <c r="L220" i="35"/>
  <c r="L219" i="35"/>
  <c r="L218" i="35"/>
  <c r="L217" i="35"/>
  <c r="L216" i="35"/>
  <c r="L215" i="35"/>
  <c r="L214" i="35"/>
  <c r="L213" i="35"/>
  <c r="L212" i="35"/>
  <c r="L211" i="35"/>
  <c r="L210" i="35"/>
  <c r="L209" i="35"/>
  <c r="L208" i="35"/>
  <c r="L207" i="35"/>
  <c r="L206" i="35"/>
  <c r="L205" i="35"/>
  <c r="L204" i="35"/>
  <c r="L203" i="35"/>
  <c r="L202" i="35"/>
  <c r="L201" i="35"/>
  <c r="L200" i="35"/>
  <c r="L199" i="35"/>
  <c r="L198" i="35"/>
  <c r="L197" i="35"/>
  <c r="L196" i="35"/>
  <c r="L195" i="35"/>
  <c r="L194" i="35"/>
  <c r="L193" i="35"/>
  <c r="L192" i="35"/>
  <c r="L191" i="35"/>
  <c r="L190" i="35"/>
  <c r="L189" i="35"/>
  <c r="L188" i="35"/>
  <c r="L187" i="35"/>
  <c r="L186" i="35"/>
  <c r="L185" i="35"/>
  <c r="L184" i="35"/>
  <c r="L183" i="35"/>
  <c r="L182" i="35"/>
  <c r="L181" i="35"/>
  <c r="L180" i="35"/>
  <c r="L179" i="35"/>
  <c r="L178" i="35"/>
  <c r="L177" i="35"/>
  <c r="L176" i="35"/>
  <c r="L175" i="35"/>
  <c r="L174" i="35"/>
  <c r="L173" i="35"/>
  <c r="L172" i="35"/>
  <c r="L171" i="35"/>
  <c r="L170" i="35"/>
  <c r="L169" i="35"/>
  <c r="L168" i="35"/>
  <c r="L167" i="35"/>
  <c r="L166" i="35"/>
  <c r="L165" i="35"/>
  <c r="L164" i="35"/>
  <c r="L163" i="35"/>
  <c r="L162" i="35"/>
  <c r="L161" i="35"/>
  <c r="L160" i="35"/>
  <c r="L159" i="35"/>
  <c r="L158" i="35"/>
  <c r="L157" i="35"/>
  <c r="L156" i="35"/>
  <c r="L155" i="35"/>
  <c r="L154" i="35"/>
  <c r="L153" i="35"/>
  <c r="L152" i="35"/>
  <c r="L151" i="35"/>
  <c r="L150" i="35"/>
  <c r="L149" i="35"/>
  <c r="L147" i="35"/>
  <c r="L146" i="35"/>
  <c r="L145" i="35"/>
  <c r="L144" i="35"/>
  <c r="L143" i="35"/>
  <c r="L142" i="35"/>
  <c r="L141" i="35"/>
  <c r="L140" i="35"/>
  <c r="L139" i="35"/>
  <c r="L138" i="35"/>
  <c r="L137" i="35"/>
  <c r="L136" i="35"/>
  <c r="L132" i="35"/>
  <c r="L131" i="35"/>
  <c r="L128" i="35"/>
  <c r="L127" i="35"/>
  <c r="L126" i="35"/>
  <c r="L125" i="35"/>
  <c r="L124" i="35"/>
  <c r="L123" i="35"/>
  <c r="L122" i="35"/>
  <c r="L120" i="35"/>
  <c r="L119" i="35"/>
  <c r="L118" i="35"/>
  <c r="L117" i="35"/>
  <c r="L116" i="35"/>
  <c r="L115" i="35"/>
  <c r="L114" i="35"/>
  <c r="L113" i="35"/>
  <c r="L112" i="35"/>
  <c r="L111" i="35"/>
  <c r="L110" i="35"/>
  <c r="L109" i="35"/>
  <c r="L106" i="35"/>
  <c r="L105" i="35"/>
  <c r="L104" i="35"/>
  <c r="L103" i="35"/>
  <c r="L102" i="35"/>
  <c r="L101" i="35"/>
  <c r="L100" i="35"/>
  <c r="L99" i="35"/>
  <c r="L98" i="35"/>
  <c r="L97" i="35"/>
  <c r="L96" i="35"/>
  <c r="L95" i="35"/>
  <c r="L94" i="35"/>
  <c r="L93" i="35"/>
  <c r="L92" i="35"/>
  <c r="L91" i="35"/>
  <c r="L90" i="35"/>
  <c r="L89" i="35"/>
  <c r="L88" i="35"/>
  <c r="L87" i="35"/>
  <c r="L86" i="35"/>
  <c r="L85" i="35"/>
  <c r="L84" i="35"/>
  <c r="L83" i="35"/>
  <c r="L82" i="35"/>
  <c r="L81" i="35"/>
  <c r="L80" i="35"/>
  <c r="L79" i="35"/>
  <c r="L78" i="35"/>
  <c r="L77" i="35"/>
  <c r="L76" i="35"/>
  <c r="L75" i="35"/>
  <c r="L74" i="35"/>
  <c r="L73" i="35"/>
  <c r="L72" i="35"/>
  <c r="L71" i="35"/>
  <c r="L70" i="35"/>
  <c r="L69" i="35"/>
  <c r="L61" i="35"/>
  <c r="L59" i="35"/>
  <c r="L58" i="35"/>
  <c r="L57" i="35"/>
  <c r="L54" i="35"/>
  <c r="L49" i="35"/>
  <c r="L50" i="35"/>
  <c r="L51" i="35"/>
  <c r="L52" i="35"/>
  <c r="L53" i="35"/>
  <c r="L44" i="35"/>
  <c r="L45" i="35"/>
  <c r="L46" i="35"/>
  <c r="L47" i="35"/>
  <c r="L48" i="35"/>
  <c r="L41" i="35"/>
  <c r="L23" i="35"/>
  <c r="L24" i="35"/>
  <c r="L25" i="35"/>
  <c r="L26" i="35"/>
  <c r="L27" i="35"/>
  <c r="L28" i="35"/>
  <c r="L29" i="35"/>
  <c r="L22" i="35"/>
  <c r="L11" i="35"/>
  <c r="L12" i="35"/>
  <c r="L13" i="35"/>
  <c r="L14" i="35"/>
  <c r="L15" i="35"/>
  <c r="L16" i="35"/>
  <c r="L17" i="35"/>
  <c r="L18" i="35"/>
  <c r="L19" i="35"/>
  <c r="L20" i="35"/>
  <c r="L21" i="35"/>
  <c r="N9" i="37"/>
  <c r="L68" i="35"/>
  <c r="L67" i="35"/>
  <c r="L66" i="35"/>
  <c r="L65" i="35"/>
  <c r="L64" i="35"/>
  <c r="L55" i="35"/>
  <c r="L33" i="35"/>
  <c r="L34" i="35"/>
  <c r="L35" i="35"/>
  <c r="L36" i="35"/>
  <c r="L37" i="35"/>
  <c r="L38" i="35"/>
  <c r="L39" i="35"/>
  <c r="L40" i="35"/>
  <c r="L32" i="35"/>
  <c r="L9" i="35"/>
  <c r="J456" i="35"/>
  <c r="Q18" i="53"/>
  <c r="N337" i="35"/>
  <c r="L337" i="35"/>
  <c r="I337" i="35"/>
  <c r="R18" i="53"/>
  <c r="M18" i="53"/>
  <c r="M17" i="53" s="1"/>
  <c r="M16" i="53" s="1"/>
  <c r="M15" i="53" s="1"/>
  <c r="L18" i="53"/>
  <c r="I18" i="53"/>
  <c r="I17" i="53" s="1"/>
  <c r="I16" i="53" s="1"/>
  <c r="I15" i="53" s="1"/>
  <c r="V17" i="53"/>
  <c r="V16" i="53" s="1"/>
  <c r="U17" i="53"/>
  <c r="U16" i="53" s="1"/>
  <c r="T17" i="53"/>
  <c r="S17" i="53"/>
  <c r="S16" i="53" s="1"/>
  <c r="Q17" i="53"/>
  <c r="Q16" i="53" s="1"/>
  <c r="Q15" i="53" s="1"/>
  <c r="P17" i="53"/>
  <c r="L17" i="53"/>
  <c r="L16" i="53" s="1"/>
  <c r="L15" i="53" s="1"/>
  <c r="K17" i="53"/>
  <c r="K16" i="53" s="1"/>
  <c r="K15" i="53" s="1"/>
  <c r="G26" i="49" s="1"/>
  <c r="J17" i="53"/>
  <c r="H17" i="53"/>
  <c r="H16" i="53" s="1"/>
  <c r="H15" i="53" s="1"/>
  <c r="G17" i="53"/>
  <c r="G16" i="53" s="1"/>
  <c r="G15" i="53" s="1"/>
  <c r="F17" i="53"/>
  <c r="T16" i="53"/>
  <c r="P16" i="53"/>
  <c r="P15" i="53" s="1"/>
  <c r="J16" i="53"/>
  <c r="J15" i="53" s="1"/>
  <c r="F26" i="49" s="1"/>
  <c r="F16" i="53"/>
  <c r="F15" i="53" s="1"/>
  <c r="R9" i="53"/>
  <c r="M9" i="53"/>
  <c r="M8" i="53" s="1"/>
  <c r="M7" i="53" s="1"/>
  <c r="M6" i="53" s="1"/>
  <c r="L9" i="53"/>
  <c r="I9" i="53"/>
  <c r="I8" i="53" s="1"/>
  <c r="I7" i="53" s="1"/>
  <c r="I6" i="53" s="1"/>
  <c r="U8" i="53"/>
  <c r="T8" i="53"/>
  <c r="Q8" i="53"/>
  <c r="P8" i="53"/>
  <c r="O8" i="53"/>
  <c r="N8" i="53"/>
  <c r="L8" i="53"/>
  <c r="L7" i="53" s="1"/>
  <c r="L6" i="53" s="1"/>
  <c r="K8" i="53"/>
  <c r="K7" i="53" s="1"/>
  <c r="K6" i="53" s="1"/>
  <c r="E26" i="49" s="1"/>
  <c r="J8" i="53"/>
  <c r="H8" i="53"/>
  <c r="G8" i="53"/>
  <c r="G7" i="53" s="1"/>
  <c r="G6" i="53" s="1"/>
  <c r="F8" i="53"/>
  <c r="F7" i="53" s="1"/>
  <c r="F6" i="53" s="1"/>
  <c r="U7" i="53"/>
  <c r="T7" i="53"/>
  <c r="Q7" i="53"/>
  <c r="P7" i="53"/>
  <c r="J7" i="53"/>
  <c r="H7" i="53"/>
  <c r="Q6" i="53"/>
  <c r="P6" i="53"/>
  <c r="J6" i="53"/>
  <c r="D26" i="49" s="1"/>
  <c r="H6" i="53"/>
  <c r="L423" i="35"/>
  <c r="N423" i="35"/>
  <c r="I423" i="35"/>
  <c r="I51" i="35"/>
  <c r="I52" i="35"/>
  <c r="I53" i="35"/>
  <c r="I54" i="35"/>
  <c r="I55" i="35"/>
  <c r="N277" i="35"/>
  <c r="N278" i="35"/>
  <c r="N279" i="35"/>
  <c r="N281" i="35"/>
  <c r="N282" i="35"/>
  <c r="N283" i="35"/>
  <c r="N284" i="35"/>
  <c r="N285" i="35"/>
  <c r="N286" i="35"/>
  <c r="N287" i="35"/>
  <c r="N288" i="35"/>
  <c r="N289" i="35"/>
  <c r="N290" i="35"/>
  <c r="N291" i="35"/>
  <c r="N293" i="35"/>
  <c r="N294" i="35"/>
  <c r="N295" i="35"/>
  <c r="N296" i="35"/>
  <c r="N297" i="35"/>
  <c r="N300" i="35"/>
  <c r="N301" i="35"/>
  <c r="N302" i="35"/>
  <c r="N303" i="35"/>
  <c r="N304" i="35"/>
  <c r="N305" i="35"/>
  <c r="N306" i="35"/>
  <c r="N307" i="35"/>
  <c r="N308" i="35"/>
  <c r="N309" i="35"/>
  <c r="N310" i="35"/>
  <c r="N311" i="35"/>
  <c r="N312" i="35"/>
  <c r="N313" i="35"/>
  <c r="N314" i="35"/>
  <c r="N315" i="35"/>
  <c r="N316" i="35"/>
  <c r="N317" i="35"/>
  <c r="N318" i="35"/>
  <c r="N319" i="35"/>
  <c r="N320" i="35"/>
  <c r="N321" i="35"/>
  <c r="N322" i="35"/>
  <c r="N323" i="35"/>
  <c r="N324" i="35"/>
  <c r="N325" i="35"/>
  <c r="N326" i="35"/>
  <c r="N327" i="35"/>
  <c r="N328" i="35"/>
  <c r="N329" i="35"/>
  <c r="N330" i="35"/>
  <c r="N331" i="35"/>
  <c r="N332" i="35"/>
  <c r="N333" i="35"/>
  <c r="N336" i="35"/>
  <c r="N334" i="35"/>
  <c r="N335" i="35"/>
  <c r="N340" i="35"/>
  <c r="N341" i="35"/>
  <c r="N342" i="35"/>
  <c r="N343" i="35"/>
  <c r="N344" i="35"/>
  <c r="N345" i="35"/>
  <c r="N346" i="35"/>
  <c r="N347" i="35"/>
  <c r="N348" i="35"/>
  <c r="N349" i="35"/>
  <c r="N350" i="35"/>
  <c r="N351" i="35"/>
  <c r="N352" i="35"/>
  <c r="N353" i="35"/>
  <c r="N354" i="35"/>
  <c r="N355" i="35"/>
  <c r="N356" i="35"/>
  <c r="N357" i="35"/>
  <c r="N358" i="35"/>
  <c r="N359" i="35"/>
  <c r="N360" i="35"/>
  <c r="N361" i="35"/>
  <c r="N362" i="35"/>
  <c r="N363" i="35"/>
  <c r="N364" i="35"/>
  <c r="N366" i="35"/>
  <c r="N367" i="35"/>
  <c r="N368" i="35"/>
  <c r="N369" i="35"/>
  <c r="N370" i="35"/>
  <c r="N371" i="35"/>
  <c r="N372" i="35"/>
  <c r="N373" i="35"/>
  <c r="N374" i="35"/>
  <c r="N375" i="35"/>
  <c r="N376" i="35"/>
  <c r="N377" i="35"/>
  <c r="N378" i="35"/>
  <c r="N379" i="35"/>
  <c r="N380" i="35"/>
  <c r="N382" i="35"/>
  <c r="N383" i="35"/>
  <c r="N384" i="35"/>
  <c r="N385" i="35"/>
  <c r="N386" i="35"/>
  <c r="N387" i="35"/>
  <c r="N388" i="35"/>
  <c r="N389" i="35"/>
  <c r="N390" i="35"/>
  <c r="N391" i="35"/>
  <c r="N394" i="35"/>
  <c r="N395" i="35"/>
  <c r="N396" i="35"/>
  <c r="N397" i="35"/>
  <c r="N398" i="35"/>
  <c r="N399" i="35"/>
  <c r="N400" i="35"/>
  <c r="N401" i="35"/>
  <c r="N402" i="35"/>
  <c r="N403" i="35"/>
  <c r="N404" i="35"/>
  <c r="N405" i="35"/>
  <c r="N406" i="35"/>
  <c r="N407" i="35"/>
  <c r="N408" i="35"/>
  <c r="N409" i="35"/>
  <c r="N410" i="35"/>
  <c r="N411" i="35"/>
  <c r="N412" i="35"/>
  <c r="N413" i="35"/>
  <c r="N414" i="35"/>
  <c r="N415" i="35"/>
  <c r="N416" i="35"/>
  <c r="N417" i="35"/>
  <c r="N418" i="35"/>
  <c r="N419" i="35"/>
  <c r="N420" i="35"/>
  <c r="N421" i="35"/>
  <c r="N422" i="35"/>
  <c r="N425" i="35"/>
  <c r="N426" i="35"/>
  <c r="N427" i="35"/>
  <c r="N428" i="35"/>
  <c r="N429" i="35"/>
  <c r="N430" i="35"/>
  <c r="N431" i="35"/>
  <c r="N432" i="35"/>
  <c r="N433" i="35"/>
  <c r="N434" i="35"/>
  <c r="N435" i="35"/>
  <c r="N437" i="35"/>
  <c r="N438" i="35"/>
  <c r="N440" i="35"/>
  <c r="N441" i="35"/>
  <c r="N442" i="35"/>
  <c r="N443" i="35"/>
  <c r="N444" i="35"/>
  <c r="N445" i="35"/>
  <c r="N448" i="35"/>
  <c r="N449" i="35"/>
  <c r="N450" i="35"/>
  <c r="N451" i="35"/>
  <c r="N453" i="35"/>
  <c r="N454" i="35"/>
  <c r="N455" i="35"/>
  <c r="N457" i="35"/>
  <c r="N458" i="35"/>
  <c r="N459" i="35"/>
  <c r="N460" i="35"/>
  <c r="N461" i="35"/>
  <c r="N462" i="35"/>
  <c r="N463" i="35"/>
  <c r="N464" i="35"/>
  <c r="N465" i="35"/>
  <c r="N466" i="35"/>
  <c r="N467" i="35"/>
  <c r="N469" i="35"/>
  <c r="N470" i="35"/>
  <c r="N471" i="35"/>
  <c r="N472" i="35"/>
  <c r="N473" i="35"/>
  <c r="N474" i="35"/>
  <c r="N475" i="35"/>
  <c r="N476" i="35"/>
  <c r="N477" i="35"/>
  <c r="N480" i="35"/>
  <c r="N481" i="35"/>
  <c r="N482" i="35"/>
  <c r="N483" i="35"/>
  <c r="N484" i="35"/>
  <c r="N485" i="35"/>
  <c r="N486" i="35"/>
  <c r="N487" i="35"/>
  <c r="N488" i="35"/>
  <c r="N489" i="35"/>
  <c r="N490" i="35"/>
  <c r="N491" i="35"/>
  <c r="N492" i="35"/>
  <c r="N494" i="35"/>
  <c r="N495" i="35"/>
  <c r="N496" i="35"/>
  <c r="N497" i="35"/>
  <c r="N498" i="35"/>
  <c r="N499" i="35"/>
  <c r="N500" i="35"/>
  <c r="N501" i="35"/>
  <c r="N502" i="35"/>
  <c r="N503" i="35"/>
  <c r="N504" i="35"/>
  <c r="N505" i="35"/>
  <c r="N506" i="35"/>
  <c r="N507" i="35"/>
  <c r="N508" i="35"/>
  <c r="N510" i="35"/>
  <c r="N511" i="35"/>
  <c r="N512" i="35"/>
  <c r="N513" i="35"/>
  <c r="N514" i="35"/>
  <c r="N515" i="35"/>
  <c r="N516" i="35"/>
  <c r="N517" i="35"/>
  <c r="N518" i="35"/>
  <c r="N519" i="35"/>
  <c r="N521" i="35"/>
  <c r="N522" i="35"/>
  <c r="N523" i="35"/>
  <c r="N524" i="35"/>
  <c r="N525" i="35"/>
  <c r="N526" i="35"/>
  <c r="N527" i="35"/>
  <c r="N528" i="35"/>
  <c r="N529" i="35"/>
  <c r="N530" i="35"/>
  <c r="N531" i="35"/>
  <c r="N534" i="35"/>
  <c r="N535" i="35"/>
  <c r="N536" i="35"/>
  <c r="N537" i="35"/>
  <c r="N538" i="35"/>
  <c r="N539" i="35"/>
  <c r="N540" i="35"/>
  <c r="N541" i="35"/>
  <c r="N542" i="35"/>
  <c r="N543" i="35"/>
  <c r="N544" i="35"/>
  <c r="N545" i="35"/>
  <c r="N546" i="35"/>
  <c r="N547" i="35"/>
  <c r="N548" i="35"/>
  <c r="N549" i="35"/>
  <c r="N550" i="35"/>
  <c r="N551" i="35"/>
  <c r="N552" i="35"/>
  <c r="N553" i="35"/>
  <c r="N554" i="35"/>
  <c r="N555" i="35"/>
  <c r="N556" i="35"/>
  <c r="N557" i="35"/>
  <c r="N558" i="35"/>
  <c r="N559" i="35"/>
  <c r="N560" i="35"/>
  <c r="N561" i="35"/>
  <c r="N562" i="35"/>
  <c r="N563" i="35"/>
  <c r="N564" i="35"/>
  <c r="N565" i="35"/>
  <c r="N566" i="35"/>
  <c r="N567" i="35"/>
  <c r="N568" i="35"/>
  <c r="N569" i="35"/>
  <c r="N570" i="35"/>
  <c r="N571" i="35"/>
  <c r="N573" i="35"/>
  <c r="N574" i="35"/>
  <c r="N575" i="35"/>
  <c r="N576" i="35"/>
  <c r="N577" i="35"/>
  <c r="N578" i="35"/>
  <c r="N579" i="35"/>
  <c r="N580" i="35"/>
  <c r="N581" i="35"/>
  <c r="N582" i="35"/>
  <c r="N583" i="35"/>
  <c r="N586" i="35"/>
  <c r="N587" i="35"/>
  <c r="N588" i="35"/>
  <c r="N589" i="35"/>
  <c r="N590" i="35"/>
  <c r="N591" i="35"/>
  <c r="N592" i="35"/>
  <c r="N593" i="35"/>
  <c r="N594" i="35"/>
  <c r="N595" i="35"/>
  <c r="N596" i="35"/>
  <c r="N597" i="35"/>
  <c r="N275" i="35"/>
  <c r="N274" i="35"/>
  <c r="N273" i="35"/>
  <c r="N272" i="35"/>
  <c r="N271" i="35"/>
  <c r="N270" i="35"/>
  <c r="N269" i="35"/>
  <c r="N268" i="35"/>
  <c r="N267" i="35"/>
  <c r="N266" i="35"/>
  <c r="N265" i="35"/>
  <c r="N264" i="35"/>
  <c r="N263" i="35"/>
  <c r="N262" i="35"/>
  <c r="N261" i="35"/>
  <c r="N260" i="35"/>
  <c r="N259" i="35"/>
  <c r="N258" i="35"/>
  <c r="N257" i="35"/>
  <c r="N256" i="35"/>
  <c r="N255" i="35"/>
  <c r="N254" i="35"/>
  <c r="N253" i="35"/>
  <c r="N252" i="35"/>
  <c r="N251" i="35"/>
  <c r="N250" i="35"/>
  <c r="N249" i="35"/>
  <c r="N248" i="35"/>
  <c r="N247" i="35"/>
  <c r="N246" i="35"/>
  <c r="N245" i="35"/>
  <c r="N244" i="35"/>
  <c r="N243" i="35"/>
  <c r="N242" i="35"/>
  <c r="N241" i="35"/>
  <c r="N240" i="35"/>
  <c r="N239" i="35"/>
  <c r="N238" i="35"/>
  <c r="N237" i="35"/>
  <c r="N235" i="35"/>
  <c r="N234" i="35"/>
  <c r="N233" i="35"/>
  <c r="N232" i="35"/>
  <c r="N231" i="35"/>
  <c r="N230" i="35"/>
  <c r="N229" i="35"/>
  <c r="N228" i="35"/>
  <c r="N227" i="35"/>
  <c r="N226" i="35"/>
  <c r="N225" i="35"/>
  <c r="N224" i="35"/>
  <c r="N223" i="35"/>
  <c r="N222" i="35"/>
  <c r="N221" i="35"/>
  <c r="N220" i="35"/>
  <c r="N219" i="35"/>
  <c r="N218" i="35"/>
  <c r="N217" i="35"/>
  <c r="N216" i="35"/>
  <c r="N215" i="35"/>
  <c r="N214" i="35"/>
  <c r="N213" i="35"/>
  <c r="N212" i="35"/>
  <c r="N211" i="35"/>
  <c r="N210" i="35"/>
  <c r="N209" i="35"/>
  <c r="N208" i="35"/>
  <c r="N207" i="35"/>
  <c r="N206" i="35"/>
  <c r="N205" i="35"/>
  <c r="N204" i="35"/>
  <c r="N203" i="35"/>
  <c r="N202" i="35"/>
  <c r="N201" i="35"/>
  <c r="N200" i="35"/>
  <c r="N199" i="35"/>
  <c r="N198" i="35"/>
  <c r="N197" i="35"/>
  <c r="N196" i="35"/>
  <c r="N195" i="35"/>
  <c r="N194" i="35"/>
  <c r="N193" i="35"/>
  <c r="N192" i="35"/>
  <c r="N191" i="35"/>
  <c r="N190" i="35"/>
  <c r="N189" i="35"/>
  <c r="N188" i="35"/>
  <c r="N187" i="35"/>
  <c r="N186" i="35"/>
  <c r="N185" i="35"/>
  <c r="N184" i="35"/>
  <c r="N183" i="35"/>
  <c r="N182" i="35"/>
  <c r="N181" i="35"/>
  <c r="N180" i="35"/>
  <c r="N179" i="35"/>
  <c r="N178" i="35"/>
  <c r="N177" i="35"/>
  <c r="N176" i="35"/>
  <c r="N175" i="35"/>
  <c r="N174" i="35"/>
  <c r="N173" i="35"/>
  <c r="N172" i="35"/>
  <c r="N171" i="35"/>
  <c r="N170" i="35"/>
  <c r="N169" i="35"/>
  <c r="N168" i="35"/>
  <c r="N167" i="35"/>
  <c r="N166" i="35"/>
  <c r="N165" i="35"/>
  <c r="N164" i="35"/>
  <c r="N163" i="35"/>
  <c r="N162" i="35"/>
  <c r="N161" i="35"/>
  <c r="N160" i="35"/>
  <c r="N159" i="35"/>
  <c r="N158" i="35"/>
  <c r="N157" i="35"/>
  <c r="N156" i="35"/>
  <c r="N155" i="35"/>
  <c r="N154" i="35"/>
  <c r="N153" i="35"/>
  <c r="N152" i="35"/>
  <c r="N151" i="35"/>
  <c r="N150" i="35"/>
  <c r="N149" i="35"/>
  <c r="N147" i="35"/>
  <c r="N146" i="35"/>
  <c r="N145" i="35"/>
  <c r="N144" i="35"/>
  <c r="N143" i="35"/>
  <c r="N142" i="35"/>
  <c r="N141" i="35"/>
  <c r="N140" i="35"/>
  <c r="N139" i="35"/>
  <c r="N138" i="35"/>
  <c r="N137" i="35"/>
  <c r="N136" i="35"/>
  <c r="N132" i="35"/>
  <c r="N131" i="35"/>
  <c r="N128" i="35"/>
  <c r="N127" i="35"/>
  <c r="N126" i="35"/>
  <c r="N125" i="35"/>
  <c r="N124" i="35"/>
  <c r="N123" i="35"/>
  <c r="N122" i="35"/>
  <c r="N120" i="35"/>
  <c r="N119" i="35"/>
  <c r="N118" i="35"/>
  <c r="N117" i="35"/>
  <c r="N116" i="35"/>
  <c r="N115" i="35"/>
  <c r="N114" i="35"/>
  <c r="N113" i="35"/>
  <c r="N112" i="35"/>
  <c r="N111" i="35"/>
  <c r="N110" i="35"/>
  <c r="N109" i="35"/>
  <c r="N106" i="35"/>
  <c r="N105" i="35"/>
  <c r="N104" i="35"/>
  <c r="N103" i="35"/>
  <c r="N102" i="35"/>
  <c r="N101" i="35"/>
  <c r="N100" i="35"/>
  <c r="N99" i="35"/>
  <c r="N98" i="35"/>
  <c r="N97" i="35"/>
  <c r="N96" i="35"/>
  <c r="N95" i="35"/>
  <c r="N94" i="35"/>
  <c r="N93" i="35"/>
  <c r="N92" i="35"/>
  <c r="N91" i="35"/>
  <c r="N90" i="35"/>
  <c r="N89" i="35"/>
  <c r="N88" i="35"/>
  <c r="N87" i="35"/>
  <c r="N86" i="35"/>
  <c r="N85" i="35"/>
  <c r="N84" i="35"/>
  <c r="N83" i="35"/>
  <c r="N82" i="35"/>
  <c r="N81" i="35"/>
  <c r="N80" i="35"/>
  <c r="N79" i="35"/>
  <c r="N78" i="35"/>
  <c r="N77" i="35"/>
  <c r="N76" i="35"/>
  <c r="N75" i="35"/>
  <c r="N74" i="35"/>
  <c r="N73" i="35"/>
  <c r="N72" i="35"/>
  <c r="N71" i="35"/>
  <c r="N70" i="35"/>
  <c r="N69" i="35"/>
  <c r="N68" i="35"/>
  <c r="N67" i="35"/>
  <c r="N66" i="35"/>
  <c r="N65" i="35"/>
  <c r="N64" i="35"/>
  <c r="N61" i="35"/>
  <c r="N59" i="35"/>
  <c r="N58" i="35"/>
  <c r="N57" i="35"/>
  <c r="N55" i="35"/>
  <c r="N54" i="35"/>
  <c r="N53" i="35"/>
  <c r="N52" i="35"/>
  <c r="N51" i="35"/>
  <c r="N48" i="35"/>
  <c r="N47" i="35"/>
  <c r="N46" i="35"/>
  <c r="N44" i="35"/>
  <c r="N41" i="35"/>
  <c r="N40" i="35"/>
  <c r="N39" i="35"/>
  <c r="N38" i="35"/>
  <c r="N37" i="35"/>
  <c r="N36" i="35"/>
  <c r="N35" i="35"/>
  <c r="N34" i="35"/>
  <c r="N33" i="35"/>
  <c r="N32" i="35"/>
  <c r="N29" i="35"/>
  <c r="N28" i="35"/>
  <c r="N27" i="35"/>
  <c r="N26" i="35"/>
  <c r="N25" i="35"/>
  <c r="N24" i="35"/>
  <c r="N23" i="35"/>
  <c r="N22" i="35"/>
  <c r="N21" i="35"/>
  <c r="N20" i="35"/>
  <c r="N19" i="35"/>
  <c r="N18" i="35"/>
  <c r="N17" i="35"/>
  <c r="N16" i="35"/>
  <c r="N15" i="35"/>
  <c r="N14" i="35"/>
  <c r="N13" i="35"/>
  <c r="N12" i="35"/>
  <c r="N11" i="35"/>
  <c r="N9" i="35"/>
  <c r="R591" i="35"/>
  <c r="R587" i="35"/>
  <c r="R590" i="35"/>
  <c r="R583" i="35"/>
  <c r="R545" i="35"/>
  <c r="R571" i="35"/>
  <c r="R565" i="35"/>
  <c r="R559" i="35"/>
  <c r="R547" i="35"/>
  <c r="R528" i="35"/>
  <c r="R530" i="35"/>
  <c r="R508" i="35"/>
  <c r="R492" i="35"/>
  <c r="R474" i="35"/>
  <c r="R473" i="35"/>
  <c r="R467" i="35"/>
  <c r="R455" i="35"/>
  <c r="R438" i="35"/>
  <c r="R435" i="35"/>
  <c r="R434" i="35"/>
  <c r="R433" i="35"/>
  <c r="R414" i="35"/>
  <c r="R408" i="35"/>
  <c r="R406" i="35"/>
  <c r="R391" i="35"/>
  <c r="R363" i="35"/>
  <c r="R364" i="35"/>
  <c r="R362" i="35"/>
  <c r="R341" i="35"/>
  <c r="R185" i="35"/>
  <c r="R155" i="35"/>
  <c r="R128" i="35"/>
  <c r="R86" i="35"/>
  <c r="R314" i="35"/>
  <c r="R315" i="35"/>
  <c r="R313" i="35"/>
  <c r="R297" i="35"/>
  <c r="R168" i="35"/>
  <c r="R147" i="35"/>
  <c r="S147" i="35" s="1"/>
  <c r="R146" i="35"/>
  <c r="S146" i="35" s="1"/>
  <c r="R45" i="35"/>
  <c r="Q42" i="35"/>
  <c r="R597" i="35"/>
  <c r="R586" i="35"/>
  <c r="R577" i="35"/>
  <c r="R554" i="35"/>
  <c r="R550" i="35"/>
  <c r="R544" i="35"/>
  <c r="R527" i="35"/>
  <c r="R526" i="35"/>
  <c r="R525" i="35"/>
  <c r="R524" i="35"/>
  <c r="R511" i="35"/>
  <c r="R506" i="35"/>
  <c r="R499" i="35"/>
  <c r="R490" i="35"/>
  <c r="R482" i="35"/>
  <c r="R481" i="35"/>
  <c r="R471" i="35"/>
  <c r="R470" i="35"/>
  <c r="R469" i="35"/>
  <c r="R457" i="35"/>
  <c r="R454" i="35"/>
  <c r="R453" i="35"/>
  <c r="R448" i="35"/>
  <c r="R411" i="35"/>
  <c r="R394" i="35"/>
  <c r="R384" i="35"/>
  <c r="R382" i="35"/>
  <c r="R374" i="35"/>
  <c r="R371" i="35"/>
  <c r="R368" i="35"/>
  <c r="R359" i="35"/>
  <c r="R354" i="35"/>
  <c r="R348" i="35"/>
  <c r="R328" i="35"/>
  <c r="R325" i="35"/>
  <c r="R324" i="35"/>
  <c r="R322" i="35"/>
  <c r="R296" i="35"/>
  <c r="R295" i="35"/>
  <c r="R293" i="35"/>
  <c r="R114" i="35"/>
  <c r="R106" i="35"/>
  <c r="R96" i="35"/>
  <c r="R88" i="35"/>
  <c r="R82" i="35"/>
  <c r="R81" i="35"/>
  <c r="R75" i="35"/>
  <c r="R64" i="35"/>
  <c r="R50" i="35"/>
  <c r="R48" i="35"/>
  <c r="R47" i="35"/>
  <c r="R46" i="35"/>
  <c r="R20" i="35"/>
  <c r="R596" i="35"/>
  <c r="R595" i="35"/>
  <c r="R594" i="35"/>
  <c r="R593" i="35"/>
  <c r="R592" i="35"/>
  <c r="R589" i="35"/>
  <c r="S589" i="35" s="1"/>
  <c r="R588" i="35"/>
  <c r="R582" i="35"/>
  <c r="R581" i="35"/>
  <c r="R580" i="35"/>
  <c r="R579" i="35"/>
  <c r="R578" i="35"/>
  <c r="R576" i="35"/>
  <c r="R570" i="35"/>
  <c r="R569" i="35"/>
  <c r="R568" i="35"/>
  <c r="R567" i="35"/>
  <c r="R566" i="35"/>
  <c r="R564" i="35"/>
  <c r="R563" i="35"/>
  <c r="R562" i="35"/>
  <c r="R561" i="35"/>
  <c r="R560" i="35"/>
  <c r="R558" i="35"/>
  <c r="R557" i="35"/>
  <c r="R556" i="35"/>
  <c r="R555" i="35"/>
  <c r="R549" i="35"/>
  <c r="R548" i="35"/>
  <c r="R546" i="35"/>
  <c r="R543" i="35"/>
  <c r="R542" i="35"/>
  <c r="R541" i="35"/>
  <c r="R540" i="35"/>
  <c r="R539" i="35"/>
  <c r="R531" i="35"/>
  <c r="R529" i="35"/>
  <c r="R523" i="35"/>
  <c r="R521" i="35"/>
  <c r="R519" i="35"/>
  <c r="R518" i="35"/>
  <c r="R517" i="35"/>
  <c r="R516" i="35"/>
  <c r="R515" i="35"/>
  <c r="R514" i="35"/>
  <c r="R513" i="35"/>
  <c r="R512" i="35"/>
  <c r="R507" i="35"/>
  <c r="R505" i="35"/>
  <c r="R504" i="35"/>
  <c r="R503" i="35"/>
  <c r="R500" i="35"/>
  <c r="R498" i="35"/>
  <c r="R497" i="35"/>
  <c r="R496" i="35"/>
  <c r="R494" i="35"/>
  <c r="R491" i="35"/>
  <c r="R488" i="35"/>
  <c r="R487" i="35"/>
  <c r="R477" i="35"/>
  <c r="R476" i="35"/>
  <c r="R475" i="35"/>
  <c r="R472" i="35"/>
  <c r="R466" i="35"/>
  <c r="R465" i="35"/>
  <c r="R464" i="35"/>
  <c r="R463" i="35"/>
  <c r="R462" i="35"/>
  <c r="R461" i="35"/>
  <c r="R460" i="35"/>
  <c r="R459" i="35"/>
  <c r="R458" i="35"/>
  <c r="R450" i="35"/>
  <c r="R449" i="35"/>
  <c r="R437" i="35"/>
  <c r="R436" i="35" s="1"/>
  <c r="R432" i="35"/>
  <c r="R431" i="35"/>
  <c r="R430" i="35"/>
  <c r="R429" i="35"/>
  <c r="R428" i="35"/>
  <c r="R427" i="35"/>
  <c r="R426" i="35"/>
  <c r="R425" i="35"/>
  <c r="R422" i="35"/>
  <c r="R421" i="35"/>
  <c r="R420" i="35"/>
  <c r="R419" i="35"/>
  <c r="R418" i="35"/>
  <c r="R417" i="35"/>
  <c r="R413" i="35"/>
  <c r="R412" i="35"/>
  <c r="R407" i="35"/>
  <c r="R405" i="35"/>
  <c r="R403" i="35"/>
  <c r="R402" i="35"/>
  <c r="R399" i="35"/>
  <c r="R398" i="35"/>
  <c r="R397" i="35"/>
  <c r="R396" i="35"/>
  <c r="R395" i="35"/>
  <c r="R390" i="35"/>
  <c r="R389" i="35"/>
  <c r="R388" i="35"/>
  <c r="R387" i="35"/>
  <c r="R386" i="35"/>
  <c r="R385" i="35"/>
  <c r="R380" i="35"/>
  <c r="R379" i="35"/>
  <c r="R378" i="35"/>
  <c r="R377" i="35"/>
  <c r="R376" i="35"/>
  <c r="R375" i="35"/>
  <c r="R373" i="35"/>
  <c r="R372" i="35"/>
  <c r="R370" i="35"/>
  <c r="R369" i="35"/>
  <c r="R367" i="35"/>
  <c r="R366" i="35"/>
  <c r="R361" i="35"/>
  <c r="R360" i="35"/>
  <c r="R358" i="35"/>
  <c r="R357" i="35"/>
  <c r="R356" i="35"/>
  <c r="R355" i="35"/>
  <c r="R353" i="35"/>
  <c r="R352" i="35"/>
  <c r="R351" i="35"/>
  <c r="R350" i="35"/>
  <c r="R349" i="35"/>
  <c r="R346" i="35"/>
  <c r="R336" i="35"/>
  <c r="R332" i="35"/>
  <c r="R331" i="35"/>
  <c r="R330" i="35"/>
  <c r="R329" i="35"/>
  <c r="R323" i="35"/>
  <c r="R319" i="35"/>
  <c r="R317" i="35"/>
  <c r="R312" i="35"/>
  <c r="R311" i="35"/>
  <c r="R310" i="35"/>
  <c r="R309" i="35"/>
  <c r="R308" i="35"/>
  <c r="R304" i="35"/>
  <c r="R303" i="35"/>
  <c r="R302" i="35"/>
  <c r="R301" i="35"/>
  <c r="R300" i="35"/>
  <c r="R294" i="35"/>
  <c r="R291" i="35"/>
  <c r="R290" i="35"/>
  <c r="R289" i="35"/>
  <c r="R287" i="35"/>
  <c r="R285" i="35"/>
  <c r="R284" i="35"/>
  <c r="R283" i="35"/>
  <c r="R282" i="35"/>
  <c r="R281" i="35"/>
  <c r="R279" i="35"/>
  <c r="R278" i="35"/>
  <c r="R277" i="35"/>
  <c r="R275" i="35"/>
  <c r="R274" i="35"/>
  <c r="R273" i="35"/>
  <c r="R272" i="35"/>
  <c r="R271" i="35"/>
  <c r="R270" i="35"/>
  <c r="R269" i="35"/>
  <c r="R268" i="35"/>
  <c r="R267" i="35"/>
  <c r="R266" i="35"/>
  <c r="R265" i="35"/>
  <c r="R264" i="35"/>
  <c r="R263" i="35"/>
  <c r="R262" i="35"/>
  <c r="R261" i="35"/>
  <c r="R260" i="35"/>
  <c r="R259" i="35"/>
  <c r="R258" i="35"/>
  <c r="R257" i="35"/>
  <c r="R256" i="35"/>
  <c r="R255" i="35"/>
  <c r="R254" i="35"/>
  <c r="R253" i="35"/>
  <c r="R252" i="35"/>
  <c r="R251" i="35"/>
  <c r="R250" i="35"/>
  <c r="R249" i="35"/>
  <c r="R248" i="35"/>
  <c r="R247" i="35"/>
  <c r="R246" i="35"/>
  <c r="R245" i="35"/>
  <c r="R244" i="35"/>
  <c r="R243" i="35"/>
  <c r="R242" i="35"/>
  <c r="R241" i="35"/>
  <c r="R240" i="35"/>
  <c r="R239" i="35"/>
  <c r="R238" i="35"/>
  <c r="R237" i="35"/>
  <c r="R235" i="35"/>
  <c r="R234" i="35"/>
  <c r="R233" i="35"/>
  <c r="R232" i="35"/>
  <c r="R231" i="35"/>
  <c r="R230" i="35"/>
  <c r="R229" i="35"/>
  <c r="R228" i="35"/>
  <c r="R227" i="35"/>
  <c r="R226" i="35"/>
  <c r="R225" i="35"/>
  <c r="R224" i="35"/>
  <c r="R223" i="35"/>
  <c r="R222" i="35"/>
  <c r="R221" i="35"/>
  <c r="R220" i="35"/>
  <c r="R219" i="35"/>
  <c r="R218" i="35"/>
  <c r="R217" i="35"/>
  <c r="R216" i="35"/>
  <c r="R215" i="35"/>
  <c r="R214" i="35"/>
  <c r="R213" i="35"/>
  <c r="R212" i="35"/>
  <c r="R211" i="35"/>
  <c r="R210" i="35"/>
  <c r="R209" i="35"/>
  <c r="R208" i="35"/>
  <c r="R207" i="35"/>
  <c r="R206" i="35"/>
  <c r="R205" i="35"/>
  <c r="R204" i="35"/>
  <c r="R203" i="35"/>
  <c r="R202" i="35"/>
  <c r="R201" i="35"/>
  <c r="R200" i="35"/>
  <c r="R199" i="35"/>
  <c r="R198" i="35"/>
  <c r="R197" i="35"/>
  <c r="R196" i="35"/>
  <c r="R195" i="35"/>
  <c r="R194" i="35"/>
  <c r="R193" i="35"/>
  <c r="R192" i="35"/>
  <c r="R191" i="35"/>
  <c r="R190" i="35"/>
  <c r="R189" i="35"/>
  <c r="R188" i="35"/>
  <c r="R187" i="35"/>
  <c r="R186" i="35"/>
  <c r="R184" i="35"/>
  <c r="R183" i="35"/>
  <c r="R182" i="35"/>
  <c r="R181" i="35"/>
  <c r="R180" i="35"/>
  <c r="R179" i="35"/>
  <c r="R178" i="35"/>
  <c r="R177" i="35"/>
  <c r="R176" i="35"/>
  <c r="R175" i="35"/>
  <c r="R174" i="35"/>
  <c r="R173" i="35"/>
  <c r="R172" i="35"/>
  <c r="R171" i="35"/>
  <c r="R170" i="35"/>
  <c r="R169" i="35"/>
  <c r="R167" i="35"/>
  <c r="R166" i="35"/>
  <c r="R165" i="35"/>
  <c r="R164" i="35"/>
  <c r="R163" i="35"/>
  <c r="R162" i="35"/>
  <c r="R161" i="35"/>
  <c r="R160" i="35"/>
  <c r="R159" i="35"/>
  <c r="R158" i="35"/>
  <c r="R157" i="35"/>
  <c r="R156" i="35"/>
  <c r="R154" i="35"/>
  <c r="R153" i="35"/>
  <c r="R152" i="35"/>
  <c r="R151" i="35"/>
  <c r="R150" i="35"/>
  <c r="R149" i="35"/>
  <c r="R131" i="35"/>
  <c r="R127" i="35"/>
  <c r="R126" i="35"/>
  <c r="R125" i="35"/>
  <c r="R124" i="35"/>
  <c r="R123" i="35"/>
  <c r="R122" i="35"/>
  <c r="R120" i="35"/>
  <c r="R119" i="35"/>
  <c r="R118" i="35"/>
  <c r="R117" i="35"/>
  <c r="R116" i="35"/>
  <c r="R115" i="35"/>
  <c r="R113" i="35"/>
  <c r="R112" i="35"/>
  <c r="R110" i="35"/>
  <c r="R109" i="35"/>
  <c r="R105" i="35"/>
  <c r="R104" i="35"/>
  <c r="R103" i="35"/>
  <c r="R102" i="35"/>
  <c r="R101" i="35"/>
  <c r="R100" i="35"/>
  <c r="R99" i="35"/>
  <c r="R98" i="35"/>
  <c r="R97" i="35"/>
  <c r="R95" i="35"/>
  <c r="R94" i="35"/>
  <c r="R93" i="35"/>
  <c r="R92" i="35"/>
  <c r="R91" i="35"/>
  <c r="R90" i="35"/>
  <c r="R89" i="35"/>
  <c r="R87" i="35"/>
  <c r="R85" i="35"/>
  <c r="R84" i="35"/>
  <c r="R83" i="35"/>
  <c r="R80" i="35"/>
  <c r="R79" i="35"/>
  <c r="R78" i="35"/>
  <c r="R77" i="35"/>
  <c r="R76" i="35"/>
  <c r="R74" i="35"/>
  <c r="R73" i="35"/>
  <c r="R72" i="35"/>
  <c r="R71" i="35"/>
  <c r="R70" i="35"/>
  <c r="R69" i="35"/>
  <c r="R68" i="35"/>
  <c r="R67" i="35"/>
  <c r="R66" i="35"/>
  <c r="R65" i="35"/>
  <c r="R61" i="35"/>
  <c r="R59" i="35"/>
  <c r="R58" i="35"/>
  <c r="R57" i="35"/>
  <c r="R41" i="35"/>
  <c r="R40" i="35"/>
  <c r="R39" i="35"/>
  <c r="R38" i="35"/>
  <c r="R37" i="35"/>
  <c r="R36" i="35"/>
  <c r="R35" i="35"/>
  <c r="R34" i="35"/>
  <c r="R33" i="35"/>
  <c r="R32" i="35"/>
  <c r="R29" i="35"/>
  <c r="R28" i="35"/>
  <c r="R27" i="35"/>
  <c r="R26" i="35"/>
  <c r="R25" i="35"/>
  <c r="R24" i="35"/>
  <c r="R23" i="35"/>
  <c r="R22" i="35"/>
  <c r="R21" i="35"/>
  <c r="R19" i="35"/>
  <c r="R18" i="35"/>
  <c r="R17" i="35"/>
  <c r="R16" i="35"/>
  <c r="R15" i="35"/>
  <c r="R14" i="35"/>
  <c r="R13" i="35"/>
  <c r="R12" i="35"/>
  <c r="R10" i="35"/>
  <c r="R9" i="35"/>
  <c r="R333" i="35"/>
  <c r="R318" i="35"/>
  <c r="R316" i="35"/>
  <c r="R288" i="35"/>
  <c r="R143" i="35"/>
  <c r="R142" i="35"/>
  <c r="R141" i="35"/>
  <c r="R140" i="35"/>
  <c r="R139" i="35"/>
  <c r="R138" i="35"/>
  <c r="R137" i="35"/>
  <c r="R136" i="35"/>
  <c r="R134" i="35"/>
  <c r="R133" i="35"/>
  <c r="R132" i="35"/>
  <c r="R111" i="35"/>
  <c r="R11" i="35"/>
  <c r="Q335" i="35"/>
  <c r="Q334" i="35"/>
  <c r="R36" i="37"/>
  <c r="I589" i="35"/>
  <c r="L589" i="35"/>
  <c r="R12" i="37"/>
  <c r="I50" i="35"/>
  <c r="E9" i="48"/>
  <c r="E10" i="48"/>
  <c r="D10" i="48"/>
  <c r="D9" i="48"/>
  <c r="I168" i="35"/>
  <c r="I508" i="35"/>
  <c r="L508" i="35"/>
  <c r="K424" i="35"/>
  <c r="F424" i="35"/>
  <c r="L435" i="35"/>
  <c r="I435" i="35"/>
  <c r="I146" i="35"/>
  <c r="I147" i="35"/>
  <c r="L438" i="35"/>
  <c r="I438" i="35"/>
  <c r="H436" i="35"/>
  <c r="F436" i="35"/>
  <c r="Q436" i="35"/>
  <c r="K436" i="35"/>
  <c r="J436" i="35"/>
  <c r="G436" i="35"/>
  <c r="E17" i="49"/>
  <c r="D17" i="49"/>
  <c r="E16" i="49"/>
  <c r="D16" i="49"/>
  <c r="E11" i="49"/>
  <c r="D11" i="49"/>
  <c r="E9" i="49"/>
  <c r="D9" i="49"/>
  <c r="D42" i="49"/>
  <c r="C42" i="49"/>
  <c r="E41" i="49"/>
  <c r="E40" i="49"/>
  <c r="E39" i="49"/>
  <c r="E38" i="49"/>
  <c r="E37" i="49"/>
  <c r="E36" i="49"/>
  <c r="E35" i="49"/>
  <c r="E34" i="49"/>
  <c r="E33" i="49"/>
  <c r="E32" i="49"/>
  <c r="C24" i="49"/>
  <c r="H8" i="49"/>
  <c r="C7" i="49"/>
  <c r="C43" i="48"/>
  <c r="D41" i="48"/>
  <c r="C41" i="48"/>
  <c r="E40" i="48"/>
  <c r="E39" i="48"/>
  <c r="E38" i="48"/>
  <c r="E37" i="48"/>
  <c r="E36" i="48"/>
  <c r="E35" i="48"/>
  <c r="E34" i="48"/>
  <c r="E33" i="48"/>
  <c r="E32" i="48"/>
  <c r="E31" i="48"/>
  <c r="I26" i="48"/>
  <c r="H26" i="48"/>
  <c r="C24" i="48"/>
  <c r="H8" i="48"/>
  <c r="P7" i="48"/>
  <c r="C7" i="48"/>
  <c r="F11" i="37"/>
  <c r="S12" i="37"/>
  <c r="O12" i="37"/>
  <c r="N12" i="37"/>
  <c r="K12" i="37"/>
  <c r="K11" i="37" s="1"/>
  <c r="V11" i="37"/>
  <c r="U11" i="37"/>
  <c r="R11" i="37"/>
  <c r="Q11" i="37"/>
  <c r="M11" i="37"/>
  <c r="L11" i="37"/>
  <c r="J11" i="37"/>
  <c r="I11" i="37"/>
  <c r="H11" i="37"/>
  <c r="G11" i="37"/>
  <c r="G42" i="35"/>
  <c r="H42" i="35"/>
  <c r="J42" i="35"/>
  <c r="F42" i="35"/>
  <c r="I474" i="35"/>
  <c r="L467" i="35"/>
  <c r="I467" i="35"/>
  <c r="J26" i="48" l="1"/>
  <c r="H3" i="53"/>
  <c r="I26" i="49"/>
  <c r="H26" i="49"/>
  <c r="E41" i="48"/>
  <c r="N10" i="49"/>
  <c r="E42" i="49"/>
  <c r="M11" i="35"/>
  <c r="M168" i="35"/>
  <c r="M55" i="35"/>
  <c r="M52" i="35"/>
  <c r="M50" i="35"/>
  <c r="M54" i="35"/>
  <c r="M146" i="35"/>
  <c r="M53" i="35"/>
  <c r="M51" i="35"/>
  <c r="M147" i="35"/>
  <c r="M337" i="35"/>
  <c r="R17" i="53"/>
  <c r="H12" i="53"/>
  <c r="R15" i="53"/>
  <c r="R16" i="53"/>
  <c r="M508" i="35"/>
  <c r="R6" i="53"/>
  <c r="R7" i="53"/>
  <c r="R8" i="53"/>
  <c r="M423" i="35"/>
  <c r="N436" i="35"/>
  <c r="M589" i="35"/>
  <c r="M435" i="35"/>
  <c r="M438" i="35"/>
  <c r="M467" i="35"/>
  <c r="N11" i="37"/>
  <c r="S11" i="37"/>
  <c r="J26" i="49" l="1"/>
  <c r="I336" i="35"/>
  <c r="L336" i="35"/>
  <c r="L66" i="36"/>
  <c r="I333" i="35"/>
  <c r="L333" i="35"/>
  <c r="S333" i="35"/>
  <c r="M336" i="35" l="1"/>
  <c r="M333" i="35"/>
  <c r="M88" i="36" l="1"/>
  <c r="L85" i="36"/>
  <c r="L84" i="36"/>
  <c r="M83" i="36"/>
  <c r="L82" i="36"/>
  <c r="L81" i="36"/>
  <c r="L73" i="36"/>
  <c r="M69" i="36"/>
  <c r="M62" i="36"/>
  <c r="M60" i="36"/>
  <c r="M57" i="36"/>
  <c r="L39" i="36"/>
  <c r="L46" i="36"/>
  <c r="L45" i="36"/>
  <c r="L50" i="36"/>
  <c r="L51" i="36"/>
  <c r="L49" i="36"/>
  <c r="M48" i="36"/>
  <c r="M47" i="36"/>
  <c r="M41" i="36"/>
  <c r="M42" i="36"/>
  <c r="M43" i="36"/>
  <c r="M44" i="36"/>
  <c r="M40" i="36"/>
  <c r="M38" i="36"/>
  <c r="M30" i="36"/>
  <c r="S30" i="36" s="1"/>
  <c r="M34" i="36"/>
  <c r="L25" i="36"/>
  <c r="L24" i="36"/>
  <c r="L22" i="36"/>
  <c r="M16" i="36"/>
  <c r="M15" i="36"/>
  <c r="M14" i="36"/>
  <c r="M13" i="36"/>
  <c r="M10" i="36"/>
  <c r="M9" i="36"/>
  <c r="N9" i="36" s="1"/>
  <c r="G60" i="35" l="1"/>
  <c r="H60" i="35"/>
  <c r="J60" i="35"/>
  <c r="K60" i="35"/>
  <c r="F60" i="35"/>
  <c r="F121" i="35"/>
  <c r="O299" i="35"/>
  <c r="K49" i="34"/>
  <c r="J49" i="34"/>
  <c r="K48" i="34"/>
  <c r="J48" i="34"/>
  <c r="K47" i="34"/>
  <c r="J47" i="34"/>
  <c r="K46" i="34"/>
  <c r="J46" i="34"/>
  <c r="K45" i="34"/>
  <c r="J45" i="34"/>
  <c r="K44" i="34"/>
  <c r="J44" i="34"/>
  <c r="K41" i="34"/>
  <c r="J41" i="34"/>
  <c r="K40" i="34"/>
  <c r="J40" i="34"/>
  <c r="K38" i="34"/>
  <c r="J38" i="34"/>
  <c r="K37" i="34"/>
  <c r="J37" i="34"/>
  <c r="K34" i="34"/>
  <c r="J34" i="34"/>
  <c r="K32" i="34"/>
  <c r="J32" i="34"/>
  <c r="K31" i="34"/>
  <c r="J31" i="34"/>
  <c r="K30" i="34"/>
  <c r="Q30" i="34" s="1"/>
  <c r="J30" i="34"/>
  <c r="K28" i="34"/>
  <c r="J28" i="34"/>
  <c r="K27" i="34"/>
  <c r="J27" i="34"/>
  <c r="K26" i="34"/>
  <c r="J26" i="34"/>
  <c r="K25" i="34"/>
  <c r="J25" i="34"/>
  <c r="K24" i="34"/>
  <c r="J24" i="34"/>
  <c r="K23" i="34"/>
  <c r="J23" i="34"/>
  <c r="K16" i="34"/>
  <c r="J16" i="34"/>
  <c r="K15" i="34"/>
  <c r="J15" i="34"/>
  <c r="K13" i="34"/>
  <c r="J13" i="34"/>
  <c r="J10" i="34"/>
  <c r="K10" i="34"/>
  <c r="K9" i="34"/>
  <c r="J9" i="34"/>
  <c r="R31" i="45"/>
  <c r="M31" i="45"/>
  <c r="L31" i="45"/>
  <c r="I31" i="45"/>
  <c r="R30" i="45"/>
  <c r="M30" i="45"/>
  <c r="L30" i="45"/>
  <c r="I30" i="45"/>
  <c r="R29" i="45"/>
  <c r="M29" i="45"/>
  <c r="L29" i="45"/>
  <c r="I29" i="45"/>
  <c r="R28" i="45"/>
  <c r="M28" i="45"/>
  <c r="L28" i="45"/>
  <c r="I28" i="45"/>
  <c r="R27" i="45"/>
  <c r="M27" i="45"/>
  <c r="L27" i="45"/>
  <c r="I27" i="45"/>
  <c r="R26" i="45"/>
  <c r="M26" i="45"/>
  <c r="L26" i="45"/>
  <c r="I26" i="45"/>
  <c r="R25" i="45"/>
  <c r="M25" i="45"/>
  <c r="L25" i="45"/>
  <c r="I25" i="45"/>
  <c r="R24" i="45"/>
  <c r="M24" i="45"/>
  <c r="L24" i="45"/>
  <c r="I24" i="45"/>
  <c r="R23" i="45"/>
  <c r="M23" i="45"/>
  <c r="L23" i="45"/>
  <c r="I23" i="45"/>
  <c r="R22" i="45"/>
  <c r="M22" i="45"/>
  <c r="L22" i="45"/>
  <c r="I22" i="45"/>
  <c r="R21" i="45"/>
  <c r="M21" i="45"/>
  <c r="L21" i="45"/>
  <c r="I21" i="45"/>
  <c r="U20" i="45"/>
  <c r="U19" i="45" s="1"/>
  <c r="T20" i="45"/>
  <c r="L20" i="45"/>
  <c r="L19" i="45" s="1"/>
  <c r="K20" i="45"/>
  <c r="K19" i="45" s="1"/>
  <c r="J20" i="45"/>
  <c r="J19" i="45" s="1"/>
  <c r="I20" i="45"/>
  <c r="I19" i="45" s="1"/>
  <c r="H20" i="45"/>
  <c r="H19" i="45" s="1"/>
  <c r="G20" i="45"/>
  <c r="G19" i="45" s="1"/>
  <c r="F20" i="45"/>
  <c r="F19" i="45" s="1"/>
  <c r="V19" i="45"/>
  <c r="T19" i="45"/>
  <c r="S19" i="45"/>
  <c r="Q19" i="45"/>
  <c r="P19" i="45"/>
  <c r="M19" i="45"/>
  <c r="R18" i="45"/>
  <c r="M18" i="45"/>
  <c r="M17" i="45" s="1"/>
  <c r="M16" i="45" s="1"/>
  <c r="M15" i="45" s="1"/>
  <c r="L18" i="45"/>
  <c r="L17" i="45" s="1"/>
  <c r="L16" i="45" s="1"/>
  <c r="I18" i="45"/>
  <c r="I17" i="45" s="1"/>
  <c r="I16" i="45" s="1"/>
  <c r="V17" i="45"/>
  <c r="U17" i="45"/>
  <c r="T17" i="45"/>
  <c r="T16" i="45" s="1"/>
  <c r="S17" i="45"/>
  <c r="Q17" i="45"/>
  <c r="Q16" i="45" s="1"/>
  <c r="Q15" i="45" s="1"/>
  <c r="P17" i="45"/>
  <c r="K17" i="45"/>
  <c r="K16" i="45" s="1"/>
  <c r="J17" i="45"/>
  <c r="H17" i="45"/>
  <c r="H16" i="45" s="1"/>
  <c r="G17" i="45"/>
  <c r="F17" i="45"/>
  <c r="F16" i="45" s="1"/>
  <c r="V16" i="45"/>
  <c r="U16" i="45"/>
  <c r="S16" i="45"/>
  <c r="P16" i="45"/>
  <c r="P15" i="45" s="1"/>
  <c r="J16" i="45"/>
  <c r="G16" i="45"/>
  <c r="R9" i="45"/>
  <c r="M9" i="45"/>
  <c r="L9" i="45"/>
  <c r="L8" i="45" s="1"/>
  <c r="L7" i="45" s="1"/>
  <c r="L6" i="45" s="1"/>
  <c r="I9" i="45"/>
  <c r="I8" i="45" s="1"/>
  <c r="I7" i="45" s="1"/>
  <c r="I6" i="45" s="1"/>
  <c r="U8" i="45"/>
  <c r="U7" i="45" s="1"/>
  <c r="T8" i="45"/>
  <c r="Q8" i="45"/>
  <c r="P8" i="45"/>
  <c r="O8" i="45"/>
  <c r="N8" i="45"/>
  <c r="M8" i="45"/>
  <c r="M7" i="45" s="1"/>
  <c r="M6" i="45" s="1"/>
  <c r="K8" i="45"/>
  <c r="K7" i="45" s="1"/>
  <c r="K6" i="45" s="1"/>
  <c r="J8" i="45"/>
  <c r="J7" i="45" s="1"/>
  <c r="J6" i="45" s="1"/>
  <c r="H8" i="45"/>
  <c r="H7" i="45" s="1"/>
  <c r="H6" i="45" s="1"/>
  <c r="G8" i="45"/>
  <c r="G7" i="45" s="1"/>
  <c r="F8" i="45"/>
  <c r="F7" i="45" s="1"/>
  <c r="F6" i="45" s="1"/>
  <c r="T7" i="45"/>
  <c r="Q7" i="45"/>
  <c r="P7" i="45"/>
  <c r="P6" i="45" s="1"/>
  <c r="Q6" i="45"/>
  <c r="L15" i="45" l="1"/>
  <c r="R7" i="45"/>
  <c r="G6" i="45"/>
  <c r="H3" i="45" s="1"/>
  <c r="H15" i="45"/>
  <c r="F15" i="45"/>
  <c r="J15" i="45"/>
  <c r="R8" i="45"/>
  <c r="R16" i="45"/>
  <c r="R17" i="45"/>
  <c r="I15" i="45"/>
  <c r="K15" i="45"/>
  <c r="R19" i="45"/>
  <c r="G15" i="45"/>
  <c r="R20" i="45"/>
  <c r="S583" i="35"/>
  <c r="L583" i="35"/>
  <c r="I583" i="35"/>
  <c r="S545" i="35"/>
  <c r="L545" i="35"/>
  <c r="I545" i="35"/>
  <c r="S530" i="35"/>
  <c r="I530" i="35"/>
  <c r="S341" i="35"/>
  <c r="L341" i="35"/>
  <c r="I341" i="35"/>
  <c r="S592" i="35"/>
  <c r="L592" i="35"/>
  <c r="I592" i="35"/>
  <c r="S531" i="35"/>
  <c r="L531" i="35"/>
  <c r="I531" i="35"/>
  <c r="S363" i="35"/>
  <c r="L363" i="35"/>
  <c r="I363" i="35"/>
  <c r="S315" i="35"/>
  <c r="I315" i="35"/>
  <c r="M315" i="35" s="1"/>
  <c r="S278" i="35"/>
  <c r="I278" i="35"/>
  <c r="M278" i="35" s="1"/>
  <c r="S28" i="35"/>
  <c r="I28" i="35"/>
  <c r="M28" i="35" s="1"/>
  <c r="S81" i="35"/>
  <c r="I81" i="35"/>
  <c r="M81" i="35" s="1"/>
  <c r="S80" i="35"/>
  <c r="I80" i="35"/>
  <c r="M80" i="35" s="1"/>
  <c r="L320" i="35"/>
  <c r="I320" i="35"/>
  <c r="L321" i="35"/>
  <c r="I321" i="35"/>
  <c r="S318" i="35"/>
  <c r="L318" i="35"/>
  <c r="I318" i="35"/>
  <c r="S316" i="35"/>
  <c r="I316" i="35"/>
  <c r="M316" i="35" s="1"/>
  <c r="S421" i="35"/>
  <c r="L421" i="35"/>
  <c r="I421" i="35"/>
  <c r="Q452" i="35"/>
  <c r="S597" i="35"/>
  <c r="S596" i="35"/>
  <c r="S595" i="35"/>
  <c r="S594" i="35"/>
  <c r="S593" i="35"/>
  <c r="S591" i="35"/>
  <c r="S590" i="35"/>
  <c r="S588" i="35"/>
  <c r="S587" i="35"/>
  <c r="S586" i="35"/>
  <c r="S582" i="35"/>
  <c r="S581" i="35"/>
  <c r="S580" i="35"/>
  <c r="S579" i="35"/>
  <c r="S578" i="35"/>
  <c r="S577" i="35"/>
  <c r="S576" i="35"/>
  <c r="S575" i="35"/>
  <c r="S574" i="35"/>
  <c r="S573" i="35"/>
  <c r="S571" i="35"/>
  <c r="S570" i="35"/>
  <c r="S569" i="35"/>
  <c r="S568" i="35"/>
  <c r="S567" i="35"/>
  <c r="S566" i="35"/>
  <c r="S565" i="35"/>
  <c r="S564" i="35"/>
  <c r="S563" i="35"/>
  <c r="S562" i="35"/>
  <c r="S561" i="35"/>
  <c r="S560" i="35"/>
  <c r="S559" i="35"/>
  <c r="S558" i="35"/>
  <c r="S557" i="35"/>
  <c r="S556" i="35"/>
  <c r="S555" i="35"/>
  <c r="S554" i="35"/>
  <c r="S553" i="35"/>
  <c r="S552" i="35"/>
  <c r="S551" i="35"/>
  <c r="S550" i="35"/>
  <c r="S549" i="35"/>
  <c r="S548" i="35"/>
  <c r="S547" i="35"/>
  <c r="S546" i="35"/>
  <c r="S544" i="35"/>
  <c r="S543" i="35"/>
  <c r="S542" i="35"/>
  <c r="S541" i="35"/>
  <c r="S540" i="35"/>
  <c r="S539" i="35"/>
  <c r="S538" i="35"/>
  <c r="S537" i="35"/>
  <c r="S536" i="35"/>
  <c r="S535" i="35"/>
  <c r="S534" i="35"/>
  <c r="S529" i="35"/>
  <c r="S528" i="35"/>
  <c r="S527" i="35"/>
  <c r="S526" i="35"/>
  <c r="S525" i="35"/>
  <c r="S524" i="35"/>
  <c r="S523" i="35"/>
  <c r="S522" i="35"/>
  <c r="S521" i="35"/>
  <c r="S519" i="35"/>
  <c r="S518" i="35"/>
  <c r="S517" i="35"/>
  <c r="S516" i="35"/>
  <c r="S515" i="35"/>
  <c r="S514" i="35"/>
  <c r="S513" i="35"/>
  <c r="S512" i="35"/>
  <c r="S511" i="35"/>
  <c r="S510" i="35"/>
  <c r="S507" i="35"/>
  <c r="S506" i="35"/>
  <c r="S505" i="35"/>
  <c r="S504" i="35"/>
  <c r="S503" i="35"/>
  <c r="S502" i="35"/>
  <c r="S501" i="35"/>
  <c r="S500" i="35"/>
  <c r="S499" i="35"/>
  <c r="S498" i="35"/>
  <c r="S497" i="35"/>
  <c r="S496" i="35"/>
  <c r="S495" i="35"/>
  <c r="S494" i="35"/>
  <c r="S492" i="35"/>
  <c r="S491" i="35"/>
  <c r="S490" i="35"/>
  <c r="S489" i="35"/>
  <c r="S488" i="35"/>
  <c r="S487" i="35"/>
  <c r="S486" i="35"/>
  <c r="S485" i="35"/>
  <c r="S484" i="35"/>
  <c r="S483" i="35"/>
  <c r="S482" i="35"/>
  <c r="S481" i="35"/>
  <c r="S480" i="35"/>
  <c r="S477" i="35"/>
  <c r="S476" i="35"/>
  <c r="S475" i="35"/>
  <c r="S474" i="35"/>
  <c r="S473" i="35"/>
  <c r="S472" i="35"/>
  <c r="S471" i="35"/>
  <c r="S470" i="35"/>
  <c r="S469" i="35"/>
  <c r="S466" i="35"/>
  <c r="S465" i="35"/>
  <c r="S464" i="35"/>
  <c r="S463" i="35"/>
  <c r="S462" i="35"/>
  <c r="S461" i="35"/>
  <c r="S460" i="35"/>
  <c r="S459" i="35"/>
  <c r="S458" i="35"/>
  <c r="S457" i="35"/>
  <c r="S455" i="35"/>
  <c r="S454" i="35"/>
  <c r="S453" i="35"/>
  <c r="S451" i="35"/>
  <c r="S450" i="35"/>
  <c r="S449" i="35"/>
  <c r="S448" i="35"/>
  <c r="S445" i="35"/>
  <c r="S444" i="35"/>
  <c r="S443" i="35"/>
  <c r="S442" i="35"/>
  <c r="S441" i="35"/>
  <c r="S440" i="35"/>
  <c r="S437" i="35"/>
  <c r="S434" i="35"/>
  <c r="S433" i="35"/>
  <c r="S432" i="35"/>
  <c r="S431" i="35"/>
  <c r="S430" i="35"/>
  <c r="S429" i="35"/>
  <c r="S428" i="35"/>
  <c r="S427" i="35"/>
  <c r="S426" i="35"/>
  <c r="S425" i="35"/>
  <c r="S422" i="35"/>
  <c r="S420" i="35"/>
  <c r="S419" i="35"/>
  <c r="S418" i="35"/>
  <c r="S417" i="35"/>
  <c r="S416" i="35"/>
  <c r="S415" i="35"/>
  <c r="S414" i="35"/>
  <c r="S413" i="35"/>
  <c r="S412" i="35"/>
  <c r="S411" i="35"/>
  <c r="S410" i="35"/>
  <c r="S409" i="35"/>
  <c r="S408" i="35"/>
  <c r="S407" i="35"/>
  <c r="S406" i="35"/>
  <c r="S405" i="35"/>
  <c r="S404" i="35"/>
  <c r="S403" i="35"/>
  <c r="S402" i="35"/>
  <c r="S401" i="35"/>
  <c r="S400" i="35"/>
  <c r="S399" i="35"/>
  <c r="S398" i="35"/>
  <c r="S397" i="35"/>
  <c r="S396" i="35"/>
  <c r="S395" i="35"/>
  <c r="S394" i="35"/>
  <c r="S391" i="35"/>
  <c r="S390" i="35"/>
  <c r="S389" i="35"/>
  <c r="S388" i="35"/>
  <c r="S387" i="35"/>
  <c r="S386" i="35"/>
  <c r="S385" i="35"/>
  <c r="S384" i="35"/>
  <c r="S383" i="35"/>
  <c r="S382" i="35"/>
  <c r="S380" i="35"/>
  <c r="S379" i="35"/>
  <c r="S378" i="35"/>
  <c r="S377" i="35"/>
  <c r="S376" i="35"/>
  <c r="S375" i="35"/>
  <c r="S374" i="35"/>
  <c r="S373" i="35"/>
  <c r="S372" i="35"/>
  <c r="S371" i="35"/>
  <c r="S370" i="35"/>
  <c r="S369" i="35"/>
  <c r="S368" i="35"/>
  <c r="S367" i="35"/>
  <c r="S366" i="35"/>
  <c r="S364" i="35"/>
  <c r="S362" i="35"/>
  <c r="S361" i="35"/>
  <c r="S360" i="35"/>
  <c r="S359" i="35"/>
  <c r="S358" i="35"/>
  <c r="S357" i="35"/>
  <c r="S356" i="35"/>
  <c r="S355" i="35"/>
  <c r="S354" i="35"/>
  <c r="S353" i="35"/>
  <c r="S352" i="35"/>
  <c r="S351" i="35"/>
  <c r="S350" i="35"/>
  <c r="S349" i="35"/>
  <c r="S348" i="35"/>
  <c r="S347" i="35"/>
  <c r="S346" i="35"/>
  <c r="S345" i="35"/>
  <c r="S344" i="35"/>
  <c r="S343" i="35"/>
  <c r="S342" i="35"/>
  <c r="S340" i="35"/>
  <c r="S335" i="35"/>
  <c r="S334" i="35"/>
  <c r="S332" i="35"/>
  <c r="S331" i="35"/>
  <c r="S330" i="35"/>
  <c r="S329" i="35"/>
  <c r="S328" i="35"/>
  <c r="S327" i="35"/>
  <c r="S326" i="35"/>
  <c r="S325" i="35"/>
  <c r="S324" i="35"/>
  <c r="S323" i="35"/>
  <c r="S322" i="35"/>
  <c r="S319" i="35"/>
  <c r="S317" i="35"/>
  <c r="S314" i="35"/>
  <c r="S313" i="35"/>
  <c r="S312" i="35"/>
  <c r="S311" i="35"/>
  <c r="S310" i="35"/>
  <c r="S309" i="35"/>
  <c r="S308" i="35"/>
  <c r="S307" i="35"/>
  <c r="S306" i="35"/>
  <c r="S305" i="35"/>
  <c r="S304" i="35"/>
  <c r="S303" i="35"/>
  <c r="S302" i="35"/>
  <c r="S301" i="35"/>
  <c r="S300" i="35"/>
  <c r="S297" i="35"/>
  <c r="S296" i="35"/>
  <c r="S295" i="35"/>
  <c r="S294" i="35"/>
  <c r="S293" i="35"/>
  <c r="S291" i="35"/>
  <c r="S290" i="35"/>
  <c r="S289" i="35"/>
  <c r="S288" i="35"/>
  <c r="S287" i="35"/>
  <c r="S286" i="35"/>
  <c r="S285" i="35"/>
  <c r="S284" i="35"/>
  <c r="S283" i="35"/>
  <c r="S282" i="35"/>
  <c r="S281" i="35"/>
  <c r="S279" i="35"/>
  <c r="S277" i="35"/>
  <c r="S275" i="35"/>
  <c r="S274" i="35"/>
  <c r="S273" i="35"/>
  <c r="S272" i="35"/>
  <c r="S271" i="35"/>
  <c r="S270" i="35"/>
  <c r="S269" i="35"/>
  <c r="S268" i="35"/>
  <c r="S267" i="35"/>
  <c r="S266" i="35"/>
  <c r="S265" i="35"/>
  <c r="S264" i="35"/>
  <c r="S263" i="35"/>
  <c r="S262" i="35"/>
  <c r="S261" i="35"/>
  <c r="S260" i="35"/>
  <c r="S259" i="35"/>
  <c r="S258" i="35"/>
  <c r="S257" i="35"/>
  <c r="S256" i="35"/>
  <c r="S255" i="35"/>
  <c r="S254" i="35"/>
  <c r="S253" i="35"/>
  <c r="S252" i="35"/>
  <c r="S251" i="35"/>
  <c r="S250" i="35"/>
  <c r="S249" i="35"/>
  <c r="S248" i="35"/>
  <c r="S247" i="35"/>
  <c r="S246" i="35"/>
  <c r="S245" i="35"/>
  <c r="S244" i="35"/>
  <c r="S243" i="35"/>
  <c r="S242" i="35"/>
  <c r="S241" i="35"/>
  <c r="S240" i="35"/>
  <c r="S239" i="35"/>
  <c r="S238" i="35"/>
  <c r="S237" i="35"/>
  <c r="S235" i="35"/>
  <c r="S234" i="35"/>
  <c r="S233" i="35"/>
  <c r="S232" i="35"/>
  <c r="S231" i="35"/>
  <c r="S230" i="35"/>
  <c r="S229" i="35"/>
  <c r="S228" i="35"/>
  <c r="S227" i="35"/>
  <c r="S226" i="35"/>
  <c r="S225" i="35"/>
  <c r="S224" i="35"/>
  <c r="S223" i="35"/>
  <c r="S222" i="35"/>
  <c r="S221" i="35"/>
  <c r="S220" i="35"/>
  <c r="S219" i="35"/>
  <c r="S218" i="35"/>
  <c r="S217" i="35"/>
  <c r="S216" i="35"/>
  <c r="S215" i="35"/>
  <c r="S214" i="35"/>
  <c r="S213" i="35"/>
  <c r="S212" i="35"/>
  <c r="S211" i="35"/>
  <c r="S210" i="35"/>
  <c r="S209" i="35"/>
  <c r="S208" i="35"/>
  <c r="S207" i="35"/>
  <c r="S206" i="35"/>
  <c r="S205" i="35"/>
  <c r="S204" i="35"/>
  <c r="S203" i="35"/>
  <c r="S202" i="35"/>
  <c r="S201" i="35"/>
  <c r="S200" i="35"/>
  <c r="S199" i="35"/>
  <c r="S198" i="35"/>
  <c r="S197" i="35"/>
  <c r="S196" i="35"/>
  <c r="S195" i="35"/>
  <c r="S194" i="35"/>
  <c r="S193" i="35"/>
  <c r="S192" i="35"/>
  <c r="S191" i="35"/>
  <c r="S190" i="35"/>
  <c r="S189" i="35"/>
  <c r="S188" i="35"/>
  <c r="S187" i="35"/>
  <c r="S186" i="35"/>
  <c r="S185" i="35"/>
  <c r="S184" i="35"/>
  <c r="S183" i="35"/>
  <c r="S182" i="35"/>
  <c r="S181" i="35"/>
  <c r="S180" i="35"/>
  <c r="S179" i="35"/>
  <c r="S178" i="35"/>
  <c r="S177" i="35"/>
  <c r="S176" i="35"/>
  <c r="S175" i="35"/>
  <c r="S174" i="35"/>
  <c r="S173" i="35"/>
  <c r="S172" i="35"/>
  <c r="S171" i="35"/>
  <c r="S170" i="35"/>
  <c r="S169" i="35"/>
  <c r="S167" i="35"/>
  <c r="S166" i="35"/>
  <c r="S165" i="35"/>
  <c r="S164" i="35"/>
  <c r="S163" i="35"/>
  <c r="S162" i="35"/>
  <c r="S161" i="35"/>
  <c r="S160" i="35"/>
  <c r="S159" i="35"/>
  <c r="S158" i="35"/>
  <c r="S157" i="35"/>
  <c r="S156" i="35"/>
  <c r="S155" i="35"/>
  <c r="S154" i="35"/>
  <c r="S153" i="35"/>
  <c r="S152" i="35"/>
  <c r="S151" i="35"/>
  <c r="S150" i="35"/>
  <c r="S149" i="35"/>
  <c r="S145" i="35"/>
  <c r="S144" i="35"/>
  <c r="S143" i="35"/>
  <c r="S142" i="35"/>
  <c r="S141" i="35"/>
  <c r="S140" i="35"/>
  <c r="S139" i="35"/>
  <c r="S138" i="35"/>
  <c r="S137" i="35"/>
  <c r="S136" i="35"/>
  <c r="S134" i="35"/>
  <c r="S133" i="35"/>
  <c r="S132" i="35"/>
  <c r="S131" i="35"/>
  <c r="S127" i="35"/>
  <c r="S126" i="35"/>
  <c r="S125" i="35"/>
  <c r="S124" i="35"/>
  <c r="S123" i="35"/>
  <c r="S122" i="35"/>
  <c r="S120" i="35"/>
  <c r="S119" i="35"/>
  <c r="S118" i="35"/>
  <c r="S117" i="35"/>
  <c r="S116" i="35"/>
  <c r="S115" i="35"/>
  <c r="S114" i="35"/>
  <c r="S113" i="35"/>
  <c r="S112" i="35"/>
  <c r="S111" i="35"/>
  <c r="S110" i="35"/>
  <c r="S109" i="35"/>
  <c r="S106" i="35"/>
  <c r="S105" i="35"/>
  <c r="S104" i="35"/>
  <c r="S103" i="35"/>
  <c r="S102" i="35"/>
  <c r="S101" i="35"/>
  <c r="S100" i="35"/>
  <c r="S99" i="35"/>
  <c r="S98" i="35"/>
  <c r="S97" i="35"/>
  <c r="S96" i="35"/>
  <c r="S95" i="35"/>
  <c r="S94" i="35"/>
  <c r="S93" i="35"/>
  <c r="S92" i="35"/>
  <c r="S91" i="35"/>
  <c r="S90" i="35"/>
  <c r="S89" i="35"/>
  <c r="S88" i="35"/>
  <c r="S87" i="35"/>
  <c r="S86" i="35"/>
  <c r="S85" i="35"/>
  <c r="S84" i="35"/>
  <c r="S83" i="35"/>
  <c r="S82" i="35"/>
  <c r="S79" i="35"/>
  <c r="S78" i="35"/>
  <c r="S77" i="35"/>
  <c r="S76" i="35"/>
  <c r="S75" i="35"/>
  <c r="S74" i="35"/>
  <c r="S73" i="35"/>
  <c r="S72" i="35"/>
  <c r="S71" i="35"/>
  <c r="S70" i="35"/>
  <c r="S69" i="35"/>
  <c r="S68" i="35"/>
  <c r="S67" i="35"/>
  <c r="S66" i="35"/>
  <c r="S65" i="35"/>
  <c r="S64" i="35"/>
  <c r="S128" i="35"/>
  <c r="S61" i="35"/>
  <c r="S59" i="35"/>
  <c r="S58" i="35"/>
  <c r="S57" i="35"/>
  <c r="S49" i="35"/>
  <c r="S50" i="35"/>
  <c r="S48" i="35"/>
  <c r="S47" i="35"/>
  <c r="S46" i="35"/>
  <c r="S45" i="35"/>
  <c r="S44" i="35"/>
  <c r="S41" i="35"/>
  <c r="S40" i="35"/>
  <c r="S39" i="35"/>
  <c r="S38" i="35"/>
  <c r="S37" i="35"/>
  <c r="S36" i="35"/>
  <c r="S35" i="35"/>
  <c r="S34" i="35"/>
  <c r="S33" i="35"/>
  <c r="S32" i="35"/>
  <c r="S29" i="35"/>
  <c r="S27" i="35"/>
  <c r="S26" i="35"/>
  <c r="S25" i="35"/>
  <c r="S24" i="35"/>
  <c r="S23" i="35"/>
  <c r="S22" i="35"/>
  <c r="S21" i="35"/>
  <c r="S20" i="35"/>
  <c r="S19" i="35"/>
  <c r="S18" i="35"/>
  <c r="S17" i="35"/>
  <c r="S16" i="35"/>
  <c r="S15" i="35"/>
  <c r="S14" i="35"/>
  <c r="S13" i="35"/>
  <c r="S12" i="35"/>
  <c r="S11" i="35"/>
  <c r="S10" i="35"/>
  <c r="S9" i="35"/>
  <c r="R82" i="37"/>
  <c r="Q82" i="37"/>
  <c r="G82" i="37"/>
  <c r="I82" i="37"/>
  <c r="J82" i="37"/>
  <c r="L82" i="37"/>
  <c r="M82" i="37"/>
  <c r="F82" i="37"/>
  <c r="S83" i="37"/>
  <c r="N83" i="37"/>
  <c r="K83" i="37"/>
  <c r="H83" i="37"/>
  <c r="B83" i="37"/>
  <c r="S84" i="37"/>
  <c r="N84" i="37"/>
  <c r="K84" i="37"/>
  <c r="H84" i="37"/>
  <c r="B84" i="37"/>
  <c r="S85" i="37"/>
  <c r="N85" i="37"/>
  <c r="K85" i="37"/>
  <c r="H85" i="37"/>
  <c r="B85" i="37"/>
  <c r="V82" i="37"/>
  <c r="U82" i="37"/>
  <c r="H17" i="44"/>
  <c r="G17" i="44"/>
  <c r="H7" i="44"/>
  <c r="G7" i="44"/>
  <c r="H11" i="44"/>
  <c r="G11" i="44"/>
  <c r="R6" i="45" l="1"/>
  <c r="M363" i="35"/>
  <c r="K82" i="37"/>
  <c r="M583" i="35"/>
  <c r="R15" i="45"/>
  <c r="H12" i="45"/>
  <c r="M545" i="35"/>
  <c r="M530" i="35"/>
  <c r="M341" i="35"/>
  <c r="M592" i="35"/>
  <c r="M531" i="35"/>
  <c r="M421" i="35"/>
  <c r="M320" i="35"/>
  <c r="M321" i="35"/>
  <c r="M318" i="35"/>
  <c r="N82" i="37"/>
  <c r="H82" i="37"/>
  <c r="S82" i="37"/>
  <c r="G6" i="44"/>
  <c r="H6" i="44"/>
  <c r="I120" i="35" l="1"/>
  <c r="M120" i="35" s="1"/>
  <c r="I143" i="35"/>
  <c r="M143" i="35" s="1"/>
  <c r="I142" i="35"/>
  <c r="M142" i="35" s="1"/>
  <c r="R35" i="37"/>
  <c r="Q35" i="37"/>
  <c r="G35" i="37"/>
  <c r="I35" i="37"/>
  <c r="J35" i="37"/>
  <c r="L35" i="37"/>
  <c r="M35" i="37"/>
  <c r="F35" i="37"/>
  <c r="R28" i="37"/>
  <c r="Q28" i="37"/>
  <c r="R24" i="37"/>
  <c r="Q24" i="37"/>
  <c r="G24" i="37"/>
  <c r="I24" i="37"/>
  <c r="J24" i="37"/>
  <c r="L24" i="37"/>
  <c r="M24" i="37"/>
  <c r="S128" i="37"/>
  <c r="S127" i="37"/>
  <c r="S126" i="37"/>
  <c r="S125" i="37"/>
  <c r="S124" i="37"/>
  <c r="S123" i="37"/>
  <c r="S122" i="37"/>
  <c r="S121" i="37"/>
  <c r="S120" i="37"/>
  <c r="S119" i="37"/>
  <c r="S117" i="37"/>
  <c r="S116" i="37"/>
  <c r="S115" i="37"/>
  <c r="S114" i="37"/>
  <c r="S113" i="37"/>
  <c r="S112" i="37"/>
  <c r="S111" i="37"/>
  <c r="S110" i="37"/>
  <c r="S107" i="37"/>
  <c r="S106" i="37"/>
  <c r="S105" i="37"/>
  <c r="S104" i="37"/>
  <c r="S103" i="37"/>
  <c r="S102" i="37"/>
  <c r="S100" i="37"/>
  <c r="S98" i="37"/>
  <c r="S95" i="37"/>
  <c r="S93" i="37"/>
  <c r="S92" i="37"/>
  <c r="S91" i="37"/>
  <c r="S90" i="37"/>
  <c r="S88" i="37"/>
  <c r="S81" i="37"/>
  <c r="S80" i="37"/>
  <c r="S79" i="37"/>
  <c r="S78" i="37"/>
  <c r="S77" i="37"/>
  <c r="S76" i="37"/>
  <c r="S75" i="37"/>
  <c r="S74" i="37"/>
  <c r="S73" i="37"/>
  <c r="S72" i="37"/>
  <c r="S71" i="37"/>
  <c r="S70" i="37"/>
  <c r="S68" i="37"/>
  <c r="S67" i="37"/>
  <c r="S66" i="37"/>
  <c r="S65" i="37"/>
  <c r="S64" i="37"/>
  <c r="S63" i="37"/>
  <c r="S62" i="37"/>
  <c r="S61" i="37"/>
  <c r="S60" i="37"/>
  <c r="S59" i="37"/>
  <c r="S58" i="37"/>
  <c r="S57" i="37"/>
  <c r="S56" i="37"/>
  <c r="S55" i="37"/>
  <c r="S54" i="37"/>
  <c r="S53" i="37"/>
  <c r="S52" i="37"/>
  <c r="S51" i="37"/>
  <c r="S50" i="37"/>
  <c r="S49" i="37"/>
  <c r="S48" i="37"/>
  <c r="S47" i="37"/>
  <c r="S46" i="37"/>
  <c r="S45" i="37"/>
  <c r="S44" i="37"/>
  <c r="S41" i="37"/>
  <c r="S40" i="37"/>
  <c r="S38" i="37"/>
  <c r="S37" i="37"/>
  <c r="S36" i="37"/>
  <c r="S34" i="37"/>
  <c r="S33" i="37"/>
  <c r="S32" i="37"/>
  <c r="S31" i="37"/>
  <c r="S30" i="37"/>
  <c r="S29" i="37"/>
  <c r="S26" i="37"/>
  <c r="S25" i="37"/>
  <c r="S22" i="37"/>
  <c r="S21" i="37"/>
  <c r="S20" i="37"/>
  <c r="S19" i="37"/>
  <c r="S16" i="37"/>
  <c r="S15" i="37"/>
  <c r="S9" i="37"/>
  <c r="B9" i="37"/>
  <c r="R8" i="37"/>
  <c r="Q8" i="37"/>
  <c r="N128" i="37"/>
  <c r="N127" i="37"/>
  <c r="N126" i="37"/>
  <c r="N125" i="37"/>
  <c r="N124" i="37"/>
  <c r="N123" i="37"/>
  <c r="N122" i="37"/>
  <c r="N121" i="37"/>
  <c r="N120" i="37"/>
  <c r="N119" i="37"/>
  <c r="N117" i="37"/>
  <c r="N116" i="37"/>
  <c r="N115" i="37"/>
  <c r="N114" i="37"/>
  <c r="N113" i="37"/>
  <c r="N112" i="37"/>
  <c r="N111" i="37"/>
  <c r="N110" i="37"/>
  <c r="N107" i="37"/>
  <c r="N106" i="37"/>
  <c r="N105" i="37"/>
  <c r="N104" i="37"/>
  <c r="N103" i="37"/>
  <c r="N102" i="37"/>
  <c r="N100" i="37"/>
  <c r="N98" i="37"/>
  <c r="N95" i="37"/>
  <c r="N93" i="37"/>
  <c r="N92" i="37"/>
  <c r="N91" i="37"/>
  <c r="N90" i="37"/>
  <c r="N88" i="37"/>
  <c r="N81" i="37"/>
  <c r="N80" i="37"/>
  <c r="N79" i="37"/>
  <c r="N78" i="37"/>
  <c r="N77" i="37"/>
  <c r="N76" i="37"/>
  <c r="N75" i="37"/>
  <c r="N74" i="37"/>
  <c r="N73" i="37"/>
  <c r="N72" i="37"/>
  <c r="N71" i="37"/>
  <c r="N70" i="37"/>
  <c r="N68" i="37"/>
  <c r="N67" i="37"/>
  <c r="N66" i="37"/>
  <c r="N65" i="37"/>
  <c r="N64" i="37"/>
  <c r="N63" i="37"/>
  <c r="N62" i="37"/>
  <c r="N61" i="37"/>
  <c r="N60" i="37"/>
  <c r="N59" i="37"/>
  <c r="N58" i="37"/>
  <c r="N57" i="37"/>
  <c r="N56" i="37"/>
  <c r="N55" i="37"/>
  <c r="N54" i="37"/>
  <c r="N53" i="37"/>
  <c r="N52" i="37"/>
  <c r="N51" i="37"/>
  <c r="N50" i="37"/>
  <c r="N49" i="37"/>
  <c r="N48" i="37"/>
  <c r="N47" i="37"/>
  <c r="N46" i="37"/>
  <c r="N45" i="37"/>
  <c r="N44" i="37"/>
  <c r="N41" i="37"/>
  <c r="N40" i="37"/>
  <c r="N38" i="37"/>
  <c r="N37" i="37"/>
  <c r="N36" i="37"/>
  <c r="N34" i="37"/>
  <c r="N33" i="37"/>
  <c r="N32" i="37"/>
  <c r="N31" i="37"/>
  <c r="N30" i="37"/>
  <c r="N29" i="37"/>
  <c r="N26" i="37"/>
  <c r="N25" i="37"/>
  <c r="N22" i="37"/>
  <c r="N21" i="37"/>
  <c r="N20" i="37"/>
  <c r="N19" i="37"/>
  <c r="N16" i="37"/>
  <c r="N15" i="37"/>
  <c r="K127" i="37"/>
  <c r="H127" i="37"/>
  <c r="B127" i="37"/>
  <c r="K116" i="37"/>
  <c r="H116" i="37"/>
  <c r="B116" i="37"/>
  <c r="K105" i="37"/>
  <c r="H105" i="37"/>
  <c r="B105" i="37"/>
  <c r="K104" i="37"/>
  <c r="H104" i="37"/>
  <c r="B104" i="37"/>
  <c r="K106" i="37"/>
  <c r="H106" i="37"/>
  <c r="B106" i="37"/>
  <c r="K100" i="37"/>
  <c r="K99" i="37" s="1"/>
  <c r="H100" i="37"/>
  <c r="H99" i="37" s="1"/>
  <c r="B100" i="37"/>
  <c r="V99" i="37"/>
  <c r="U99" i="37"/>
  <c r="R99" i="37"/>
  <c r="Q99" i="37"/>
  <c r="M99" i="37"/>
  <c r="L99" i="37"/>
  <c r="J99" i="37"/>
  <c r="I99" i="37"/>
  <c r="G99" i="37"/>
  <c r="F99" i="37"/>
  <c r="R89" i="37"/>
  <c r="Q89" i="37"/>
  <c r="G89" i="37"/>
  <c r="I89" i="37"/>
  <c r="J89" i="37"/>
  <c r="L89" i="37"/>
  <c r="M89" i="37"/>
  <c r="F89" i="37"/>
  <c r="K90" i="37"/>
  <c r="H90" i="37"/>
  <c r="B90" i="37"/>
  <c r="K91" i="37"/>
  <c r="H91" i="37"/>
  <c r="B91" i="37"/>
  <c r="K92" i="37"/>
  <c r="H92" i="37"/>
  <c r="B92" i="37"/>
  <c r="K80" i="37"/>
  <c r="H80" i="37"/>
  <c r="B80" i="37"/>
  <c r="K64" i="37"/>
  <c r="H64" i="37"/>
  <c r="B64" i="37"/>
  <c r="K63" i="37"/>
  <c r="H63" i="37"/>
  <c r="B63" i="37"/>
  <c r="K62" i="37"/>
  <c r="H62" i="37"/>
  <c r="B62" i="37"/>
  <c r="K61" i="37"/>
  <c r="H61" i="37"/>
  <c r="B61" i="37"/>
  <c r="R39" i="37"/>
  <c r="Q39" i="37"/>
  <c r="G39" i="37"/>
  <c r="I39" i="37"/>
  <c r="J39" i="37"/>
  <c r="L39" i="37"/>
  <c r="M39" i="37"/>
  <c r="F39" i="37"/>
  <c r="K40" i="37"/>
  <c r="H40" i="37"/>
  <c r="B40" i="37"/>
  <c r="K36" i="37"/>
  <c r="H36" i="37"/>
  <c r="B36" i="37"/>
  <c r="K37" i="37"/>
  <c r="H37" i="37"/>
  <c r="B37" i="37"/>
  <c r="K32" i="37"/>
  <c r="H32" i="37"/>
  <c r="B32" i="37"/>
  <c r="K33" i="37"/>
  <c r="H33" i="37"/>
  <c r="B33" i="37"/>
  <c r="F24" i="37"/>
  <c r="K25" i="37"/>
  <c r="H25" i="37"/>
  <c r="B25" i="37"/>
  <c r="T85" i="36"/>
  <c r="O85" i="36"/>
  <c r="N85" i="36"/>
  <c r="K85" i="36"/>
  <c r="H85" i="36"/>
  <c r="B85" i="36"/>
  <c r="T76" i="36"/>
  <c r="O76" i="36"/>
  <c r="N76" i="36"/>
  <c r="K76" i="36"/>
  <c r="H76" i="36"/>
  <c r="B76" i="36"/>
  <c r="T75" i="36"/>
  <c r="O75" i="36"/>
  <c r="N75" i="36"/>
  <c r="K75" i="36"/>
  <c r="H75" i="36"/>
  <c r="B75" i="36"/>
  <c r="T77" i="36"/>
  <c r="O77" i="36"/>
  <c r="N77" i="36"/>
  <c r="K77" i="36"/>
  <c r="H77" i="36"/>
  <c r="B77" i="36"/>
  <c r="T71" i="36"/>
  <c r="O71" i="36"/>
  <c r="N71" i="36"/>
  <c r="K71" i="36"/>
  <c r="H71" i="36"/>
  <c r="B71" i="36"/>
  <c r="W70" i="36"/>
  <c r="V70" i="36"/>
  <c r="S70" i="36"/>
  <c r="R70" i="36"/>
  <c r="N70" i="36"/>
  <c r="M70" i="36"/>
  <c r="L70" i="36"/>
  <c r="K70" i="36"/>
  <c r="J70" i="36"/>
  <c r="I70" i="36"/>
  <c r="H70" i="36"/>
  <c r="G70" i="36"/>
  <c r="F70" i="36"/>
  <c r="S61" i="36"/>
  <c r="R61" i="36"/>
  <c r="G61" i="36"/>
  <c r="I61" i="36"/>
  <c r="J61" i="36"/>
  <c r="L61" i="36"/>
  <c r="M61" i="36"/>
  <c r="F61" i="36"/>
  <c r="T62" i="36"/>
  <c r="O62" i="36"/>
  <c r="N62" i="36"/>
  <c r="K62" i="36"/>
  <c r="H62" i="36"/>
  <c r="B62" i="36"/>
  <c r="T63" i="36"/>
  <c r="O63" i="36"/>
  <c r="N63" i="36"/>
  <c r="K63" i="36"/>
  <c r="H63" i="36"/>
  <c r="B63" i="36"/>
  <c r="T51" i="36"/>
  <c r="O51" i="36"/>
  <c r="N51" i="36"/>
  <c r="K51" i="36"/>
  <c r="H51" i="36"/>
  <c r="B51" i="36"/>
  <c r="T50" i="36"/>
  <c r="O50" i="36"/>
  <c r="N50" i="36"/>
  <c r="K50" i="36"/>
  <c r="H50" i="36"/>
  <c r="B50" i="36"/>
  <c r="T49" i="36"/>
  <c r="O49" i="36"/>
  <c r="N49" i="36"/>
  <c r="K49" i="36"/>
  <c r="H49" i="36"/>
  <c r="B49" i="36"/>
  <c r="T48" i="36"/>
  <c r="O48" i="36"/>
  <c r="N48" i="36"/>
  <c r="K48" i="36"/>
  <c r="H48" i="36"/>
  <c r="B48" i="36"/>
  <c r="S33" i="36"/>
  <c r="R33" i="36"/>
  <c r="G33" i="36"/>
  <c r="I33" i="36"/>
  <c r="J33" i="36"/>
  <c r="L33" i="36"/>
  <c r="M33" i="36"/>
  <c r="F33" i="36"/>
  <c r="T34" i="36"/>
  <c r="O34" i="36"/>
  <c r="N34" i="36"/>
  <c r="K34" i="36"/>
  <c r="H34" i="36"/>
  <c r="B34" i="36"/>
  <c r="S29" i="36"/>
  <c r="R29" i="36"/>
  <c r="G29" i="36"/>
  <c r="I29" i="36"/>
  <c r="J29" i="36"/>
  <c r="L29" i="36"/>
  <c r="M29" i="36"/>
  <c r="F29" i="36"/>
  <c r="T30" i="36"/>
  <c r="O30" i="36"/>
  <c r="N30" i="36"/>
  <c r="K30" i="36"/>
  <c r="H30" i="36"/>
  <c r="B30" i="36"/>
  <c r="T31" i="36"/>
  <c r="O31" i="36"/>
  <c r="N31" i="36"/>
  <c r="K31" i="36"/>
  <c r="H31" i="36"/>
  <c r="B31" i="36"/>
  <c r="T26" i="36"/>
  <c r="O26" i="36"/>
  <c r="N26" i="36"/>
  <c r="K26" i="36"/>
  <c r="H26" i="36"/>
  <c r="B26" i="36"/>
  <c r="T25" i="36"/>
  <c r="O25" i="36"/>
  <c r="N25" i="36"/>
  <c r="K25" i="36"/>
  <c r="H25" i="36"/>
  <c r="B25" i="36"/>
  <c r="T27" i="36"/>
  <c r="O27" i="36"/>
  <c r="N27" i="36"/>
  <c r="K27" i="36"/>
  <c r="H27" i="36"/>
  <c r="B27" i="36"/>
  <c r="S18" i="36"/>
  <c r="S17" i="36" s="1"/>
  <c r="R18" i="36"/>
  <c r="R17" i="36" s="1"/>
  <c r="G18" i="36"/>
  <c r="G17" i="36" s="1"/>
  <c r="I18" i="36"/>
  <c r="I17" i="36" s="1"/>
  <c r="J18" i="36"/>
  <c r="J17" i="36" s="1"/>
  <c r="L18" i="36"/>
  <c r="L17" i="36" s="1"/>
  <c r="M18" i="36"/>
  <c r="M17" i="36" s="1"/>
  <c r="E13" i="48" s="1"/>
  <c r="F18" i="36"/>
  <c r="F17" i="36" s="1"/>
  <c r="T19" i="36"/>
  <c r="O19" i="36"/>
  <c r="N19" i="36"/>
  <c r="N18" i="36" s="1"/>
  <c r="N17" i="36" s="1"/>
  <c r="K19" i="36"/>
  <c r="K18" i="36" s="1"/>
  <c r="K17" i="36" s="1"/>
  <c r="H19" i="36"/>
  <c r="H18" i="36" s="1"/>
  <c r="H17" i="36" s="1"/>
  <c r="B19" i="36"/>
  <c r="L334" i="35"/>
  <c r="I334" i="35"/>
  <c r="L332" i="35"/>
  <c r="I332" i="35"/>
  <c r="M20" i="34"/>
  <c r="L20" i="34"/>
  <c r="P20" i="34" s="1"/>
  <c r="R20" i="34" s="1"/>
  <c r="I20" i="34"/>
  <c r="M19" i="34"/>
  <c r="L19" i="34"/>
  <c r="Q19" i="34" s="1"/>
  <c r="R19" i="34" s="1"/>
  <c r="I19" i="34"/>
  <c r="K18" i="34"/>
  <c r="K17" i="34" s="1"/>
  <c r="E13" i="49" s="1"/>
  <c r="J18" i="34"/>
  <c r="J17" i="34" s="1"/>
  <c r="H18" i="34"/>
  <c r="H17" i="34" s="1"/>
  <c r="G18" i="34"/>
  <c r="G17" i="34" s="1"/>
  <c r="F18" i="34"/>
  <c r="F17" i="34" s="1"/>
  <c r="I155" i="35"/>
  <c r="M155" i="35" s="1"/>
  <c r="L401" i="35"/>
  <c r="I401" i="35"/>
  <c r="I45" i="35"/>
  <c r="M45" i="35" s="1"/>
  <c r="L528" i="35"/>
  <c r="I528" i="35"/>
  <c r="L529" i="35"/>
  <c r="I529" i="35"/>
  <c r="I100" i="35"/>
  <c r="M100" i="35" s="1"/>
  <c r="I597" i="35"/>
  <c r="I596" i="35"/>
  <c r="I591" i="35"/>
  <c r="I590" i="35"/>
  <c r="I588" i="35"/>
  <c r="I587" i="35"/>
  <c r="I586" i="35"/>
  <c r="I571" i="35"/>
  <c r="I565" i="35"/>
  <c r="I564" i="35"/>
  <c r="I561" i="35"/>
  <c r="I560" i="35"/>
  <c r="I559" i="35"/>
  <c r="I558" i="35"/>
  <c r="I557" i="35"/>
  <c r="I553" i="35"/>
  <c r="I552" i="35"/>
  <c r="I549" i="35"/>
  <c r="I548" i="35"/>
  <c r="I547" i="35"/>
  <c r="I546" i="35"/>
  <c r="I544" i="35"/>
  <c r="I543" i="35"/>
  <c r="I507" i="35"/>
  <c r="I506" i="35"/>
  <c r="I505" i="35"/>
  <c r="I504" i="35"/>
  <c r="I503" i="35"/>
  <c r="I502" i="35"/>
  <c r="I501" i="35"/>
  <c r="I500" i="35"/>
  <c r="I499" i="35"/>
  <c r="I498" i="35"/>
  <c r="I497" i="35"/>
  <c r="I496" i="35"/>
  <c r="I495" i="35"/>
  <c r="I494" i="35"/>
  <c r="I492" i="35"/>
  <c r="I491" i="35"/>
  <c r="I490" i="35"/>
  <c r="I489" i="35"/>
  <c r="I488" i="35"/>
  <c r="I487" i="35"/>
  <c r="I486" i="35"/>
  <c r="I485" i="35"/>
  <c r="I484" i="35"/>
  <c r="I483" i="35"/>
  <c r="I482" i="35"/>
  <c r="I481" i="35"/>
  <c r="I480" i="35"/>
  <c r="I477" i="35"/>
  <c r="I476" i="35"/>
  <c r="I475" i="35"/>
  <c r="I473" i="35"/>
  <c r="I472" i="35"/>
  <c r="I471" i="35"/>
  <c r="I470" i="35"/>
  <c r="I469" i="35"/>
  <c r="I466" i="35"/>
  <c r="I465" i="35"/>
  <c r="I464" i="35"/>
  <c r="I463" i="35"/>
  <c r="I462" i="35"/>
  <c r="I416" i="35"/>
  <c r="I415" i="35"/>
  <c r="I414" i="35"/>
  <c r="I413" i="35"/>
  <c r="I406" i="35"/>
  <c r="I408" i="35"/>
  <c r="I407" i="35"/>
  <c r="I391" i="35"/>
  <c r="I390" i="35"/>
  <c r="I364" i="35"/>
  <c r="I362" i="35"/>
  <c r="I348" i="35"/>
  <c r="I347" i="35"/>
  <c r="I346" i="35"/>
  <c r="I345" i="35"/>
  <c r="I328" i="35"/>
  <c r="I327" i="35"/>
  <c r="I323" i="35"/>
  <c r="I322" i="35"/>
  <c r="I317" i="35"/>
  <c r="I314" i="35"/>
  <c r="M314" i="35" s="1"/>
  <c r="I313" i="35"/>
  <c r="M313" i="35" s="1"/>
  <c r="I312" i="35"/>
  <c r="M312" i="35" s="1"/>
  <c r="I185" i="35"/>
  <c r="M185" i="35" s="1"/>
  <c r="I184" i="35"/>
  <c r="M184" i="35" s="1"/>
  <c r="I183" i="35"/>
  <c r="M183" i="35" s="1"/>
  <c r="I182" i="35"/>
  <c r="M182" i="35" s="1"/>
  <c r="I102" i="35"/>
  <c r="M102" i="35" s="1"/>
  <c r="I101" i="35"/>
  <c r="M101" i="35" s="1"/>
  <c r="I99" i="35"/>
  <c r="M99" i="35" s="1"/>
  <c r="I98" i="35"/>
  <c r="M98" i="35" s="1"/>
  <c r="I88" i="35"/>
  <c r="M88" i="35" s="1"/>
  <c r="I87" i="35"/>
  <c r="M87" i="35" s="1"/>
  <c r="I86" i="35"/>
  <c r="M86" i="35" s="1"/>
  <c r="I85" i="35"/>
  <c r="M85" i="35" s="1"/>
  <c r="I84" i="35"/>
  <c r="M84" i="35" s="1"/>
  <c r="I83" i="35"/>
  <c r="M83" i="35" s="1"/>
  <c r="I41" i="35"/>
  <c r="M41" i="35" s="1"/>
  <c r="I40" i="35"/>
  <c r="M40" i="35" s="1"/>
  <c r="I39" i="35"/>
  <c r="M39" i="35" s="1"/>
  <c r="I38" i="35"/>
  <c r="M38" i="35" s="1"/>
  <c r="I37" i="35"/>
  <c r="M37" i="35" s="1"/>
  <c r="I36" i="35"/>
  <c r="M36" i="35" s="1"/>
  <c r="I35" i="35"/>
  <c r="M35" i="35" s="1"/>
  <c r="I34" i="35"/>
  <c r="M34" i="35" s="1"/>
  <c r="I33" i="35"/>
  <c r="M33" i="35" s="1"/>
  <c r="I32" i="35"/>
  <c r="M32" i="35" s="1"/>
  <c r="I26" i="35"/>
  <c r="M26" i="35" s="1"/>
  <c r="I25" i="35"/>
  <c r="M25" i="35" s="1"/>
  <c r="I24" i="35"/>
  <c r="M24" i="35" s="1"/>
  <c r="I23" i="35"/>
  <c r="M23" i="35" s="1"/>
  <c r="I22" i="35"/>
  <c r="M22" i="35" s="1"/>
  <c r="I21" i="35"/>
  <c r="M21" i="35" s="1"/>
  <c r="L597" i="35"/>
  <c r="L596" i="35"/>
  <c r="M596" i="35" s="1"/>
  <c r="L595" i="35"/>
  <c r="L594" i="35"/>
  <c r="L593" i="35"/>
  <c r="L591" i="35"/>
  <c r="L590" i="35"/>
  <c r="L588" i="35"/>
  <c r="M588" i="35" s="1"/>
  <c r="L587" i="35"/>
  <c r="L586" i="35"/>
  <c r="M586" i="35" s="1"/>
  <c r="L582" i="35"/>
  <c r="L581" i="35"/>
  <c r="L580" i="35"/>
  <c r="L579" i="35"/>
  <c r="L578" i="35"/>
  <c r="L577" i="35"/>
  <c r="L576" i="35"/>
  <c r="L575" i="35"/>
  <c r="L574" i="35"/>
  <c r="L573" i="35"/>
  <c r="L571" i="35"/>
  <c r="L570" i="35"/>
  <c r="L569" i="35"/>
  <c r="L568" i="35"/>
  <c r="L567" i="35"/>
  <c r="L566" i="35"/>
  <c r="L565" i="35"/>
  <c r="L564" i="35"/>
  <c r="L563" i="35"/>
  <c r="L562" i="35"/>
  <c r="L561" i="35"/>
  <c r="L560" i="35"/>
  <c r="L559" i="35"/>
  <c r="L558" i="35"/>
  <c r="L557" i="35"/>
  <c r="L556" i="35"/>
  <c r="L555" i="35"/>
  <c r="L554" i="35"/>
  <c r="L553" i="35"/>
  <c r="L552" i="35"/>
  <c r="L551" i="35"/>
  <c r="L550" i="35"/>
  <c r="L549" i="35"/>
  <c r="L548" i="35"/>
  <c r="L547" i="35"/>
  <c r="L546" i="35"/>
  <c r="L544" i="35"/>
  <c r="L543" i="35"/>
  <c r="L542" i="35"/>
  <c r="L541" i="35"/>
  <c r="L540" i="35"/>
  <c r="L539" i="35"/>
  <c r="L538" i="35"/>
  <c r="L537" i="35"/>
  <c r="L536" i="35"/>
  <c r="L535" i="35"/>
  <c r="L534" i="35"/>
  <c r="L527" i="35"/>
  <c r="L526" i="35"/>
  <c r="L525" i="35"/>
  <c r="L524" i="35"/>
  <c r="L523" i="35"/>
  <c r="L522" i="35"/>
  <c r="L521" i="35"/>
  <c r="L519" i="35"/>
  <c r="L518" i="35"/>
  <c r="L517" i="35"/>
  <c r="L516" i="35"/>
  <c r="L515" i="35"/>
  <c r="L514" i="35"/>
  <c r="L513" i="35"/>
  <c r="L512" i="35"/>
  <c r="L511" i="35"/>
  <c r="L510" i="35"/>
  <c r="L507" i="35"/>
  <c r="L506" i="35"/>
  <c r="M506" i="35" s="1"/>
  <c r="L505" i="35"/>
  <c r="L504" i="35"/>
  <c r="M504" i="35" s="1"/>
  <c r="L503" i="35"/>
  <c r="L502" i="35"/>
  <c r="M502" i="35" s="1"/>
  <c r="L501" i="35"/>
  <c r="L500" i="35"/>
  <c r="M500" i="35" s="1"/>
  <c r="L499" i="35"/>
  <c r="L498" i="35"/>
  <c r="M498" i="35" s="1"/>
  <c r="L497" i="35"/>
  <c r="L496" i="35"/>
  <c r="M496" i="35" s="1"/>
  <c r="L495" i="35"/>
  <c r="L494" i="35"/>
  <c r="M494" i="35" s="1"/>
  <c r="L492" i="35"/>
  <c r="L491" i="35"/>
  <c r="M491" i="35" s="1"/>
  <c r="L490" i="35"/>
  <c r="L489" i="35"/>
  <c r="M489" i="35" s="1"/>
  <c r="L488" i="35"/>
  <c r="L487" i="35"/>
  <c r="M487" i="35" s="1"/>
  <c r="L486" i="35"/>
  <c r="L485" i="35"/>
  <c r="M485" i="35" s="1"/>
  <c r="L484" i="35"/>
  <c r="L483" i="35"/>
  <c r="M483" i="35" s="1"/>
  <c r="L482" i="35"/>
  <c r="L481" i="35"/>
  <c r="M481" i="35" s="1"/>
  <c r="L480" i="35"/>
  <c r="L477" i="35"/>
  <c r="L476" i="35"/>
  <c r="L475" i="35"/>
  <c r="L473" i="35"/>
  <c r="L472" i="35"/>
  <c r="M472" i="35" s="1"/>
  <c r="L471" i="35"/>
  <c r="L470" i="35"/>
  <c r="M470" i="35" s="1"/>
  <c r="L469" i="35"/>
  <c r="L466" i="35"/>
  <c r="M466" i="35" s="1"/>
  <c r="L465" i="35"/>
  <c r="L464" i="35"/>
  <c r="M464" i="35" s="1"/>
  <c r="L463" i="35"/>
  <c r="L462" i="35"/>
  <c r="M462" i="35" s="1"/>
  <c r="L461" i="35"/>
  <c r="L460" i="35"/>
  <c r="L474" i="35"/>
  <c r="M474" i="35" s="1"/>
  <c r="L459" i="35"/>
  <c r="L458" i="35"/>
  <c r="L457" i="35"/>
  <c r="L455" i="35"/>
  <c r="L454" i="35"/>
  <c r="L453" i="35"/>
  <c r="L451" i="35"/>
  <c r="L450" i="35"/>
  <c r="L449" i="35"/>
  <c r="L448" i="35"/>
  <c r="L445" i="35"/>
  <c r="L444" i="35"/>
  <c r="L443" i="35"/>
  <c r="L442" i="35"/>
  <c r="L441" i="35"/>
  <c r="L440" i="35"/>
  <c r="L437" i="35"/>
  <c r="L436" i="35" s="1"/>
  <c r="L434" i="35"/>
  <c r="L433" i="35"/>
  <c r="L432" i="35"/>
  <c r="L431" i="35"/>
  <c r="L430" i="35"/>
  <c r="L429" i="35"/>
  <c r="L428" i="35"/>
  <c r="L427" i="35"/>
  <c r="L426" i="35"/>
  <c r="L425" i="35"/>
  <c r="L422" i="35"/>
  <c r="L420" i="35"/>
  <c r="L419" i="35"/>
  <c r="L418" i="35"/>
  <c r="L417" i="35"/>
  <c r="L416" i="35"/>
  <c r="L415" i="35"/>
  <c r="L414" i="35"/>
  <c r="L413" i="35"/>
  <c r="L412" i="35"/>
  <c r="L411" i="35"/>
  <c r="L410" i="35"/>
  <c r="L409" i="35"/>
  <c r="L408" i="35"/>
  <c r="L407" i="35"/>
  <c r="L406" i="35"/>
  <c r="L405" i="35"/>
  <c r="L404" i="35"/>
  <c r="L403" i="35"/>
  <c r="L402" i="35"/>
  <c r="L400" i="35"/>
  <c r="L399" i="35"/>
  <c r="L398" i="35"/>
  <c r="L397" i="35"/>
  <c r="L396" i="35"/>
  <c r="L395" i="35"/>
  <c r="L394" i="35"/>
  <c r="L391" i="35"/>
  <c r="L390" i="35"/>
  <c r="L389" i="35"/>
  <c r="L388" i="35"/>
  <c r="L387" i="35"/>
  <c r="L386" i="35"/>
  <c r="L385" i="35"/>
  <c r="L384" i="35"/>
  <c r="L383" i="35"/>
  <c r="L382" i="35"/>
  <c r="L380" i="35"/>
  <c r="L379" i="35"/>
  <c r="L378" i="35"/>
  <c r="L377" i="35"/>
  <c r="L376" i="35"/>
  <c r="L375" i="35"/>
  <c r="L374" i="35"/>
  <c r="L373" i="35"/>
  <c r="L372" i="35"/>
  <c r="L371" i="35"/>
  <c r="L370" i="35"/>
  <c r="L369" i="35"/>
  <c r="L368" i="35"/>
  <c r="L367" i="35"/>
  <c r="L366" i="35"/>
  <c r="L364" i="35"/>
  <c r="L362" i="35"/>
  <c r="L361" i="35"/>
  <c r="L360" i="35"/>
  <c r="L359" i="35"/>
  <c r="L358" i="35"/>
  <c r="L357" i="35"/>
  <c r="L356" i="35"/>
  <c r="L355" i="35"/>
  <c r="L354" i="35"/>
  <c r="L353" i="35"/>
  <c r="L352" i="35"/>
  <c r="L351" i="35"/>
  <c r="L350" i="35"/>
  <c r="L349" i="35"/>
  <c r="L348" i="35"/>
  <c r="L347" i="35"/>
  <c r="L346" i="35"/>
  <c r="L345" i="35"/>
  <c r="L344" i="35"/>
  <c r="L343" i="35"/>
  <c r="L342" i="35"/>
  <c r="L340" i="35"/>
  <c r="L335" i="35"/>
  <c r="L331" i="35"/>
  <c r="L330" i="35"/>
  <c r="L329" i="35"/>
  <c r="L328" i="35"/>
  <c r="L327" i="35"/>
  <c r="L326" i="35"/>
  <c r="L325" i="35"/>
  <c r="L324" i="35"/>
  <c r="L323" i="35"/>
  <c r="L322" i="35"/>
  <c r="L319" i="35"/>
  <c r="L317" i="35"/>
  <c r="L279" i="35"/>
  <c r="I570" i="35"/>
  <c r="I128" i="35"/>
  <c r="M128" i="35" s="1"/>
  <c r="L60" i="35"/>
  <c r="I61" i="35"/>
  <c r="I361" i="35"/>
  <c r="I59" i="35"/>
  <c r="M59" i="35" s="1"/>
  <c r="I58" i="35"/>
  <c r="M58" i="35" s="1"/>
  <c r="I455" i="35"/>
  <c r="I404" i="35"/>
  <c r="I433" i="35"/>
  <c r="I297" i="35"/>
  <c r="M297" i="35" s="1"/>
  <c r="I296" i="35"/>
  <c r="M296" i="35" s="1"/>
  <c r="I434" i="35"/>
  <c r="I432" i="35"/>
  <c r="I49" i="35"/>
  <c r="M49" i="35" s="1"/>
  <c r="G8" i="37"/>
  <c r="I8" i="37"/>
  <c r="J8" i="37"/>
  <c r="L8" i="37"/>
  <c r="M8" i="37"/>
  <c r="F8" i="37"/>
  <c r="K9" i="37"/>
  <c r="K8" i="37" s="1"/>
  <c r="H9" i="37"/>
  <c r="H8" i="37" s="1"/>
  <c r="M118" i="37"/>
  <c r="L118" i="37"/>
  <c r="M109" i="37"/>
  <c r="L109" i="37"/>
  <c r="M101" i="37"/>
  <c r="L101" i="37"/>
  <c r="M97" i="37"/>
  <c r="L97" i="37"/>
  <c r="M94" i="37"/>
  <c r="L94" i="37"/>
  <c r="M87" i="37"/>
  <c r="L87" i="37"/>
  <c r="M69" i="37"/>
  <c r="L69" i="37"/>
  <c r="M43" i="37"/>
  <c r="L43" i="37"/>
  <c r="M28" i="37"/>
  <c r="L28" i="37"/>
  <c r="M18" i="37"/>
  <c r="L18" i="37"/>
  <c r="M14" i="37"/>
  <c r="L14" i="37"/>
  <c r="I450" i="35"/>
  <c r="L11" i="43"/>
  <c r="L10" i="43"/>
  <c r="L9" i="43"/>
  <c r="L8" i="43"/>
  <c r="I8" i="43"/>
  <c r="L7" i="43"/>
  <c r="I7" i="43"/>
  <c r="K6" i="43"/>
  <c r="J6" i="43"/>
  <c r="H6" i="43"/>
  <c r="G6" i="43"/>
  <c r="F6" i="43"/>
  <c r="L42" i="42"/>
  <c r="I42" i="42"/>
  <c r="L41" i="42"/>
  <c r="I41" i="42"/>
  <c r="L40" i="42"/>
  <c r="I40" i="42"/>
  <c r="L39" i="42"/>
  <c r="I39" i="42"/>
  <c r="L38" i="42"/>
  <c r="I38" i="42"/>
  <c r="L37" i="42"/>
  <c r="I37" i="42"/>
  <c r="L36" i="42"/>
  <c r="I36" i="42"/>
  <c r="L35" i="42"/>
  <c r="I35" i="42"/>
  <c r="L34" i="42"/>
  <c r="I34" i="42"/>
  <c r="L33" i="42"/>
  <c r="I33" i="42"/>
  <c r="L32" i="42"/>
  <c r="I32" i="42"/>
  <c r="L31" i="42"/>
  <c r="I31" i="42"/>
  <c r="L30" i="42"/>
  <c r="I30" i="42"/>
  <c r="L29" i="42"/>
  <c r="I29" i="42"/>
  <c r="L28" i="42"/>
  <c r="I28" i="42"/>
  <c r="L27" i="42"/>
  <c r="I27" i="42"/>
  <c r="L26" i="42"/>
  <c r="I26" i="42"/>
  <c r="L25" i="42"/>
  <c r="I25" i="42"/>
  <c r="L24" i="42"/>
  <c r="I24" i="42"/>
  <c r="L23" i="42"/>
  <c r="I23" i="42"/>
  <c r="L22" i="42"/>
  <c r="I22" i="42"/>
  <c r="L21" i="42"/>
  <c r="I21" i="42"/>
  <c r="L20" i="42"/>
  <c r="I20" i="42"/>
  <c r="L19" i="42"/>
  <c r="I19" i="42"/>
  <c r="L18" i="42"/>
  <c r="I18" i="42"/>
  <c r="L17" i="42"/>
  <c r="I17" i="42"/>
  <c r="L16" i="42"/>
  <c r="I16" i="42"/>
  <c r="L15" i="42"/>
  <c r="I15" i="42"/>
  <c r="L14" i="42"/>
  <c r="I14" i="42"/>
  <c r="L13" i="42"/>
  <c r="I13" i="42"/>
  <c r="L12" i="42"/>
  <c r="I12" i="42"/>
  <c r="L11" i="42"/>
  <c r="I11" i="42"/>
  <c r="L10" i="42"/>
  <c r="I10" i="42"/>
  <c r="L9" i="42"/>
  <c r="I9" i="42"/>
  <c r="L8" i="42"/>
  <c r="I8" i="42"/>
  <c r="L7" i="42"/>
  <c r="I7" i="42"/>
  <c r="K6" i="42"/>
  <c r="J6" i="42"/>
  <c r="I6" i="42"/>
  <c r="H6" i="42"/>
  <c r="G6" i="42"/>
  <c r="F6" i="42"/>
  <c r="L6" i="42" l="1"/>
  <c r="H3" i="42"/>
  <c r="S24" i="37"/>
  <c r="P18" i="34"/>
  <c r="P17" i="34" s="1"/>
  <c r="I6" i="43"/>
  <c r="L6" i="43"/>
  <c r="L18" i="34"/>
  <c r="L17" i="34" s="1"/>
  <c r="Q18" i="34"/>
  <c r="Q17" i="34" s="1"/>
  <c r="R17" i="34" s="1"/>
  <c r="M317" i="35"/>
  <c r="M328" i="35"/>
  <c r="M348" i="35"/>
  <c r="M391" i="35"/>
  <c r="M346" i="35"/>
  <c r="M408" i="35"/>
  <c r="K3" i="42"/>
  <c r="M364" i="35"/>
  <c r="M413" i="35"/>
  <c r="M415" i="35"/>
  <c r="M557" i="35"/>
  <c r="M559" i="35"/>
  <c r="M561" i="35"/>
  <c r="M565" i="35"/>
  <c r="I60" i="35"/>
  <c r="M61" i="35"/>
  <c r="M60" i="35" s="1"/>
  <c r="I18" i="34"/>
  <c r="I17" i="34" s="1"/>
  <c r="D13" i="49"/>
  <c r="M590" i="35"/>
  <c r="M475" i="35"/>
  <c r="M477" i="35"/>
  <c r="M108" i="37"/>
  <c r="G18" i="48" s="1"/>
  <c r="N39" i="37"/>
  <c r="S39" i="37"/>
  <c r="N99" i="37"/>
  <c r="S35" i="37"/>
  <c r="L108" i="37"/>
  <c r="F18" i="48" s="1"/>
  <c r="S8" i="37"/>
  <c r="S99" i="37"/>
  <c r="D13" i="48"/>
  <c r="M404" i="35"/>
  <c r="M327" i="35"/>
  <c r="M345" i="35"/>
  <c r="M347" i="35"/>
  <c r="M390" i="35"/>
  <c r="M407" i="35"/>
  <c r="M558" i="35"/>
  <c r="M560" i="35"/>
  <c r="M564" i="35"/>
  <c r="M597" i="35"/>
  <c r="N8" i="37"/>
  <c r="N24" i="37"/>
  <c r="N35" i="37"/>
  <c r="M543" i="35"/>
  <c r="M546" i="35"/>
  <c r="M548" i="35"/>
  <c r="M552" i="35"/>
  <c r="M362" i="35"/>
  <c r="M406" i="35"/>
  <c r="M414" i="35"/>
  <c r="M416" i="35"/>
  <c r="M469" i="35"/>
  <c r="M471" i="35"/>
  <c r="M473" i="35"/>
  <c r="M476" i="35"/>
  <c r="M480" i="35"/>
  <c r="M482" i="35"/>
  <c r="M484" i="35"/>
  <c r="M486" i="35"/>
  <c r="M488" i="35"/>
  <c r="M490" i="35"/>
  <c r="M492" i="35"/>
  <c r="M495" i="35"/>
  <c r="M497" i="35"/>
  <c r="M499" i="35"/>
  <c r="M501" i="35"/>
  <c r="M503" i="35"/>
  <c r="M505" i="35"/>
  <c r="M507" i="35"/>
  <c r="M544" i="35"/>
  <c r="M547" i="35"/>
  <c r="M549" i="35"/>
  <c r="M553" i="35"/>
  <c r="M571" i="35"/>
  <c r="M587" i="35"/>
  <c r="M591" i="35"/>
  <c r="M332" i="35"/>
  <c r="S89" i="37"/>
  <c r="N89" i="37"/>
  <c r="S28" i="37"/>
  <c r="T70" i="36"/>
  <c r="T17" i="36"/>
  <c r="T18" i="36"/>
  <c r="M334" i="35"/>
  <c r="M96" i="37"/>
  <c r="H3" i="43"/>
  <c r="K3" i="43"/>
  <c r="M529" i="35"/>
  <c r="M401" i="35"/>
  <c r="M528" i="35"/>
  <c r="M433" i="35"/>
  <c r="M432" i="35"/>
  <c r="M450" i="35"/>
  <c r="M570" i="35"/>
  <c r="M434" i="35"/>
  <c r="M361" i="35"/>
  <c r="M455" i="35"/>
  <c r="M322" i="35"/>
  <c r="M323" i="35"/>
  <c r="M463" i="35"/>
  <c r="M465" i="35"/>
  <c r="K43" i="35"/>
  <c r="L43" i="35" s="1"/>
  <c r="K135" i="35"/>
  <c r="L135" i="35" s="1"/>
  <c r="J134" i="35"/>
  <c r="J133" i="35"/>
  <c r="K108" i="35"/>
  <c r="L108" i="35" s="1"/>
  <c r="K107" i="35"/>
  <c r="L107" i="35" s="1"/>
  <c r="K585" i="35"/>
  <c r="J585" i="35"/>
  <c r="K572" i="35"/>
  <c r="K533" i="35" s="1"/>
  <c r="J572" i="35"/>
  <c r="J533" i="35" s="1"/>
  <c r="K520" i="35"/>
  <c r="J520" i="35"/>
  <c r="K509" i="35"/>
  <c r="J509" i="35"/>
  <c r="K493" i="35"/>
  <c r="J493" i="35"/>
  <c r="K479" i="35"/>
  <c r="J479" i="35"/>
  <c r="K468" i="35"/>
  <c r="J468" i="35"/>
  <c r="K452" i="35"/>
  <c r="K447" i="35"/>
  <c r="J447" i="35"/>
  <c r="K439" i="35"/>
  <c r="J439" i="35"/>
  <c r="J424" i="35"/>
  <c r="K393" i="35"/>
  <c r="J393" i="35"/>
  <c r="K381" i="35"/>
  <c r="J381" i="35"/>
  <c r="K365" i="35"/>
  <c r="J365" i="35"/>
  <c r="K339" i="35"/>
  <c r="J339" i="35"/>
  <c r="K299" i="35"/>
  <c r="G13" i="49" s="1"/>
  <c r="J299" i="35"/>
  <c r="F13" i="49" s="1"/>
  <c r="K292" i="35"/>
  <c r="J292" i="35"/>
  <c r="K280" i="35"/>
  <c r="J280" i="35"/>
  <c r="K276" i="35"/>
  <c r="J276" i="35"/>
  <c r="K236" i="35"/>
  <c r="J236" i="35"/>
  <c r="K148" i="35"/>
  <c r="J148" i="35"/>
  <c r="K121" i="35"/>
  <c r="J121" i="35"/>
  <c r="K56" i="35"/>
  <c r="J56" i="35"/>
  <c r="K31" i="35"/>
  <c r="J31" i="35"/>
  <c r="K8" i="35"/>
  <c r="K7" i="35" s="1"/>
  <c r="J8" i="35"/>
  <c r="K34" i="37"/>
  <c r="H34" i="37"/>
  <c r="B34" i="37"/>
  <c r="I93" i="35"/>
  <c r="M93" i="35" s="1"/>
  <c r="K41" i="37"/>
  <c r="K39" i="37" s="1"/>
  <c r="H41" i="37"/>
  <c r="H39" i="37" s="1"/>
  <c r="B41" i="37"/>
  <c r="R18" i="34" l="1"/>
  <c r="J532" i="35"/>
  <c r="F18" i="49" s="1"/>
  <c r="K63" i="35"/>
  <c r="K62" i="35" s="1"/>
  <c r="K532" i="35"/>
  <c r="G18" i="49" s="1"/>
  <c r="H18" i="48"/>
  <c r="N133" i="35"/>
  <c r="L133" i="35"/>
  <c r="N134" i="35"/>
  <c r="L134" i="35"/>
  <c r="N107" i="35"/>
  <c r="R107" i="35"/>
  <c r="S107" i="35" s="1"/>
  <c r="K130" i="35"/>
  <c r="K129" i="35" s="1"/>
  <c r="G12" i="49" s="1"/>
  <c r="N135" i="35"/>
  <c r="R135" i="35"/>
  <c r="S135" i="35" s="1"/>
  <c r="R108" i="35"/>
  <c r="S108" i="35" s="1"/>
  <c r="N108" i="35"/>
  <c r="N43" i="35"/>
  <c r="R43" i="35"/>
  <c r="R42" i="35" s="1"/>
  <c r="K42" i="35"/>
  <c r="K30" i="35" s="1"/>
  <c r="G17" i="48"/>
  <c r="M86" i="37"/>
  <c r="L96" i="37"/>
  <c r="K392" i="35"/>
  <c r="G15" i="49" s="1"/>
  <c r="N17" i="30"/>
  <c r="H13" i="49"/>
  <c r="O18" i="30"/>
  <c r="G9" i="49"/>
  <c r="L42" i="35"/>
  <c r="J30" i="35"/>
  <c r="F10" i="49" s="1"/>
  <c r="K298" i="35"/>
  <c r="O12" i="30" s="1"/>
  <c r="O298" i="35"/>
  <c r="J298" i="35"/>
  <c r="J338" i="35"/>
  <c r="F14" i="49" s="1"/>
  <c r="J392" i="35"/>
  <c r="F15" i="49" s="1"/>
  <c r="J478" i="35"/>
  <c r="F17" i="49" s="1"/>
  <c r="O17" i="30"/>
  <c r="J7" i="35"/>
  <c r="F9" i="49" s="1"/>
  <c r="J130" i="35"/>
  <c r="J63" i="35"/>
  <c r="K478" i="35"/>
  <c r="G17" i="49" s="1"/>
  <c r="K446" i="35"/>
  <c r="G16" i="49" s="1"/>
  <c r="K338" i="35"/>
  <c r="G14" i="49" s="1"/>
  <c r="I132" i="35"/>
  <c r="M132" i="35" s="1"/>
  <c r="I78" i="35"/>
  <c r="M78" i="35" s="1"/>
  <c r="V89" i="37"/>
  <c r="U89" i="37"/>
  <c r="W61" i="36"/>
  <c r="V61" i="36"/>
  <c r="G11" i="49" l="1"/>
  <c r="O10" i="30"/>
  <c r="S43" i="35"/>
  <c r="H18" i="49"/>
  <c r="M17" i="30"/>
  <c r="G10" i="49"/>
  <c r="H10" i="49" s="1"/>
  <c r="O9" i="30"/>
  <c r="O14" i="30"/>
  <c r="H15" i="49"/>
  <c r="H14" i="49"/>
  <c r="F17" i="48"/>
  <c r="H17" i="48" s="1"/>
  <c r="L86" i="37"/>
  <c r="G16" i="48"/>
  <c r="M42" i="37"/>
  <c r="H17" i="49"/>
  <c r="H9" i="49"/>
  <c r="N14" i="30"/>
  <c r="N13" i="30"/>
  <c r="N12" i="30"/>
  <c r="M12" i="30" s="1"/>
  <c r="J62" i="35"/>
  <c r="F11" i="49" s="1"/>
  <c r="J129" i="35"/>
  <c r="F12" i="49" s="1"/>
  <c r="H12" i="49" s="1"/>
  <c r="N16" i="30"/>
  <c r="N9" i="30"/>
  <c r="M9" i="30" s="1"/>
  <c r="N18" i="30"/>
  <c r="O11" i="30"/>
  <c r="O16" i="30"/>
  <c r="O15" i="30"/>
  <c r="O13" i="30"/>
  <c r="K6" i="35"/>
  <c r="I335" i="35"/>
  <c r="M335" i="35" s="1"/>
  <c r="H11" i="49" l="1"/>
  <c r="M14" i="30"/>
  <c r="G7" i="49"/>
  <c r="G15" i="48"/>
  <c r="M27" i="37"/>
  <c r="F16" i="48"/>
  <c r="H16" i="48" s="1"/>
  <c r="L42" i="37"/>
  <c r="G25" i="49"/>
  <c r="N11" i="30"/>
  <c r="M11" i="30" s="1"/>
  <c r="N10" i="30"/>
  <c r="M10" i="30" s="1"/>
  <c r="M18" i="30"/>
  <c r="M16" i="30"/>
  <c r="M13" i="30"/>
  <c r="O8" i="30"/>
  <c r="K113" i="37"/>
  <c r="H113" i="37"/>
  <c r="B113" i="37"/>
  <c r="F15" i="48" l="1"/>
  <c r="H15" i="48" s="1"/>
  <c r="L27" i="37"/>
  <c r="G14" i="48"/>
  <c r="M23" i="37"/>
  <c r="G24" i="49"/>
  <c r="I29" i="35"/>
  <c r="M29" i="35" s="1"/>
  <c r="I27" i="35"/>
  <c r="M27" i="35" s="1"/>
  <c r="I20" i="35"/>
  <c r="M20" i="35" s="1"/>
  <c r="I19" i="35"/>
  <c r="M19" i="35" s="1"/>
  <c r="I18" i="35"/>
  <c r="M18" i="35" s="1"/>
  <c r="I17" i="35"/>
  <c r="M17" i="35" s="1"/>
  <c r="I16" i="35"/>
  <c r="M16" i="35" s="1"/>
  <c r="I15" i="35"/>
  <c r="M15" i="35" s="1"/>
  <c r="I14" i="35"/>
  <c r="M14" i="35" s="1"/>
  <c r="M13" i="35"/>
  <c r="M12" i="35"/>
  <c r="M10" i="35"/>
  <c r="I9" i="35"/>
  <c r="M9" i="35" s="1"/>
  <c r="D10" i="30"/>
  <c r="G10" i="30" s="1"/>
  <c r="D12" i="30"/>
  <c r="G12" i="30" s="1"/>
  <c r="D15" i="30"/>
  <c r="G15" i="30" s="1"/>
  <c r="D16" i="30"/>
  <c r="G16" i="30" s="1"/>
  <c r="D18" i="30"/>
  <c r="G18" i="30" s="1"/>
  <c r="D12" i="33"/>
  <c r="G12" i="33" s="1"/>
  <c r="D18" i="33"/>
  <c r="G18" i="33" s="1"/>
  <c r="K128" i="37"/>
  <c r="H128" i="37"/>
  <c r="B128" i="37"/>
  <c r="K126" i="37"/>
  <c r="H126" i="37"/>
  <c r="B126" i="37"/>
  <c r="K125" i="37"/>
  <c r="H125" i="37"/>
  <c r="B125" i="37"/>
  <c r="K124" i="37"/>
  <c r="H124" i="37"/>
  <c r="B124" i="37"/>
  <c r="K123" i="37"/>
  <c r="H123" i="37"/>
  <c r="B123" i="37"/>
  <c r="K122" i="37"/>
  <c r="H122" i="37"/>
  <c r="B122" i="37"/>
  <c r="K121" i="37"/>
  <c r="H121" i="37"/>
  <c r="B121" i="37"/>
  <c r="K120" i="37"/>
  <c r="H120" i="37"/>
  <c r="B120" i="37"/>
  <c r="K119" i="37"/>
  <c r="H119" i="37"/>
  <c r="B119" i="37"/>
  <c r="V118" i="37"/>
  <c r="U118" i="37"/>
  <c r="R118" i="37"/>
  <c r="Q118" i="37"/>
  <c r="J118" i="37"/>
  <c r="I118" i="37"/>
  <c r="G118" i="37"/>
  <c r="F118" i="37"/>
  <c r="N118" i="37" s="1"/>
  <c r="K117" i="37"/>
  <c r="H117" i="37"/>
  <c r="B117" i="37"/>
  <c r="K115" i="37"/>
  <c r="H115" i="37"/>
  <c r="B115" i="37"/>
  <c r="K114" i="37"/>
  <c r="H114" i="37"/>
  <c r="B114" i="37"/>
  <c r="K112" i="37"/>
  <c r="H112" i="37"/>
  <c r="B112" i="37"/>
  <c r="K111" i="37"/>
  <c r="H111" i="37"/>
  <c r="B111" i="37"/>
  <c r="K110" i="37"/>
  <c r="H110" i="37"/>
  <c r="B110" i="37"/>
  <c r="V109" i="37"/>
  <c r="U109" i="37"/>
  <c r="R109" i="37"/>
  <c r="Q109" i="37"/>
  <c r="J109" i="37"/>
  <c r="I109" i="37"/>
  <c r="G109" i="37"/>
  <c r="F109" i="37"/>
  <c r="N109" i="37" s="1"/>
  <c r="K107" i="37"/>
  <c r="H107" i="37"/>
  <c r="B107" i="37"/>
  <c r="K103" i="37"/>
  <c r="H103" i="37"/>
  <c r="B103" i="37"/>
  <c r="K102" i="37"/>
  <c r="H102" i="37"/>
  <c r="B102" i="37"/>
  <c r="V101" i="37"/>
  <c r="U101" i="37"/>
  <c r="R101" i="37"/>
  <c r="Q101" i="37"/>
  <c r="J101" i="37"/>
  <c r="I101" i="37"/>
  <c r="G101" i="37"/>
  <c r="F101" i="37"/>
  <c r="N101" i="37" s="1"/>
  <c r="K98" i="37"/>
  <c r="K97" i="37" s="1"/>
  <c r="H98" i="37"/>
  <c r="H97" i="37" s="1"/>
  <c r="B98" i="37"/>
  <c r="V97" i="37"/>
  <c r="U97" i="37"/>
  <c r="R97" i="37"/>
  <c r="Q97" i="37"/>
  <c r="J97" i="37"/>
  <c r="I97" i="37"/>
  <c r="G97" i="37"/>
  <c r="F97" i="37"/>
  <c r="N97" i="37" s="1"/>
  <c r="K95" i="37"/>
  <c r="K94" i="37" s="1"/>
  <c r="H95" i="37"/>
  <c r="H94" i="37" s="1"/>
  <c r="B95" i="37"/>
  <c r="V94" i="37"/>
  <c r="U94" i="37"/>
  <c r="R94" i="37"/>
  <c r="Q94" i="37"/>
  <c r="J94" i="37"/>
  <c r="I94" i="37"/>
  <c r="G94" i="37"/>
  <c r="F94" i="37"/>
  <c r="N94" i="37" s="1"/>
  <c r="K93" i="37"/>
  <c r="K89" i="37" s="1"/>
  <c r="H93" i="37"/>
  <c r="H89" i="37" s="1"/>
  <c r="B93" i="37"/>
  <c r="K88" i="37"/>
  <c r="K87" i="37" s="1"/>
  <c r="H88" i="37"/>
  <c r="H87" i="37" s="1"/>
  <c r="B88" i="37"/>
  <c r="V87" i="37"/>
  <c r="U87" i="37"/>
  <c r="R87" i="37"/>
  <c r="Q87" i="37"/>
  <c r="J87" i="37"/>
  <c r="I87" i="37"/>
  <c r="G87" i="37"/>
  <c r="F87" i="37"/>
  <c r="N87" i="37" s="1"/>
  <c r="K81" i="37"/>
  <c r="H81" i="37"/>
  <c r="B81" i="37"/>
  <c r="K79" i="37"/>
  <c r="H79" i="37"/>
  <c r="B79" i="37"/>
  <c r="K78" i="37"/>
  <c r="H78" i="37"/>
  <c r="B78" i="37"/>
  <c r="K77" i="37"/>
  <c r="H77" i="37"/>
  <c r="B77" i="37"/>
  <c r="K76" i="37"/>
  <c r="H76" i="37"/>
  <c r="B76" i="37"/>
  <c r="K75" i="37"/>
  <c r="H75" i="37"/>
  <c r="B75" i="37"/>
  <c r="K74" i="37"/>
  <c r="H74" i="37"/>
  <c r="B74" i="37"/>
  <c r="K73" i="37"/>
  <c r="H73" i="37"/>
  <c r="B73" i="37"/>
  <c r="K72" i="37"/>
  <c r="H72" i="37"/>
  <c r="B72" i="37"/>
  <c r="K71" i="37"/>
  <c r="H71" i="37"/>
  <c r="B71" i="37"/>
  <c r="K70" i="37"/>
  <c r="H70" i="37"/>
  <c r="B70" i="37"/>
  <c r="V69" i="37"/>
  <c r="U69" i="37"/>
  <c r="R69" i="37"/>
  <c r="Q69" i="37"/>
  <c r="J69" i="37"/>
  <c r="I69" i="37"/>
  <c r="G69" i="37"/>
  <c r="F69" i="37"/>
  <c r="N69" i="37" s="1"/>
  <c r="K68" i="37"/>
  <c r="H68" i="37"/>
  <c r="B68" i="37"/>
  <c r="K67" i="37"/>
  <c r="H67" i="37"/>
  <c r="B67" i="37"/>
  <c r="K66" i="37"/>
  <c r="H66" i="37"/>
  <c r="B66" i="37"/>
  <c r="K65" i="37"/>
  <c r="H65" i="37"/>
  <c r="B65" i="37"/>
  <c r="K60" i="37"/>
  <c r="H60" i="37"/>
  <c r="B60" i="37"/>
  <c r="K59" i="37"/>
  <c r="H59" i="37"/>
  <c r="B59" i="37"/>
  <c r="K58" i="37"/>
  <c r="H58" i="37"/>
  <c r="B58" i="37"/>
  <c r="K57" i="37"/>
  <c r="H57" i="37"/>
  <c r="B57" i="37"/>
  <c r="K56" i="37"/>
  <c r="H56" i="37"/>
  <c r="B56" i="37"/>
  <c r="K55" i="37"/>
  <c r="H55" i="37"/>
  <c r="B55" i="37"/>
  <c r="K54" i="37"/>
  <c r="H54" i="37"/>
  <c r="B54" i="37"/>
  <c r="K53" i="37"/>
  <c r="H53" i="37"/>
  <c r="B53" i="37"/>
  <c r="K52" i="37"/>
  <c r="H52" i="37"/>
  <c r="B52" i="37"/>
  <c r="K51" i="37"/>
  <c r="H51" i="37"/>
  <c r="B51" i="37"/>
  <c r="K50" i="37"/>
  <c r="H50" i="37"/>
  <c r="B50" i="37"/>
  <c r="K49" i="37"/>
  <c r="H49" i="37"/>
  <c r="B49" i="37"/>
  <c r="K48" i="37"/>
  <c r="H48" i="37"/>
  <c r="B48" i="37"/>
  <c r="K47" i="37"/>
  <c r="H47" i="37"/>
  <c r="B47" i="37"/>
  <c r="K46" i="37"/>
  <c r="H46" i="37"/>
  <c r="B46" i="37"/>
  <c r="K45" i="37"/>
  <c r="H45" i="37"/>
  <c r="B45" i="37"/>
  <c r="K44" i="37"/>
  <c r="H44" i="37"/>
  <c r="B44" i="37"/>
  <c r="V43" i="37"/>
  <c r="U43" i="37"/>
  <c r="R43" i="37"/>
  <c r="Q43" i="37"/>
  <c r="J43" i="37"/>
  <c r="I43" i="37"/>
  <c r="G43" i="37"/>
  <c r="F43" i="37"/>
  <c r="V39" i="37"/>
  <c r="U39" i="37"/>
  <c r="K38" i="37"/>
  <c r="K35" i="37" s="1"/>
  <c r="H38" i="37"/>
  <c r="H35" i="37" s="1"/>
  <c r="B38" i="37"/>
  <c r="V35" i="37"/>
  <c r="U35" i="37"/>
  <c r="K31" i="37"/>
  <c r="H31" i="37"/>
  <c r="B31" i="37"/>
  <c r="K30" i="37"/>
  <c r="H30" i="37"/>
  <c r="B30" i="37"/>
  <c r="K29" i="37"/>
  <c r="H29" i="37"/>
  <c r="B29" i="37"/>
  <c r="V28" i="37"/>
  <c r="U28" i="37"/>
  <c r="J28" i="37"/>
  <c r="I28" i="37"/>
  <c r="G28" i="37"/>
  <c r="F28" i="37"/>
  <c r="N28" i="37" s="1"/>
  <c r="K26" i="37"/>
  <c r="K24" i="37" s="1"/>
  <c r="H26" i="37"/>
  <c r="H24" i="37" s="1"/>
  <c r="B26" i="37"/>
  <c r="V24" i="37"/>
  <c r="U24" i="37"/>
  <c r="K22" i="37"/>
  <c r="H22" i="37"/>
  <c r="B22" i="37"/>
  <c r="K21" i="37"/>
  <c r="H21" i="37"/>
  <c r="B21" i="37"/>
  <c r="K20" i="37"/>
  <c r="H20" i="37"/>
  <c r="B20" i="37"/>
  <c r="K19" i="37"/>
  <c r="H19" i="37"/>
  <c r="B19" i="37"/>
  <c r="V18" i="37"/>
  <c r="U18" i="37"/>
  <c r="R18" i="37"/>
  <c r="Q18" i="37"/>
  <c r="J18" i="37"/>
  <c r="I18" i="37"/>
  <c r="G18" i="37"/>
  <c r="F18" i="37"/>
  <c r="N18" i="37" s="1"/>
  <c r="K16" i="37"/>
  <c r="H16" i="37"/>
  <c r="B16" i="37"/>
  <c r="K15" i="37"/>
  <c r="H15" i="37"/>
  <c r="B15" i="37"/>
  <c r="V14" i="37"/>
  <c r="U14" i="37"/>
  <c r="R14" i="37"/>
  <c r="R13" i="37" s="1"/>
  <c r="Q14" i="37"/>
  <c r="J14" i="37"/>
  <c r="I14" i="37"/>
  <c r="G14" i="37"/>
  <c r="F14" i="37"/>
  <c r="N14" i="37" s="1"/>
  <c r="T88" i="36"/>
  <c r="O88" i="36"/>
  <c r="N88" i="36"/>
  <c r="K88" i="36"/>
  <c r="K87" i="36" s="1"/>
  <c r="H88" i="36"/>
  <c r="H87" i="36" s="1"/>
  <c r="B88" i="36"/>
  <c r="W87" i="36"/>
  <c r="V87" i="36"/>
  <c r="S87" i="36"/>
  <c r="R87" i="36"/>
  <c r="N87" i="36"/>
  <c r="M87" i="36"/>
  <c r="L87" i="36"/>
  <c r="J87" i="36"/>
  <c r="I87" i="36"/>
  <c r="G87" i="36"/>
  <c r="F87" i="36"/>
  <c r="T86" i="36"/>
  <c r="O86" i="36"/>
  <c r="N86" i="36"/>
  <c r="K86" i="36"/>
  <c r="H86" i="36"/>
  <c r="B86" i="36"/>
  <c r="T84" i="36"/>
  <c r="O84" i="36"/>
  <c r="N84" i="36"/>
  <c r="K84" i="36"/>
  <c r="H84" i="36"/>
  <c r="B84" i="36"/>
  <c r="T83" i="36"/>
  <c r="O83" i="36"/>
  <c r="N83" i="36"/>
  <c r="K83" i="36"/>
  <c r="H83" i="36"/>
  <c r="B83" i="36"/>
  <c r="T82" i="36"/>
  <c r="O82" i="36"/>
  <c r="N82" i="36"/>
  <c r="K82" i="36"/>
  <c r="H82" i="36"/>
  <c r="B82" i="36"/>
  <c r="T81" i="36"/>
  <c r="O81" i="36"/>
  <c r="N81" i="36"/>
  <c r="K81" i="36"/>
  <c r="H81" i="36"/>
  <c r="H80" i="36" s="1"/>
  <c r="H79" i="36" s="1"/>
  <c r="B81" i="36"/>
  <c r="W80" i="36"/>
  <c r="W79" i="36" s="1"/>
  <c r="V80" i="36"/>
  <c r="S80" i="36"/>
  <c r="S79" i="36" s="1"/>
  <c r="R80" i="36"/>
  <c r="M80" i="36"/>
  <c r="L80" i="36"/>
  <c r="L79" i="36" s="1"/>
  <c r="K80" i="36"/>
  <c r="J80" i="36"/>
  <c r="J79" i="36" s="1"/>
  <c r="F17" i="33" s="1"/>
  <c r="I80" i="36"/>
  <c r="G80" i="36"/>
  <c r="F80" i="36"/>
  <c r="F79" i="36" s="1"/>
  <c r="C17" i="33" s="1"/>
  <c r="T78" i="36"/>
  <c r="O78" i="36"/>
  <c r="N78" i="36"/>
  <c r="K78" i="36"/>
  <c r="H78" i="36"/>
  <c r="B78" i="36"/>
  <c r="T74" i="36"/>
  <c r="O74" i="36"/>
  <c r="N74" i="36"/>
  <c r="K74" i="36"/>
  <c r="H74" i="36"/>
  <c r="B74" i="36"/>
  <c r="T73" i="36"/>
  <c r="O73" i="36"/>
  <c r="N73" i="36"/>
  <c r="K73" i="36"/>
  <c r="H73" i="36"/>
  <c r="B73" i="36"/>
  <c r="W72" i="36"/>
  <c r="V72" i="36"/>
  <c r="S72" i="36"/>
  <c r="R72" i="36"/>
  <c r="N72" i="36"/>
  <c r="M72" i="36"/>
  <c r="L72" i="36"/>
  <c r="K72" i="36"/>
  <c r="J72" i="36"/>
  <c r="I72" i="36"/>
  <c r="G72" i="36"/>
  <c r="F72" i="36"/>
  <c r="T69" i="36"/>
  <c r="O69" i="36"/>
  <c r="N69" i="36"/>
  <c r="K69" i="36"/>
  <c r="K68" i="36" s="1"/>
  <c r="H69" i="36"/>
  <c r="H68" i="36" s="1"/>
  <c r="B69" i="36"/>
  <c r="W68" i="36"/>
  <c r="V68" i="36"/>
  <c r="S68" i="36"/>
  <c r="R68" i="36"/>
  <c r="N68" i="36"/>
  <c r="M68" i="36"/>
  <c r="L68" i="36"/>
  <c r="J68" i="36"/>
  <c r="I68" i="36"/>
  <c r="G68" i="36"/>
  <c r="F68" i="36"/>
  <c r="V67" i="36"/>
  <c r="T66" i="36"/>
  <c r="O66" i="36"/>
  <c r="N66" i="36"/>
  <c r="K66" i="36"/>
  <c r="K65" i="36" s="1"/>
  <c r="H66" i="36"/>
  <c r="B66" i="36"/>
  <c r="W65" i="36"/>
  <c r="V65" i="36"/>
  <c r="S65" i="36"/>
  <c r="R65" i="36"/>
  <c r="N65" i="36"/>
  <c r="M65" i="36"/>
  <c r="L65" i="36"/>
  <c r="J65" i="36"/>
  <c r="I65" i="36"/>
  <c r="H65" i="36"/>
  <c r="G65" i="36"/>
  <c r="F65" i="36"/>
  <c r="T64" i="36"/>
  <c r="O64" i="36"/>
  <c r="N64" i="36"/>
  <c r="N61" i="36" s="1"/>
  <c r="K64" i="36"/>
  <c r="K61" i="36" s="1"/>
  <c r="H64" i="36"/>
  <c r="H61" i="36" s="1"/>
  <c r="B64" i="36"/>
  <c r="T61" i="36"/>
  <c r="T60" i="36"/>
  <c r="O60" i="36"/>
  <c r="N60" i="36"/>
  <c r="K60" i="36"/>
  <c r="H60" i="36"/>
  <c r="B60" i="36"/>
  <c r="W59" i="36"/>
  <c r="W58" i="36" s="1"/>
  <c r="V59" i="36"/>
  <c r="S59" i="36"/>
  <c r="S58" i="36" s="1"/>
  <c r="R59" i="36"/>
  <c r="R58" i="36" s="1"/>
  <c r="N59" i="36"/>
  <c r="M59" i="36"/>
  <c r="L59" i="36"/>
  <c r="L58" i="36" s="1"/>
  <c r="K59" i="36"/>
  <c r="J59" i="36"/>
  <c r="J58" i="36" s="1"/>
  <c r="F15" i="33" s="1"/>
  <c r="I59" i="36"/>
  <c r="H59" i="36"/>
  <c r="G59" i="36"/>
  <c r="G58" i="36" s="1"/>
  <c r="F59" i="36"/>
  <c r="F58" i="36" s="1"/>
  <c r="C15" i="33" s="1"/>
  <c r="T57" i="36"/>
  <c r="O57" i="36"/>
  <c r="N57" i="36"/>
  <c r="K57" i="36"/>
  <c r="H57" i="36"/>
  <c r="B57" i="36"/>
  <c r="W56" i="36"/>
  <c r="V56" i="36"/>
  <c r="S56" i="36"/>
  <c r="R56" i="36"/>
  <c r="N56" i="36"/>
  <c r="M56" i="36"/>
  <c r="L56" i="36"/>
  <c r="K56" i="36"/>
  <c r="J56" i="36"/>
  <c r="I56" i="36"/>
  <c r="H56" i="36"/>
  <c r="G56" i="36"/>
  <c r="F56" i="36"/>
  <c r="T55" i="36"/>
  <c r="O55" i="36"/>
  <c r="N55" i="36"/>
  <c r="K55" i="36"/>
  <c r="H55" i="36"/>
  <c r="B55" i="36"/>
  <c r="T54" i="36"/>
  <c r="O54" i="36"/>
  <c r="N54" i="36"/>
  <c r="K54" i="36"/>
  <c r="H54" i="36"/>
  <c r="B54" i="36"/>
  <c r="T53" i="36"/>
  <c r="O53" i="36"/>
  <c r="N53" i="36"/>
  <c r="K53" i="36"/>
  <c r="H53" i="36"/>
  <c r="B53" i="36"/>
  <c r="T52" i="36"/>
  <c r="O52" i="36"/>
  <c r="N52" i="36"/>
  <c r="K52" i="36"/>
  <c r="H52" i="36"/>
  <c r="B52" i="36"/>
  <c r="T47" i="36"/>
  <c r="O47" i="36"/>
  <c r="N47" i="36"/>
  <c r="K47" i="36"/>
  <c r="H47" i="36"/>
  <c r="B47" i="36"/>
  <c r="T46" i="36"/>
  <c r="O46" i="36"/>
  <c r="N46" i="36"/>
  <c r="K46" i="36"/>
  <c r="H46" i="36"/>
  <c r="B46" i="36"/>
  <c r="T45" i="36"/>
  <c r="O45" i="36"/>
  <c r="N45" i="36"/>
  <c r="K45" i="36"/>
  <c r="H45" i="36"/>
  <c r="B45" i="36"/>
  <c r="T44" i="36"/>
  <c r="O44" i="36"/>
  <c r="N44" i="36"/>
  <c r="K44" i="36"/>
  <c r="H44" i="36"/>
  <c r="B44" i="36"/>
  <c r="T43" i="36"/>
  <c r="O43" i="36"/>
  <c r="N43" i="36"/>
  <c r="K43" i="36"/>
  <c r="H43" i="36"/>
  <c r="B43" i="36"/>
  <c r="T42" i="36"/>
  <c r="O42" i="36"/>
  <c r="N42" i="36"/>
  <c r="K42" i="36"/>
  <c r="H42" i="36"/>
  <c r="B42" i="36"/>
  <c r="T41" i="36"/>
  <c r="O41" i="36"/>
  <c r="N41" i="36"/>
  <c r="K41" i="36"/>
  <c r="H41" i="36"/>
  <c r="B41" i="36"/>
  <c r="T40" i="36"/>
  <c r="O40" i="36"/>
  <c r="N40" i="36"/>
  <c r="K40" i="36"/>
  <c r="H40" i="36"/>
  <c r="B40" i="36"/>
  <c r="T39" i="36"/>
  <c r="O39" i="36"/>
  <c r="N39" i="36"/>
  <c r="K39" i="36"/>
  <c r="H39" i="36"/>
  <c r="B39" i="36"/>
  <c r="T38" i="36"/>
  <c r="O38" i="36"/>
  <c r="N38" i="36"/>
  <c r="K38" i="36"/>
  <c r="H38" i="36"/>
  <c r="H37" i="36" s="1"/>
  <c r="H36" i="36" s="1"/>
  <c r="B38" i="36"/>
  <c r="W37" i="36"/>
  <c r="W36" i="36" s="1"/>
  <c r="V37" i="36"/>
  <c r="S37" i="36"/>
  <c r="S36" i="36" s="1"/>
  <c r="R37" i="36"/>
  <c r="M37" i="36"/>
  <c r="L37" i="36"/>
  <c r="L36" i="36" s="1"/>
  <c r="K37" i="36"/>
  <c r="J37" i="36"/>
  <c r="J36" i="36" s="1"/>
  <c r="F14" i="33" s="1"/>
  <c r="I37" i="36"/>
  <c r="G37" i="36"/>
  <c r="F37" i="36"/>
  <c r="F36" i="36" s="1"/>
  <c r="C14" i="33" s="1"/>
  <c r="T35" i="36"/>
  <c r="O35" i="36"/>
  <c r="N35" i="36"/>
  <c r="N33" i="36" s="1"/>
  <c r="K35" i="36"/>
  <c r="K33" i="36" s="1"/>
  <c r="H35" i="36"/>
  <c r="H33" i="36" s="1"/>
  <c r="B35" i="36"/>
  <c r="W33" i="36"/>
  <c r="V33" i="36"/>
  <c r="T33" i="36"/>
  <c r="T32" i="36"/>
  <c r="O32" i="36"/>
  <c r="N32" i="36"/>
  <c r="N29" i="36" s="1"/>
  <c r="K32" i="36"/>
  <c r="K29" i="36" s="1"/>
  <c r="H32" i="36"/>
  <c r="H29" i="36" s="1"/>
  <c r="B32" i="36"/>
  <c r="W29" i="36"/>
  <c r="V29" i="36"/>
  <c r="T28" i="36"/>
  <c r="O28" i="36"/>
  <c r="N28" i="36"/>
  <c r="K28" i="36"/>
  <c r="H28" i="36"/>
  <c r="B28" i="36"/>
  <c r="T24" i="36"/>
  <c r="O24" i="36"/>
  <c r="N24" i="36"/>
  <c r="K24" i="36"/>
  <c r="H24" i="36"/>
  <c r="B24" i="36"/>
  <c r="T23" i="36"/>
  <c r="O23" i="36"/>
  <c r="N23" i="36"/>
  <c r="K23" i="36"/>
  <c r="H23" i="36"/>
  <c r="B23" i="36"/>
  <c r="T22" i="36"/>
  <c r="O22" i="36"/>
  <c r="N22" i="36"/>
  <c r="K22" i="36"/>
  <c r="H22" i="36"/>
  <c r="B22" i="36"/>
  <c r="W21" i="36"/>
  <c r="V21" i="36"/>
  <c r="S21" i="36"/>
  <c r="R21" i="36"/>
  <c r="R20" i="36" s="1"/>
  <c r="N21" i="36"/>
  <c r="M21" i="36"/>
  <c r="M20" i="36" s="1"/>
  <c r="E14" i="48" s="1"/>
  <c r="L21" i="36"/>
  <c r="K21" i="36"/>
  <c r="J21" i="36"/>
  <c r="I21" i="36"/>
  <c r="G21" i="36"/>
  <c r="G20" i="36" s="1"/>
  <c r="F21" i="36"/>
  <c r="T16" i="36"/>
  <c r="O16" i="36"/>
  <c r="N16" i="36"/>
  <c r="K16" i="36"/>
  <c r="H16" i="36"/>
  <c r="B16" i="36"/>
  <c r="T15" i="36"/>
  <c r="O15" i="36"/>
  <c r="N15" i="36"/>
  <c r="K15" i="36"/>
  <c r="H15" i="36"/>
  <c r="B15" i="36"/>
  <c r="T14" i="36"/>
  <c r="O14" i="36"/>
  <c r="N14" i="36"/>
  <c r="K14" i="36"/>
  <c r="H14" i="36"/>
  <c r="B14" i="36"/>
  <c r="T13" i="36"/>
  <c r="O13" i="36"/>
  <c r="N13" i="36"/>
  <c r="K13" i="36"/>
  <c r="K12" i="36" s="1"/>
  <c r="K11" i="36" s="1"/>
  <c r="H13" i="36"/>
  <c r="B13" i="36"/>
  <c r="W12" i="36"/>
  <c r="W11" i="36" s="1"/>
  <c r="V12" i="36"/>
  <c r="V11" i="36" s="1"/>
  <c r="S12" i="36"/>
  <c r="R12" i="36"/>
  <c r="R11" i="36" s="1"/>
  <c r="N12" i="36"/>
  <c r="N11" i="36" s="1"/>
  <c r="M12" i="36"/>
  <c r="M11" i="36" s="1"/>
  <c r="E12" i="48" s="1"/>
  <c r="L12" i="36"/>
  <c r="L11" i="36" s="1"/>
  <c r="J12" i="36"/>
  <c r="J11" i="36" s="1"/>
  <c r="F11" i="33" s="1"/>
  <c r="I12" i="36"/>
  <c r="G12" i="36"/>
  <c r="G11" i="36" s="1"/>
  <c r="F12" i="36"/>
  <c r="F11" i="36" s="1"/>
  <c r="C11" i="33" s="1"/>
  <c r="S11" i="36"/>
  <c r="T10" i="36"/>
  <c r="O10" i="36"/>
  <c r="N10" i="36"/>
  <c r="K10" i="36"/>
  <c r="H10" i="36"/>
  <c r="B10" i="36"/>
  <c r="T9" i="36"/>
  <c r="O9" i="36"/>
  <c r="K9" i="36"/>
  <c r="H9" i="36"/>
  <c r="B9" i="36"/>
  <c r="W8" i="36"/>
  <c r="W7" i="36" s="1"/>
  <c r="V8" i="36"/>
  <c r="V7" i="36" s="1"/>
  <c r="S8" i="36"/>
  <c r="S7" i="36" s="1"/>
  <c r="R8" i="36"/>
  <c r="R7" i="36" s="1"/>
  <c r="N8" i="36"/>
  <c r="N7" i="36" s="1"/>
  <c r="M8" i="36"/>
  <c r="M7" i="36" s="1"/>
  <c r="E11" i="48" s="1"/>
  <c r="L8" i="36"/>
  <c r="L7" i="36" s="1"/>
  <c r="J8" i="36"/>
  <c r="J7" i="36" s="1"/>
  <c r="F10" i="33" s="1"/>
  <c r="I8" i="36"/>
  <c r="G8" i="36"/>
  <c r="G7" i="36" s="1"/>
  <c r="F8" i="36"/>
  <c r="F7" i="36" s="1"/>
  <c r="C10" i="33" s="1"/>
  <c r="K8" i="36" l="1"/>
  <c r="K7" i="36" s="1"/>
  <c r="N37" i="36"/>
  <c r="N36" i="36" s="1"/>
  <c r="V58" i="36"/>
  <c r="N80" i="36"/>
  <c r="N79" i="36" s="1"/>
  <c r="H12" i="36"/>
  <c r="H11" i="36" s="1"/>
  <c r="I58" i="36"/>
  <c r="M58" i="36"/>
  <c r="E16" i="48" s="1"/>
  <c r="K14" i="37"/>
  <c r="H28" i="37"/>
  <c r="S97" i="37"/>
  <c r="H101" i="37"/>
  <c r="S118" i="37"/>
  <c r="K118" i="37"/>
  <c r="H118" i="37"/>
  <c r="H43" i="37"/>
  <c r="H109" i="37"/>
  <c r="U108" i="37"/>
  <c r="G108" i="37"/>
  <c r="J108" i="37"/>
  <c r="K17" i="33" s="1"/>
  <c r="V108" i="37"/>
  <c r="G13" i="48"/>
  <c r="M17" i="37"/>
  <c r="F14" i="48"/>
  <c r="H14" i="48" s="1"/>
  <c r="L23" i="37"/>
  <c r="H14" i="37"/>
  <c r="H108" i="37" s="1"/>
  <c r="H96" i="37" s="1"/>
  <c r="H86" i="37" s="1"/>
  <c r="H18" i="37"/>
  <c r="K28" i="37"/>
  <c r="K69" i="37"/>
  <c r="K101" i="37"/>
  <c r="D12" i="48"/>
  <c r="D15" i="48"/>
  <c r="D18" i="48"/>
  <c r="D11" i="48"/>
  <c r="D16" i="48"/>
  <c r="K20" i="36"/>
  <c r="V20" i="36"/>
  <c r="V18" i="36" s="1"/>
  <c r="V17" i="36" s="1"/>
  <c r="S14" i="37"/>
  <c r="S18" i="37"/>
  <c r="S43" i="37"/>
  <c r="N43" i="37"/>
  <c r="S87" i="37"/>
  <c r="Q108" i="37"/>
  <c r="Q96" i="37" s="1"/>
  <c r="S109" i="37"/>
  <c r="S69" i="37"/>
  <c r="S94" i="37"/>
  <c r="S101" i="37"/>
  <c r="K18" i="37"/>
  <c r="K43" i="37"/>
  <c r="H72" i="36"/>
  <c r="H67" i="36" s="1"/>
  <c r="R108" i="37"/>
  <c r="R96" i="37" s="1"/>
  <c r="K109" i="37"/>
  <c r="H69" i="37"/>
  <c r="H21" i="36"/>
  <c r="H20" i="36" s="1"/>
  <c r="G67" i="36"/>
  <c r="M67" i="36"/>
  <c r="E17" i="48" s="1"/>
  <c r="V96" i="37"/>
  <c r="V86" i="37" s="1"/>
  <c r="V42" i="37" s="1"/>
  <c r="F108" i="37"/>
  <c r="N108" i="37" s="1"/>
  <c r="G36" i="36"/>
  <c r="K36" i="36"/>
  <c r="M36" i="36"/>
  <c r="E15" i="48" s="1"/>
  <c r="R36" i="36"/>
  <c r="V36" i="36"/>
  <c r="H58" i="36"/>
  <c r="G79" i="36"/>
  <c r="T80" i="36"/>
  <c r="K79" i="36"/>
  <c r="M79" i="36"/>
  <c r="E18" i="48" s="1"/>
  <c r="R79" i="36"/>
  <c r="V79" i="36"/>
  <c r="H8" i="36"/>
  <c r="H7" i="36" s="1"/>
  <c r="F20" i="36"/>
  <c r="C13" i="33" s="1"/>
  <c r="J20" i="36"/>
  <c r="F13" i="33" s="1"/>
  <c r="L20" i="36"/>
  <c r="N20" i="36"/>
  <c r="S20" i="36"/>
  <c r="W20" i="36"/>
  <c r="W18" i="36" s="1"/>
  <c r="W17" i="36" s="1"/>
  <c r="T37" i="36"/>
  <c r="T12" i="36"/>
  <c r="T8" i="36"/>
  <c r="T21" i="36"/>
  <c r="I20" i="36"/>
  <c r="G96" i="37"/>
  <c r="G86" i="37" s="1"/>
  <c r="G42" i="37" s="1"/>
  <c r="G27" i="37" s="1"/>
  <c r="G23" i="37" s="1"/>
  <c r="G17" i="37" s="1"/>
  <c r="G13" i="37" s="1"/>
  <c r="G10" i="37" s="1"/>
  <c r="G7" i="37" s="1"/>
  <c r="J96" i="37"/>
  <c r="K16" i="33" s="1"/>
  <c r="U96" i="37"/>
  <c r="U86" i="37" s="1"/>
  <c r="U42" i="37" s="1"/>
  <c r="R67" i="36"/>
  <c r="K67" i="36"/>
  <c r="F67" i="36"/>
  <c r="C16" i="33" s="1"/>
  <c r="J67" i="36"/>
  <c r="F16" i="33" s="1"/>
  <c r="L67" i="36"/>
  <c r="N67" i="36"/>
  <c r="S67" i="36"/>
  <c r="S6" i="36" s="1"/>
  <c r="W67" i="36"/>
  <c r="T72" i="36"/>
  <c r="K58" i="36"/>
  <c r="I67" i="36"/>
  <c r="E16" i="33" s="1"/>
  <c r="N58" i="36"/>
  <c r="I108" i="37"/>
  <c r="I96" i="37" s="1"/>
  <c r="I86" i="37" s="1"/>
  <c r="I42" i="37" s="1"/>
  <c r="I27" i="37" s="1"/>
  <c r="I23" i="37" s="1"/>
  <c r="I17" i="37" s="1"/>
  <c r="I13" i="37" s="1"/>
  <c r="I10" i="37" s="1"/>
  <c r="I7" i="37" s="1"/>
  <c r="T58" i="36"/>
  <c r="E15" i="33"/>
  <c r="D15" i="33" s="1"/>
  <c r="G15" i="33" s="1"/>
  <c r="I7" i="36"/>
  <c r="I11" i="36"/>
  <c r="T29" i="36"/>
  <c r="I36" i="36"/>
  <c r="T56" i="36"/>
  <c r="T59" i="36"/>
  <c r="T65" i="36"/>
  <c r="T68" i="36"/>
  <c r="I79" i="36"/>
  <c r="T87" i="36"/>
  <c r="I595" i="35"/>
  <c r="M595" i="35" s="1"/>
  <c r="I594" i="35"/>
  <c r="M594" i="35" s="1"/>
  <c r="I593" i="35"/>
  <c r="M593" i="35" s="1"/>
  <c r="R585" i="35"/>
  <c r="Q585" i="35"/>
  <c r="H585" i="35"/>
  <c r="G585" i="35"/>
  <c r="F585" i="35"/>
  <c r="L585" i="35" s="1"/>
  <c r="I582" i="35"/>
  <c r="M582" i="35" s="1"/>
  <c r="I581" i="35"/>
  <c r="M581" i="35" s="1"/>
  <c r="I580" i="35"/>
  <c r="M580" i="35" s="1"/>
  <c r="I579" i="35"/>
  <c r="M579" i="35" s="1"/>
  <c r="I578" i="35"/>
  <c r="M578" i="35" s="1"/>
  <c r="I577" i="35"/>
  <c r="M577" i="35" s="1"/>
  <c r="I576" i="35"/>
  <c r="M576" i="35" s="1"/>
  <c r="I575" i="35"/>
  <c r="M575" i="35" s="1"/>
  <c r="I574" i="35"/>
  <c r="M574" i="35" s="1"/>
  <c r="I573" i="35"/>
  <c r="M573" i="35" s="1"/>
  <c r="R572" i="35"/>
  <c r="R533" i="35" s="1"/>
  <c r="Q572" i="35"/>
  <c r="H572" i="35"/>
  <c r="G572" i="35"/>
  <c r="G533" i="35" s="1"/>
  <c r="L572" i="35"/>
  <c r="I569" i="35"/>
  <c r="M569" i="35" s="1"/>
  <c r="I568" i="35"/>
  <c r="M568" i="35" s="1"/>
  <c r="I567" i="35"/>
  <c r="M567" i="35" s="1"/>
  <c r="I566" i="35"/>
  <c r="M566" i="35" s="1"/>
  <c r="I563" i="35"/>
  <c r="M563" i="35" s="1"/>
  <c r="I562" i="35"/>
  <c r="M562" i="35" s="1"/>
  <c r="I556" i="35"/>
  <c r="M556" i="35" s="1"/>
  <c r="I555" i="35"/>
  <c r="M555" i="35" s="1"/>
  <c r="I554" i="35"/>
  <c r="M554" i="35" s="1"/>
  <c r="I551" i="35"/>
  <c r="M551" i="35" s="1"/>
  <c r="I550" i="35"/>
  <c r="M550" i="35" s="1"/>
  <c r="I542" i="35"/>
  <c r="M542" i="35" s="1"/>
  <c r="I541" i="35"/>
  <c r="M541" i="35" s="1"/>
  <c r="I540" i="35"/>
  <c r="M540" i="35" s="1"/>
  <c r="I539" i="35"/>
  <c r="M539" i="35" s="1"/>
  <c r="I538" i="35"/>
  <c r="M538" i="35" s="1"/>
  <c r="I537" i="35"/>
  <c r="M537" i="35" s="1"/>
  <c r="I536" i="35"/>
  <c r="M536" i="35" s="1"/>
  <c r="I535" i="35"/>
  <c r="M535" i="35" s="1"/>
  <c r="I534" i="35"/>
  <c r="M534" i="35" s="1"/>
  <c r="Q533" i="35"/>
  <c r="H533" i="35"/>
  <c r="F533" i="35"/>
  <c r="I527" i="35"/>
  <c r="M527" i="35" s="1"/>
  <c r="I526" i="35"/>
  <c r="M526" i="35" s="1"/>
  <c r="I525" i="35"/>
  <c r="M525" i="35" s="1"/>
  <c r="I524" i="35"/>
  <c r="M524" i="35" s="1"/>
  <c r="I523" i="35"/>
  <c r="M523" i="35" s="1"/>
  <c r="I522" i="35"/>
  <c r="M522" i="35" s="1"/>
  <c r="I521" i="35"/>
  <c r="M521" i="35" s="1"/>
  <c r="R520" i="35"/>
  <c r="Q520" i="35"/>
  <c r="H520" i="35"/>
  <c r="G520" i="35"/>
  <c r="F520" i="35"/>
  <c r="L520" i="35" s="1"/>
  <c r="I519" i="35"/>
  <c r="M519" i="35" s="1"/>
  <c r="I518" i="35"/>
  <c r="M518" i="35" s="1"/>
  <c r="I517" i="35"/>
  <c r="M517" i="35" s="1"/>
  <c r="I516" i="35"/>
  <c r="M516" i="35" s="1"/>
  <c r="I515" i="35"/>
  <c r="M515" i="35" s="1"/>
  <c r="I514" i="35"/>
  <c r="M514" i="35" s="1"/>
  <c r="I513" i="35"/>
  <c r="M513" i="35" s="1"/>
  <c r="I512" i="35"/>
  <c r="M512" i="35" s="1"/>
  <c r="I511" i="35"/>
  <c r="M511" i="35" s="1"/>
  <c r="I510" i="35"/>
  <c r="M510" i="35" s="1"/>
  <c r="R509" i="35"/>
  <c r="Q509" i="35"/>
  <c r="H509" i="35"/>
  <c r="G509" i="35"/>
  <c r="F509" i="35"/>
  <c r="L509" i="35" s="1"/>
  <c r="R493" i="35"/>
  <c r="Q493" i="35"/>
  <c r="H493" i="35"/>
  <c r="G493" i="35"/>
  <c r="F493" i="35"/>
  <c r="L493" i="35" s="1"/>
  <c r="R479" i="35"/>
  <c r="Q479" i="35"/>
  <c r="H479" i="35"/>
  <c r="G479" i="35"/>
  <c r="F479" i="35"/>
  <c r="L479" i="35" s="1"/>
  <c r="R468" i="35"/>
  <c r="Q468" i="35"/>
  <c r="H468" i="35"/>
  <c r="G468" i="35"/>
  <c r="F468" i="35"/>
  <c r="L468" i="35" s="1"/>
  <c r="I461" i="35"/>
  <c r="M461" i="35" s="1"/>
  <c r="I460" i="35"/>
  <c r="M460" i="35" s="1"/>
  <c r="I459" i="35"/>
  <c r="M459" i="35" s="1"/>
  <c r="I458" i="35"/>
  <c r="M458" i="35" s="1"/>
  <c r="I457" i="35"/>
  <c r="M457" i="35" s="1"/>
  <c r="I456" i="35"/>
  <c r="I454" i="35"/>
  <c r="M454" i="35" s="1"/>
  <c r="I453" i="35"/>
  <c r="M453" i="35" s="1"/>
  <c r="H452" i="35"/>
  <c r="G452" i="35"/>
  <c r="F452" i="35"/>
  <c r="I451" i="35"/>
  <c r="M451" i="35" s="1"/>
  <c r="I449" i="35"/>
  <c r="M449" i="35" s="1"/>
  <c r="I448" i="35"/>
  <c r="M448" i="35" s="1"/>
  <c r="R447" i="35"/>
  <c r="Q447" i="35"/>
  <c r="H447" i="35"/>
  <c r="G447" i="35"/>
  <c r="F447" i="35"/>
  <c r="L447" i="35" s="1"/>
  <c r="I445" i="35"/>
  <c r="M445" i="35" s="1"/>
  <c r="I444" i="35"/>
  <c r="M444" i="35" s="1"/>
  <c r="I443" i="35"/>
  <c r="M443" i="35" s="1"/>
  <c r="I442" i="35"/>
  <c r="M442" i="35" s="1"/>
  <c r="I441" i="35"/>
  <c r="M441" i="35" s="1"/>
  <c r="I440" i="35"/>
  <c r="M440" i="35" s="1"/>
  <c r="R439" i="35"/>
  <c r="Q439" i="35"/>
  <c r="H439" i="35"/>
  <c r="G439" i="35"/>
  <c r="F439" i="35"/>
  <c r="L439" i="35" s="1"/>
  <c r="I437" i="35"/>
  <c r="S436" i="35"/>
  <c r="I431" i="35"/>
  <c r="M431" i="35" s="1"/>
  <c r="I430" i="35"/>
  <c r="M430" i="35" s="1"/>
  <c r="I429" i="35"/>
  <c r="M429" i="35" s="1"/>
  <c r="I428" i="35"/>
  <c r="M428" i="35" s="1"/>
  <c r="I427" i="35"/>
  <c r="M427" i="35" s="1"/>
  <c r="I426" i="35"/>
  <c r="M426" i="35" s="1"/>
  <c r="I425" i="35"/>
  <c r="M425" i="35" s="1"/>
  <c r="R424" i="35"/>
  <c r="Q424" i="35"/>
  <c r="H424" i="35"/>
  <c r="G424" i="35"/>
  <c r="L424" i="35"/>
  <c r="I422" i="35"/>
  <c r="M422" i="35" s="1"/>
  <c r="I420" i="35"/>
  <c r="M420" i="35" s="1"/>
  <c r="I419" i="35"/>
  <c r="M419" i="35" s="1"/>
  <c r="I418" i="35"/>
  <c r="M418" i="35" s="1"/>
  <c r="I417" i="35"/>
  <c r="M417" i="35" s="1"/>
  <c r="I412" i="35"/>
  <c r="M412" i="35" s="1"/>
  <c r="I411" i="35"/>
  <c r="M411" i="35" s="1"/>
  <c r="I410" i="35"/>
  <c r="M410" i="35" s="1"/>
  <c r="I409" i="35"/>
  <c r="M409" i="35" s="1"/>
  <c r="I405" i="35"/>
  <c r="M405" i="35" s="1"/>
  <c r="I403" i="35"/>
  <c r="M403" i="35" s="1"/>
  <c r="I402" i="35"/>
  <c r="M402" i="35" s="1"/>
  <c r="I400" i="35"/>
  <c r="M400" i="35" s="1"/>
  <c r="I399" i="35"/>
  <c r="M399" i="35" s="1"/>
  <c r="I398" i="35"/>
  <c r="M398" i="35" s="1"/>
  <c r="I397" i="35"/>
  <c r="M397" i="35" s="1"/>
  <c r="I396" i="35"/>
  <c r="M396" i="35" s="1"/>
  <c r="I395" i="35"/>
  <c r="M395" i="35" s="1"/>
  <c r="I394" i="35"/>
  <c r="M394" i="35" s="1"/>
  <c r="R393" i="35"/>
  <c r="Q393" i="35"/>
  <c r="H393" i="35"/>
  <c r="G393" i="35"/>
  <c r="F393" i="35"/>
  <c r="L393" i="35" s="1"/>
  <c r="I389" i="35"/>
  <c r="M389" i="35" s="1"/>
  <c r="I388" i="35"/>
  <c r="M388" i="35" s="1"/>
  <c r="I387" i="35"/>
  <c r="M387" i="35" s="1"/>
  <c r="I386" i="35"/>
  <c r="M386" i="35" s="1"/>
  <c r="I385" i="35"/>
  <c r="M385" i="35" s="1"/>
  <c r="I384" i="35"/>
  <c r="M384" i="35" s="1"/>
  <c r="I383" i="35"/>
  <c r="M383" i="35" s="1"/>
  <c r="I382" i="35"/>
  <c r="M382" i="35" s="1"/>
  <c r="R381" i="35"/>
  <c r="Q381" i="35"/>
  <c r="H381" i="35"/>
  <c r="G381" i="35"/>
  <c r="F381" i="35"/>
  <c r="L381" i="35" s="1"/>
  <c r="I380" i="35"/>
  <c r="M380" i="35" s="1"/>
  <c r="I379" i="35"/>
  <c r="M379" i="35" s="1"/>
  <c r="I378" i="35"/>
  <c r="M378" i="35" s="1"/>
  <c r="I377" i="35"/>
  <c r="M377" i="35" s="1"/>
  <c r="I376" i="35"/>
  <c r="M376" i="35" s="1"/>
  <c r="I375" i="35"/>
  <c r="M375" i="35" s="1"/>
  <c r="I374" i="35"/>
  <c r="M374" i="35" s="1"/>
  <c r="I373" i="35"/>
  <c r="M373" i="35" s="1"/>
  <c r="I372" i="35"/>
  <c r="M372" i="35" s="1"/>
  <c r="I371" i="35"/>
  <c r="M371" i="35" s="1"/>
  <c r="I370" i="35"/>
  <c r="M370" i="35" s="1"/>
  <c r="I369" i="35"/>
  <c r="M369" i="35" s="1"/>
  <c r="I368" i="35"/>
  <c r="M368" i="35" s="1"/>
  <c r="I367" i="35"/>
  <c r="M367" i="35" s="1"/>
  <c r="I366" i="35"/>
  <c r="M366" i="35" s="1"/>
  <c r="R365" i="35"/>
  <c r="Q365" i="35"/>
  <c r="H365" i="35"/>
  <c r="G365" i="35"/>
  <c r="F365" i="35"/>
  <c r="L365" i="35" s="1"/>
  <c r="I360" i="35"/>
  <c r="M360" i="35" s="1"/>
  <c r="I359" i="35"/>
  <c r="M359" i="35" s="1"/>
  <c r="I358" i="35"/>
  <c r="M358" i="35" s="1"/>
  <c r="I357" i="35"/>
  <c r="M357" i="35" s="1"/>
  <c r="I356" i="35"/>
  <c r="M356" i="35" s="1"/>
  <c r="I355" i="35"/>
  <c r="M355" i="35" s="1"/>
  <c r="I354" i="35"/>
  <c r="M354" i="35" s="1"/>
  <c r="I353" i="35"/>
  <c r="M353" i="35" s="1"/>
  <c r="I352" i="35"/>
  <c r="M352" i="35" s="1"/>
  <c r="I351" i="35"/>
  <c r="M351" i="35" s="1"/>
  <c r="I350" i="35"/>
  <c r="M350" i="35" s="1"/>
  <c r="I349" i="35"/>
  <c r="M349" i="35" s="1"/>
  <c r="I344" i="35"/>
  <c r="M344" i="35" s="1"/>
  <c r="I343" i="35"/>
  <c r="M343" i="35" s="1"/>
  <c r="I342" i="35"/>
  <c r="M342" i="35" s="1"/>
  <c r="I340" i="35"/>
  <c r="M340" i="35" s="1"/>
  <c r="R339" i="35"/>
  <c r="Q339" i="35"/>
  <c r="H339" i="35"/>
  <c r="G339" i="35"/>
  <c r="F339" i="35"/>
  <c r="I331" i="35"/>
  <c r="M331" i="35" s="1"/>
  <c r="I330" i="35"/>
  <c r="M330" i="35" s="1"/>
  <c r="I329" i="35"/>
  <c r="M329" i="35" s="1"/>
  <c r="I326" i="35"/>
  <c r="M326" i="35" s="1"/>
  <c r="I325" i="35"/>
  <c r="M325" i="35" s="1"/>
  <c r="I324" i="35"/>
  <c r="M324" i="35" s="1"/>
  <c r="I319" i="35"/>
  <c r="M319" i="35" s="1"/>
  <c r="I311" i="35"/>
  <c r="M311" i="35" s="1"/>
  <c r="I310" i="35"/>
  <c r="M310" i="35" s="1"/>
  <c r="I309" i="35"/>
  <c r="M309" i="35" s="1"/>
  <c r="I308" i="35"/>
  <c r="M308" i="35" s="1"/>
  <c r="I307" i="35"/>
  <c r="M307" i="35" s="1"/>
  <c r="I306" i="35"/>
  <c r="M306" i="35" s="1"/>
  <c r="I305" i="35"/>
  <c r="M305" i="35" s="1"/>
  <c r="I304" i="35"/>
  <c r="M304" i="35" s="1"/>
  <c r="I303" i="35"/>
  <c r="M303" i="35" s="1"/>
  <c r="I302" i="35"/>
  <c r="M302" i="35" s="1"/>
  <c r="I301" i="35"/>
  <c r="M301" i="35" s="1"/>
  <c r="I300" i="35"/>
  <c r="M300" i="35" s="1"/>
  <c r="R299" i="35"/>
  <c r="R298" i="35" s="1"/>
  <c r="Q299" i="35"/>
  <c r="H299" i="35"/>
  <c r="G299" i="35"/>
  <c r="F299" i="35"/>
  <c r="L299" i="35" s="1"/>
  <c r="I295" i="35"/>
  <c r="M295" i="35" s="1"/>
  <c r="I294" i="35"/>
  <c r="M294" i="35" s="1"/>
  <c r="I293" i="35"/>
  <c r="M293" i="35" s="1"/>
  <c r="R292" i="35"/>
  <c r="Q292" i="35"/>
  <c r="H292" i="35"/>
  <c r="G292" i="35"/>
  <c r="F292" i="35"/>
  <c r="L292" i="35" s="1"/>
  <c r="I291" i="35"/>
  <c r="M291" i="35" s="1"/>
  <c r="I290" i="35"/>
  <c r="M290" i="35" s="1"/>
  <c r="I289" i="35"/>
  <c r="M289" i="35" s="1"/>
  <c r="I288" i="35"/>
  <c r="M288" i="35" s="1"/>
  <c r="I287" i="35"/>
  <c r="M287" i="35" s="1"/>
  <c r="I286" i="35"/>
  <c r="M286" i="35" s="1"/>
  <c r="I285" i="35"/>
  <c r="M285" i="35" s="1"/>
  <c r="I284" i="35"/>
  <c r="M284" i="35" s="1"/>
  <c r="I283" i="35"/>
  <c r="M283" i="35" s="1"/>
  <c r="I282" i="35"/>
  <c r="M282" i="35" s="1"/>
  <c r="I281" i="35"/>
  <c r="M281" i="35" s="1"/>
  <c r="R280" i="35"/>
  <c r="Q280" i="35"/>
  <c r="H280" i="35"/>
  <c r="G280" i="35"/>
  <c r="F280" i="35"/>
  <c r="L280" i="35" s="1"/>
  <c r="I279" i="35"/>
  <c r="M279" i="35" s="1"/>
  <c r="I277" i="35"/>
  <c r="M277" i="35" s="1"/>
  <c r="R276" i="35"/>
  <c r="Q276" i="35"/>
  <c r="H276" i="35"/>
  <c r="G276" i="35"/>
  <c r="F276" i="35"/>
  <c r="L276" i="35" s="1"/>
  <c r="I275" i="35"/>
  <c r="M275" i="35" s="1"/>
  <c r="I274" i="35"/>
  <c r="M274" i="35" s="1"/>
  <c r="I273" i="35"/>
  <c r="M273" i="35" s="1"/>
  <c r="I272" i="35"/>
  <c r="M272" i="35" s="1"/>
  <c r="I271" i="35"/>
  <c r="M271" i="35" s="1"/>
  <c r="I270" i="35"/>
  <c r="M270" i="35" s="1"/>
  <c r="I269" i="35"/>
  <c r="M269" i="35" s="1"/>
  <c r="I268" i="35"/>
  <c r="M268" i="35" s="1"/>
  <c r="I267" i="35"/>
  <c r="M267" i="35" s="1"/>
  <c r="I266" i="35"/>
  <c r="M266" i="35" s="1"/>
  <c r="I265" i="35"/>
  <c r="M265" i="35" s="1"/>
  <c r="I264" i="35"/>
  <c r="M264" i="35" s="1"/>
  <c r="I263" i="35"/>
  <c r="M263" i="35" s="1"/>
  <c r="I262" i="35"/>
  <c r="M262" i="35" s="1"/>
  <c r="I261" i="35"/>
  <c r="M261" i="35" s="1"/>
  <c r="I260" i="35"/>
  <c r="M260" i="35" s="1"/>
  <c r="I259" i="35"/>
  <c r="M259" i="35" s="1"/>
  <c r="I258" i="35"/>
  <c r="M258" i="35" s="1"/>
  <c r="I257" i="35"/>
  <c r="M257" i="35" s="1"/>
  <c r="I256" i="35"/>
  <c r="M256" i="35" s="1"/>
  <c r="I255" i="35"/>
  <c r="M255" i="35" s="1"/>
  <c r="I254" i="35"/>
  <c r="M254" i="35" s="1"/>
  <c r="I253" i="35"/>
  <c r="M253" i="35" s="1"/>
  <c r="I252" i="35"/>
  <c r="M252" i="35" s="1"/>
  <c r="I251" i="35"/>
  <c r="M251" i="35" s="1"/>
  <c r="I250" i="35"/>
  <c r="M250" i="35" s="1"/>
  <c r="I249" i="35"/>
  <c r="M249" i="35" s="1"/>
  <c r="I248" i="35"/>
  <c r="M248" i="35" s="1"/>
  <c r="I247" i="35"/>
  <c r="M247" i="35" s="1"/>
  <c r="I246" i="35"/>
  <c r="M246" i="35" s="1"/>
  <c r="I245" i="35"/>
  <c r="M245" i="35" s="1"/>
  <c r="I244" i="35"/>
  <c r="M244" i="35" s="1"/>
  <c r="I243" i="35"/>
  <c r="M243" i="35" s="1"/>
  <c r="I242" i="35"/>
  <c r="M242" i="35" s="1"/>
  <c r="I241" i="35"/>
  <c r="M241" i="35" s="1"/>
  <c r="I240" i="35"/>
  <c r="M240" i="35" s="1"/>
  <c r="I239" i="35"/>
  <c r="M239" i="35" s="1"/>
  <c r="I238" i="35"/>
  <c r="M238" i="35" s="1"/>
  <c r="I237" i="35"/>
  <c r="M237" i="35" s="1"/>
  <c r="R236" i="35"/>
  <c r="Q236" i="35"/>
  <c r="H236" i="35"/>
  <c r="G236" i="35"/>
  <c r="F236" i="35"/>
  <c r="L236" i="35" s="1"/>
  <c r="I235" i="35"/>
  <c r="M235" i="35" s="1"/>
  <c r="I234" i="35"/>
  <c r="M234" i="35" s="1"/>
  <c r="I233" i="35"/>
  <c r="M233" i="35" s="1"/>
  <c r="I232" i="35"/>
  <c r="M232" i="35" s="1"/>
  <c r="I231" i="35"/>
  <c r="M231" i="35" s="1"/>
  <c r="I230" i="35"/>
  <c r="M230" i="35" s="1"/>
  <c r="I229" i="35"/>
  <c r="M229" i="35" s="1"/>
  <c r="I228" i="35"/>
  <c r="M228" i="35" s="1"/>
  <c r="I227" i="35"/>
  <c r="M227" i="35" s="1"/>
  <c r="I226" i="35"/>
  <c r="M226" i="35" s="1"/>
  <c r="I225" i="35"/>
  <c r="M225" i="35" s="1"/>
  <c r="I224" i="35"/>
  <c r="M224" i="35" s="1"/>
  <c r="I223" i="35"/>
  <c r="M223" i="35" s="1"/>
  <c r="I222" i="35"/>
  <c r="M222" i="35" s="1"/>
  <c r="I221" i="35"/>
  <c r="M221" i="35" s="1"/>
  <c r="I220" i="35"/>
  <c r="M220" i="35" s="1"/>
  <c r="I219" i="35"/>
  <c r="M219" i="35" s="1"/>
  <c r="I218" i="35"/>
  <c r="M218" i="35" s="1"/>
  <c r="I217" i="35"/>
  <c r="M217" i="35" s="1"/>
  <c r="I216" i="35"/>
  <c r="M216" i="35" s="1"/>
  <c r="I215" i="35"/>
  <c r="M215" i="35" s="1"/>
  <c r="I214" i="35"/>
  <c r="M214" i="35" s="1"/>
  <c r="I213" i="35"/>
  <c r="M213" i="35" s="1"/>
  <c r="I212" i="35"/>
  <c r="M212" i="35" s="1"/>
  <c r="I211" i="35"/>
  <c r="M211" i="35" s="1"/>
  <c r="I210" i="35"/>
  <c r="M210" i="35" s="1"/>
  <c r="I209" i="35"/>
  <c r="M209" i="35" s="1"/>
  <c r="I208" i="35"/>
  <c r="M208" i="35" s="1"/>
  <c r="I207" i="35"/>
  <c r="M207" i="35" s="1"/>
  <c r="I206" i="35"/>
  <c r="M206" i="35" s="1"/>
  <c r="I205" i="35"/>
  <c r="M205" i="35" s="1"/>
  <c r="I204" i="35"/>
  <c r="M204" i="35" s="1"/>
  <c r="I203" i="35"/>
  <c r="M203" i="35" s="1"/>
  <c r="I202" i="35"/>
  <c r="M202" i="35" s="1"/>
  <c r="I201" i="35"/>
  <c r="M201" i="35" s="1"/>
  <c r="I200" i="35"/>
  <c r="M200" i="35" s="1"/>
  <c r="I199" i="35"/>
  <c r="M199" i="35" s="1"/>
  <c r="I198" i="35"/>
  <c r="M198" i="35" s="1"/>
  <c r="I197" i="35"/>
  <c r="M197" i="35" s="1"/>
  <c r="I196" i="35"/>
  <c r="M196" i="35" s="1"/>
  <c r="I195" i="35"/>
  <c r="M195" i="35" s="1"/>
  <c r="I194" i="35"/>
  <c r="M194" i="35" s="1"/>
  <c r="I193" i="35"/>
  <c r="M193" i="35" s="1"/>
  <c r="I192" i="35"/>
  <c r="M192" i="35" s="1"/>
  <c r="I191" i="35"/>
  <c r="M191" i="35" s="1"/>
  <c r="I190" i="35"/>
  <c r="M190" i="35" s="1"/>
  <c r="I189" i="35"/>
  <c r="M189" i="35" s="1"/>
  <c r="I188" i="35"/>
  <c r="M188" i="35" s="1"/>
  <c r="I187" i="35"/>
  <c r="M187" i="35" s="1"/>
  <c r="I186" i="35"/>
  <c r="M186" i="35" s="1"/>
  <c r="I181" i="35"/>
  <c r="M181" i="35" s="1"/>
  <c r="I180" i="35"/>
  <c r="M180" i="35" s="1"/>
  <c r="I179" i="35"/>
  <c r="M179" i="35" s="1"/>
  <c r="I178" i="35"/>
  <c r="M178" i="35" s="1"/>
  <c r="I177" i="35"/>
  <c r="M177" i="35" s="1"/>
  <c r="I176" i="35"/>
  <c r="M176" i="35" s="1"/>
  <c r="I175" i="35"/>
  <c r="M175" i="35" s="1"/>
  <c r="I174" i="35"/>
  <c r="M174" i="35" s="1"/>
  <c r="I173" i="35"/>
  <c r="M173" i="35" s="1"/>
  <c r="I172" i="35"/>
  <c r="M172" i="35" s="1"/>
  <c r="I171" i="35"/>
  <c r="M171" i="35" s="1"/>
  <c r="I170" i="35"/>
  <c r="M170" i="35" s="1"/>
  <c r="I169" i="35"/>
  <c r="M169" i="35" s="1"/>
  <c r="I167" i="35"/>
  <c r="M167" i="35" s="1"/>
  <c r="I166" i="35"/>
  <c r="M166" i="35" s="1"/>
  <c r="I165" i="35"/>
  <c r="M165" i="35" s="1"/>
  <c r="I164" i="35"/>
  <c r="M164" i="35" s="1"/>
  <c r="I163" i="35"/>
  <c r="M163" i="35" s="1"/>
  <c r="I162" i="35"/>
  <c r="M162" i="35" s="1"/>
  <c r="I161" i="35"/>
  <c r="M161" i="35" s="1"/>
  <c r="I160" i="35"/>
  <c r="M160" i="35" s="1"/>
  <c r="I159" i="35"/>
  <c r="M159" i="35" s="1"/>
  <c r="I158" i="35"/>
  <c r="M158" i="35" s="1"/>
  <c r="I157" i="35"/>
  <c r="M157" i="35" s="1"/>
  <c r="I156" i="35"/>
  <c r="M156" i="35" s="1"/>
  <c r="I154" i="35"/>
  <c r="M154" i="35" s="1"/>
  <c r="I153" i="35"/>
  <c r="M153" i="35" s="1"/>
  <c r="I152" i="35"/>
  <c r="M152" i="35" s="1"/>
  <c r="I151" i="35"/>
  <c r="M151" i="35" s="1"/>
  <c r="I150" i="35"/>
  <c r="M150" i="35" s="1"/>
  <c r="I149" i="35"/>
  <c r="M149" i="35" s="1"/>
  <c r="R148" i="35"/>
  <c r="Q148" i="35"/>
  <c r="H148" i="35"/>
  <c r="G148" i="35"/>
  <c r="F148" i="35"/>
  <c r="L148" i="35" s="1"/>
  <c r="I145" i="35"/>
  <c r="M145" i="35" s="1"/>
  <c r="I144" i="35"/>
  <c r="M144" i="35" s="1"/>
  <c r="I141" i="35"/>
  <c r="M141" i="35" s="1"/>
  <c r="I140" i="35"/>
  <c r="M140" i="35" s="1"/>
  <c r="I139" i="35"/>
  <c r="M139" i="35" s="1"/>
  <c r="I138" i="35"/>
  <c r="M138" i="35" s="1"/>
  <c r="I137" i="35"/>
  <c r="M137" i="35" s="1"/>
  <c r="I136" i="35"/>
  <c r="M136" i="35" s="1"/>
  <c r="I135" i="35"/>
  <c r="M135" i="35" s="1"/>
  <c r="I134" i="35"/>
  <c r="M134" i="35" s="1"/>
  <c r="I133" i="35"/>
  <c r="M133" i="35" s="1"/>
  <c r="I131" i="35"/>
  <c r="M131" i="35" s="1"/>
  <c r="R130" i="35"/>
  <c r="Q130" i="35"/>
  <c r="H130" i="35"/>
  <c r="G130" i="35"/>
  <c r="F130" i="35"/>
  <c r="I127" i="35"/>
  <c r="M127" i="35" s="1"/>
  <c r="I126" i="35"/>
  <c r="M126" i="35" s="1"/>
  <c r="I125" i="35"/>
  <c r="M125" i="35" s="1"/>
  <c r="I124" i="35"/>
  <c r="M124" i="35" s="1"/>
  <c r="I123" i="35"/>
  <c r="M123" i="35" s="1"/>
  <c r="I122" i="35"/>
  <c r="M122" i="35" s="1"/>
  <c r="R121" i="35"/>
  <c r="Q121" i="35"/>
  <c r="H121" i="35"/>
  <c r="G121" i="35"/>
  <c r="L121" i="35"/>
  <c r="I119" i="35"/>
  <c r="M119" i="35" s="1"/>
  <c r="I118" i="35"/>
  <c r="M118" i="35" s="1"/>
  <c r="I117" i="35"/>
  <c r="M117" i="35" s="1"/>
  <c r="I116" i="35"/>
  <c r="M116" i="35" s="1"/>
  <c r="I115" i="35"/>
  <c r="M115" i="35" s="1"/>
  <c r="I114" i="35"/>
  <c r="M114" i="35" s="1"/>
  <c r="I113" i="35"/>
  <c r="M113" i="35" s="1"/>
  <c r="I112" i="35"/>
  <c r="M112" i="35" s="1"/>
  <c r="I111" i="35"/>
  <c r="M111" i="35" s="1"/>
  <c r="I110" i="35"/>
  <c r="M110" i="35" s="1"/>
  <c r="I109" i="35"/>
  <c r="M109" i="35" s="1"/>
  <c r="I108" i="35"/>
  <c r="M108" i="35" s="1"/>
  <c r="I107" i="35"/>
  <c r="M107" i="35" s="1"/>
  <c r="I106" i="35"/>
  <c r="M106" i="35" s="1"/>
  <c r="I105" i="35"/>
  <c r="M105" i="35" s="1"/>
  <c r="I104" i="35"/>
  <c r="M104" i="35" s="1"/>
  <c r="I103" i="35"/>
  <c r="M103" i="35" s="1"/>
  <c r="I97" i="35"/>
  <c r="M97" i="35" s="1"/>
  <c r="I96" i="35"/>
  <c r="M96" i="35" s="1"/>
  <c r="I95" i="35"/>
  <c r="M95" i="35" s="1"/>
  <c r="I94" i="35"/>
  <c r="M94" i="35" s="1"/>
  <c r="I92" i="35"/>
  <c r="M92" i="35" s="1"/>
  <c r="I91" i="35"/>
  <c r="M91" i="35" s="1"/>
  <c r="I90" i="35"/>
  <c r="M90" i="35" s="1"/>
  <c r="I89" i="35"/>
  <c r="M89" i="35" s="1"/>
  <c r="I82" i="35"/>
  <c r="M82" i="35" s="1"/>
  <c r="I79" i="35"/>
  <c r="M79" i="35" s="1"/>
  <c r="I77" i="35"/>
  <c r="M77" i="35" s="1"/>
  <c r="I76" i="35"/>
  <c r="M76" i="35" s="1"/>
  <c r="I75" i="35"/>
  <c r="M75" i="35" s="1"/>
  <c r="I74" i="35"/>
  <c r="M74" i="35" s="1"/>
  <c r="I73" i="35"/>
  <c r="M73" i="35" s="1"/>
  <c r="I72" i="35"/>
  <c r="M72" i="35" s="1"/>
  <c r="I71" i="35"/>
  <c r="M71" i="35" s="1"/>
  <c r="I70" i="35"/>
  <c r="M70" i="35" s="1"/>
  <c r="I69" i="35"/>
  <c r="M69" i="35" s="1"/>
  <c r="I68" i="35"/>
  <c r="M68" i="35" s="1"/>
  <c r="I67" i="35"/>
  <c r="M67" i="35" s="1"/>
  <c r="I66" i="35"/>
  <c r="M66" i="35" s="1"/>
  <c r="I65" i="35"/>
  <c r="M65" i="35" s="1"/>
  <c r="I64" i="35"/>
  <c r="M64" i="35" s="1"/>
  <c r="R63" i="35"/>
  <c r="Q63" i="35"/>
  <c r="H63" i="35"/>
  <c r="G63" i="35"/>
  <c r="F63" i="35"/>
  <c r="L63" i="35" s="1"/>
  <c r="I57" i="35"/>
  <c r="M57" i="35" s="1"/>
  <c r="R56" i="35"/>
  <c r="Q56" i="35"/>
  <c r="H56" i="35"/>
  <c r="G56" i="35"/>
  <c r="F56" i="35"/>
  <c r="L56" i="35" s="1"/>
  <c r="I48" i="35"/>
  <c r="M48" i="35" s="1"/>
  <c r="I47" i="35"/>
  <c r="M47" i="35" s="1"/>
  <c r="I46" i="35"/>
  <c r="M46" i="35" s="1"/>
  <c r="I44" i="35"/>
  <c r="M44" i="35" s="1"/>
  <c r="I43" i="35"/>
  <c r="M43" i="35" s="1"/>
  <c r="R31" i="35"/>
  <c r="Q31" i="35"/>
  <c r="H31" i="35"/>
  <c r="G31" i="35"/>
  <c r="F31" i="35"/>
  <c r="R8" i="35"/>
  <c r="R7" i="35" s="1"/>
  <c r="Q8" i="35"/>
  <c r="L8" i="35"/>
  <c r="I8" i="35"/>
  <c r="I7" i="35" s="1"/>
  <c r="H8" i="35"/>
  <c r="H7" i="35" s="1"/>
  <c r="K18" i="30" s="1"/>
  <c r="T18" i="30" s="1"/>
  <c r="G8" i="35"/>
  <c r="F8" i="35"/>
  <c r="F7" i="35" s="1"/>
  <c r="H18" i="30" s="1"/>
  <c r="P18" i="30" s="1"/>
  <c r="R49" i="34"/>
  <c r="M49" i="34"/>
  <c r="L49" i="34"/>
  <c r="I49" i="34"/>
  <c r="R48" i="34"/>
  <c r="M48" i="34"/>
  <c r="L48" i="34"/>
  <c r="I48" i="34"/>
  <c r="R47" i="34"/>
  <c r="M47" i="34"/>
  <c r="L47" i="34"/>
  <c r="I47" i="34"/>
  <c r="R46" i="34"/>
  <c r="M46" i="34"/>
  <c r="L46" i="34"/>
  <c r="I46" i="34"/>
  <c r="R45" i="34"/>
  <c r="M45" i="34"/>
  <c r="L45" i="34"/>
  <c r="I45" i="34"/>
  <c r="R44" i="34"/>
  <c r="M44" i="34"/>
  <c r="L44" i="34"/>
  <c r="I44" i="34"/>
  <c r="I43" i="34" s="1"/>
  <c r="I42" i="34" s="1"/>
  <c r="Q43" i="34"/>
  <c r="Q42" i="34" s="1"/>
  <c r="P43" i="34"/>
  <c r="P42" i="34" s="1"/>
  <c r="K43" i="34"/>
  <c r="K42" i="34" s="1"/>
  <c r="E18" i="49" s="1"/>
  <c r="J43" i="34"/>
  <c r="J42" i="34" s="1"/>
  <c r="H43" i="34"/>
  <c r="H42" i="34" s="1"/>
  <c r="F17" i="30" s="1"/>
  <c r="G43" i="34"/>
  <c r="G42" i="34" s="1"/>
  <c r="F43" i="34"/>
  <c r="F42" i="34" s="1"/>
  <c r="C17" i="30" s="1"/>
  <c r="R41" i="34"/>
  <c r="M41" i="34"/>
  <c r="L41" i="34"/>
  <c r="I41" i="34"/>
  <c r="R40" i="34"/>
  <c r="M40" i="34"/>
  <c r="L40" i="34"/>
  <c r="I40" i="34"/>
  <c r="Q39" i="34"/>
  <c r="P39" i="34"/>
  <c r="K39" i="34"/>
  <c r="J39" i="34"/>
  <c r="H39" i="34"/>
  <c r="G39" i="34"/>
  <c r="F39" i="34"/>
  <c r="R38" i="34"/>
  <c r="M38" i="34"/>
  <c r="L38" i="34"/>
  <c r="I38" i="34"/>
  <c r="R37" i="34"/>
  <c r="M37" i="34"/>
  <c r="L37" i="34"/>
  <c r="I37" i="34"/>
  <c r="I36" i="34" s="1"/>
  <c r="Q36" i="34"/>
  <c r="P36" i="34"/>
  <c r="K36" i="34"/>
  <c r="J36" i="34"/>
  <c r="H36" i="34"/>
  <c r="G36" i="34"/>
  <c r="F36" i="34"/>
  <c r="R34" i="34"/>
  <c r="M34" i="34"/>
  <c r="L34" i="34"/>
  <c r="I34" i="34"/>
  <c r="I33" i="34" s="1"/>
  <c r="Q33" i="34"/>
  <c r="P33" i="34"/>
  <c r="K33" i="34"/>
  <c r="J33" i="34"/>
  <c r="H33" i="34"/>
  <c r="G33" i="34"/>
  <c r="F33" i="34"/>
  <c r="R32" i="34"/>
  <c r="M32" i="34"/>
  <c r="L32" i="34"/>
  <c r="I32" i="34"/>
  <c r="R31" i="34"/>
  <c r="M31" i="34"/>
  <c r="L31" i="34"/>
  <c r="I31" i="34"/>
  <c r="R30" i="34"/>
  <c r="M30" i="34"/>
  <c r="L30" i="34"/>
  <c r="I30" i="34"/>
  <c r="I29" i="34" s="1"/>
  <c r="Q29" i="34"/>
  <c r="P29" i="34"/>
  <c r="K29" i="34"/>
  <c r="J29" i="34"/>
  <c r="H29" i="34"/>
  <c r="G29" i="34"/>
  <c r="F29" i="34"/>
  <c r="R28" i="34"/>
  <c r="M28" i="34"/>
  <c r="L28" i="34"/>
  <c r="I28" i="34"/>
  <c r="R27" i="34"/>
  <c r="M27" i="34"/>
  <c r="L27" i="34"/>
  <c r="I27" i="34"/>
  <c r="R26" i="34"/>
  <c r="M26" i="34"/>
  <c r="L26" i="34"/>
  <c r="I26" i="34"/>
  <c r="R25" i="34"/>
  <c r="M25" i="34"/>
  <c r="L25" i="34"/>
  <c r="I25" i="34"/>
  <c r="R24" i="34"/>
  <c r="M24" i="34"/>
  <c r="L24" i="34"/>
  <c r="I24" i="34"/>
  <c r="R23" i="34"/>
  <c r="M23" i="34"/>
  <c r="L23" i="34"/>
  <c r="I23" i="34"/>
  <c r="I22" i="34" s="1"/>
  <c r="Q22" i="34"/>
  <c r="P22" i="34"/>
  <c r="K22" i="34"/>
  <c r="J22" i="34"/>
  <c r="H22" i="34"/>
  <c r="G22" i="34"/>
  <c r="F22" i="34"/>
  <c r="R16" i="34"/>
  <c r="M16" i="34"/>
  <c r="L16" i="34"/>
  <c r="I16" i="34"/>
  <c r="R15" i="34"/>
  <c r="M15" i="34"/>
  <c r="L15" i="34"/>
  <c r="I15" i="34"/>
  <c r="I14" i="34" s="1"/>
  <c r="Q14" i="34"/>
  <c r="P14" i="34"/>
  <c r="L14" i="34"/>
  <c r="K14" i="34"/>
  <c r="J14" i="34"/>
  <c r="H14" i="34"/>
  <c r="G14" i="34"/>
  <c r="F14" i="34"/>
  <c r="R13" i="34"/>
  <c r="M13" i="34"/>
  <c r="L13" i="34"/>
  <c r="L12" i="34" s="1"/>
  <c r="L11" i="34" s="1"/>
  <c r="I13" i="34"/>
  <c r="I12" i="34" s="1"/>
  <c r="I11" i="34" s="1"/>
  <c r="Q12" i="34"/>
  <c r="Q11" i="34" s="1"/>
  <c r="P12" i="34"/>
  <c r="K12" i="34"/>
  <c r="J12" i="34"/>
  <c r="J11" i="34" s="1"/>
  <c r="D12" i="49" s="1"/>
  <c r="H12" i="34"/>
  <c r="G12" i="34"/>
  <c r="G11" i="34" s="1"/>
  <c r="F12" i="34"/>
  <c r="P11" i="34"/>
  <c r="R10" i="34"/>
  <c r="M10" i="34"/>
  <c r="L10" i="34"/>
  <c r="I10" i="34"/>
  <c r="R9" i="34"/>
  <c r="M9" i="34"/>
  <c r="L9" i="34"/>
  <c r="L8" i="34" s="1"/>
  <c r="L7" i="34" s="1"/>
  <c r="I9" i="34"/>
  <c r="I8" i="34" s="1"/>
  <c r="I7" i="34" s="1"/>
  <c r="Q8" i="34"/>
  <c r="Q7" i="34" s="1"/>
  <c r="P8" i="34"/>
  <c r="P7" i="34" s="1"/>
  <c r="K8" i="34"/>
  <c r="K7" i="34" s="1"/>
  <c r="E10" i="49" s="1"/>
  <c r="J8" i="34"/>
  <c r="H8" i="34"/>
  <c r="H7" i="34" s="1"/>
  <c r="F9" i="30" s="1"/>
  <c r="G8" i="34"/>
  <c r="G7" i="34" s="1"/>
  <c r="F8" i="34"/>
  <c r="F7" i="34" s="1"/>
  <c r="C9" i="30" s="1"/>
  <c r="J7" i="34"/>
  <c r="D10" i="49" s="1"/>
  <c r="F11" i="34" l="1"/>
  <c r="C11" i="30" s="1"/>
  <c r="K11" i="34"/>
  <c r="E12" i="49" s="1"/>
  <c r="J15" i="33"/>
  <c r="H11" i="34"/>
  <c r="F11" i="30" s="1"/>
  <c r="Q35" i="34"/>
  <c r="N447" i="35"/>
  <c r="N479" i="35"/>
  <c r="H392" i="35"/>
  <c r="K14" i="30" s="1"/>
  <c r="T14" i="30" s="1"/>
  <c r="N365" i="35"/>
  <c r="N381" i="35"/>
  <c r="N509" i="35"/>
  <c r="H532" i="35"/>
  <c r="K17" i="30" s="1"/>
  <c r="T17" i="30" s="1"/>
  <c r="J16" i="33"/>
  <c r="N276" i="35"/>
  <c r="N572" i="35"/>
  <c r="G298" i="35"/>
  <c r="J12" i="30" s="1"/>
  <c r="S12" i="30" s="1"/>
  <c r="N299" i="35"/>
  <c r="N280" i="35"/>
  <c r="N292" i="35"/>
  <c r="N339" i="35"/>
  <c r="N393" i="35"/>
  <c r="N424" i="35"/>
  <c r="N439" i="35"/>
  <c r="N468" i="35"/>
  <c r="N493" i="35"/>
  <c r="N520" i="35"/>
  <c r="N533" i="35"/>
  <c r="N585" i="35"/>
  <c r="F21" i="34"/>
  <c r="C13" i="30" s="1"/>
  <c r="G35" i="34"/>
  <c r="P35" i="34"/>
  <c r="F35" i="34"/>
  <c r="C14" i="30" s="1"/>
  <c r="H35" i="34"/>
  <c r="F14" i="30" s="1"/>
  <c r="R43" i="34"/>
  <c r="H21" i="34"/>
  <c r="F13" i="30" s="1"/>
  <c r="K21" i="34"/>
  <c r="E14" i="49" s="1"/>
  <c r="D18" i="49"/>
  <c r="S424" i="35"/>
  <c r="R6" i="36"/>
  <c r="J13" i="33"/>
  <c r="G6" i="36"/>
  <c r="V6" i="36"/>
  <c r="S96" i="37"/>
  <c r="K108" i="37"/>
  <c r="K96" i="37" s="1"/>
  <c r="K86" i="37" s="1"/>
  <c r="V27" i="37"/>
  <c r="V23" i="37" s="1"/>
  <c r="V17" i="37" s="1"/>
  <c r="V13" i="37" s="1"/>
  <c r="V10" i="37" s="1"/>
  <c r="U27" i="37"/>
  <c r="U23" i="37" s="1"/>
  <c r="U17" i="37" s="1"/>
  <c r="U13" i="37" s="1"/>
  <c r="U10" i="37" s="1"/>
  <c r="R86" i="37"/>
  <c r="R42" i="37" s="1"/>
  <c r="R27" i="37" s="1"/>
  <c r="R23" i="37" s="1"/>
  <c r="R17" i="37" s="1"/>
  <c r="R10" i="37" s="1"/>
  <c r="R7" i="37" s="1"/>
  <c r="R6" i="37" s="1"/>
  <c r="F13" i="48"/>
  <c r="H13" i="48" s="1"/>
  <c r="L17" i="37"/>
  <c r="G12" i="48"/>
  <c r="M13" i="37"/>
  <c r="F96" i="37"/>
  <c r="H16" i="33" s="1"/>
  <c r="H42" i="37"/>
  <c r="H27" i="37" s="1"/>
  <c r="H23" i="37" s="1"/>
  <c r="H17" i="37"/>
  <c r="H13" i="37" s="1"/>
  <c r="H10" i="37" s="1"/>
  <c r="H7" i="37" s="1"/>
  <c r="K42" i="37"/>
  <c r="K27" i="37" s="1"/>
  <c r="K23" i="37" s="1"/>
  <c r="K17" i="37" s="1"/>
  <c r="K13" i="37" s="1"/>
  <c r="K10" i="37" s="1"/>
  <c r="K7" i="37" s="1"/>
  <c r="Q86" i="37"/>
  <c r="J86" i="37"/>
  <c r="L6" i="36"/>
  <c r="D17" i="48"/>
  <c r="D14" i="48"/>
  <c r="E7" i="48"/>
  <c r="M437" i="35"/>
  <c r="M436" i="35" s="1"/>
  <c r="I436" i="35"/>
  <c r="S572" i="35"/>
  <c r="H30" i="35"/>
  <c r="I42" i="35"/>
  <c r="S56" i="35"/>
  <c r="S148" i="35"/>
  <c r="S280" i="35"/>
  <c r="S292" i="35"/>
  <c r="S439" i="35"/>
  <c r="S468" i="35"/>
  <c r="H478" i="35"/>
  <c r="K16" i="30" s="1"/>
  <c r="T16" i="30" s="1"/>
  <c r="S493" i="35"/>
  <c r="Q532" i="35"/>
  <c r="I585" i="35"/>
  <c r="M585" i="35" s="1"/>
  <c r="S108" i="37"/>
  <c r="S42" i="35"/>
  <c r="S31" i="35"/>
  <c r="G30" i="35"/>
  <c r="L31" i="35"/>
  <c r="F30" i="35"/>
  <c r="J35" i="34"/>
  <c r="D15" i="49" s="1"/>
  <c r="K35" i="34"/>
  <c r="E15" i="49" s="1"/>
  <c r="S520" i="35"/>
  <c r="S339" i="35"/>
  <c r="S121" i="35"/>
  <c r="G7" i="35"/>
  <c r="S8" i="35"/>
  <c r="Q7" i="35"/>
  <c r="S130" i="35"/>
  <c r="S236" i="35"/>
  <c r="S276" i="35"/>
  <c r="R338" i="35"/>
  <c r="S365" i="35"/>
  <c r="S381" i="35"/>
  <c r="S447" i="35"/>
  <c r="G478" i="35"/>
  <c r="S479" i="35"/>
  <c r="Q478" i="35"/>
  <c r="S509" i="35"/>
  <c r="S533" i="35"/>
  <c r="S585" i="35"/>
  <c r="G62" i="35"/>
  <c r="J10" i="30" s="1"/>
  <c r="S10" i="30" s="1"/>
  <c r="S63" i="35"/>
  <c r="Q62" i="35"/>
  <c r="Q298" i="35"/>
  <c r="H298" i="35"/>
  <c r="S299" i="35"/>
  <c r="R392" i="35"/>
  <c r="S393" i="35"/>
  <c r="I236" i="35"/>
  <c r="M236" i="35" s="1"/>
  <c r="R478" i="35"/>
  <c r="Q21" i="34"/>
  <c r="Q6" i="34" s="1"/>
  <c r="L22" i="34"/>
  <c r="G21" i="34"/>
  <c r="J21" i="34"/>
  <c r="J6" i="34" s="1"/>
  <c r="P21" i="34"/>
  <c r="P6" i="34" s="1"/>
  <c r="I21" i="34"/>
  <c r="L29" i="34"/>
  <c r="L36" i="34"/>
  <c r="L33" i="34"/>
  <c r="L39" i="34"/>
  <c r="L43" i="34"/>
  <c r="G338" i="35"/>
  <c r="G392" i="35"/>
  <c r="J14" i="30" s="1"/>
  <c r="S14" i="30" s="1"/>
  <c r="Q14" i="30" s="1"/>
  <c r="Q392" i="35"/>
  <c r="F478" i="35"/>
  <c r="H16" i="30" s="1"/>
  <c r="P16" i="30" s="1"/>
  <c r="M6" i="36"/>
  <c r="E25" i="48" s="1"/>
  <c r="K6" i="36"/>
  <c r="W6" i="36"/>
  <c r="F6" i="36"/>
  <c r="N6" i="36"/>
  <c r="H6" i="36"/>
  <c r="H62" i="35"/>
  <c r="R62" i="35"/>
  <c r="R60" i="35" s="1"/>
  <c r="R30" i="35" s="1"/>
  <c r="G6" i="37"/>
  <c r="F6" i="34"/>
  <c r="H6" i="34"/>
  <c r="R8" i="34"/>
  <c r="R12" i="34"/>
  <c r="R14" i="34"/>
  <c r="R22" i="34"/>
  <c r="R29" i="34"/>
  <c r="Q446" i="35"/>
  <c r="H17" i="33"/>
  <c r="F62" i="35"/>
  <c r="H10" i="30" s="1"/>
  <c r="P10" i="30" s="1"/>
  <c r="H129" i="35"/>
  <c r="K11" i="30" s="1"/>
  <c r="T11" i="30" s="1"/>
  <c r="F446" i="35"/>
  <c r="H15" i="30" s="1"/>
  <c r="G446" i="35"/>
  <c r="I148" i="35"/>
  <c r="M148" i="35" s="1"/>
  <c r="I299" i="35"/>
  <c r="I298" i="35" s="1"/>
  <c r="I393" i="35"/>
  <c r="M393" i="35" s="1"/>
  <c r="I452" i="35"/>
  <c r="F298" i="35"/>
  <c r="H338" i="35"/>
  <c r="K13" i="30" s="1"/>
  <c r="T13" i="30" s="1"/>
  <c r="H446" i="35"/>
  <c r="K15" i="30" s="1"/>
  <c r="T15" i="30" s="1"/>
  <c r="I572" i="35"/>
  <c r="M572" i="35" s="1"/>
  <c r="I63" i="35"/>
  <c r="I121" i="35"/>
  <c r="M121" i="35" s="1"/>
  <c r="F129" i="35"/>
  <c r="H11" i="30" s="1"/>
  <c r="P11" i="30" s="1"/>
  <c r="L130" i="35"/>
  <c r="I130" i="35"/>
  <c r="I276" i="35"/>
  <c r="M276" i="35" s="1"/>
  <c r="I280" i="35"/>
  <c r="M280" i="35" s="1"/>
  <c r="I365" i="35"/>
  <c r="M365" i="35" s="1"/>
  <c r="I381" i="35"/>
  <c r="M381" i="35" s="1"/>
  <c r="I439" i="35"/>
  <c r="M439" i="35" s="1"/>
  <c r="I447" i="35"/>
  <c r="I468" i="35"/>
  <c r="M468" i="35" s="1"/>
  <c r="I479" i="35"/>
  <c r="I493" i="35"/>
  <c r="M493" i="35" s="1"/>
  <c r="I509" i="35"/>
  <c r="M509" i="35" s="1"/>
  <c r="I520" i="35"/>
  <c r="M520" i="35" s="1"/>
  <c r="F532" i="35"/>
  <c r="H17" i="30" s="1"/>
  <c r="P17" i="30" s="1"/>
  <c r="L533" i="35"/>
  <c r="F392" i="35"/>
  <c r="H14" i="30" s="1"/>
  <c r="P14" i="30" s="1"/>
  <c r="F338" i="35"/>
  <c r="L339" i="35"/>
  <c r="I292" i="35"/>
  <c r="I31" i="35"/>
  <c r="M42" i="35"/>
  <c r="I56" i="35"/>
  <c r="M56" i="35" s="1"/>
  <c r="I6" i="37"/>
  <c r="L7" i="35"/>
  <c r="M8" i="35"/>
  <c r="D16" i="33"/>
  <c r="G16" i="33" s="1"/>
  <c r="R129" i="35"/>
  <c r="R532" i="35"/>
  <c r="I424" i="35"/>
  <c r="M424" i="35" s="1"/>
  <c r="Q338" i="35"/>
  <c r="R33" i="34"/>
  <c r="S3" i="36"/>
  <c r="J6" i="36"/>
  <c r="T67" i="36"/>
  <c r="I339" i="35"/>
  <c r="J17" i="33"/>
  <c r="R7" i="34"/>
  <c r="E9" i="30"/>
  <c r="R11" i="34"/>
  <c r="E11" i="30"/>
  <c r="D11" i="30" s="1"/>
  <c r="G11" i="30" s="1"/>
  <c r="E14" i="30"/>
  <c r="R42" i="34"/>
  <c r="E17" i="30"/>
  <c r="D17" i="30" s="1"/>
  <c r="J18" i="30"/>
  <c r="S18" i="30" s="1"/>
  <c r="Q18" i="30" s="1"/>
  <c r="J10" i="33"/>
  <c r="T79" i="36"/>
  <c r="E17" i="33"/>
  <c r="D17" i="33" s="1"/>
  <c r="G17" i="33" s="1"/>
  <c r="T11" i="36"/>
  <c r="E11" i="33"/>
  <c r="D11" i="33" s="1"/>
  <c r="G11" i="33" s="1"/>
  <c r="R36" i="34"/>
  <c r="R39" i="34"/>
  <c r="J9" i="30"/>
  <c r="S9" i="30" s="1"/>
  <c r="Q129" i="35"/>
  <c r="G532" i="35"/>
  <c r="J14" i="33"/>
  <c r="J12" i="33"/>
  <c r="T36" i="36"/>
  <c r="E14" i="33"/>
  <c r="D14" i="33" s="1"/>
  <c r="G14" i="33" s="1"/>
  <c r="T20" i="36"/>
  <c r="E13" i="33"/>
  <c r="D13" i="33" s="1"/>
  <c r="G13" i="33" s="1"/>
  <c r="T7" i="36"/>
  <c r="E10" i="33"/>
  <c r="D10" i="33" s="1"/>
  <c r="G10" i="33" s="1"/>
  <c r="I6" i="36"/>
  <c r="J11" i="33"/>
  <c r="G129" i="35"/>
  <c r="I39" i="34"/>
  <c r="I35" i="34" s="1"/>
  <c r="D14" i="30" l="1"/>
  <c r="K6" i="37"/>
  <c r="D7" i="48"/>
  <c r="R35" i="34"/>
  <c r="G6" i="34"/>
  <c r="H3" i="34" s="1"/>
  <c r="N532" i="35"/>
  <c r="I533" i="35"/>
  <c r="I532" i="35" s="1"/>
  <c r="N392" i="35"/>
  <c r="E7" i="49"/>
  <c r="M7" i="35"/>
  <c r="M533" i="35"/>
  <c r="J15" i="30"/>
  <c r="J13" i="30"/>
  <c r="S13" i="30" s="1"/>
  <c r="Q13" i="30" s="1"/>
  <c r="N338" i="35"/>
  <c r="N298" i="35"/>
  <c r="J16" i="30"/>
  <c r="S16" i="30" s="1"/>
  <c r="Q16" i="30" s="1"/>
  <c r="N478" i="35"/>
  <c r="H6" i="37"/>
  <c r="E24" i="48"/>
  <c r="I10" i="48"/>
  <c r="D25" i="48"/>
  <c r="E13" i="30"/>
  <c r="D13" i="30" s="1"/>
  <c r="L35" i="34"/>
  <c r="D25" i="49"/>
  <c r="I6" i="34"/>
  <c r="R21" i="34"/>
  <c r="K6" i="34"/>
  <c r="E25" i="49" s="1"/>
  <c r="E24" i="49" s="1"/>
  <c r="D14" i="49"/>
  <c r="D7" i="49" s="1"/>
  <c r="U6" i="37"/>
  <c r="V6" i="37"/>
  <c r="I8" i="48"/>
  <c r="K15" i="33"/>
  <c r="J42" i="37"/>
  <c r="K14" i="33" s="1"/>
  <c r="S86" i="37"/>
  <c r="Q42" i="37"/>
  <c r="N96" i="37"/>
  <c r="F86" i="37"/>
  <c r="H15" i="33" s="1"/>
  <c r="G11" i="48"/>
  <c r="M10" i="37"/>
  <c r="F12" i="48"/>
  <c r="H12" i="48" s="1"/>
  <c r="L13" i="37"/>
  <c r="M3" i="36"/>
  <c r="L3" i="37" s="1"/>
  <c r="L478" i="35"/>
  <c r="I30" i="35"/>
  <c r="L62" i="35"/>
  <c r="L30" i="35" s="1"/>
  <c r="K10" i="30"/>
  <c r="T10" i="30" s="1"/>
  <c r="Q10" i="30" s="1"/>
  <c r="K9" i="30"/>
  <c r="T9" i="30" s="1"/>
  <c r="Q9" i="30" s="1"/>
  <c r="Q60" i="35"/>
  <c r="Q30" i="35" s="1"/>
  <c r="Q3" i="34"/>
  <c r="K3" i="34"/>
  <c r="M299" i="35"/>
  <c r="J11" i="30"/>
  <c r="S11" i="30" s="1"/>
  <c r="Q11" i="30" s="1"/>
  <c r="S129" i="35"/>
  <c r="S392" i="35"/>
  <c r="S62" i="35"/>
  <c r="S338" i="35"/>
  <c r="S478" i="35"/>
  <c r="S7" i="35"/>
  <c r="S532" i="35"/>
  <c r="I338" i="35"/>
  <c r="K12" i="30"/>
  <c r="T12" i="30" s="1"/>
  <c r="Q12" i="30" s="1"/>
  <c r="S298" i="35"/>
  <c r="H6" i="35"/>
  <c r="R6" i="34"/>
  <c r="L42" i="34"/>
  <c r="L21" i="34"/>
  <c r="F6" i="35"/>
  <c r="I446" i="35"/>
  <c r="I129" i="35"/>
  <c r="L129" i="35"/>
  <c r="M292" i="35"/>
  <c r="M339" i="35"/>
  <c r="L532" i="35"/>
  <c r="H12" i="30"/>
  <c r="P12" i="30" s="1"/>
  <c r="L298" i="35"/>
  <c r="M298" i="35" s="1"/>
  <c r="I478" i="35"/>
  <c r="I62" i="35"/>
  <c r="M447" i="35"/>
  <c r="M63" i="35"/>
  <c r="L392" i="35"/>
  <c r="M130" i="35"/>
  <c r="M479" i="35"/>
  <c r="H13" i="30"/>
  <c r="P13" i="30" s="1"/>
  <c r="L338" i="35"/>
  <c r="I392" i="35"/>
  <c r="M31" i="35"/>
  <c r="M30" i="35" s="1"/>
  <c r="J17" i="30"/>
  <c r="S17" i="30" s="1"/>
  <c r="Q17" i="30" s="1"/>
  <c r="T6" i="36"/>
  <c r="J3" i="36"/>
  <c r="T3" i="36" s="1"/>
  <c r="G6" i="35"/>
  <c r="R3" i="34" l="1"/>
  <c r="I8" i="49"/>
  <c r="I25" i="49"/>
  <c r="I7" i="49"/>
  <c r="L6" i="34"/>
  <c r="M478" i="35"/>
  <c r="I25" i="48"/>
  <c r="D24" i="48"/>
  <c r="I7" i="48"/>
  <c r="D24" i="49"/>
  <c r="I24" i="49" s="1"/>
  <c r="J3" i="35"/>
  <c r="I10" i="49"/>
  <c r="F11" i="48"/>
  <c r="H11" i="48" s="1"/>
  <c r="L10" i="37"/>
  <c r="G10" i="48"/>
  <c r="M7" i="37"/>
  <c r="N86" i="37"/>
  <c r="N42" i="37" s="1"/>
  <c r="F42" i="37"/>
  <c r="H14" i="33" s="1"/>
  <c r="S42" i="37"/>
  <c r="Q27" i="37"/>
  <c r="J27" i="37"/>
  <c r="S60" i="35"/>
  <c r="M62" i="35"/>
  <c r="H9" i="30"/>
  <c r="P9" i="30" s="1"/>
  <c r="M338" i="35"/>
  <c r="M129" i="35"/>
  <c r="M532" i="35"/>
  <c r="M392" i="35"/>
  <c r="I6" i="35"/>
  <c r="H3" i="35"/>
  <c r="M7" i="48" l="1"/>
  <c r="I24" i="48"/>
  <c r="K13" i="33"/>
  <c r="I13" i="33" s="1"/>
  <c r="J23" i="37"/>
  <c r="S27" i="37"/>
  <c r="Q23" i="37"/>
  <c r="F27" i="37"/>
  <c r="H13" i="33" s="1"/>
  <c r="G9" i="48"/>
  <c r="G7" i="48" s="1"/>
  <c r="M6" i="37"/>
  <c r="G25" i="48" s="1"/>
  <c r="G24" i="48" s="1"/>
  <c r="F10" i="48"/>
  <c r="H10" i="48" s="1"/>
  <c r="L7" i="37"/>
  <c r="Q6" i="35"/>
  <c r="S30" i="35"/>
  <c r="R23" i="28"/>
  <c r="M23" i="28"/>
  <c r="L23" i="28"/>
  <c r="I23" i="28"/>
  <c r="R22" i="28"/>
  <c r="M22" i="28"/>
  <c r="L22" i="28"/>
  <c r="I22" i="28"/>
  <c r="R21" i="28"/>
  <c r="M21" i="28"/>
  <c r="L21" i="28"/>
  <c r="I21" i="28"/>
  <c r="I20" i="28" s="1"/>
  <c r="I19" i="28" s="1"/>
  <c r="U20" i="28"/>
  <c r="U19" i="28" s="1"/>
  <c r="T20" i="28"/>
  <c r="L20" i="28"/>
  <c r="K20" i="28"/>
  <c r="K19" i="28" s="1"/>
  <c r="J20" i="28"/>
  <c r="J19" i="28" s="1"/>
  <c r="H20" i="28"/>
  <c r="G20" i="28"/>
  <c r="G19" i="28" s="1"/>
  <c r="F20" i="28"/>
  <c r="F19" i="28" s="1"/>
  <c r="V19" i="28"/>
  <c r="T19" i="28"/>
  <c r="S19" i="28"/>
  <c r="Q19" i="28"/>
  <c r="P19" i="28"/>
  <c r="M19" i="28"/>
  <c r="L19" i="28"/>
  <c r="H19" i="28"/>
  <c r="R18" i="28"/>
  <c r="M18" i="28"/>
  <c r="M17" i="28" s="1"/>
  <c r="M16" i="28" s="1"/>
  <c r="M15" i="28" s="1"/>
  <c r="L18" i="28"/>
  <c r="L17" i="28" s="1"/>
  <c r="L16" i="28" s="1"/>
  <c r="L15" i="28" s="1"/>
  <c r="I18" i="28"/>
  <c r="V17" i="28"/>
  <c r="V16" i="28" s="1"/>
  <c r="U17" i="28"/>
  <c r="U16" i="28" s="1"/>
  <c r="T17" i="28"/>
  <c r="T16" i="28" s="1"/>
  <c r="S17" i="28"/>
  <c r="S16" i="28" s="1"/>
  <c r="Q17" i="28"/>
  <c r="Q16" i="28" s="1"/>
  <c r="Q15" i="28" s="1"/>
  <c r="P17" i="28"/>
  <c r="K17" i="28"/>
  <c r="K16" i="28" s="1"/>
  <c r="K15" i="28" s="1"/>
  <c r="J17" i="28"/>
  <c r="J16" i="28" s="1"/>
  <c r="J15" i="28" s="1"/>
  <c r="I17" i="28"/>
  <c r="I16" i="28" s="1"/>
  <c r="I15" i="28" s="1"/>
  <c r="H17" i="28"/>
  <c r="H16" i="28" s="1"/>
  <c r="G17" i="28"/>
  <c r="G16" i="28" s="1"/>
  <c r="F17" i="28"/>
  <c r="F16" i="28" s="1"/>
  <c r="P16" i="28"/>
  <c r="P15" i="28" s="1"/>
  <c r="J43" i="33"/>
  <c r="F43" i="33"/>
  <c r="E43" i="33"/>
  <c r="C43" i="33"/>
  <c r="K42" i="33"/>
  <c r="K41" i="33"/>
  <c r="K40" i="33"/>
  <c r="K39" i="33"/>
  <c r="K38" i="33"/>
  <c r="K37" i="33"/>
  <c r="K36" i="33"/>
  <c r="K35" i="33"/>
  <c r="K34" i="33"/>
  <c r="K33" i="33"/>
  <c r="M27" i="33"/>
  <c r="L27" i="33"/>
  <c r="M26" i="33"/>
  <c r="L26" i="33"/>
  <c r="L25" i="33" s="1"/>
  <c r="K25" i="33"/>
  <c r="J25" i="33"/>
  <c r="H25" i="33"/>
  <c r="G25" i="33"/>
  <c r="F25" i="33"/>
  <c r="E25" i="33"/>
  <c r="C25" i="33"/>
  <c r="I18" i="33"/>
  <c r="L18" i="33" s="1"/>
  <c r="I17" i="33"/>
  <c r="L17" i="33" s="1"/>
  <c r="I16" i="33"/>
  <c r="L16" i="33" s="1"/>
  <c r="I15" i="33"/>
  <c r="L15" i="33" s="1"/>
  <c r="I14" i="33"/>
  <c r="L14" i="33" s="1"/>
  <c r="T11" i="33"/>
  <c r="S11" i="33"/>
  <c r="R11" i="33"/>
  <c r="Q11" i="33"/>
  <c r="P11" i="33"/>
  <c r="O11" i="33"/>
  <c r="N11" i="33"/>
  <c r="M11" i="33"/>
  <c r="N9" i="33"/>
  <c r="M9" i="33"/>
  <c r="I9" i="33"/>
  <c r="L9" i="33" s="1"/>
  <c r="D9" i="33"/>
  <c r="G9" i="33" s="1"/>
  <c r="T8" i="33"/>
  <c r="R8" i="33"/>
  <c r="R13" i="33" s="1"/>
  <c r="Q8" i="33"/>
  <c r="N8" i="33"/>
  <c r="M8" i="33"/>
  <c r="J8" i="33"/>
  <c r="F8" i="33"/>
  <c r="E8" i="33"/>
  <c r="C8" i="33"/>
  <c r="L13" i="33" l="1"/>
  <c r="K43" i="33"/>
  <c r="F15" i="28"/>
  <c r="H15" i="28"/>
  <c r="R19" i="28"/>
  <c r="R20" i="28"/>
  <c r="F9" i="48"/>
  <c r="F7" i="48" s="1"/>
  <c r="L6" i="37"/>
  <c r="N27" i="37"/>
  <c r="F23" i="37"/>
  <c r="H12" i="33" s="1"/>
  <c r="Q17" i="37"/>
  <c r="S23" i="37"/>
  <c r="K12" i="33"/>
  <c r="I12" i="33" s="1"/>
  <c r="J17" i="37"/>
  <c r="P3" i="34"/>
  <c r="Q3" i="35"/>
  <c r="R16" i="28"/>
  <c r="M25" i="33"/>
  <c r="G15" i="28"/>
  <c r="R17" i="28"/>
  <c r="N25" i="33"/>
  <c r="N26" i="33"/>
  <c r="N27" i="33"/>
  <c r="D8" i="33"/>
  <c r="G8" i="33" s="1"/>
  <c r="G25" i="30"/>
  <c r="H25" i="30"/>
  <c r="J25" i="30"/>
  <c r="I18" i="30"/>
  <c r="I17" i="30"/>
  <c r="I16" i="30"/>
  <c r="I15" i="30"/>
  <c r="I14" i="30"/>
  <c r="I13" i="30"/>
  <c r="I12" i="30"/>
  <c r="K8" i="30"/>
  <c r="T8" i="30" s="1"/>
  <c r="F8" i="30"/>
  <c r="J43" i="30"/>
  <c r="F43" i="30"/>
  <c r="E43" i="30"/>
  <c r="C43" i="30"/>
  <c r="K42" i="30"/>
  <c r="K41" i="30"/>
  <c r="K40" i="30"/>
  <c r="K39" i="30"/>
  <c r="K38" i="30"/>
  <c r="K37" i="30"/>
  <c r="K36" i="30"/>
  <c r="K35" i="30"/>
  <c r="K34" i="30"/>
  <c r="K33" i="30"/>
  <c r="L27" i="30"/>
  <c r="K25" i="30"/>
  <c r="F25" i="30"/>
  <c r="C25" i="30"/>
  <c r="M3" i="37" l="1"/>
  <c r="N3" i="37" s="1"/>
  <c r="J10" i="48"/>
  <c r="F25" i="48"/>
  <c r="L12" i="33"/>
  <c r="S17" i="37"/>
  <c r="Q13" i="37"/>
  <c r="K11" i="33"/>
  <c r="J13" i="37"/>
  <c r="N23" i="37"/>
  <c r="F17" i="37"/>
  <c r="H11" i="33" s="1"/>
  <c r="J8" i="48"/>
  <c r="K8" i="48" s="1"/>
  <c r="H9" i="48"/>
  <c r="H7" i="48" s="1"/>
  <c r="R15" i="28"/>
  <c r="H12" i="28"/>
  <c r="L13" i="30"/>
  <c r="R13" i="30"/>
  <c r="L15" i="30"/>
  <c r="L17" i="30"/>
  <c r="R17" i="30"/>
  <c r="L12" i="30"/>
  <c r="R12" i="30"/>
  <c r="L14" i="30"/>
  <c r="R14" i="30"/>
  <c r="L16" i="30"/>
  <c r="R16" i="30"/>
  <c r="L18" i="30"/>
  <c r="R18" i="30"/>
  <c r="I9" i="30"/>
  <c r="G13" i="30"/>
  <c r="G14" i="30"/>
  <c r="G17" i="30"/>
  <c r="I10" i="30"/>
  <c r="E8" i="30"/>
  <c r="D8" i="30" s="1"/>
  <c r="D9" i="30"/>
  <c r="G9" i="30" s="1"/>
  <c r="I11" i="30"/>
  <c r="C8" i="30"/>
  <c r="H8" i="30"/>
  <c r="J8" i="30"/>
  <c r="K43" i="30"/>
  <c r="L26" i="30"/>
  <c r="L25" i="30" s="1"/>
  <c r="E25" i="30"/>
  <c r="H25" i="48" l="1"/>
  <c r="F24" i="48"/>
  <c r="N7" i="48" s="1"/>
  <c r="N10" i="48" s="1"/>
  <c r="J7" i="48"/>
  <c r="K7" i="48" s="1"/>
  <c r="J10" i="37"/>
  <c r="J7" i="37" s="1"/>
  <c r="J6" i="37" s="1"/>
  <c r="J3" i="37" s="1"/>
  <c r="K10" i="33"/>
  <c r="I10" i="33" s="1"/>
  <c r="N17" i="37"/>
  <c r="F13" i="37"/>
  <c r="H10" i="33" s="1"/>
  <c r="S13" i="37"/>
  <c r="Q10" i="37"/>
  <c r="I11" i="33"/>
  <c r="L10" i="30"/>
  <c r="R10" i="30"/>
  <c r="L9" i="30"/>
  <c r="R9" i="30"/>
  <c r="L11" i="30"/>
  <c r="R11" i="30"/>
  <c r="I8" i="30"/>
  <c r="L8" i="30" s="1"/>
  <c r="G8" i="30"/>
  <c r="N14" i="48" l="1"/>
  <c r="H24" i="48"/>
  <c r="J24" i="48" s="1"/>
  <c r="J25" i="48"/>
  <c r="H8" i="33"/>
  <c r="L10" i="33"/>
  <c r="K8" i="33"/>
  <c r="L11" i="33"/>
  <c r="I8" i="33"/>
  <c r="L8" i="33" s="1"/>
  <c r="Q7" i="37"/>
  <c r="Q6" i="37" s="1"/>
  <c r="S10" i="37"/>
  <c r="N13" i="37"/>
  <c r="F10" i="37"/>
  <c r="R9" i="28"/>
  <c r="M9" i="28"/>
  <c r="M8" i="28" s="1"/>
  <c r="M7" i="28" s="1"/>
  <c r="M6" i="28" s="1"/>
  <c r="L9" i="28"/>
  <c r="L8" i="28" s="1"/>
  <c r="L7" i="28" s="1"/>
  <c r="L6" i="28" s="1"/>
  <c r="I9" i="28"/>
  <c r="U8" i="28"/>
  <c r="T8" i="28"/>
  <c r="T7" i="28" s="1"/>
  <c r="Q8" i="28"/>
  <c r="Q7" i="28" s="1"/>
  <c r="Q6" i="28" s="1"/>
  <c r="P8" i="28"/>
  <c r="O8" i="28"/>
  <c r="N8" i="28"/>
  <c r="K8" i="28"/>
  <c r="J8" i="28"/>
  <c r="J7" i="28" s="1"/>
  <c r="J6" i="28" s="1"/>
  <c r="I8" i="28"/>
  <c r="I7" i="28" s="1"/>
  <c r="I6" i="28" s="1"/>
  <c r="H8" i="28"/>
  <c r="G8" i="28"/>
  <c r="F8" i="28"/>
  <c r="F7" i="28" s="1"/>
  <c r="F6" i="28" s="1"/>
  <c r="U7" i="28"/>
  <c r="P7" i="28"/>
  <c r="K7" i="28"/>
  <c r="K6" i="28" s="1"/>
  <c r="H7" i="28"/>
  <c r="H6" i="28" s="1"/>
  <c r="G7" i="28"/>
  <c r="G6" i="28" s="1"/>
  <c r="P6" i="28"/>
  <c r="R6" i="28" l="1"/>
  <c r="H3" i="28"/>
  <c r="R8" i="28"/>
  <c r="R7" i="28"/>
  <c r="N10" i="37"/>
  <c r="F7" i="37"/>
  <c r="S7" i="37"/>
  <c r="R22" i="15"/>
  <c r="M22" i="15"/>
  <c r="L22" i="15"/>
  <c r="I22" i="15"/>
  <c r="R21" i="15"/>
  <c r="M21" i="15"/>
  <c r="L21" i="15"/>
  <c r="I21" i="15"/>
  <c r="R20" i="15"/>
  <c r="M20" i="15"/>
  <c r="L20" i="15"/>
  <c r="I20" i="15"/>
  <c r="R19" i="15"/>
  <c r="M19" i="15"/>
  <c r="L19" i="15"/>
  <c r="I19" i="15"/>
  <c r="I18" i="15" s="1"/>
  <c r="U18" i="15"/>
  <c r="T18" i="15"/>
  <c r="H18" i="15"/>
  <c r="G18" i="15"/>
  <c r="F18" i="15"/>
  <c r="R17" i="15"/>
  <c r="M17" i="15"/>
  <c r="L17" i="15"/>
  <c r="I17" i="15"/>
  <c r="R16" i="15"/>
  <c r="M16" i="15"/>
  <c r="L16" i="15"/>
  <c r="I16" i="15"/>
  <c r="R15" i="15"/>
  <c r="M15" i="15"/>
  <c r="L15" i="15"/>
  <c r="I15" i="15"/>
  <c r="R14" i="15"/>
  <c r="M14" i="15"/>
  <c r="L14" i="15"/>
  <c r="I14" i="15"/>
  <c r="I13" i="15" s="1"/>
  <c r="U13" i="15"/>
  <c r="T13" i="15"/>
  <c r="H13" i="15"/>
  <c r="G13" i="15"/>
  <c r="F13" i="15"/>
  <c r="R12" i="15"/>
  <c r="M12" i="15"/>
  <c r="L12" i="15"/>
  <c r="I12" i="15"/>
  <c r="R11" i="15"/>
  <c r="M11" i="15"/>
  <c r="L11" i="15"/>
  <c r="I11" i="15"/>
  <c r="R10" i="15"/>
  <c r="M10" i="15"/>
  <c r="L10" i="15"/>
  <c r="I10" i="15"/>
  <c r="R9" i="15"/>
  <c r="M9" i="15"/>
  <c r="L9" i="15"/>
  <c r="I9" i="15"/>
  <c r="I8" i="15" s="1"/>
  <c r="I7" i="15" s="1"/>
  <c r="U8" i="15"/>
  <c r="U7" i="15" s="1"/>
  <c r="T8" i="15"/>
  <c r="L8" i="15"/>
  <c r="L7" i="15" s="1"/>
  <c r="K8" i="15"/>
  <c r="K7" i="15" s="1"/>
  <c r="J8" i="15"/>
  <c r="J7" i="15" s="1"/>
  <c r="H8" i="15"/>
  <c r="H7" i="15" s="1"/>
  <c r="G8" i="15"/>
  <c r="G7" i="15" s="1"/>
  <c r="F8" i="15"/>
  <c r="R22" i="14"/>
  <c r="M22" i="14"/>
  <c r="L22" i="14"/>
  <c r="I22" i="14"/>
  <c r="R21" i="14"/>
  <c r="M21" i="14"/>
  <c r="L21" i="14"/>
  <c r="I21" i="14"/>
  <c r="R20" i="14"/>
  <c r="M20" i="14"/>
  <c r="L20" i="14"/>
  <c r="I20" i="14"/>
  <c r="R19" i="14"/>
  <c r="M19" i="14"/>
  <c r="L19" i="14"/>
  <c r="I19" i="14"/>
  <c r="I18" i="14" s="1"/>
  <c r="U18" i="14"/>
  <c r="T18" i="14"/>
  <c r="H18" i="14"/>
  <c r="G18" i="14"/>
  <c r="F18" i="14"/>
  <c r="R17" i="14"/>
  <c r="M17" i="14"/>
  <c r="L17" i="14"/>
  <c r="I17" i="14"/>
  <c r="R16" i="14"/>
  <c r="M16" i="14"/>
  <c r="L16" i="14"/>
  <c r="I16" i="14"/>
  <c r="R15" i="14"/>
  <c r="M15" i="14"/>
  <c r="L15" i="14"/>
  <c r="I15" i="14"/>
  <c r="R14" i="14"/>
  <c r="M14" i="14"/>
  <c r="L14" i="14"/>
  <c r="I14" i="14"/>
  <c r="U13" i="14"/>
  <c r="T13" i="14"/>
  <c r="H13" i="14"/>
  <c r="G13" i="14"/>
  <c r="F13" i="14"/>
  <c r="R12" i="14"/>
  <c r="M12" i="14"/>
  <c r="L12" i="14"/>
  <c r="I12" i="14"/>
  <c r="R11" i="14"/>
  <c r="M11" i="14"/>
  <c r="L11" i="14"/>
  <c r="I11" i="14"/>
  <c r="R10" i="14"/>
  <c r="M10" i="14"/>
  <c r="L10" i="14"/>
  <c r="I10" i="14"/>
  <c r="R9" i="14"/>
  <c r="M9" i="14"/>
  <c r="L9" i="14"/>
  <c r="L8" i="14" s="1"/>
  <c r="L7" i="14" s="1"/>
  <c r="I9" i="14"/>
  <c r="U8" i="14"/>
  <c r="U7" i="14" s="1"/>
  <c r="T8" i="14"/>
  <c r="T7" i="14" s="1"/>
  <c r="K8" i="14"/>
  <c r="J8" i="14"/>
  <c r="I8" i="14"/>
  <c r="H8" i="14"/>
  <c r="H7" i="14" s="1"/>
  <c r="G8" i="14"/>
  <c r="F8" i="14"/>
  <c r="F7" i="14" s="1"/>
  <c r="K7" i="14"/>
  <c r="J7" i="14"/>
  <c r="S6" i="37" l="1"/>
  <c r="Q3" i="37"/>
  <c r="R3" i="36"/>
  <c r="R3" i="37"/>
  <c r="S3" i="37" s="1"/>
  <c r="N7" i="37"/>
  <c r="F6" i="37"/>
  <c r="N6" i="37" s="1"/>
  <c r="G7" i="14"/>
  <c r="T7" i="15"/>
  <c r="F7" i="15"/>
  <c r="I13" i="14"/>
  <c r="I7" i="14" s="1"/>
  <c r="N456" i="35"/>
  <c r="L456" i="35"/>
  <c r="M456" i="35" s="1"/>
  <c r="R456" i="35"/>
  <c r="S456" i="35" s="1"/>
  <c r="J452" i="35"/>
  <c r="L452" i="35" s="1"/>
  <c r="M452" i="35" s="1"/>
  <c r="R452" i="35" l="1"/>
  <c r="R446" i="35" s="1"/>
  <c r="R6" i="35" s="1"/>
  <c r="N452" i="35"/>
  <c r="J446" i="35"/>
  <c r="S446" i="35" l="1"/>
  <c r="S452" i="35"/>
  <c r="R3" i="35"/>
  <c r="S3" i="35" s="1"/>
  <c r="S6" i="35"/>
  <c r="N446" i="35"/>
  <c r="L446" i="35"/>
  <c r="J6" i="35"/>
  <c r="F16" i="49"/>
  <c r="N15" i="30"/>
  <c r="M446" i="35" l="1"/>
  <c r="M6" i="35" s="1"/>
  <c r="L6" i="35"/>
  <c r="M15" i="30"/>
  <c r="N8" i="30"/>
  <c r="P15" i="30"/>
  <c r="S15" i="30"/>
  <c r="Q15" i="30" s="1"/>
  <c r="R15" i="30" s="1"/>
  <c r="F25" i="49"/>
  <c r="J10" i="49"/>
  <c r="K3" i="35"/>
  <c r="L3" i="35" s="1"/>
  <c r="H16" i="49"/>
  <c r="H7" i="49" s="1"/>
  <c r="F7" i="49"/>
  <c r="J8" i="49" l="1"/>
  <c r="K8" i="49" s="1"/>
  <c r="M3" i="35"/>
  <c r="J7" i="49"/>
  <c r="K7" i="49" s="1"/>
  <c r="H25" i="49"/>
  <c r="F24" i="49"/>
  <c r="P8" i="30"/>
  <c r="M8" i="30"/>
  <c r="S8" i="30"/>
  <c r="Q8" i="30" s="1"/>
  <c r="R8" i="30" s="1"/>
  <c r="J25" i="49" l="1"/>
  <c r="H24" i="49"/>
  <c r="J24" i="49" s="1"/>
  <c r="N14" i="49" s="1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sharedStrings.xml><?xml version="1.0" encoding="utf-8"?>
<sst xmlns="http://schemas.openxmlformats.org/spreadsheetml/2006/main" count="4031" uniqueCount="1696">
  <si>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</si>
  <si>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</si>
  <si>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</si>
  <si>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</si>
  <si>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</si>
  <si>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</si>
  <si>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</si>
  <si>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</si>
  <si>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</si>
  <si>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</si>
  <si>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</si>
  <si>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</si>
  <si>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</si>
  <si>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</si>
  <si>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</si>
  <si>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상임위 수정
예산안
(마=가+라)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</si>
  <si>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</si>
  <si>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</si>
  <si>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</si>
  <si>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</si>
  <si>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예산안
(가)</t>
    <phoneticPr fontId="6" type="noConversion"/>
  </si>
  <si>
    <t>상임위 예산안 
조정액(라)</t>
    <phoneticPr fontId="6" type="noConversion"/>
  </si>
  <si>
    <t>예결위 예산안 
조정액(마)</t>
    <phoneticPr fontId="6" type="noConversion"/>
  </si>
  <si>
    <t>2014년도 경기도 특별회계 세입 예산 수정(안)</t>
    <phoneticPr fontId="6" type="noConversion"/>
  </si>
  <si>
    <t>□세출예산</t>
    <phoneticPr fontId="6" type="noConversion"/>
  </si>
  <si>
    <t>2014년도 경기도 특별회계 세출 예산 수정(안)</t>
    <phoneticPr fontId="6" type="noConversion"/>
  </si>
  <si>
    <t>경제과학기술위원회</t>
    <phoneticPr fontId="6" type="noConversion"/>
  </si>
  <si>
    <t>도비</t>
    <phoneticPr fontId="2" type="noConversion"/>
  </si>
  <si>
    <t>추가</t>
    <phoneticPr fontId="2" type="noConversion"/>
  </si>
  <si>
    <t>□기금수입</t>
    <phoneticPr fontId="6" type="noConversion"/>
  </si>
  <si>
    <t>(단위 : 천원)</t>
    <phoneticPr fontId="6" type="noConversion"/>
  </si>
  <si>
    <t>위원회</t>
    <phoneticPr fontId="6" type="noConversion"/>
  </si>
  <si>
    <t>예산안
페이지</t>
    <phoneticPr fontId="6" type="noConversion"/>
  </si>
  <si>
    <t>상임위 예산안 
조정액(라)</t>
    <phoneticPr fontId="6" type="noConversion"/>
  </si>
  <si>
    <t>상임위 수정
예산안
(마=가+라)</t>
    <phoneticPr fontId="6" type="noConversion"/>
  </si>
  <si>
    <t>재원</t>
    <phoneticPr fontId="6" type="noConversion"/>
  </si>
  <si>
    <t>상임위 재원별 증감액</t>
    <phoneticPr fontId="6" type="noConversion"/>
  </si>
  <si>
    <t>증액</t>
    <phoneticPr fontId="2" type="noConversion"/>
  </si>
  <si>
    <t>기금</t>
    <phoneticPr fontId="2" type="noConversion"/>
  </si>
  <si>
    <t>□기금지출</t>
    <phoneticPr fontId="6" type="noConversion"/>
  </si>
  <si>
    <t>위원회</t>
    <phoneticPr fontId="6" type="noConversion"/>
  </si>
  <si>
    <t>부서명</t>
    <phoneticPr fontId="6" type="noConversion"/>
  </si>
  <si>
    <t>상임위 수정
예산안
(마=가+라)</t>
    <phoneticPr fontId="6" type="noConversion"/>
  </si>
  <si>
    <t>예결위 예산안 
조정액(마)</t>
    <phoneticPr fontId="6" type="noConversion"/>
  </si>
  <si>
    <t>상임위 재원별 증감액</t>
    <phoneticPr fontId="6" type="noConversion"/>
  </si>
  <si>
    <t>비  고</t>
    <phoneticPr fontId="2" type="noConversion"/>
  </si>
  <si>
    <t>국비 등</t>
    <phoneticPr fontId="2" type="noConversion"/>
  </si>
  <si>
    <t>도 비</t>
    <phoneticPr fontId="2" type="noConversion"/>
  </si>
  <si>
    <t>기획재정위원회</t>
    <phoneticPr fontId="6" type="noConversion"/>
  </si>
  <si>
    <t>기획조정실</t>
    <phoneticPr fontId="6" type="noConversion"/>
  </si>
  <si>
    <t>정보기획담당관</t>
  </si>
  <si>
    <t>정보화마을 조성</t>
  </si>
  <si>
    <t>정보통신보안담당관</t>
  </si>
  <si>
    <t>2013년 수준 반영</t>
  </si>
  <si>
    <t>문화체육관광위원회</t>
    <phoneticPr fontId="6" type="noConversion"/>
  </si>
  <si>
    <t>문화정책과</t>
  </si>
  <si>
    <t>종무과</t>
  </si>
  <si>
    <t>체육과</t>
  </si>
  <si>
    <t>문화유산과</t>
  </si>
  <si>
    <t>문화산업과</t>
  </si>
  <si>
    <t>관광과</t>
  </si>
  <si>
    <t>시군예술단체사업지원</t>
  </si>
  <si>
    <t>부천판타스틱영화제</t>
  </si>
  <si>
    <t>경기안산항공전</t>
  </si>
  <si>
    <t>건강보험료(1만원미만) 납부에 어려움이 있는 저소득 노인 개별가구에 건강보험료 지원(※ 경기도저소득노인가구국민건강보험료등 지원 조례)</t>
  </si>
  <si>
    <t>여성가족과</t>
  </si>
  <si>
    <t>건강가정지원센터 지원(자체/지원)</t>
  </si>
  <si>
    <t>도: 5, 시군 : 95</t>
  </si>
  <si>
    <t>여성교육기관 운영지원(자체/지원)
-여성인력개발센터 기능보강</t>
  </si>
  <si>
    <t>보육정책과</t>
  </si>
  <si>
    <t>특수보육 활성화 지원(자체/지원)
-가정보육교사제도 운영</t>
  </si>
  <si>
    <t>여성비전센터</t>
  </si>
  <si>
    <t>여성 리더십 과정 운영 (자체/직접)</t>
  </si>
  <si>
    <t>가족여성담당관</t>
  </si>
  <si>
    <t>보육청소년담당관</t>
  </si>
  <si>
    <t>공보육 기능강화(자체/지원)
-가정보육교사제도 운영</t>
  </si>
  <si>
    <t>2014년도 경기도 일반회계 세입 예산 상임위 수정(안)</t>
    <phoneticPr fontId="6" type="noConversion"/>
  </si>
  <si>
    <t>문화체육관광국</t>
    <phoneticPr fontId="6" type="noConversion"/>
  </si>
  <si>
    <t>체육과</t>
    <phoneticPr fontId="2" type="noConversion"/>
  </si>
  <si>
    <t>기금</t>
    <phoneticPr fontId="2" type="noConversion"/>
  </si>
  <si>
    <t>경기도 종합사격장 시설 개선</t>
    <phoneticPr fontId="2" type="noConversion"/>
  </si>
  <si>
    <t>스포츠재능나눔체육복지 추진</t>
    <phoneticPr fontId="2" type="noConversion"/>
  </si>
  <si>
    <t>제2회 추경
예산안
(가)</t>
    <phoneticPr fontId="6" type="noConversion"/>
  </si>
  <si>
    <t>기정액
(나)</t>
    <phoneticPr fontId="6" type="noConversion"/>
  </si>
  <si>
    <t>제2회 추경
증감액
(다=나-가)</t>
    <phoneticPr fontId="6" type="noConversion"/>
  </si>
  <si>
    <t>상임위 제2회 추경 
예산안 조정액(라)</t>
    <phoneticPr fontId="6" type="noConversion"/>
  </si>
  <si>
    <t>예결위 제2회 추경 
예산안 조정액(마)</t>
    <phoneticPr fontId="6" type="noConversion"/>
  </si>
  <si>
    <t>환경부 유역총량과-2531(13.11.20)</t>
  </si>
  <si>
    <t>저소득한부모가족지원</t>
  </si>
  <si>
    <t>농림축산식품부 농촌복지여성과-523(2013.11.22)</t>
  </si>
  <si>
    <t>국비</t>
  </si>
  <si>
    <t>증액</t>
    <phoneticPr fontId="2" type="noConversion"/>
  </si>
  <si>
    <t>경제과학기술위원회</t>
  </si>
  <si>
    <t>경제투자실</t>
  </si>
  <si>
    <t>추가</t>
  </si>
  <si>
    <t>경제정책과</t>
  </si>
  <si>
    <t>안전행정부 공문('13.11.19)</t>
  </si>
  <si>
    <t>도비</t>
  </si>
  <si>
    <t>기업지원2과</t>
  </si>
  <si>
    <t>신재생에너지 지방보급사업</t>
  </si>
  <si>
    <t>산업통상자원부 공문('13.11.15)
* 2013년 본예산 예산서 p58</t>
  </si>
  <si>
    <t>행정자치위원회</t>
  </si>
  <si>
    <t>안전행정실(비상기획관)</t>
  </si>
  <si>
    <t>재난대책담당관</t>
  </si>
  <si>
    <t>재해위험지구 정비(특별교부세)</t>
  </si>
  <si>
    <t>안전행정부 교부세과-1897
(2013.11.21)교부 결정통지</t>
    <phoneticPr fontId="6" type="noConversion"/>
  </si>
  <si>
    <t>특교</t>
    <phoneticPr fontId="6" type="noConversion"/>
  </si>
  <si>
    <t>서민밀집위험지구 정비(특별교부세)</t>
  </si>
  <si>
    <t>안전행정부 교부세과-1897
(2013.11.22)교부 결정통지</t>
    <phoneticPr fontId="6" type="noConversion"/>
  </si>
  <si>
    <t>급경사지 정비(특별교부세)</t>
  </si>
  <si>
    <t>안전행정부 교부세과-1897
(2013.11.23)교부 결정통지</t>
    <phoneticPr fontId="6" type="noConversion"/>
  </si>
  <si>
    <t>우수저류시설 설치사업(특별교부세)</t>
  </si>
  <si>
    <t>안전행정부 교부세과-1897
(2013.11.24)교부 결정통지</t>
    <phoneticPr fontId="6" type="noConversion"/>
  </si>
  <si>
    <t>농림수산위원회</t>
  </si>
  <si>
    <t>농정해양국</t>
  </si>
  <si>
    <t>1회추경
61</t>
    <phoneticPr fontId="6" type="noConversion"/>
  </si>
  <si>
    <t>농업정책과</t>
  </si>
  <si>
    <t>농어촌보육여건 개선</t>
  </si>
  <si>
    <t>친환경농업과</t>
  </si>
  <si>
    <t>밭농업직불제</t>
  </si>
  <si>
    <t>농림축산식품부 농가소득안정추진단-2418(2013.11.21)</t>
  </si>
  <si>
    <t>쌀소득등보전직불제</t>
  </si>
  <si>
    <t>농림축산식품부 농가소득안정추진단-2387(2013.11.19)</t>
  </si>
  <si>
    <t>조건불리지역직접지불</t>
  </si>
  <si>
    <t>농림축산식품부 농가소득안정추진단-2475(2013.11.26)</t>
  </si>
  <si>
    <t>축산산림국</t>
  </si>
  <si>
    <t>축산정책과</t>
  </si>
  <si>
    <t>농림축산식품부 방역관리과-3714(2013.10.28)</t>
  </si>
  <si>
    <t>농업기술원</t>
  </si>
  <si>
    <t>총무과</t>
  </si>
  <si>
    <t>밭농업직접지불사업</t>
  </si>
  <si>
    <t>농림축산식품부 농가소득안정추진단-2287(2013.11.13)</t>
  </si>
  <si>
    <t>보건복지공보위원회</t>
  </si>
  <si>
    <t>보건복지국</t>
  </si>
  <si>
    <t>복지정책과</t>
  </si>
  <si>
    <t>국비 변경내시
※ 보건복지부 기초생활보장과-3462(2013.11.05)호</t>
  </si>
  <si>
    <t>1회추경
62</t>
    <phoneticPr fontId="6" type="noConversion"/>
  </si>
  <si>
    <t>광역자활지원센터 운영 지원</t>
    <phoneticPr fontId="6" type="noConversion"/>
  </si>
  <si>
    <t>국비 변경내시
※ 보건복지부 자립지원과-4361(2013.11.25)호</t>
  </si>
  <si>
    <t>2013년 지역복지계획 시행평가 우수지자체 시상금</t>
    <phoneticPr fontId="6" type="noConversion"/>
  </si>
  <si>
    <t>국비변경내시
※ 보건복지부 지역복지과-4943(2013.11.20.)호</t>
  </si>
  <si>
    <t>재해재난긴급구호</t>
  </si>
  <si>
    <t>국비 내시
※ 소방방재청 복구지원과-3771(2013.11.11.)호</t>
  </si>
  <si>
    <t>기금</t>
  </si>
  <si>
    <t>노인복지과</t>
  </si>
  <si>
    <t>기초노령연금(국비 증액사업)</t>
  </si>
  <si>
    <t>국비 변경내시
※ 보건복지부 기초노령연금과-3012(2013.11.22)호</t>
  </si>
  <si>
    <t>본예산
54</t>
    <phoneticPr fontId="6" type="noConversion"/>
  </si>
  <si>
    <t>장애인복지과</t>
  </si>
  <si>
    <t>장애인연금</t>
  </si>
  <si>
    <t>국비변경내시
※ 보건복지부 장애인자립기반과 - 7231(2013.11.12.)호</t>
  </si>
  <si>
    <t>1회추경
63</t>
    <phoneticPr fontId="6" type="noConversion"/>
  </si>
  <si>
    <t>장애아동가족지원</t>
    <phoneticPr fontId="6" type="noConversion"/>
  </si>
  <si>
    <t>국비변경내시
※보건복지부 장애인서비스과-3705(2013.10.30.)호</t>
  </si>
  <si>
    <t>장애인직업재활시설 기능보강</t>
  </si>
  <si>
    <t>국비변경내시
※ 보건복지부 장애인자립기반과-6838(2013.10.25)호</t>
  </si>
  <si>
    <t>무한돌봄센터</t>
  </si>
  <si>
    <t>긴급복지지원사업</t>
  </si>
  <si>
    <t>국비변경내시
※ 보건복지부 기초생활보장과-3475(2013.11.7)호</t>
  </si>
  <si>
    <t>본예산
55</t>
    <phoneticPr fontId="6" type="noConversion"/>
  </si>
  <si>
    <t>보건정책과</t>
  </si>
  <si>
    <t>마약중독자 치료보호비</t>
    <phoneticPr fontId="6" type="noConversion"/>
  </si>
  <si>
    <t>국비변경내시
※ 보건복지부 정신건강정책과-5508(2013.11.5)호</t>
  </si>
  <si>
    <t>식품안전과</t>
  </si>
  <si>
    <t>어린이급식관리지원센터 운영</t>
  </si>
  <si>
    <t>국비 변경내시
※ 식품의약품안전청 식생활안전과-3167(2013.11.4.)호</t>
  </si>
  <si>
    <t>복지여성실</t>
  </si>
  <si>
    <t>보건위생담당관</t>
  </si>
  <si>
    <t>보건위생담당관 도비 민간이전 사용잔액등</t>
  </si>
  <si>
    <t>2008~2010 한센병 관리사업에 대한 이자 발생액
·질병관리본부 추가통보(2013.10.25.)
·질병관리본부 에이즈·결핵관리과-2317(2011.6.8.)
·질병관리본부 에이즈·결핵관리과-4292(2011.10.25.)</t>
  </si>
  <si>
    <t>건설교통위원회</t>
  </si>
  <si>
    <t>철도물류국</t>
  </si>
  <si>
    <t>1회추경
64</t>
    <phoneticPr fontId="6" type="noConversion"/>
  </si>
  <si>
    <t>물류과</t>
  </si>
  <si>
    <t>화물차 디지털운행기록장치 설치
(국비 증액사업)</t>
  </si>
  <si>
    <t>국비 추가내시(1회 추경예산서 64쪽)</t>
  </si>
  <si>
    <t>교통건설국</t>
  </si>
  <si>
    <t>1회추경
67</t>
    <phoneticPr fontId="6" type="noConversion"/>
  </si>
  <si>
    <t>교통정책과</t>
  </si>
  <si>
    <t>택시 디지털운행기록장치 설치지원
(국비 증액사업)</t>
  </si>
  <si>
    <t>국비 추가내시(1회 추경예산서 67쪽)</t>
  </si>
  <si>
    <t>건설본부</t>
  </si>
  <si>
    <t>본예산
61</t>
    <phoneticPr fontId="6" type="noConversion"/>
  </si>
  <si>
    <t>하천과</t>
  </si>
  <si>
    <t>국가하천유지보수비(국비 감액사업)</t>
  </si>
  <si>
    <t>국비 변경내시(본예산서 61쪽)</t>
  </si>
  <si>
    <t>도시환경위원회</t>
  </si>
  <si>
    <t>도시주택실</t>
  </si>
  <si>
    <t>토지정보과</t>
  </si>
  <si>
    <t>도로명주소 전면사용 안내</t>
  </si>
  <si>
    <t>안전행정부 교부세과-1819(2013.11.13)</t>
  </si>
  <si>
    <t>특교</t>
  </si>
  <si>
    <t>팔당수질개선본부</t>
  </si>
  <si>
    <t>1회추경
67</t>
  </si>
  <si>
    <t>수질관리과</t>
  </si>
  <si>
    <t>가축분뇨공공처리시설 설치</t>
    <phoneticPr fontId="6" type="noConversion"/>
  </si>
  <si>
    <t>상하수과</t>
  </si>
  <si>
    <t>하수처리장 확충</t>
    <phoneticPr fontId="6" type="noConversion"/>
  </si>
  <si>
    <t>하수처리장융자금원리금상환</t>
  </si>
  <si>
    <t>한강유역환경청 수질총량관리과-7896(13.11.28)</t>
  </si>
  <si>
    <t>국비</t>
    <phoneticPr fontId="6" type="noConversion"/>
  </si>
  <si>
    <t>여성가족평생교육위원회</t>
  </si>
  <si>
    <t>여성가족국</t>
  </si>
  <si>
    <t>아이돌보미 지원사업</t>
  </si>
  <si>
    <t>여성가족부 가족지원과-3623(2013.11.21)호</t>
  </si>
  <si>
    <t>1회추경
 64</t>
    <phoneticPr fontId="6" type="noConversion"/>
  </si>
  <si>
    <t>한부모가족 복지시설 기능보강 사업</t>
  </si>
  <si>
    <t>여성가족부 가족지원과-3545(2013.11.14.)호</t>
  </si>
  <si>
    <t>여성가족부 가족지원과-3417(2013.11.6.)호</t>
  </si>
  <si>
    <t>교직원인건비</t>
  </si>
  <si>
    <t>보건복지부 보육기반과-4699(2013.11.13.)호</t>
  </si>
  <si>
    <t>1회추경
65</t>
    <phoneticPr fontId="6" type="noConversion"/>
  </si>
  <si>
    <t>아동청소년과</t>
  </si>
  <si>
    <t>입양아동가족지원</t>
  </si>
  <si>
    <t>보건복지부 아동복지정책과-3348(2013.10.28.)호</t>
  </si>
  <si>
    <t>평생교육국</t>
  </si>
  <si>
    <t>도서관과</t>
  </si>
  <si>
    <t>12-13년 공공도서관 건립지원 도비 반납 추가
※ 도서관과-9486(2013.11.20)</t>
  </si>
  <si>
    <t>신재생에너지 보급사업(국비/지원)</t>
  </si>
  <si>
    <t>산업통상자원부 공문('13.11.15)
* 13년 본예산 예산서 p422</t>
  </si>
  <si>
    <t>재해위험지구 정비(교부세/지원)</t>
  </si>
  <si>
    <t>서민밀집위험지구 정비(교부세/지원)</t>
  </si>
  <si>
    <t>급경사지 정비(교부세/지원)</t>
  </si>
  <si>
    <t>안전행정부 교부세과-1897
(2013.11.23)교부 결정통지</t>
    <phoneticPr fontId="2" type="noConversion"/>
  </si>
  <si>
    <t>특교</t>
    <phoneticPr fontId="2" type="noConversion"/>
  </si>
  <si>
    <t>우수저류시설 설치사업(교부세/지원)</t>
  </si>
  <si>
    <t>안전행정부 교부세과-1897
(2013.11.24)교부 결정통지</t>
    <phoneticPr fontId="2" type="noConversion"/>
  </si>
  <si>
    <t>문화체육관광위원회</t>
  </si>
  <si>
    <t>문화체육관광국</t>
  </si>
  <si>
    <t>본예산
177</t>
    <phoneticPr fontId="2" type="noConversion"/>
  </si>
  <si>
    <t>도단위 예술단체 문예진흥(자체/직접)</t>
    <phoneticPr fontId="2" type="noConversion"/>
  </si>
  <si>
    <t>도비</t>
    <phoneticPr fontId="2" type="noConversion"/>
  </si>
  <si>
    <t>본예산
208</t>
    <phoneticPr fontId="2" type="noConversion"/>
  </si>
  <si>
    <t>농어촌보육여건개선(국비/지원)
- 농촌보육교사특별수당</t>
    <phoneticPr fontId="2" type="noConversion"/>
  </si>
  <si>
    <t>조건불리지역직접지불(국비/지원)</t>
  </si>
  <si>
    <t>국도비</t>
  </si>
  <si>
    <t>1회추경
167</t>
    <phoneticPr fontId="2" type="noConversion"/>
  </si>
  <si>
    <t>쌀소득등보전직불제(국비/지원)</t>
    <phoneticPr fontId="2" type="noConversion"/>
  </si>
  <si>
    <t>국비</t>
    <phoneticPr fontId="2" type="noConversion"/>
  </si>
  <si>
    <t>농림축산식품부 방역관리과-3714(2013.10.28)</t>
    <phoneticPr fontId="2" type="noConversion"/>
  </si>
  <si>
    <t>친환경기술과</t>
  </si>
  <si>
    <t>생계급여(국비/지원)</t>
  </si>
  <si>
    <t>주거급여(국비/지원)</t>
  </si>
  <si>
    <t>교육급여(국비/지원)</t>
  </si>
  <si>
    <t>해산장제급여(국비/지원)</t>
  </si>
  <si>
    <t>지역사회서비스 투자사업(국비/지원)</t>
  </si>
  <si>
    <t>가사간병방문 서비스사업간 도비예산 조정임</t>
  </si>
  <si>
    <t>1회추경
184</t>
    <phoneticPr fontId="2" type="noConversion"/>
  </si>
  <si>
    <t>광역자활센터운영지원(국비/직접)</t>
    <phoneticPr fontId="2" type="noConversion"/>
  </si>
  <si>
    <t>보건복지부 평가(최우수기관 선정)에 따른  인센티브 반영</t>
  </si>
  <si>
    <t>재해재난 긴급구호(기금/직접)</t>
  </si>
  <si>
    <t>지역사회복지사업(국비/지원)
- 지역복지계획시행평가 우수지자체 지원</t>
  </si>
  <si>
    <t>복지부 복지행정상 조례부분 대상 수상 포상금
※ 보건복지부 지역복지과-4943(2013.11.20.)호</t>
  </si>
  <si>
    <t>추가</t>
    <phoneticPr fontId="2" type="noConversion"/>
  </si>
  <si>
    <t>지역사회복지사업(국비/직접)
- 동절기 노숙인 지원 800만 (사회복지보조)</t>
    <phoneticPr fontId="2" type="noConversion"/>
  </si>
  <si>
    <t>지역사회복지사업(국비/직접)
- 직원역량 강화 200만 (사무관리비)</t>
    <phoneticPr fontId="2" type="noConversion"/>
  </si>
  <si>
    <t>기초노령연금(국비/지원)</t>
  </si>
  <si>
    <t>국비변경내시
※ 보건복지부 기초노령연금과-3012(2013.11.22)</t>
  </si>
  <si>
    <t>어르신종합지원센터 운영(국비/직접)
- 경기도 어르신종합지원센터 설치 (사회복지보조)</t>
    <phoneticPr fontId="2" type="noConversion"/>
  </si>
  <si>
    <t>복지부 복지행정상 노인분야 대상 수상 포상금
※ 보건복지부 지역복지과-4943(2013.11.20.)호</t>
    <phoneticPr fontId="2" type="noConversion"/>
  </si>
  <si>
    <t>노인복지사업 선진지 견학(국비/직접)</t>
  </si>
  <si>
    <t>복지부 복지행정상 노인분야 대상 수상 포상금
※ 보건복지부 지역복지과-4943(2013.11.20.)호</t>
  </si>
  <si>
    <t>본예산
268</t>
    <phoneticPr fontId="2" type="noConversion"/>
  </si>
  <si>
    <t>장애인연금(국비/지원)</t>
  </si>
  <si>
    <t>본예산
270</t>
    <phoneticPr fontId="2" type="noConversion"/>
  </si>
  <si>
    <t>장애아동가족지원(국비/지원)
- 장애아동 재활치료바우처</t>
    <phoneticPr fontId="2" type="noConversion"/>
  </si>
  <si>
    <t>1회추경
198</t>
    <phoneticPr fontId="2" type="noConversion"/>
  </si>
  <si>
    <t>장애인직업재활시설 기능보강(국비/지원)</t>
  </si>
  <si>
    <t>1회추경
197</t>
    <phoneticPr fontId="2" type="noConversion"/>
  </si>
  <si>
    <t>장애인생활시설 운영(분권/지원)</t>
  </si>
  <si>
    <t>본청, 북부청간 사업비 조정                       
(분권 121,440, 도비28,602)</t>
  </si>
  <si>
    <t>1회추경
200</t>
    <phoneticPr fontId="2" type="noConversion"/>
  </si>
  <si>
    <t>긴급복지지원사업(국비/지원)</t>
    <phoneticPr fontId="2" type="noConversion"/>
  </si>
  <si>
    <t>본예산
294</t>
    <phoneticPr fontId="2" type="noConversion"/>
  </si>
  <si>
    <t>마약중독자 치료보호(국비/직접)
- 마약중독자 치료보호비 지원</t>
  </si>
  <si>
    <t>국비변경내시
※ 보건복지부 정신건강정책과-5508(2013.11.5.)호</t>
  </si>
  <si>
    <t>본예산
303</t>
    <phoneticPr fontId="2" type="noConversion"/>
  </si>
  <si>
    <t>인건비
- 공중보건의사 보건사업 활동비</t>
    <phoneticPr fontId="2" type="noConversion"/>
  </si>
  <si>
    <t>공중보건의사(역학조사관) 활동비로 현재 국비사업으로 지원 중.  도자체 인건비 전액 감액</t>
  </si>
  <si>
    <t>1회추경
218</t>
    <phoneticPr fontId="2" type="noConversion"/>
  </si>
  <si>
    <t>어린이 급식관리지원센터 운영(국비/지원)</t>
    <phoneticPr fontId="2" type="noConversion"/>
  </si>
  <si>
    <t>사회복지담당관</t>
  </si>
  <si>
    <t>기초노령연금(국비/지원)</t>
    <phoneticPr fontId="2" type="noConversion"/>
  </si>
  <si>
    <t>사업량 증가에 따른 국비 변경내시
※ 근거 : 보건복지부 기초노령연금과-3012(2013.11.22)호.</t>
  </si>
  <si>
    <t>1회추경
493</t>
    <phoneticPr fontId="2" type="noConversion"/>
  </si>
  <si>
    <t>긴급복지(국비/지원)</t>
  </si>
  <si>
    <t>국비 변경내시
※ 보건복지부 기초생활보장과-3475(2013.11.7)호</t>
  </si>
  <si>
    <t>본예산
803</t>
    <phoneticPr fontId="2" type="noConversion"/>
  </si>
  <si>
    <t>장애아동 가족지원(국비/지원)
- 장애아동 재활치료 바우처</t>
  </si>
  <si>
    <t>사업량 증가에 따른 국비 변경내시
※ 근거 : 보건복지부 장애인서비스과-3705(2013.10.30.)호</t>
  </si>
  <si>
    <t>1회추경
500</t>
    <phoneticPr fontId="2" type="noConversion"/>
  </si>
  <si>
    <t>장애인 복지시설 지원(차체/지원)
- 장애인복지시설 입소자 지원(4종)</t>
    <phoneticPr fontId="2" type="noConversion"/>
  </si>
  <si>
    <t>사업량 감소에 따른 감액</t>
  </si>
  <si>
    <t>장애인 직업재활시설 기능보강(국비/지원)</t>
    <phoneticPr fontId="2" type="noConversion"/>
  </si>
  <si>
    <t>사업량 증가에 따른 국비 변경내시
※ 근거 : 보건복지부 장애인자립기반과-6938(2013.10.25.)호</t>
  </si>
  <si>
    <t>1회추경
501</t>
    <phoneticPr fontId="2" type="noConversion"/>
  </si>
  <si>
    <t>장애인복지시설 운영지원(분권/지원)
- 장애인생활시설 운영</t>
    <phoneticPr fontId="2" type="noConversion"/>
  </si>
  <si>
    <t>분권</t>
  </si>
  <si>
    <t>국비 추가내시</t>
  </si>
  <si>
    <t>본예산
590</t>
    <phoneticPr fontId="2" type="noConversion"/>
  </si>
  <si>
    <t>국비 변경내시(본예산서 590쪽)</t>
  </si>
  <si>
    <t>도로명주소 전면사용 안내(국비/지원)</t>
  </si>
  <si>
    <t>가축분뇨공공처리시설설치(국비/지원)</t>
  </si>
  <si>
    <t>여성가족평생교육위원회</t>
    <phoneticPr fontId="2" type="noConversion"/>
  </si>
  <si>
    <t>1회추경
245</t>
    <phoneticPr fontId="2" type="noConversion"/>
  </si>
  <si>
    <t>아이돌보미 지원(국비/지원)
- 아이돌보미 지원</t>
    <phoneticPr fontId="2" type="noConversion"/>
  </si>
  <si>
    <t>저소득 한부모가족 지원(국비/지원)</t>
    <phoneticPr fontId="2" type="noConversion"/>
  </si>
  <si>
    <t>교직원인건비(국비/지원)</t>
  </si>
  <si>
    <t>교사겸직원장지원(국비/지원)</t>
  </si>
  <si>
    <t>보건복지부 보육사업기획과-3985(2013. 10. 21)호</t>
  </si>
  <si>
    <r>
      <t xml:space="preserve">누리과정운영(자체/지원)
- 누리과정운영
</t>
    </r>
    <r>
      <rPr>
        <b/>
        <sz val="10"/>
        <color rgb="FFFF0000"/>
        <rFont val="맑은 고딕"/>
        <family val="3"/>
        <charset val="129"/>
        <scheme val="minor"/>
      </rPr>
      <t>(부기명 변경 ⇒ 성립전으로)
누리과정운영 ⇒ 누리과정운영(성립전)</t>
    </r>
    <phoneticPr fontId="2" type="noConversion"/>
  </si>
  <si>
    <t>경기도교육청 유아특수교육과(북부청사)-15148(2013.10.28.)호</t>
  </si>
  <si>
    <t>전입금</t>
  </si>
  <si>
    <t>1회추경
254</t>
    <phoneticPr fontId="2" type="noConversion"/>
  </si>
  <si>
    <t>누리과정운영(자체/지원)
- 누리과정운영</t>
    <phoneticPr fontId="2" type="noConversion"/>
  </si>
  <si>
    <t>1회추경
265</t>
    <phoneticPr fontId="2" type="noConversion"/>
  </si>
  <si>
    <t>입양비용 지원(국비/지원)</t>
  </si>
  <si>
    <t>저소득한부모가족지원(국비/지원)
- 저소득 한부모가족 지원</t>
  </si>
  <si>
    <t>여성가족부 가족지원과-3623(2013.11.06.)</t>
  </si>
  <si>
    <t>가족역량강화지원(국비/지원)
- 한부모가족 복지시설 기능보강사업</t>
  </si>
  <si>
    <t>여성가족부 가족지원과-3623(2013.11.14.)</t>
  </si>
  <si>
    <t>1회추경
486</t>
    <phoneticPr fontId="2" type="noConversion"/>
  </si>
  <si>
    <t>아이돌보미 지원사업(국비/지원)
- 아이돌보미 지원</t>
  </si>
  <si>
    <t>여성가족부 가족지원과-3623(2013.11.21.)</t>
  </si>
  <si>
    <t>보건복지부 보육기반과-4699(2013.11.13.)</t>
  </si>
  <si>
    <t>교사겸직 원장 지원(국비/지원)</t>
  </si>
  <si>
    <t>보건복지부 보육사업과-3985(2013.10.21.)</t>
  </si>
  <si>
    <t>경기도교육청 유아특수교육과-15148(2013.10.28.)</t>
  </si>
  <si>
    <t>1회추경
504</t>
    <phoneticPr fontId="2" type="noConversion"/>
  </si>
  <si>
    <t>본예산
821</t>
    <phoneticPr fontId="2" type="noConversion"/>
  </si>
  <si>
    <t>입양비용지원(국비/지원)</t>
  </si>
  <si>
    <t>보건복지부 아동복지정책과-3348(2013.10.28.)</t>
  </si>
  <si>
    <t>아동시설 지원(자체/지원)
-아동복지시설 아동 학습활동지원</t>
  </si>
  <si>
    <t>사업량 감소에 따른 집행잔액 감액</t>
  </si>
  <si>
    <t>(단위 : 천원)</t>
    <phoneticPr fontId="6" type="noConversion"/>
  </si>
  <si>
    <t>위원회</t>
    <phoneticPr fontId="6" type="noConversion"/>
  </si>
  <si>
    <t>예산안
페이지</t>
    <phoneticPr fontId="6" type="noConversion"/>
  </si>
  <si>
    <t>부서명</t>
    <phoneticPr fontId="6" type="noConversion"/>
  </si>
  <si>
    <t>사업명</t>
    <phoneticPr fontId="6" type="noConversion"/>
  </si>
  <si>
    <t>동의 대상</t>
    <phoneticPr fontId="2" type="noConversion"/>
  </si>
  <si>
    <t>비  고</t>
    <phoneticPr fontId="6" type="noConversion"/>
  </si>
  <si>
    <t>재원</t>
    <phoneticPr fontId="6" type="noConversion"/>
  </si>
  <si>
    <t>감액</t>
    <phoneticPr fontId="2" type="noConversion"/>
  </si>
  <si>
    <t>국비 등</t>
    <phoneticPr fontId="2" type="noConversion"/>
  </si>
  <si>
    <t>도 비</t>
    <phoneticPr fontId="2" type="noConversion"/>
  </si>
  <si>
    <t>검 증</t>
    <phoneticPr fontId="2" type="noConversion"/>
  </si>
  <si>
    <t>합   계</t>
    <phoneticPr fontId="2" type="noConversion"/>
  </si>
  <si>
    <t>화물차 디지털운행기록장치 설치지원(국비/지원)</t>
    <phoneticPr fontId="2" type="noConversion"/>
  </si>
  <si>
    <t>2014년도 기금운용계획안</t>
    <phoneticPr fontId="6" type="noConversion"/>
  </si>
  <si>
    <t>2014년도 일반회계 및 특별회계 세입·세출 예산안</t>
    <phoneticPr fontId="6" type="noConversion"/>
  </si>
  <si>
    <t>2013년도 제2회 일반회계 및 특별회계 추가경정 세입·세출 예산안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</si>
  <si>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</si>
  <si>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</si>
  <si>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</si>
  <si>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</si>
  <si>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세입예산(안)</t>
    <phoneticPr fontId="6" type="noConversion"/>
  </si>
  <si>
    <t>세출예산(안)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</si>
  <si>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</si>
  <si>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</si>
  <si>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</si>
  <si>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</si>
  <si>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</si>
  <si>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</si>
  <si>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</si>
  <si>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</si>
  <si>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</si>
  <si>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기금</t>
    <phoneticPr fontId="6" type="noConversion"/>
  </si>
  <si>
    <t>여가평위</t>
    <phoneticPr fontId="6" type="noConversion"/>
  </si>
  <si>
    <t>(단위:천원)</t>
  </si>
  <si>
    <t>세입기준 수정예산안</t>
    <phoneticPr fontId="6" type="noConversion"/>
  </si>
  <si>
    <t>(세출기준-세입기준)</t>
    <phoneticPr fontId="6" type="noConversion"/>
  </si>
  <si>
    <t>일반회계</t>
  </si>
  <si>
    <t>특별회계</t>
    <phoneticPr fontId="6" type="noConversion"/>
  </si>
  <si>
    <t>위원회명</t>
  </si>
  <si>
    <t>본예산(일반+기특)</t>
    <phoneticPr fontId="6" type="noConversion"/>
  </si>
  <si>
    <r>
      <rPr>
        <b/>
        <sz val="10"/>
        <rFont val="돋움"/>
        <family val="3"/>
        <charset val="129"/>
      </rPr>
      <t>일반</t>
    </r>
    <r>
      <rPr>
        <b/>
        <sz val="10"/>
        <rFont val="Arial"/>
        <family val="2"/>
      </rPr>
      <t>+</t>
    </r>
    <r>
      <rPr>
        <b/>
        <sz val="10"/>
        <rFont val="돋움"/>
        <family val="3"/>
        <charset val="129"/>
      </rPr>
      <t>기특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증감</t>
    </r>
    <phoneticPr fontId="6" type="noConversion"/>
  </si>
  <si>
    <t>본예산(공기업)</t>
    <phoneticPr fontId="6" type="noConversion"/>
  </si>
  <si>
    <t>공기업증감</t>
    <phoneticPr fontId="6" type="noConversion"/>
  </si>
  <si>
    <t>합계</t>
    <phoneticPr fontId="6" type="noConversion"/>
  </si>
  <si>
    <t>의회운영위원회</t>
  </si>
  <si>
    <t>기획재정위원회</t>
  </si>
  <si>
    <t>총합계</t>
  </si>
  <si>
    <t>예비비</t>
    <phoneticPr fontId="6" type="noConversion"/>
  </si>
  <si>
    <t>◦ 본청 83,000 증
◦ 북부청 377,000 증</t>
    <phoneticPr fontId="6" type="noConversion"/>
  </si>
  <si>
    <t>□  일반회계</t>
    <phoneticPr fontId="6" type="noConversion"/>
  </si>
  <si>
    <t>□ 특별회계</t>
    <phoneticPr fontId="6" type="noConversion"/>
  </si>
  <si>
    <t>2014년도 경기도 일반 및 특별회계 세입·세출 예산안 계수조정 결과</t>
    <phoneticPr fontId="6" type="noConversion"/>
  </si>
  <si>
    <t>2013년도 경기도 제2회 일반 및 특별회계 세입·세출 추경예산안 계수조정 결과</t>
    <phoneticPr fontId="6" type="noConversion"/>
  </si>
  <si>
    <t>기 재 위</t>
    <phoneticPr fontId="6" type="noConversion"/>
  </si>
  <si>
    <t>경과기위</t>
    <phoneticPr fontId="6" type="noConversion"/>
  </si>
  <si>
    <t>행 자 위</t>
    <phoneticPr fontId="6" type="noConversion"/>
  </si>
  <si>
    <t>문체관위</t>
    <phoneticPr fontId="6" type="noConversion"/>
  </si>
  <si>
    <t>농 수 위</t>
    <phoneticPr fontId="6" type="noConversion"/>
  </si>
  <si>
    <t>보복공위</t>
    <phoneticPr fontId="6" type="noConversion"/>
  </si>
  <si>
    <t>건 교 위</t>
    <phoneticPr fontId="6" type="noConversion"/>
  </si>
  <si>
    <t>도 환 위</t>
    <phoneticPr fontId="6" type="noConversion"/>
  </si>
  <si>
    <t>운 영 위</t>
    <phoneticPr fontId="2" type="noConversion"/>
  </si>
  <si>
    <t>예산안
(A)</t>
    <phoneticPr fontId="2" type="noConversion"/>
  </si>
  <si>
    <t>계
(B=C+D)</t>
    <phoneticPr fontId="2" type="noConversion"/>
  </si>
  <si>
    <t>집행부제출안
(E)</t>
    <phoneticPr fontId="2" type="noConversion"/>
  </si>
  <si>
    <t>계
(F=G+H)</t>
    <phoneticPr fontId="2" type="noConversion"/>
  </si>
  <si>
    <t>상임위조정
예산안
(E+F)</t>
    <phoneticPr fontId="2" type="noConversion"/>
  </si>
  <si>
    <t>상임위 계수조정</t>
    <phoneticPr fontId="2" type="noConversion"/>
  </si>
  <si>
    <t>상임위조정
예산안
(A+B)</t>
    <phoneticPr fontId="2" type="noConversion"/>
  </si>
  <si>
    <t>감액
(C)</t>
    <phoneticPr fontId="6" type="noConversion"/>
  </si>
  <si>
    <t>증액
(D)</t>
    <phoneticPr fontId="6" type="noConversion"/>
  </si>
  <si>
    <t>감액
(G)</t>
    <phoneticPr fontId="6" type="noConversion"/>
  </si>
  <si>
    <t>증액
(F)</t>
    <phoneticPr fontId="6" type="noConversion"/>
  </si>
  <si>
    <t>생계급여</t>
    <phoneticPr fontId="2" type="noConversion"/>
  </si>
  <si>
    <t>주거급여</t>
    <phoneticPr fontId="6" type="noConversion"/>
  </si>
  <si>
    <t>교육급여</t>
    <phoneticPr fontId="6" type="noConversion"/>
  </si>
  <si>
    <t>해산장제급여</t>
    <phoneticPr fontId="2" type="noConversion"/>
  </si>
  <si>
    <t>□세입예산</t>
    <phoneticPr fontId="6" type="noConversion"/>
  </si>
  <si>
    <t>예산안
(가)</t>
    <phoneticPr fontId="6" type="noConversion"/>
  </si>
  <si>
    <t>예결위 예산안 
조정액(마)</t>
    <phoneticPr fontId="6" type="noConversion"/>
  </si>
  <si>
    <t>증액</t>
    <phoneticPr fontId="2" type="noConversion"/>
  </si>
  <si>
    <t>기획재정위원회</t>
    <phoneticPr fontId="6" type="noConversion"/>
  </si>
  <si>
    <t>기획조정실</t>
    <phoneticPr fontId="6" type="noConversion"/>
  </si>
  <si>
    <t>시군구 재해복구시스템 백업센터 유지보수비</t>
    <phoneticPr fontId="6" type="noConversion"/>
  </si>
  <si>
    <t>자치단체간부담금(시군 ⇒ 도)</t>
    <phoneticPr fontId="6" type="noConversion"/>
  </si>
  <si>
    <t>도비</t>
    <phoneticPr fontId="6" type="noConversion"/>
  </si>
  <si>
    <t>안전행정실</t>
  </si>
  <si>
    <t>비상기획담당관</t>
  </si>
  <si>
    <t>민방위 시설장비 확충</t>
  </si>
  <si>
    <t>소방방재청 민방위과-6167(2013.11.20)</t>
    <phoneticPr fontId="6" type="noConversion"/>
  </si>
  <si>
    <t>인재개발원</t>
  </si>
  <si>
    <t>경기도인재개발원</t>
  </si>
  <si>
    <t>도-시군 통합사이버모바일 교육부담금</t>
  </si>
  <si>
    <t>수용 : 사업비 감소로 분담감소</t>
  </si>
  <si>
    <t>구내식당 임대료</t>
  </si>
  <si>
    <t>농림수산위원회</t>
    <phoneticPr fontId="6" type="noConversion"/>
  </si>
  <si>
    <t>추가</t>
    <phoneticPr fontId="6" type="noConversion"/>
  </si>
  <si>
    <t>농식품ICT융복합확산사업</t>
  </si>
  <si>
    <t>농림축산식품부 정보화담당관실-2862 (2013.11.12.)</t>
  </si>
  <si>
    <t>기금</t>
    <phoneticPr fontId="6" type="noConversion"/>
  </si>
  <si>
    <t>농업정책과</t>
    <phoneticPr fontId="6" type="noConversion"/>
  </si>
  <si>
    <t>수산과</t>
  </si>
  <si>
    <t>자율관리어업 육성(국비)</t>
  </si>
  <si>
    <t>해양수산부 자원관리과-3328(2013.11.14)</t>
  </si>
  <si>
    <t>해양보호구역관리(국비)</t>
  </si>
  <si>
    <t>해양수산부 해양생태과-2062(2013.11.22)</t>
  </si>
  <si>
    <t>낚시산업선진화(국비)</t>
  </si>
  <si>
    <t>해양수산부 해양생태과-3251(2013.11.25)</t>
  </si>
  <si>
    <t>해양수산자원연구소</t>
  </si>
  <si>
    <t>내수면시험장 개보수</t>
  </si>
  <si>
    <t>해양수산부 해양생태과-3586(2013.11.29)</t>
  </si>
  <si>
    <t>일반부담금(전문승용마 시범생산)</t>
  </si>
  <si>
    <t>한국마사회 생산진흥팀-1113(2013.10.31)</t>
  </si>
  <si>
    <t>산림과</t>
  </si>
  <si>
    <t>자치단체간부담금(사방사업)</t>
  </si>
  <si>
    <t>자치단체간부담금(사방댐조성관리)</t>
  </si>
  <si>
    <t>농업전문인력양성</t>
  </si>
  <si>
    <t>국비증액사업</t>
    <phoneticPr fontId="6" type="noConversion"/>
  </si>
  <si>
    <t>공공복지전달체계 개선</t>
  </si>
  <si>
    <t>건강증진과</t>
  </si>
  <si>
    <t>보건환경연구원</t>
  </si>
  <si>
    <t>전력효율향상사업(LED)</t>
  </si>
  <si>
    <t>감염병지역거점진단 인프라구축</t>
  </si>
  <si>
    <t>여성가족평생교육위원회</t>
    <phoneticPr fontId="6" type="noConversion"/>
  </si>
  <si>
    <r>
      <t xml:space="preserve">저소득 한부모가족 지원
</t>
    </r>
    <r>
      <rPr>
        <b/>
        <sz val="10"/>
        <color rgb="FFFF0000"/>
        <rFont val="맑은 고딕"/>
        <family val="3"/>
        <charset val="129"/>
        <scheme val="major"/>
      </rPr>
      <t>(국비 ⇒ 기금)</t>
    </r>
    <phoneticPr fontId="6" type="noConversion"/>
  </si>
  <si>
    <r>
      <t xml:space="preserve">청소년 한부모 자립지원
</t>
    </r>
    <r>
      <rPr>
        <b/>
        <sz val="10"/>
        <color rgb="FFFF0000"/>
        <rFont val="맑은 고딕"/>
        <family val="3"/>
        <charset val="129"/>
        <scheme val="major"/>
      </rPr>
      <t>(국비 ⇒ 기금)</t>
    </r>
    <phoneticPr fontId="6" type="noConversion"/>
  </si>
  <si>
    <r>
      <t xml:space="preserve">미혼모 거점기관 운영
</t>
    </r>
    <r>
      <rPr>
        <b/>
        <sz val="10"/>
        <color rgb="FFFF0000"/>
        <rFont val="맑은 고딕"/>
        <family val="3"/>
        <charset val="129"/>
        <scheme val="major"/>
      </rPr>
      <t>(국비 ⇒ 기금)</t>
    </r>
    <phoneticPr fontId="6" type="noConversion"/>
  </si>
  <si>
    <r>
      <t xml:space="preserve">한부모가족 복지시설 기능보강
</t>
    </r>
    <r>
      <rPr>
        <b/>
        <sz val="10"/>
        <color rgb="FFFF0000"/>
        <rFont val="맑은 고딕"/>
        <family val="3"/>
        <charset val="129"/>
        <scheme val="minor"/>
      </rPr>
      <t>(국비 ⇒ 기금)</t>
    </r>
    <phoneticPr fontId="6" type="noConversion"/>
  </si>
  <si>
    <r>
      <t xml:space="preserve">한부모가족 복지시설 입소자 상담·치료 지원
</t>
    </r>
    <r>
      <rPr>
        <b/>
        <sz val="10"/>
        <color rgb="FFFF0000"/>
        <rFont val="맑은 고딕"/>
        <family val="3"/>
        <charset val="129"/>
        <scheme val="major"/>
      </rPr>
      <t>(국비 ⇒ 기금)</t>
    </r>
    <phoneticPr fontId="6" type="noConversion"/>
  </si>
  <si>
    <t>복권기금 지자체 지원금</t>
  </si>
  <si>
    <t>의회사무처</t>
  </si>
  <si>
    <t>의정현안 시책홍보</t>
  </si>
  <si>
    <t>뉴스통신 수신료</t>
  </si>
  <si>
    <t>G버스 TV를 통한 의정홍보</t>
  </si>
  <si>
    <t>버스조합 홍보사업비 조정</t>
  </si>
  <si>
    <t>의원 국외출장 수행여비</t>
  </si>
  <si>
    <t>차량 유지관리</t>
  </si>
  <si>
    <t>버스 구입시기 연기에 따른 검사 및 수리비</t>
  </si>
  <si>
    <t>청사시설 유지관리</t>
  </si>
  <si>
    <t>9대 의회 개원에 따른 사무실 재배치</t>
  </si>
  <si>
    <t>의원입법활동 지원위원회 연찬회</t>
  </si>
  <si>
    <t>각종 세미나 등 지원</t>
  </si>
  <si>
    <t>부서운영업무추진비 의정담당관</t>
  </si>
  <si>
    <t>착오입력</t>
  </si>
  <si>
    <t>개인용컴퓨터</t>
  </si>
  <si>
    <t>운영전문위원실 컴퓨터 대체구입</t>
  </si>
  <si>
    <t>냉난방기</t>
  </si>
  <si>
    <t>대회의실 에어컨 대체구입</t>
  </si>
  <si>
    <t>공용차량</t>
  </si>
  <si>
    <t>대형버스 구입시기 연기</t>
  </si>
  <si>
    <t>경기도의회 정책개발 연구용역</t>
  </si>
  <si>
    <t>연구용역비 기 반영(325백만원)</t>
  </si>
  <si>
    <t>공기청정기</t>
  </si>
  <si>
    <t>입법정책담당관실, 공보담당관실</t>
  </si>
  <si>
    <t>의원 휴게실 및 사무실 노후소파, 탁자 등 집기 구입</t>
  </si>
  <si>
    <t>9대의회 개원 준비</t>
  </si>
  <si>
    <t>1층 로비 조명 시설 설치</t>
  </si>
  <si>
    <t>1층 로비 전시시설 개선</t>
  </si>
  <si>
    <t>감사관</t>
  </si>
  <si>
    <t>감사담당관</t>
  </si>
  <si>
    <t>자체감사 운영 및 중앙부처감사 지원(자체/직접)
- 감사원감사 및 정부합동감사 등 수감(사무관리비)</t>
    <phoneticPr fontId="2" type="noConversion"/>
  </si>
  <si>
    <t>현지 실사 등 사업특성상 증액 필요</t>
  </si>
  <si>
    <t>자체감사 운영 및 중앙부처감사 지원(자체/직접)
- 감사 및 감사자료 수집 여비(국내여비)</t>
    <phoneticPr fontId="2" type="noConversion"/>
  </si>
  <si>
    <t>조사담당관</t>
  </si>
  <si>
    <t>공직자 재산등록 운영(자체/직접)</t>
  </si>
  <si>
    <t>부패방지 시스템 구축(자체/직접)
- 고위직공무원 청렴도 평가(사무관리비)</t>
    <phoneticPr fontId="2" type="noConversion"/>
  </si>
  <si>
    <t>부패방지 시스템 구축(자체/직접)
- 청렴 홍보물 제작비(사무관리비)</t>
    <phoneticPr fontId="2" type="noConversion"/>
  </si>
  <si>
    <t>부패방지 시스템 구축(자체/직접)
- 조사 및 감찰자료 수집 여비(국내여비)</t>
    <phoneticPr fontId="2" type="noConversion"/>
  </si>
  <si>
    <t>부패방지 시스템 구축(자체/직접)
- 경기도 부조리 신고 보상금(기타보상금)</t>
    <phoneticPr fontId="2" type="noConversion"/>
  </si>
  <si>
    <t>부패방지 시스템 구축(자체/직접)
- 경기도 청렴대상 시상(포상금)</t>
    <phoneticPr fontId="2" type="noConversion"/>
  </si>
  <si>
    <t>조사현안사항처리(자체/직접)
- 조사현안 업무활동 추진(시책추진업무추진비)</t>
    <phoneticPr fontId="2" type="noConversion"/>
  </si>
  <si>
    <t>행정운영경비(조사담당관)
- 기본업무수행여비(국내여비)</t>
    <phoneticPr fontId="2" type="noConversion"/>
  </si>
  <si>
    <t>창조행정담당관실</t>
  </si>
  <si>
    <t>경기개발연구원 출연(자체/직접)</t>
    <phoneticPr fontId="2" type="noConversion"/>
  </si>
  <si>
    <t>정보화마을 조성(국비/지원)</t>
  </si>
  <si>
    <t xml:space="preserve">국비변경 내시 </t>
  </si>
  <si>
    <t>경기넷 백업시스템 기능 보강(자체/직접)</t>
    <phoneticPr fontId="2" type="noConversion"/>
  </si>
  <si>
    <t>장비노후에 따른 잦은 고장으로 위험발생</t>
  </si>
  <si>
    <t>시군구 재해복구시스템 백업센터 유지보수(자체/직접)</t>
    <phoneticPr fontId="2" type="noConversion"/>
  </si>
  <si>
    <t>자치단체간부담금 감액
(사업계획 변경에 의거 시군별 자체 추친)</t>
  </si>
  <si>
    <t>정보서비스담당관</t>
  </si>
  <si>
    <t>청년 D-School 운영(자체/직접)</t>
    <phoneticPr fontId="2" type="noConversion"/>
  </si>
  <si>
    <t>모집인원 축소 등 사업량 축소 가능</t>
  </si>
  <si>
    <t>일부 기능 축소 등 사업량 축소가능</t>
  </si>
  <si>
    <t>안전행정실</t>
    <phoneticPr fontId="6" type="noConversion"/>
  </si>
  <si>
    <t>남북협력담당관</t>
  </si>
  <si>
    <t>북한이탈주민 맞춤형 취업지원 확대(자체/직접)
- 북한이탈주민 취업지원 (행사운영비)</t>
    <phoneticPr fontId="2" type="noConversion"/>
  </si>
  <si>
    <t xml:space="preserve">북한이탈주민 취업지원(증 28,400), </t>
    <phoneticPr fontId="2" type="noConversion"/>
  </si>
  <si>
    <t>북한이탈주민 맞춤형 취업지원 확대(자체/직접)
- 북한이탈주민 밎춤형 취업교육 (민간경상보조금)</t>
    <phoneticPr fontId="2" type="noConversion"/>
  </si>
  <si>
    <t>북한이탈주민 맞춤형 취업지원(민간경상보조, 72,000)</t>
    <phoneticPr fontId="2" type="noConversion"/>
  </si>
  <si>
    <t>균형발전국</t>
  </si>
  <si>
    <t>DMZ정책과</t>
  </si>
  <si>
    <t>평화누리길 자전거 퍼레이드(자체/직접)</t>
  </si>
  <si>
    <t>전년도 수준 반영 필요</t>
  </si>
  <si>
    <t>경기도 경제단체연합회 지원(자체/직접)
- 중소기업네트워크 교류협력사업</t>
    <phoneticPr fontId="2" type="noConversion"/>
  </si>
  <si>
    <t>(신규) 중소기업네트워크 교류협력사업(증400,000)</t>
    <phoneticPr fontId="2" type="noConversion"/>
  </si>
  <si>
    <t>협동조합 지원(자체/직접)</t>
  </si>
  <si>
    <t>전통시장 활성화지원(자체/직접)
- 전통시장 문화공연 사업</t>
    <phoneticPr fontId="2" type="noConversion"/>
  </si>
  <si>
    <t>사회적기업 활성화 지원(자체/직접)
- 사회적기업 설립 및 컨설팅 지원</t>
    <phoneticPr fontId="2" type="noConversion"/>
  </si>
  <si>
    <t>사회적기업설립 및 컨설팅 지원(42,000)</t>
    <phoneticPr fontId="2" type="noConversion"/>
  </si>
  <si>
    <t>사회적기업 활성화 지원(자체/직접)
- 사회적기업 박람회 지원</t>
    <phoneticPr fontId="2" type="noConversion"/>
  </si>
  <si>
    <t>사회적기업 박람회지원(50,000)</t>
    <phoneticPr fontId="2" type="noConversion"/>
  </si>
  <si>
    <t>사회적기업 활성화 지원(자체/직접)
- 사회적기업 온라인 판로개척 지원</t>
    <phoneticPr fontId="2" type="noConversion"/>
  </si>
  <si>
    <t>사회적기업 온라인 판로개척 지원(20,000)</t>
    <phoneticPr fontId="2" type="noConversion"/>
  </si>
  <si>
    <t>사회적기업 활성화 지원(자체/직접)
- 사회적기업 s-ceo 네트워크 조성</t>
    <phoneticPr fontId="2" type="noConversion"/>
  </si>
  <si>
    <t>(신규) 사회적기업 s-ceo 네트워크조성(30,000)</t>
    <phoneticPr fontId="2" type="noConversion"/>
  </si>
  <si>
    <t>사회적기업 판로지원(자체/지원)</t>
    <phoneticPr fontId="2" type="noConversion"/>
  </si>
  <si>
    <t>기업지원1과</t>
  </si>
  <si>
    <t>중소기업종합지원센터 사업지원(자체/직접)</t>
    <phoneticPr fontId="2" type="noConversion"/>
  </si>
  <si>
    <t>품질경영활동 지원(자체/직접)
- 경기도 품질경영대회 운영</t>
    <phoneticPr fontId="2" type="noConversion"/>
  </si>
  <si>
    <t>경기도 품질경영대회 운영(5,500)</t>
    <phoneticPr fontId="2" type="noConversion"/>
  </si>
  <si>
    <t>품질경영활동 지원(자체/직접)
- 유망중소기업 품질 경영컨설팅</t>
    <phoneticPr fontId="2" type="noConversion"/>
  </si>
  <si>
    <t>소규모 기업환경 개선사업(자체/지원)</t>
  </si>
  <si>
    <t>Green-All 사업 추진(자체/직접)</t>
    <phoneticPr fontId="2" type="noConversion"/>
  </si>
  <si>
    <t>사회복지시설 에너지 자립기반 시범 조성(자체/지원)</t>
    <phoneticPr fontId="2" type="noConversion"/>
  </si>
  <si>
    <t>전년도수준</t>
  </si>
  <si>
    <t>산업단지계획심의위원회 등 참석수당(자체/직접)</t>
    <phoneticPr fontId="2" type="noConversion"/>
  </si>
  <si>
    <t>태양광 소규모발전 투자촉진보조금지원(자체/직접)</t>
  </si>
  <si>
    <t>과학기술과</t>
  </si>
  <si>
    <t>광교테크노밸리 통합운영(자체/직접)</t>
  </si>
  <si>
    <t>경기도 한국나노기술원 출연금(자체/직접)</t>
    <phoneticPr fontId="2" type="noConversion"/>
  </si>
  <si>
    <t>천연물 신약 후보물질 발굴 및 전임상 평가사업(자체/직접)</t>
    <phoneticPr fontId="2" type="noConversion"/>
  </si>
  <si>
    <t>(신규) DMZ천연물기능성소재실용화연구(200,000)</t>
    <phoneticPr fontId="2" type="noConversion"/>
  </si>
  <si>
    <t>로봇부품 사업화 지원사업(자체/지원)</t>
  </si>
  <si>
    <t>경기연구개발지원단 운영사업(자체/직접)</t>
  </si>
  <si>
    <t>기업 기술개발사업(자체/직접)</t>
  </si>
  <si>
    <t>중소기업 R&amp;D 지원</t>
  </si>
  <si>
    <t>대중소기업 동반성장 R&amp;D사업(자체/직접)</t>
  </si>
  <si>
    <t>경기지역협력연구센터(GRRC)지원(자체/직접)</t>
  </si>
  <si>
    <t>중소기업 R&amp;D활성화</t>
  </si>
  <si>
    <t>산학 공동기술개발지원사업(자체/직접)</t>
    <phoneticPr fontId="2" type="noConversion"/>
  </si>
  <si>
    <t>지능형자동차연구센터 장비구축(자체/직접)</t>
  </si>
  <si>
    <t>산업혁신클러스터협의회(IICC)지원(자체/직접)</t>
  </si>
  <si>
    <t>일자리정책과</t>
  </si>
  <si>
    <t>경기 산업기술교육 확대(자체/직접)</t>
  </si>
  <si>
    <t>한국노총 장학사업 지원(자체/직접)</t>
  </si>
  <si>
    <t>비정규직지원센터 운영지원(자체/직접)</t>
  </si>
  <si>
    <t>일.가정양립이 가능한 여성취업 및
근로자복지 선진정책 발굴(자체/직접)</t>
  </si>
  <si>
    <t>경기일자리센터</t>
  </si>
  <si>
    <t>구인구직 맞춤형 채용박람회 개최(자체/직접)</t>
  </si>
  <si>
    <t>채용활성화 촉진
* 2013년 본예산 310,000천원(예산서 p442)</t>
  </si>
  <si>
    <t>서비스산업과</t>
  </si>
  <si>
    <t>경기국제보트쇼 개최(자체/직접)
- 경기국제보트쇼 개최</t>
    <phoneticPr fontId="2" type="noConversion"/>
  </si>
  <si>
    <t>행사효율적 추진</t>
  </si>
  <si>
    <t>대한민국 뷰티산업전 개최(자체/직접)</t>
  </si>
  <si>
    <t>서민금융(햇살론) 지원(자체/직접)</t>
  </si>
  <si>
    <t>국비 및 서민금융매칭 필요액</t>
  </si>
  <si>
    <t>성장유망국내전시회 지원(자체/직접)</t>
  </si>
  <si>
    <t>2013년 본예산 10억원(예산서 p412)</t>
  </si>
  <si>
    <t>3D 프린팅기술 활용디자인 인력 양성(자체/직접)</t>
  </si>
  <si>
    <t>교류통상과</t>
  </si>
  <si>
    <t>국제개발협력사업(자체/직접)</t>
  </si>
  <si>
    <t>수출지원사업(자체/직접)
- 경기우수상품 해외전시회(해외G-Fair)</t>
    <phoneticPr fontId="2" type="noConversion"/>
  </si>
  <si>
    <t>* 경기우수상품 해외전시회(해외G-Fair) 100,000</t>
    <phoneticPr fontId="2" type="noConversion"/>
  </si>
  <si>
    <t>수출지원사업(자체/직접)
- FTA대응통상진흥</t>
    <phoneticPr fontId="2" type="noConversion"/>
  </si>
  <si>
    <t>* (신규)FTA대응통상진흥(300,000)</t>
    <phoneticPr fontId="2" type="noConversion"/>
  </si>
  <si>
    <t>기술학교</t>
  </si>
  <si>
    <t>교육활동지원(자체/직접)
- 교육관련기본경비(보험료, 앨범)</t>
    <phoneticPr fontId="2" type="noConversion"/>
  </si>
  <si>
    <t>* 교육관련기본경비(보험료, 앨범) 16,095천원</t>
    <phoneticPr fontId="2" type="noConversion"/>
  </si>
  <si>
    <t>교육활동지원(자체/직접)
- 외래강사수당</t>
    <phoneticPr fontId="2" type="noConversion"/>
  </si>
  <si>
    <t>* 외래강사수당 18,000천원</t>
    <phoneticPr fontId="2" type="noConversion"/>
  </si>
  <si>
    <t>교육활동지원(자체/직접)
- 교육생 실비보상금</t>
    <phoneticPr fontId="2" type="noConversion"/>
  </si>
  <si>
    <t>* 교육생 실비보상금 133,000천원</t>
    <phoneticPr fontId="2" type="noConversion"/>
  </si>
  <si>
    <t>구내식당 운영(자체/직접)
- 급식전문업체 민간위탁비</t>
    <phoneticPr fontId="2" type="noConversion"/>
  </si>
  <si>
    <t>급식전문업체 민간위탁비</t>
  </si>
  <si>
    <t>학습교구지원(자체/직접)
- 교육생교재 등 학습교구</t>
    <phoneticPr fontId="2" type="noConversion"/>
  </si>
  <si>
    <t>* 교육생교재 등 학습교구 24,000천원</t>
    <phoneticPr fontId="2" type="noConversion"/>
  </si>
  <si>
    <t>학습교구지원(자체/직접)
- 교육생 실습 및 학습재료비</t>
    <phoneticPr fontId="2" type="noConversion"/>
  </si>
  <si>
    <t>* 교육생 실습 및 학습재료비 26,600천원</t>
    <phoneticPr fontId="2" type="noConversion"/>
  </si>
  <si>
    <t>특화산업과</t>
  </si>
  <si>
    <t>해외전시회 참가 지원(자체/직접)
- 해외전시회 참가지원</t>
    <phoneticPr fontId="2" type="noConversion"/>
  </si>
  <si>
    <t>해외전시회 참가 지원(자체/직접)
- 해외전시회 참가 도내기업 지원</t>
    <phoneticPr fontId="2" type="noConversion"/>
  </si>
  <si>
    <t>특화산업 육성지원(자체/직접)
- 섬유소재연구소 생산설비 보강</t>
    <phoneticPr fontId="2" type="noConversion"/>
  </si>
  <si>
    <t>(추가)섬유소재연구소 생산설비 보강</t>
    <phoneticPr fontId="2" type="noConversion"/>
  </si>
  <si>
    <t>섬유(니트)소재산업 육성지원(자체/직접)
- 섬유신소재 개발 사업</t>
    <phoneticPr fontId="2" type="noConversion"/>
  </si>
  <si>
    <t>신소재개발1억 증액</t>
    <phoneticPr fontId="2" type="noConversion"/>
  </si>
  <si>
    <t>섬유(니트)소재산업 육성지원(자체/직접)
- 섬유분야 실용화 기술개발 사업</t>
    <phoneticPr fontId="2" type="noConversion"/>
  </si>
  <si>
    <t>실용화기술개발 2억 증액</t>
    <phoneticPr fontId="2" type="noConversion"/>
  </si>
  <si>
    <t>유망가구기업 집중지원사업(자체/직접)</t>
  </si>
  <si>
    <t>열악한 가구산업경쟁력 강화</t>
  </si>
  <si>
    <t>자치행정국</t>
  </si>
  <si>
    <t>자산취득비
- 노조사무실 컴퓨터 구입</t>
    <phoneticPr fontId="2" type="noConversion"/>
  </si>
  <si>
    <t>'14년 요구액 전액 반영한 사항임</t>
  </si>
  <si>
    <t>자치행정과</t>
  </si>
  <si>
    <t>경기도 마을만들기 기본계획수립 및 시군 마을만들기 지원(자체/직접)
- 경기도 마을만들기 홍보 교육 및 위원회수당</t>
    <phoneticPr fontId="2" type="noConversion"/>
  </si>
  <si>
    <t>경기도 마을만들기 기본계획수립 및 시군 마을만들기 지원(자체/지원)
- 공동체 활성화 지원</t>
    <phoneticPr fontId="2" type="noConversion"/>
  </si>
  <si>
    <t>경기도마을만들기 지원센터(인건비)</t>
  </si>
  <si>
    <t>경기도마을 협력네크워크 구축(지원센터 사업비)</t>
  </si>
  <si>
    <t>경기도마을만들기 홍보(지원센터 사업비)</t>
  </si>
  <si>
    <t>경기도마을DB구축 활용(지원센터 사업비)</t>
  </si>
  <si>
    <t>경기도마을만들기 전문가인력관리(지원센터 사업비)</t>
  </si>
  <si>
    <t>마을 지도자, 주민대상 교육사업(자체사업)</t>
  </si>
  <si>
    <t>마을만들기 컨설팅 지원사업(자체사업)</t>
  </si>
  <si>
    <t>마을공동체계획 수립 지원</t>
  </si>
  <si>
    <t>소방재난본부</t>
  </si>
  <si>
    <t>소방행정과</t>
  </si>
  <si>
    <t>전문화 위탁교육</t>
  </si>
  <si>
    <t>대학원 위탁교육 32명</t>
  </si>
  <si>
    <t>소방공통 피복비</t>
  </si>
  <si>
    <t>신설 기동복 3벌/1인</t>
  </si>
  <si>
    <t>소방서 PTSD 심리치유실 설치</t>
  </si>
  <si>
    <t>19개소 추가설치</t>
  </si>
  <si>
    <t>소방서 PTSD 측정장비 등 물품구입</t>
  </si>
  <si>
    <t>19개소 추가설치 물품 등</t>
  </si>
  <si>
    <t>30년 이상 장기근속 공무원 국외시찰</t>
  </si>
  <si>
    <t>18명 추가</t>
  </si>
  <si>
    <t>장기근속 공무원 표창</t>
  </si>
  <si>
    <t>재난대응과</t>
  </si>
  <si>
    <t>무인파괴방수차 등 소방차량 보강</t>
  </si>
  <si>
    <t>고가사다리차 2대</t>
  </si>
  <si>
    <t>광역소방활동 행정업무추진</t>
  </si>
  <si>
    <t>본부장 직급상향(2급→1급)</t>
  </si>
  <si>
    <t>도비</t>
    <phoneticPr fontId="2" type="noConversion"/>
  </si>
  <si>
    <t>수원소방서</t>
  </si>
  <si>
    <t>소방특수시책 업무추진</t>
  </si>
  <si>
    <t xml:space="preserve">재난관리 등 소방업무 증가 </t>
  </si>
  <si>
    <t>소방청사 청소용역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</si>
  <si>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</si>
  <si>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</si>
  <si>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</si>
  <si>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</si>
  <si>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</si>
  <si>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</si>
  <si>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</si>
  <si>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</si>
  <si>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</si>
  <si>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</si>
  <si>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</si>
  <si>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</si>
  <si>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</si>
  <si>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</si>
  <si>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</si>
  <si>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</si>
  <si>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</si>
  <si>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</si>
  <si>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의왕소방안전체험실 운영</t>
  </si>
  <si>
    <t>소방대원 안전관리</t>
  </si>
  <si>
    <t>오산소방서</t>
  </si>
  <si>
    <t>여주소방서</t>
  </si>
  <si>
    <t>양평소방서</t>
  </si>
  <si>
    <t>과천소방서</t>
  </si>
  <si>
    <t>소방발전 연구용역비</t>
  </si>
  <si>
    <t>소방조직 발전방향 등</t>
  </si>
  <si>
    <t>특수대응단</t>
  </si>
  <si>
    <t>특수대응단 훈련시설 및 사무공간 설치</t>
  </si>
  <si>
    <t>훈련시설 및 사무공간 부족</t>
  </si>
  <si>
    <t>소방피복 소독 건조기</t>
  </si>
  <si>
    <t>내동 119 안전센터 신축</t>
  </si>
  <si>
    <t>반월 119안전센터 신축</t>
  </si>
  <si>
    <t>구급소독실 설치 공사</t>
  </si>
  <si>
    <t>체육시설 설치 공사</t>
  </si>
  <si>
    <t>북부소방재난본부</t>
    <phoneticPr fontId="2" type="noConversion"/>
  </si>
  <si>
    <t>소방행정기획과</t>
  </si>
  <si>
    <t>북부지역 소방행정 업무추진비</t>
  </si>
  <si>
    <t>도비</t>
    <phoneticPr fontId="2" type="noConversion"/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</si>
  <si>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</si>
  <si>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</si>
  <si>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</si>
  <si>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</si>
  <si>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</si>
  <si>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</si>
  <si>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</si>
  <si>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</si>
  <si>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</si>
  <si>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</si>
  <si>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</si>
  <si>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고양 화전 119안전센터</t>
  </si>
  <si>
    <t>양주 장흥 119안전센터 설계비</t>
  </si>
  <si>
    <t>북부소방본부ㆍ의정부소방서 합동청사 건립</t>
  </si>
  <si>
    <t>부지매입 계약금</t>
  </si>
  <si>
    <t>금곡안전센터 독신자 숙소 증축</t>
  </si>
  <si>
    <t>원거리근무자 생활관 확보</t>
  </si>
  <si>
    <t>소방학교</t>
  </si>
  <si>
    <t>외국 소방공무원 연수과정 운영</t>
  </si>
  <si>
    <t>PTSD 예방 산책로 조성</t>
  </si>
  <si>
    <t>행정관리담당관</t>
  </si>
  <si>
    <t>365언제나 경기도청 민원센터 운영(자체/직접)
- 365언제나 경기도청 민원센터 운영 (사무관리비)</t>
    <phoneticPr fontId="2" type="noConversion"/>
  </si>
  <si>
    <t>특별사법경찰단</t>
  </si>
  <si>
    <t>특별사법경찰활동 활성화 지원(자체/직접)
- 수사센터(11개소) 운영비 (사무관리비)</t>
    <phoneticPr fontId="2" type="noConversion"/>
  </si>
  <si>
    <t>특별사법경찰활동 활성화 지원(자체/직접)
- 기획단속업무추진 매식비</t>
    <phoneticPr fontId="2" type="noConversion"/>
  </si>
  <si>
    <t>안보재난장비 전시회 개최(자체/직접)</t>
    <phoneticPr fontId="2" type="noConversion"/>
  </si>
  <si>
    <t>향토예비군 육성 지원(자체/직접)</t>
    <phoneticPr fontId="2" type="noConversion"/>
  </si>
  <si>
    <t>민방위 시설장비 확충(국비/지원)
- 접경지역 주민대피시설 확충 (자치단체자본보조)</t>
    <phoneticPr fontId="2" type="noConversion"/>
  </si>
  <si>
    <t>국도비</t>
    <phoneticPr fontId="2" type="noConversion"/>
  </si>
  <si>
    <r>
      <t xml:space="preserve">재난관리업무 역량강화(자체/직접)
- 공익근무요원 보상금 </t>
    </r>
    <r>
      <rPr>
        <sz val="10"/>
        <color theme="1"/>
        <rFont val="맑은 고딕"/>
        <family val="3"/>
        <charset val="129"/>
      </rPr>
      <t xml:space="preserve">→ 사회복무요원 보상금
</t>
    </r>
    <r>
      <rPr>
        <b/>
        <sz val="10"/>
        <color rgb="FFFF0000"/>
        <rFont val="맑은 고딕"/>
        <family val="3"/>
        <charset val="129"/>
      </rPr>
      <t>(과목경정)</t>
    </r>
    <phoneticPr fontId="2" type="noConversion"/>
  </si>
  <si>
    <t>북부청사 부설주차장 관리시스템 설치공사</t>
  </si>
  <si>
    <t>수사장비 구입비(수갑등)</t>
  </si>
  <si>
    <t>자기차량 손해보험 부담금 등</t>
  </si>
  <si>
    <t>수요자 중심의 교육과정운영(자체/직접)
- 강의용 방송장비 이전설치</t>
  </si>
  <si>
    <t>수요자 중심의 교육과정운영(자체/직접)
-강의실 및 숙소 교육기자재 구입(책상 등)</t>
  </si>
  <si>
    <t>글로벌시대에 걸맞은 전문인력 양성(자체/직접)
- 중국공무원 교류연수 추진</t>
  </si>
  <si>
    <t>도-시군 연계 사이버 교육 사업(자체/직접)
- 도-시.군 연계 사이버교육 운영</t>
    <phoneticPr fontId="2" type="noConversion"/>
  </si>
  <si>
    <t>도: 30%(15,000), 시군 70%(35,000)</t>
    <phoneticPr fontId="2" type="noConversion"/>
  </si>
  <si>
    <t>문화체육관광국</t>
    <phoneticPr fontId="2" type="noConversion"/>
  </si>
  <si>
    <t>우수 전통민속 보존(자체/지원)</t>
    <phoneticPr fontId="2" type="noConversion"/>
  </si>
  <si>
    <t>남한산성최고수악대 200백만원 증</t>
  </si>
  <si>
    <t>문화원 지원</t>
  </si>
  <si>
    <t>경기도 문화의전당 운영(자체/직접)</t>
    <phoneticPr fontId="2" type="noConversion"/>
  </si>
  <si>
    <t>달하공연 사업 추진</t>
  </si>
  <si>
    <t>다문화가정 교육프로램, 박물관/미술관 프로그램 지원</t>
  </si>
  <si>
    <t>한글날 문화행사(자체/지원)</t>
    <phoneticPr fontId="2" type="noConversion"/>
  </si>
  <si>
    <t>공연장 상주단체 육성(기금/직접)</t>
    <phoneticPr fontId="2" type="noConversion"/>
  </si>
  <si>
    <t>지역문화예술 특성화(기금/직접)</t>
    <phoneticPr fontId="2" type="noConversion"/>
  </si>
  <si>
    <t>토요문화학교 운영(국비/직접)</t>
    <phoneticPr fontId="2" type="noConversion"/>
  </si>
  <si>
    <t>국도비</t>
    <phoneticPr fontId="2" type="noConversion"/>
  </si>
  <si>
    <t>경기 역사인물 조명(자체/직접)</t>
    <phoneticPr fontId="2" type="noConversion"/>
  </si>
  <si>
    <t>종교인 화합 한마당 행사(자체/직접)</t>
    <phoneticPr fontId="2" type="noConversion"/>
  </si>
  <si>
    <t>생활체육 활성화(자체/직접)
- 생활체육 육성 (민간경상보조금)</t>
    <phoneticPr fontId="2" type="noConversion"/>
  </si>
  <si>
    <t>생활체육활성화 100백만원, 여성생활체육활성화 60백만원 등</t>
  </si>
  <si>
    <t>경기도체육회 사무처 운영(자체/직접)
- 체육진흥</t>
    <phoneticPr fontId="2" type="noConversion"/>
  </si>
  <si>
    <t>학생(40명) 대상 오지 탐험 80백만원 증</t>
  </si>
  <si>
    <t>장애인 생활체육(자체/직접)
- 장애인 생활체육 활성화</t>
    <phoneticPr fontId="2" type="noConversion"/>
  </si>
  <si>
    <t>생활체육교실및전통종목 육성 30백만원, 장애청소년교실 30백만원, 생활체육종목별대회 38백만원 등 95백만원 증</t>
  </si>
  <si>
    <t>경기도 옛길(역사문화탐방로) 개발 및 조성(자체/직접)
- 경기도 옛길(영남길) 개발 및 조성</t>
    <phoneticPr fontId="2" type="noConversion"/>
  </si>
  <si>
    <t>경기콘텐츠진흥원 운영(자체/직접)
- 경기콘텐츠진흥원 운영</t>
    <phoneticPr fontId="2" type="noConversion"/>
  </si>
  <si>
    <t>경기문화창조허브 운영(자체/직접)</t>
    <phoneticPr fontId="2" type="noConversion"/>
  </si>
  <si>
    <t>디지털 만화유통지원 플랫폼 구축(국비/지원)</t>
    <phoneticPr fontId="2" type="noConversion"/>
  </si>
  <si>
    <t>도비매칭비 120백만원 증</t>
  </si>
  <si>
    <t>만화규장각(국비/지원)</t>
    <phoneticPr fontId="2" type="noConversion"/>
  </si>
  <si>
    <t>관광 홍보영상물 제작(자체/직접)</t>
    <phoneticPr fontId="2" type="noConversion"/>
  </si>
  <si>
    <t>추가</t>
    <phoneticPr fontId="2" type="noConversion"/>
  </si>
  <si>
    <t>농림수산위원회</t>
    <phoneticPr fontId="2" type="noConversion"/>
  </si>
  <si>
    <t>농식품ICT융복합확산사업(기금)</t>
  </si>
  <si>
    <t>자율관리어업육성지원(국비/지원)</t>
  </si>
  <si>
    <t>해양보호구역관리(국비/지원)</t>
  </si>
  <si>
    <t>낚시터 환경개선(국비/지원)</t>
  </si>
  <si>
    <t>내수면 시험장 개보수(국비/직접)</t>
  </si>
  <si>
    <t>자영농과생급식비지원(분권/직접)</t>
  </si>
  <si>
    <t>도농행복일자리교류사업단운영(국비/직접)</t>
  </si>
  <si>
    <t>국도비</t>
    <phoneticPr fontId="2" type="noConversion"/>
  </si>
  <si>
    <t>지역농업발전(자체/직접)
- 도정시책홍보 (사무관리비)</t>
    <phoneticPr fontId="2" type="noConversion"/>
  </si>
  <si>
    <t>지역농업발전(자체/직접)
- 농정분야 국외업무여비 (국외업무여비)</t>
    <phoneticPr fontId="2" type="noConversion"/>
  </si>
  <si>
    <t>농업소식 및 정보제공(자체/지원)</t>
    <phoneticPr fontId="2" type="noConversion"/>
  </si>
  <si>
    <t>농식품유통과</t>
  </si>
  <si>
    <t>해외시장 개척(자체/직접)</t>
    <phoneticPr fontId="2" type="noConversion"/>
  </si>
  <si>
    <t>친환경농산물유통센터 운영관리(자체/직접)
- 공공요금 등 (공공운영비)</t>
    <phoneticPr fontId="2" type="noConversion"/>
  </si>
  <si>
    <t>선택형 맞춤농정(자체/지원)
- 선택형 맞춤농정</t>
    <phoneticPr fontId="2" type="noConversion"/>
  </si>
  <si>
    <t>클린농업벨트 기반구축(자체/지원)</t>
    <phoneticPr fontId="2" type="noConversion"/>
  </si>
  <si>
    <t>MOA체결 등 사업추진 상황에 의거 예산조정</t>
    <phoneticPr fontId="2" type="noConversion"/>
  </si>
  <si>
    <t>방사능 분석장비</t>
  </si>
  <si>
    <t>클라인가르텐조성사업</t>
  </si>
  <si>
    <t>전문승용마 시범생산(자체/지원)</t>
  </si>
  <si>
    <t>가축분뇨자원화(자체/지원)</t>
    <phoneticPr fontId="2" type="noConversion"/>
  </si>
  <si>
    <t>사업량조정</t>
  </si>
  <si>
    <t>도비</t>
    <phoneticPr fontId="2" type="noConversion"/>
  </si>
  <si>
    <t>축산환경개선(자체/지원)</t>
    <phoneticPr fontId="2" type="noConversion"/>
  </si>
  <si>
    <t>축산업 경쟁력 향상(자체/지원)
양봉산업육성 (자치단체등자본이전)</t>
    <phoneticPr fontId="2" type="noConversion"/>
  </si>
  <si>
    <t>에코팜랜드단지조성(지방채/직접)
- 에코팜랜드 상부시설 기반정비(단지내부)</t>
    <phoneticPr fontId="2" type="noConversion"/>
  </si>
  <si>
    <t>도비
지방채</t>
    <phoneticPr fontId="2" type="noConversion"/>
  </si>
  <si>
    <t>에코팜랜드조성 기반시설(지방채/지원)
- 에코팜랜드 조성 기반시설</t>
    <phoneticPr fontId="2" type="noConversion"/>
  </si>
  <si>
    <t>지방채</t>
    <phoneticPr fontId="2" type="noConversion"/>
  </si>
  <si>
    <t>동물방역위생과</t>
  </si>
  <si>
    <t>산림환경연구소</t>
  </si>
  <si>
    <t>강씨봉휴양림 운영(자체/직접)
- 휴양시설보완공사 (시설비)</t>
    <phoneticPr fontId="2" type="noConversion"/>
  </si>
  <si>
    <t>신규사업</t>
  </si>
  <si>
    <t>우수축산물 학교급식 전산시스템 구축(자체/직접)
- 우수축산물 학교급식 전산시스템 구축비</t>
  </si>
  <si>
    <t>우수축산물 학교급식 전산시스템 구축(자체/직접)
- 우수축산물 학교급식 전산시스템 감리비</t>
  </si>
  <si>
    <t>우수축산물 학교급식 전산시스템 구축(자체/직접)
- 우수축산물 학교급식 전산시스템 시설부대비</t>
  </si>
  <si>
    <t>낙농업 유가공시설장비지원</t>
  </si>
  <si>
    <t>환경농업연구과</t>
  </si>
  <si>
    <t>친환경농업 연구기반 조성(자체/직접)
 - 동결건조기(자산및물품취득비)</t>
  </si>
  <si>
    <t>지원기획과</t>
  </si>
  <si>
    <t>농업전문인력양성(국비/지원)
 - 지도공무원 역량개발교육</t>
  </si>
  <si>
    <t>농촌진흥청 역량개발과-4611(2013.11.7)</t>
  </si>
  <si>
    <t>축산 새기술보급(자체/지원)
 - 축분연료 에너지 절감 시범</t>
    <phoneticPr fontId="2" type="noConversion"/>
  </si>
  <si>
    <t>축산 새기술보급(자체/지원)
- 벌꿀 안정생산 기술시범</t>
    <phoneticPr fontId="2" type="noConversion"/>
  </si>
  <si>
    <t>축산 새기술보급(자체/지원)
 - 돈사 환경개선 생산성 향상 시범</t>
    <phoneticPr fontId="2" type="noConversion"/>
  </si>
  <si>
    <t>축산 새기술보급(자체/지원)
 - 가축 질병예방 종합기술 시범</t>
    <phoneticPr fontId="2" type="noConversion"/>
  </si>
  <si>
    <t>생활경영과</t>
  </si>
  <si>
    <t>농촌여성지도자단체육성(자체/지원)
- 농촌여성 생활정보지 제공</t>
    <phoneticPr fontId="2" type="noConversion"/>
  </si>
  <si>
    <t>농업경영체육성(자체/지원)
- 강소농육성 해외정보수집 (자치단체경상보조)</t>
    <phoneticPr fontId="2" type="noConversion"/>
  </si>
  <si>
    <t>(추가)666페이지 부기추가</t>
    <phoneticPr fontId="2" type="noConversion"/>
  </si>
  <si>
    <t>생활농업활성화지원(자체/지원)
- 도시농업육성 지원시범 (자치단체경상보조금)</t>
    <phoneticPr fontId="2" type="noConversion"/>
  </si>
  <si>
    <t>경기복지재단(자체/직접)</t>
    <phoneticPr fontId="2" type="noConversion"/>
  </si>
  <si>
    <t>10% 감액</t>
  </si>
  <si>
    <t>사회단체 활성화 지원(자체/직접)
- 경기도종합사회복지관 종사자 워크숍</t>
    <phoneticPr fontId="2" type="noConversion"/>
  </si>
  <si>
    <t>(추가)경기도종합사회복지관 종사자 워크숍(20백만원)</t>
    <phoneticPr fontId="2" type="noConversion"/>
  </si>
  <si>
    <t>(추가)경기도사회복지사의날 기념식(20백만원)</t>
    <phoneticPr fontId="2" type="noConversion"/>
  </si>
  <si>
    <t>사회단체 활성화 지원(자체/직접)
- 사회복지실무자 교육훈련사업</t>
    <phoneticPr fontId="2" type="noConversion"/>
  </si>
  <si>
    <t>(추가)사회복지실무자 교육훈련사업(20백만원)</t>
    <phoneticPr fontId="2" type="noConversion"/>
  </si>
  <si>
    <t>보훈단체 운영지원(자체/직접)
- 보훈단체 사무실 임대료 지원</t>
  </si>
  <si>
    <t>G-푸드드림(자체/지원)</t>
  </si>
  <si>
    <t>용인시 사업량 증가 (2명→3명)</t>
    <phoneticPr fontId="2" type="noConversion"/>
  </si>
  <si>
    <t>국민중심의 맞춤형 복지전달체계 구축(국비/지원)</t>
  </si>
  <si>
    <t>사회복지단체 활성화(자체/직접)
- 노인종합상담센터 운영</t>
    <phoneticPr fontId="2" type="noConversion"/>
  </si>
  <si>
    <t>노인종합상담센터운영 (220,000천원 → 248,973천원)</t>
    <phoneticPr fontId="2" type="noConversion"/>
  </si>
  <si>
    <t>노인생활 안정(자체/지원)
- 저소득 노인가구 국민건강보험료 지원</t>
    <phoneticPr fontId="2" type="noConversion"/>
  </si>
  <si>
    <t>장애인단체 육성 및 지원(자체/직접)
- 장애인 직업개발 연구센터 운영</t>
    <phoneticPr fontId="2" type="noConversion"/>
  </si>
  <si>
    <t>장애인 직업개발연구센터 운영센터 종사자 인건비(3명 →5명) 지급
 * 현원 7명 중 5명 인건비 계상 예산액 : 81,732 -&gt; 137,167</t>
  </si>
  <si>
    <t>결핵관리사업(자체/직접)
- 결핵환자 소집단 유행관리 장비지원 (민간자본보조)</t>
    <phoneticPr fontId="2" type="noConversion"/>
  </si>
  <si>
    <t>(추가)접촉자 검진확대와 신속한 진단을 위한 검진차량 및 액체배양검사 장비 확충(민간자본보조)
&lt;대한결핵협회 경기도지부&gt;</t>
    <phoneticPr fontId="2" type="noConversion"/>
  </si>
  <si>
    <t>경기도의료원 기능보강사업(국비/직접)
- 포천병원 의료시설 및 기숙사 증축</t>
    <phoneticPr fontId="2" type="noConversion"/>
  </si>
  <si>
    <t>경기도의료원 기능보강사업(국비/직접)
- 의료원 시설보강 사업</t>
    <phoneticPr fontId="2" type="noConversion"/>
  </si>
  <si>
    <t>경기도의료원 기능보강사업(지방채/직접)
- 개인정보보호시스템구축</t>
    <phoneticPr fontId="2" type="noConversion"/>
  </si>
  <si>
    <t>경기도의료원 공공보건사업 지원(자체/직접)
- 경기도 의료원 경영개선 지원</t>
    <phoneticPr fontId="2" type="noConversion"/>
  </si>
  <si>
    <t>경기도의료원 경영개선 지원(22억→35억원)</t>
    <phoneticPr fontId="2" type="noConversion"/>
  </si>
  <si>
    <t>경기도의료원 공공보건사업 지원(자체/직접)
- 보호자없는병원 시범사업</t>
    <phoneticPr fontId="2" type="noConversion"/>
  </si>
  <si>
    <t>(추가)보호자없는 병원 시범사업(5억원)</t>
    <phoneticPr fontId="2" type="noConversion"/>
  </si>
  <si>
    <t>지역사회 복지사업(자체/지원)
- 시군 사회복지협의회 사회복지정보센터 운영</t>
    <phoneticPr fontId="2" type="noConversion"/>
  </si>
  <si>
    <t>시군 사회복지협의회 사회복지정보센터 인건비(21명) 지원</t>
  </si>
  <si>
    <t>쌍용 가족 심리치료 등(와락센터)(자체/지원)</t>
  </si>
  <si>
    <t>쌍용해고자 및 가족 종합건강검진 지원(정신심층사정평가 포함)</t>
  </si>
  <si>
    <t>사회복지매뉴얼 교육 운영(자체/지원)</t>
  </si>
  <si>
    <t>각 분야 사회복지현장에서 필요한 사회복지매뉴얼 교육 운영</t>
  </si>
  <si>
    <t>경기복지대상(자체/직접)</t>
  </si>
  <si>
    <t>경기도 복지발전에 공헌한 기관, 단체, 개인 등을 대상으로 경기복지대상 선정, 추진</t>
  </si>
  <si>
    <t>여성과 아동건강증진(자체/직접)</t>
  </si>
  <si>
    <t>모유수유 확산을 위한 건강한 모유수유아 선발대회 개최
&lt;대한간호협회 경기도간호사회&gt;</t>
  </si>
  <si>
    <t>대변인실</t>
  </si>
  <si>
    <t>홍보담당관</t>
  </si>
  <si>
    <t>인터넷 마케팅(자체/직접)</t>
  </si>
  <si>
    <t>예결위 심의시 전액 삭감 필요
(뉴미디어담당관 예산편성사업과 중복)</t>
  </si>
  <si>
    <t>SNS 소통매체 운영(자체/직접)</t>
  </si>
  <si>
    <t>멀티미디어 DB구축(자체/직접)</t>
  </si>
  <si>
    <t>도 대표 블로그 운영(자체/직접)</t>
  </si>
  <si>
    <t>꿈나무기자단 운영(자체/직접)</t>
  </si>
  <si>
    <t>소셜방송 Live경기 운영(자체/직접)</t>
  </si>
  <si>
    <t>경기 G뉴스 홈페이지 운영(자체/직접)</t>
  </si>
  <si>
    <t>외국어 홈페이지 운영(자체/직접)</t>
  </si>
  <si>
    <t>노인생활 안정(자체/지원)
- 저소득 노인가구 국민건강보험료 지원</t>
  </si>
  <si>
    <t>(추가)건강보험료(1만원미만) 납부에 어려움이 있는 저소득 노인 개별가구에 건강보험료 지원(※ 경기도저소득노인가구국민건강보험료등 지원 조례)</t>
    <phoneticPr fontId="2" type="noConversion"/>
  </si>
  <si>
    <t>전력효율향상(국비/직접)</t>
  </si>
  <si>
    <t>보건연구부</t>
  </si>
  <si>
    <t>지역거점 진단인프라 구축(기금/직접)
- 실험실검사장비유지비 (공공운영비)</t>
    <phoneticPr fontId="2" type="noConversion"/>
  </si>
  <si>
    <t>지역거점 진단인프라 구축(기금/직접)
- 시약,초자,소모품 등 구입 (시험연구비)</t>
    <phoneticPr fontId="2" type="noConversion"/>
  </si>
  <si>
    <t>지역거점 진단인프라 구축(기금/직접)
- 조직분쇄기 (자산및물품취득비)</t>
    <phoneticPr fontId="2" type="noConversion"/>
  </si>
  <si>
    <t>지역거점 진단인프라 구축(기금/직접)
- 중합효소연쇄반응기(PCR) (자산및물품취득비)</t>
    <phoneticPr fontId="2" type="noConversion"/>
  </si>
  <si>
    <t>지역거점 진단인프라 구축(기금/직접)
- 이산화탄소배양기 (자산및물품취득비)</t>
    <phoneticPr fontId="2" type="noConversion"/>
  </si>
  <si>
    <t>GTX과</t>
  </si>
  <si>
    <t>경기철도포럼 운영</t>
  </si>
  <si>
    <t>포럼운영 방안 마련</t>
  </si>
  <si>
    <t>환승센터 건립비용 도비 지원</t>
  </si>
  <si>
    <t>14년 1회 추경반영 검토</t>
  </si>
  <si>
    <t>대중교통과</t>
  </si>
  <si>
    <t>버스업체손실보전(자체/직접)
- 심야버스 운행결손금 보조</t>
    <phoneticPr fontId="2" type="noConversion"/>
  </si>
  <si>
    <t>심야버스 운영에 일반버스 운행</t>
  </si>
  <si>
    <t>도로계획과</t>
  </si>
  <si>
    <t>사회간접자본확충 융자원리금 보조(자체/지원)</t>
    <phoneticPr fontId="2" type="noConversion"/>
  </si>
  <si>
    <t xml:space="preserve">잔여사업비 '14년 1회추경 반영 </t>
  </si>
  <si>
    <t>고양화전-신사 광역도로건설(광특/지원)</t>
    <phoneticPr fontId="2" type="noConversion"/>
  </si>
  <si>
    <t>지역현안 사업 추가 반영(고양)</t>
  </si>
  <si>
    <t>일죽-대포간 도로확포장공사</t>
  </si>
  <si>
    <t>보상 36%</t>
  </si>
  <si>
    <t>교통도로과</t>
  </si>
  <si>
    <t>도로순찰차량 구입</t>
  </si>
  <si>
    <t>광암-마산간 도로확포장공사(지방채/직접)
- 광암~마산 도로확포장 (시설비)
- 광암~마산 도로확포장 (감리비)</t>
    <phoneticPr fontId="2" type="noConversion"/>
  </si>
  <si>
    <t>진건-오남간 도로확포장공사</t>
  </si>
  <si>
    <t>보상 6%</t>
  </si>
  <si>
    <t>공도-양성간 도로확포장공사</t>
  </si>
  <si>
    <t>보상 2%</t>
  </si>
  <si>
    <t>고삼-삼죽간 도로확포장공사</t>
  </si>
  <si>
    <t>보상 12%</t>
  </si>
  <si>
    <t>교통연수원 지원(자체/직접)</t>
    <phoneticPr fontId="2" type="noConversion"/>
  </si>
  <si>
    <t>환경개선 및 퇴직적립금</t>
  </si>
  <si>
    <t>국비로 사업추진</t>
  </si>
  <si>
    <t>지방하천개수시군대행사업(자체/지원)</t>
    <phoneticPr fontId="2" type="noConversion"/>
  </si>
  <si>
    <t>도로건설과</t>
  </si>
  <si>
    <t>지방도 보도설치</t>
  </si>
  <si>
    <t>학생 통학로 확보 사업</t>
  </si>
  <si>
    <t>건축시설과</t>
  </si>
  <si>
    <t>도 신청사 건립</t>
  </si>
  <si>
    <t>광교입주민과의 약속</t>
  </si>
  <si>
    <t>소하천정비자본보조(국비/지원)</t>
    <phoneticPr fontId="2" type="noConversion"/>
  </si>
  <si>
    <t>선고개천 추가</t>
  </si>
  <si>
    <t>수해상습지개선시군대행사업(국비/지원)</t>
    <phoneticPr fontId="2" type="noConversion"/>
  </si>
  <si>
    <t>은행천 추가</t>
  </si>
  <si>
    <t>지역정책과</t>
  </si>
  <si>
    <r>
      <t xml:space="preserve">수도권 정책전환 지원(자체/직접)
- 수도권정책 전략홍보
</t>
    </r>
    <r>
      <rPr>
        <b/>
        <sz val="10"/>
        <color rgb="FFFF0000"/>
        <rFont val="맑은 고딕"/>
        <family val="3"/>
        <charset val="129"/>
        <scheme val="minor"/>
      </rPr>
      <t>(과목경정)</t>
    </r>
    <phoneticPr fontId="2" type="noConversion"/>
  </si>
  <si>
    <t>수도권 정책전환 지원(자체/직접)
- 수도권정책 토론회</t>
    <phoneticPr fontId="2" type="noConversion"/>
  </si>
  <si>
    <t>사업 재검토</t>
  </si>
  <si>
    <t>개발제한구역 관리비(광특/직접)
- 개발제한구역 관리비 (사무관리비)</t>
    <phoneticPr fontId="2" type="noConversion"/>
  </si>
  <si>
    <t>집행부 건의 수용</t>
  </si>
  <si>
    <t>광특</t>
  </si>
  <si>
    <t>개발제한구역 관리비(광특/직접)
- 개발제한구역 관리업무 추진 (시책추진업무추진비)</t>
    <phoneticPr fontId="2" type="noConversion"/>
  </si>
  <si>
    <t>개발제한구역 관리비(광특/직접)
- 개발제한구역관리 물품 구입 (자산및물품취득비)</t>
    <phoneticPr fontId="2" type="noConversion"/>
  </si>
  <si>
    <t>도시주택과</t>
  </si>
  <si>
    <t>농촌생활환경정비사업(광특/지원)</t>
  </si>
  <si>
    <t>최소한의 도비부담(5%)</t>
  </si>
  <si>
    <t>주택정책과</t>
  </si>
  <si>
    <t>기존주택 매입임대사업(자체/직접)</t>
  </si>
  <si>
    <r>
      <t xml:space="preserve">햇살하우징 사업(자체/지원)
</t>
    </r>
    <r>
      <rPr>
        <b/>
        <sz val="10"/>
        <color rgb="FFFF0000"/>
        <rFont val="맑은 고딕"/>
        <family val="3"/>
        <charset val="129"/>
        <scheme val="minor"/>
      </rPr>
      <t>(과목경정) : 2억 증액될 경우에 한함</t>
    </r>
    <phoneticPr fontId="2" type="noConversion"/>
  </si>
  <si>
    <r>
      <t xml:space="preserve">경기도 부동산포털 운영 사업(자체/직접)
- 경기도 부동산포털 운영 및 고도화 (시설비)
- 경기도 부동산포털 운영 및 고도화 (시설부대비)
 ⇒ 시설비, 시설부대비 부기 삭제 후 
- (과목변경) 경기도 부동산포털 운영 (공공운영비)
</t>
    </r>
    <r>
      <rPr>
        <b/>
        <sz val="10"/>
        <color rgb="FFFF0000"/>
        <rFont val="맑은 고딕"/>
        <family val="3"/>
        <charset val="129"/>
        <scheme val="minor"/>
      </rPr>
      <t>(과목경정) : 감액포함</t>
    </r>
    <phoneticPr fontId="2" type="noConversion"/>
  </si>
  <si>
    <t>도시계획
상임기획단</t>
  </si>
  <si>
    <t>경기도 지역맞춤형 도시계획 관리기준 수립(자체/직접)</t>
    <phoneticPr fontId="2" type="noConversion"/>
  </si>
  <si>
    <t>연구용역비</t>
  </si>
  <si>
    <t>환경국</t>
  </si>
  <si>
    <t>환경정책과</t>
  </si>
  <si>
    <t>최소한의 사업비 부담</t>
  </si>
  <si>
    <t xml:space="preserve">자치단체국제환경 협의회와 시군과 네트워크 구축 </t>
    <phoneticPr fontId="2" type="noConversion"/>
  </si>
  <si>
    <t>경기도 환경보전계획 반영</t>
  </si>
  <si>
    <t>지원비 축소 (1개소당 2억 지원)</t>
    <phoneticPr fontId="2" type="noConversion"/>
  </si>
  <si>
    <t>경기도 환경교육통합지원(자체/직접)</t>
  </si>
  <si>
    <t>센터 운영 최소비용 반영</t>
  </si>
  <si>
    <t>야생동물 피해예방 사업(국비/지원)</t>
  </si>
  <si>
    <t>기후대기과</t>
  </si>
  <si>
    <t>슬레이트 처리 지원 사업(국비/지원)</t>
  </si>
  <si>
    <t>취약계층 지붕개량비 지원(자체/지원)</t>
  </si>
  <si>
    <t>환경안전관리과</t>
  </si>
  <si>
    <t>유해화학물질 사고대응 기반 마련(자체/직접)
- 유해화학물질 사고예방 안전교육 (민간위탁금)</t>
    <phoneticPr fontId="2" type="noConversion"/>
  </si>
  <si>
    <t>최소 교육비용 반영</t>
  </si>
  <si>
    <t>자원순환과</t>
  </si>
  <si>
    <t>쓰레기와의 사랑과 전쟁 카페 운영(자체/직접)</t>
    <phoneticPr fontId="2" type="noConversion"/>
  </si>
  <si>
    <t>공단환경관리사업소</t>
  </si>
  <si>
    <t>민간환경감시단 지원(자체/지원)</t>
  </si>
  <si>
    <t>축산산림국(공원녹지과)</t>
  </si>
  <si>
    <t>공원녹지과</t>
  </si>
  <si>
    <r>
      <t xml:space="preserve">소외시설 녹색공간 조성(기금/직접)
</t>
    </r>
    <r>
      <rPr>
        <b/>
        <sz val="10"/>
        <color rgb="FFFF0000"/>
        <rFont val="맑은 고딕"/>
        <family val="3"/>
        <charset val="129"/>
        <scheme val="minor"/>
      </rPr>
      <t>(과목경정)</t>
    </r>
    <phoneticPr fontId="2" type="noConversion"/>
  </si>
  <si>
    <t>남한산성 영춘정 보수(자체/직접)</t>
  </si>
  <si>
    <t>유네스코 심사대비 시설물 보수</t>
    <phoneticPr fontId="2" type="noConversion"/>
  </si>
  <si>
    <t>가로수 친환경 방제지원 및 시범사업(자체/지원)</t>
    <phoneticPr fontId="2" type="noConversion"/>
  </si>
  <si>
    <t>친환경 방제 매뉴얼 마련 연구용역(자체/직접)</t>
  </si>
  <si>
    <t>친환경 방제지침 마련</t>
  </si>
  <si>
    <t>쌈지공원 조성지원(자체/지원)</t>
  </si>
  <si>
    <t>시민정원사 운영(자체/직접)</t>
  </si>
  <si>
    <t>경기도 공원녹지 비전계획 수립 연구용역(자체/직접)</t>
  </si>
  <si>
    <t>계획적 관리방안 마련</t>
  </si>
  <si>
    <t>수질정책과</t>
  </si>
  <si>
    <t>2013년 구축한 시스템 최소 운영비</t>
  </si>
  <si>
    <t>저소득층 옥내급수관 개량 지원(국비/지원)</t>
  </si>
  <si>
    <t>물산업육성지원(자체/직접)
- 경기도 물산업육성 마스터 플랜 연구 (연구용역비)</t>
    <phoneticPr fontId="2" type="noConversion"/>
  </si>
  <si>
    <t>수질총량과</t>
  </si>
  <si>
    <t>오염총량 국외연수</t>
  </si>
  <si>
    <t>오염총량 관련 연수비 반영</t>
  </si>
  <si>
    <r>
      <t xml:space="preserve">저소득 한부모가족 지원(국비/지원)
</t>
    </r>
    <r>
      <rPr>
        <b/>
        <sz val="10"/>
        <color rgb="FFFF0000"/>
        <rFont val="맑은 고딕"/>
        <family val="3"/>
        <charset val="129"/>
        <scheme val="minor"/>
      </rPr>
      <t>(과목경정)</t>
    </r>
    <phoneticPr fontId="2" type="noConversion"/>
  </si>
  <si>
    <t>기금</t>
    <phoneticPr fontId="2" type="noConversion"/>
  </si>
  <si>
    <r>
      <t xml:space="preserve">청소년 한부모 자립지원(국비/지원)
</t>
    </r>
    <r>
      <rPr>
        <b/>
        <sz val="10"/>
        <color rgb="FFFF0000"/>
        <rFont val="맑은 고딕"/>
        <family val="3"/>
        <charset val="129"/>
        <scheme val="minor"/>
      </rPr>
      <t>(과목경정)</t>
    </r>
    <phoneticPr fontId="2" type="noConversion"/>
  </si>
  <si>
    <r>
      <t xml:space="preserve">미혼모 거점기관 운영(국비/지원)
</t>
    </r>
    <r>
      <rPr>
        <b/>
        <sz val="10"/>
        <color rgb="FFFF0000"/>
        <rFont val="맑은 고딕"/>
        <family val="3"/>
        <charset val="129"/>
        <scheme val="minor"/>
      </rPr>
      <t>(과목경정)</t>
    </r>
    <phoneticPr fontId="2" type="noConversion"/>
  </si>
  <si>
    <r>
      <t xml:space="preserve">한부모가족 복지시설 입소자 상담·치료 지원(국비/지원)
</t>
    </r>
    <r>
      <rPr>
        <b/>
        <sz val="10"/>
        <color rgb="FFFF0000"/>
        <rFont val="맑은 고딕"/>
        <family val="3"/>
        <charset val="129"/>
        <scheme val="minor"/>
      </rPr>
      <t>(과목경정)</t>
    </r>
    <phoneticPr fontId="2" type="noConversion"/>
  </si>
  <si>
    <r>
      <t xml:space="preserve">한부모가족 복지시설 기능보강(국비/지원)
</t>
    </r>
    <r>
      <rPr>
        <b/>
        <sz val="10"/>
        <color rgb="FFFF0000"/>
        <rFont val="맑은 고딕"/>
        <family val="3"/>
        <charset val="129"/>
        <scheme val="minor"/>
      </rPr>
      <t>(과목경정)</t>
    </r>
    <phoneticPr fontId="2" type="noConversion"/>
  </si>
  <si>
    <t>여성단체 활동지원 강화(자체/직접)
- 경기여성 기예경진대회</t>
  </si>
  <si>
    <t>여성단체 활동지원 강화(자체/직접)
- 경기여성의 날 기념행사</t>
  </si>
  <si>
    <t>여성단체 활동지원 강화(자체/직접)
- 경기여성 소식지 발간</t>
  </si>
  <si>
    <t>여성단체 활동지원 강화(자체/직접)
- 여성단체 활동지원</t>
  </si>
  <si>
    <t>여성단체 활동지원 강화(자체/직접)
- 경기여성 네트워크 활동지원</t>
  </si>
  <si>
    <t>시간선택제 여성일자리 사업(자체/직접)
- 시간선택제 일자리 교육 및 홍보</t>
    <phoneticPr fontId="2" type="noConversion"/>
  </si>
  <si>
    <t>보육정보 교환으로 보육발전 지원
- 모범보육교사 워크숍</t>
  </si>
  <si>
    <t>보육정보 교환으로 보육발전 지원
- 보육교사 교육원 보육세미나</t>
  </si>
  <si>
    <t>공립어린이집 운영비 지원(자체/지원)</t>
  </si>
  <si>
    <t>저소득층 자녀 지원(기금/직접)
-저소득층 자녀 생활장학금 지원</t>
  </si>
  <si>
    <t>복권기금 변경내시(경기도 예산담당관-16108(2013.11.8))</t>
  </si>
  <si>
    <t>공공청소년수련시설 청소년지도사 배치지원(기금/지원)</t>
  </si>
  <si>
    <t>여성가족부 청소년활동진흥과-5231(2013.10.11), -7863 (2013.11.11)호</t>
  </si>
  <si>
    <t>공공청소년수련시설 청소년지도사 배치지원(기금/직접)</t>
  </si>
  <si>
    <t>도립 청소년 수련시설 운영 지원(자체/직접)
- 경기도 청소년수련원 운영 지원</t>
    <phoneticPr fontId="2" type="noConversion"/>
  </si>
  <si>
    <t>아동보호시설지원(자체/지원)
- 아동복지시설아동 학습활동 지원</t>
  </si>
  <si>
    <t>부기사업 증액</t>
  </si>
  <si>
    <t>저소득아동지원(자체/지원)
- 장애통합지역아동센터 지원</t>
  </si>
  <si>
    <t>저소득아동지원(자체/지원)
- 지역아동센터 종사자 처우개선비</t>
  </si>
  <si>
    <t>다문화가족과</t>
  </si>
  <si>
    <t>결혼이민자 국내적응 지원(자체/직접)
결혼이민자 자조모임 활성화 지원</t>
    <phoneticPr fontId="2" type="noConversion"/>
  </si>
  <si>
    <t>누리과정 차액보육료 지원</t>
  </si>
  <si>
    <t>광역건강가정지원센터 운영(자체/직접)
- 특성화사업 및 정책지원사업</t>
    <phoneticPr fontId="2" type="noConversion"/>
  </si>
  <si>
    <t>가족공동체험을 통한 가족관계증진(자체/직접)
- 돌봄나눔터 운영</t>
    <phoneticPr fontId="2" type="noConversion"/>
  </si>
  <si>
    <t>여성능력개발센터</t>
  </si>
  <si>
    <t>IT블렌디드 교육 지원기반 조성(자체/직접)
- IT전문교육 소프트웨어 구입</t>
    <phoneticPr fontId="2" type="noConversion"/>
  </si>
  <si>
    <t>여성지식정보화 사업(자체/직접)
- 여성웹진 우리(WoORI) 운영 및 발간 (연구개발비)</t>
    <phoneticPr fontId="2" type="noConversion"/>
  </si>
  <si>
    <r>
      <t xml:space="preserve">저소득 한부모가족 지원(국비/지원)
- 저소득 한부모가족 지원
- 청소년 한부모가족 지원
</t>
    </r>
    <r>
      <rPr>
        <b/>
        <sz val="10"/>
        <color rgb="FFFF0000"/>
        <rFont val="맑은 고딕"/>
        <family val="3"/>
        <charset val="129"/>
        <scheme val="minor"/>
      </rPr>
      <t>(과목경정)</t>
    </r>
    <phoneticPr fontId="2" type="noConversion"/>
  </si>
  <si>
    <r>
      <t xml:space="preserve">가족역량 강화지원(국비/지원)
- 한부모가족 복지시설 입소자 상담·치료 지원
</t>
    </r>
    <r>
      <rPr>
        <b/>
        <sz val="10"/>
        <color rgb="FFFF0000"/>
        <rFont val="맑은 고딕"/>
        <family val="3"/>
        <charset val="129"/>
        <scheme val="minor"/>
      </rPr>
      <t>(과목경정)</t>
    </r>
    <phoneticPr fontId="2" type="noConversion"/>
  </si>
  <si>
    <t>한부모가족 복지시설 기능보강(기금/지원)</t>
  </si>
  <si>
    <t>여성가족부 가족지원과-3545(2013.11.14.)</t>
  </si>
  <si>
    <t>공립어린이집 인건비 지원(자체/지원)</t>
  </si>
  <si>
    <t>저소득 아동지원(자체/지원) 
- 지역아동센터 종사자 처우개선비</t>
  </si>
  <si>
    <t>저소득 아동지원(자체/지원) 
- 장애통합지역아동센터 지원</t>
  </si>
  <si>
    <t>부기사업 신규 1193페이지</t>
    <phoneticPr fontId="2" type="noConversion"/>
  </si>
  <si>
    <t>교육정책과</t>
  </si>
  <si>
    <t>경기 평생교육진흥원 운영 출연금(자체/직접)
- 경기평생교육진흥원 운영 출연금</t>
    <phoneticPr fontId="2" type="noConversion"/>
  </si>
  <si>
    <t>영어마을 운영지원(자체/직접)
- (재)경기영어마을 출연금</t>
    <phoneticPr fontId="2" type="noConversion"/>
  </si>
  <si>
    <t>공공도서관 건립 지원(광특/지원)</t>
    <phoneticPr fontId="2" type="noConversion"/>
  </si>
  <si>
    <t>작은도서관 운영 지원(자체/지원)</t>
    <phoneticPr fontId="2" type="noConversion"/>
  </si>
  <si>
    <t>작은도서관 조성 지원(자체/지원)
- 아파트 작은도서관 활성화</t>
    <phoneticPr fontId="2" type="noConversion"/>
  </si>
  <si>
    <r>
      <rPr>
        <b/>
        <sz val="9"/>
        <color theme="1"/>
        <rFont val="맑은 고딕"/>
        <family val="3"/>
        <charset val="129"/>
        <scheme val="minor"/>
      </rPr>
      <t>국비변경내시</t>
    </r>
    <r>
      <rPr>
        <sz val="9"/>
        <color theme="1"/>
        <rFont val="맑은 고딕"/>
        <family val="3"/>
        <charset val="129"/>
        <scheme val="minor"/>
      </rPr>
      <t xml:space="preserve">
※ 안전행정부 전자정부지원과-2118(2013.10.15)호</t>
    </r>
    <phoneticPr fontId="6" type="noConversion"/>
  </si>
  <si>
    <r>
      <rPr>
        <b/>
        <sz val="9"/>
        <color theme="1"/>
        <rFont val="맑은 고딕"/>
        <family val="3"/>
        <charset val="129"/>
        <scheme val="minor"/>
      </rPr>
      <t>(임대료 수입 : 세입만 잡음)</t>
    </r>
    <r>
      <rPr>
        <sz val="9"/>
        <color theme="1"/>
        <rFont val="맑은 고딕"/>
        <family val="3"/>
        <charset val="129"/>
        <scheme val="minor"/>
      </rPr>
      <t xml:space="preserve">
수용 : 구내식당 계약방법 변경</t>
    </r>
    <phoneticPr fontId="6" type="noConversion"/>
  </si>
  <si>
    <r>
      <rPr>
        <b/>
        <sz val="9"/>
        <color theme="1"/>
        <rFont val="맑은 고딕"/>
        <family val="3"/>
        <charset val="129"/>
        <scheme val="minor"/>
      </rPr>
      <t>(세출은 예산안에 기 잡혀있음 602페이지)</t>
    </r>
    <r>
      <rPr>
        <sz val="9"/>
        <color theme="1"/>
        <rFont val="맑은 고딕"/>
        <family val="3"/>
        <charset val="129"/>
        <scheme val="minor"/>
      </rPr>
      <t xml:space="preserve">
사방사업(국비/직접), 사방사업 사업량변경</t>
    </r>
    <phoneticPr fontId="6" type="noConversion"/>
  </si>
  <si>
    <r>
      <rPr>
        <b/>
        <sz val="9"/>
        <color theme="1"/>
        <rFont val="맑은 고딕"/>
        <family val="3"/>
        <charset val="129"/>
        <scheme val="minor"/>
      </rPr>
      <t>(세출은 예산안에 기 잡혀있음 602페이지)</t>
    </r>
    <r>
      <rPr>
        <sz val="9"/>
        <color theme="1"/>
        <rFont val="맑은 고딕"/>
        <family val="3"/>
        <charset val="129"/>
        <scheme val="minor"/>
      </rPr>
      <t xml:space="preserve">
사방사업(국비/직접), 사방댐조성관리 사업량 변경</t>
    </r>
    <phoneticPr fontId="6" type="noConversion"/>
  </si>
  <si>
    <r>
      <rPr>
        <b/>
        <sz val="9"/>
        <color theme="1"/>
        <rFont val="맑은 고딕"/>
        <family val="3"/>
        <charset val="129"/>
        <scheme val="minor"/>
      </rPr>
      <t>국비변경내시</t>
    </r>
    <r>
      <rPr>
        <sz val="9"/>
        <color theme="1"/>
        <rFont val="맑은 고딕"/>
        <family val="3"/>
        <charset val="129"/>
        <scheme val="minor"/>
      </rPr>
      <t xml:space="preserve">
※ 보건복지부 지역복지과-4508(2013.11.7.)호</t>
    </r>
  </si>
  <si>
    <r>
      <rPr>
        <b/>
        <sz val="9"/>
        <color theme="1"/>
        <rFont val="맑은 고딕"/>
        <family val="3"/>
        <charset val="129"/>
        <scheme val="minor"/>
      </rPr>
      <t>국비변경내시</t>
    </r>
    <r>
      <rPr>
        <sz val="9"/>
        <color theme="1"/>
        <rFont val="맑은 고딕"/>
        <family val="3"/>
        <charset val="129"/>
        <scheme val="minor"/>
      </rPr>
      <t xml:space="preserve">
※ 보건복지부 공공의료과-4197(2013.11.11)호</t>
    </r>
  </si>
  <si>
    <r>
      <rPr>
        <b/>
        <sz val="9"/>
        <color theme="1"/>
        <rFont val="맑은 고딕"/>
        <family val="3"/>
        <charset val="129"/>
        <scheme val="minor"/>
      </rPr>
      <t>국비 변경내시</t>
    </r>
    <r>
      <rPr>
        <sz val="9"/>
        <color theme="1"/>
        <rFont val="맑은 고딕"/>
        <family val="3"/>
        <charset val="129"/>
        <scheme val="minor"/>
      </rPr>
      <t xml:space="preserve">
※ 산업통상자원부 에너지관리과-560(2013.10.31)호</t>
    </r>
  </si>
  <si>
    <r>
      <rPr>
        <b/>
        <sz val="9"/>
        <color theme="1"/>
        <rFont val="맑은 고딕"/>
        <family val="3"/>
        <charset val="129"/>
        <scheme val="minor"/>
      </rPr>
      <t>국비 변경내시</t>
    </r>
    <r>
      <rPr>
        <sz val="9"/>
        <color theme="1"/>
        <rFont val="맑은 고딕"/>
        <family val="3"/>
        <charset val="129"/>
        <scheme val="minor"/>
      </rPr>
      <t xml:space="preserve">
※ 질병관리본부 수인성질환과-2686(2013.11.06)호</t>
    </r>
  </si>
  <si>
    <t>전통시장 문화공연 사업(150,000)</t>
    <phoneticPr fontId="2" type="noConversion"/>
  </si>
  <si>
    <r>
      <t xml:space="preserve">(과목경정) </t>
    </r>
    <r>
      <rPr>
        <b/>
        <sz val="9"/>
        <rFont val="맑은 고딕"/>
        <family val="3"/>
        <charset val="129"/>
        <scheme val="minor"/>
      </rPr>
      <t>부기명 수정
공익근무요원 보상금 → 사회복무요원 보상금</t>
    </r>
    <phoneticPr fontId="2" type="noConversion"/>
  </si>
  <si>
    <r>
      <t xml:space="preserve">개인정보보호시스템 구축 삭감(13억원/도비)
</t>
    </r>
    <r>
      <rPr>
        <b/>
        <sz val="9"/>
        <color rgb="FF1D02BE"/>
        <rFont val="맑은 고딕"/>
        <family val="3"/>
        <charset val="129"/>
        <scheme val="minor"/>
      </rPr>
      <t>지방채 아님</t>
    </r>
    <phoneticPr fontId="2" type="noConversion"/>
  </si>
  <si>
    <r>
      <t xml:space="preserve">공사중 35%
</t>
    </r>
    <r>
      <rPr>
        <b/>
        <sz val="9"/>
        <color rgb="FF1D02BE"/>
        <rFont val="맑은 고딕"/>
        <family val="3"/>
        <charset val="129"/>
        <scheme val="minor"/>
      </rPr>
      <t>기존 지방채 60억에 도비 5억 증액</t>
    </r>
    <r>
      <rPr>
        <sz val="9"/>
        <color theme="1"/>
        <rFont val="맑은 고딕"/>
        <family val="3"/>
        <charset val="129"/>
        <scheme val="minor"/>
      </rPr>
      <t xml:space="preserve">
- 광암~마산 도로확포장 (시설비) 지방채55억
- 광암~마산 도로확포장 (감리비) 지방채5억</t>
    </r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</si>
  <si>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(과목경정)</t>
    </r>
    <r>
      <rPr>
        <b/>
        <sz val="9"/>
        <color theme="1"/>
        <rFont val="맑은 고딕"/>
        <family val="3"/>
        <charset val="129"/>
        <scheme val="minor"/>
      </rPr>
      <t xml:space="preserve">
"도시주택 시책 홍보"로 부기명 변경</t>
    </r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</si>
  <si>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(과목경정) : 2억 증액될 경우에 한함</t>
    </r>
    <r>
      <rPr>
        <sz val="9"/>
        <color theme="1"/>
        <rFont val="맑은 고딕"/>
        <family val="3"/>
        <charset val="129"/>
        <scheme val="minor"/>
      </rPr>
      <t xml:space="preserve">
  자체/지원 →자체/직접
  자치단체자본보조 → 민간자본보조</t>
    </r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</si>
  <si>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(과목경정) : 감액포함</t>
    </r>
    <r>
      <rPr>
        <b/>
        <sz val="9"/>
        <color theme="1"/>
        <rFont val="맑은 고딕"/>
        <family val="3"/>
        <charset val="129"/>
        <scheme val="minor"/>
      </rPr>
      <t xml:space="preserve">
시설비및부대비 → 일반운영비(공공운영비)</t>
    </r>
    <phoneticPr fontId="2" type="noConversion"/>
  </si>
  <si>
    <r>
      <t xml:space="preserve">(과목경정) : 사업명, 과목변경
</t>
    </r>
    <r>
      <rPr>
        <b/>
        <sz val="9"/>
        <rFont val="맑은 고딕"/>
        <family val="3"/>
        <charset val="129"/>
        <scheme val="minor"/>
      </rPr>
      <t>(기금/직접)</t>
    </r>
    <r>
      <rPr>
        <b/>
        <sz val="9"/>
        <color theme="1"/>
        <rFont val="맑은 고딕"/>
        <family val="3"/>
        <charset val="129"/>
        <scheme val="minor"/>
      </rPr>
      <t>민간자본이전/민간대행사업비
→(기금/지원)자치단체등자본이전/자치단체자본보조</t>
    </r>
    <phoneticPr fontId="2" type="noConversion"/>
  </si>
  <si>
    <r>
      <t xml:space="preserve">(과목경정)
</t>
    </r>
    <r>
      <rPr>
        <b/>
        <sz val="9"/>
        <color theme="1"/>
        <rFont val="맑은 고딕"/>
        <family val="3"/>
        <charset val="129"/>
        <scheme val="minor"/>
      </rPr>
      <t>세입과목 변경에 의한 사업명 변경
(국비/지원→기금/지원)</t>
    </r>
    <phoneticPr fontId="2" type="noConversion"/>
  </si>
  <si>
    <r>
      <t xml:space="preserve">(과목경정)
</t>
    </r>
    <r>
      <rPr>
        <b/>
        <sz val="9"/>
        <color theme="1"/>
        <rFont val="맑은 고딕"/>
        <family val="3"/>
        <charset val="129"/>
        <scheme val="minor"/>
      </rPr>
      <t>세입과목 변경에 의한 사업명 변경
(사업명 변경, 부기명 그대로)
⇒ 한부모가족 복지시설 입소자 상담·치료 지원(기금/지원)</t>
    </r>
    <phoneticPr fontId="2" type="noConversion"/>
  </si>
  <si>
    <r>
      <t xml:space="preserve">지방채 3억을
</t>
    </r>
    <r>
      <rPr>
        <sz val="9"/>
        <color theme="1"/>
        <rFont val="맑은 고딕"/>
        <family val="3"/>
        <charset val="129"/>
        <scheme val="minor"/>
      </rPr>
      <t>에코팜랜드단지조성(지방채/직접)
- 에코팜랜드 상부시설 기반정비(단지내부)</t>
    </r>
    <r>
      <rPr>
        <sz val="9"/>
        <color rgb="FF1D02BE"/>
        <rFont val="맑은 고딕"/>
        <family val="3"/>
        <charset val="129"/>
        <scheme val="minor"/>
      </rPr>
      <t>으로 넘김</t>
    </r>
    <phoneticPr fontId="2" type="noConversion"/>
  </si>
  <si>
    <t>신규</t>
    <phoneticPr fontId="6" type="noConversion"/>
  </si>
  <si>
    <t>본예산
58</t>
    <phoneticPr fontId="6" type="noConversion"/>
  </si>
  <si>
    <t>본예산
422</t>
    <phoneticPr fontId="2" type="noConversion"/>
  </si>
  <si>
    <t>신규</t>
    <phoneticPr fontId="2" type="noConversion"/>
  </si>
  <si>
    <t>안전행정부 교부세과-1897
(2013.11.21)교부 결정통지</t>
    <phoneticPr fontId="2" type="noConversion"/>
  </si>
  <si>
    <t>안전행정부 교부세과-1897
(2013.11.22)교부 결정통지</t>
    <phoneticPr fontId="2" type="noConversion"/>
  </si>
  <si>
    <t>국가하천유지보수(국비/지원)</t>
    <phoneticPr fontId="2" type="noConversion"/>
  </si>
  <si>
    <t>한강유역환경청 수질총량관리과-7127(13.11.1), -7475(13.11.14)</t>
    <phoneticPr fontId="6" type="noConversion"/>
  </si>
  <si>
    <t>기금</t>
    <phoneticPr fontId="6" type="noConversion"/>
  </si>
  <si>
    <t>여성가족과</t>
    <phoneticPr fontId="2" type="noConversion"/>
  </si>
  <si>
    <t>도시녹화조성사업 증액-2억
도농교류-1억5천</t>
    <phoneticPr fontId="2" type="noConversion"/>
  </si>
  <si>
    <t>무인헬기지원(평택) 1억 2천</t>
    <phoneticPr fontId="2" type="noConversion"/>
  </si>
  <si>
    <t>추가</t>
    <phoneticPr fontId="2" type="noConversion"/>
  </si>
  <si>
    <r>
      <t>사회적기업 활성화 지원(자체/직접)
- 사회적경제기업 홍보</t>
    </r>
    <r>
      <rPr>
        <b/>
        <sz val="10"/>
        <color rgb="FFFF0000"/>
        <rFont val="맑은 고딕"/>
        <family val="3"/>
        <charset val="129"/>
        <scheme val="minor"/>
      </rPr>
      <t>프로</t>
    </r>
    <r>
      <rPr>
        <sz val="10"/>
        <color theme="1"/>
        <rFont val="맑은 고딕"/>
        <family val="3"/>
        <charset val="129"/>
        <scheme val="minor"/>
      </rPr>
      <t>그램 제작</t>
    </r>
    <phoneticPr fontId="2" type="noConversion"/>
  </si>
  <si>
    <t>(신규) 사회적 경제기업 홍보프로그램제작(200,000)</t>
    <phoneticPr fontId="2" type="noConversion"/>
  </si>
  <si>
    <t>유망중소기업 품질 경영컨설팅(100,000)</t>
  </si>
  <si>
    <t>선진품질경영 시스템 연수(67,000)</t>
  </si>
  <si>
    <r>
      <t>다문화가족 거점센터 운영(</t>
    </r>
    <r>
      <rPr>
        <b/>
        <sz val="10"/>
        <color rgb="FFFF0000"/>
        <rFont val="맑은 고딕"/>
        <family val="3"/>
        <charset val="129"/>
        <scheme val="minor"/>
      </rPr>
      <t>자체</t>
    </r>
    <r>
      <rPr>
        <sz val="10"/>
        <color theme="1"/>
        <rFont val="맑은 고딕"/>
        <family val="3"/>
        <charset val="129"/>
        <scheme val="minor"/>
      </rPr>
      <t>/지원)</t>
    </r>
    <r>
      <rPr>
        <b/>
        <sz val="10"/>
        <color rgb="FFFF0000"/>
        <rFont val="맑은 고딕"/>
        <family val="3"/>
        <charset val="129"/>
        <scheme val="minor"/>
      </rPr>
      <t/>
    </r>
    <phoneticPr fontId="2" type="noConversion"/>
  </si>
  <si>
    <r>
      <t xml:space="preserve">지역 현안사업(용인)
</t>
    </r>
    <r>
      <rPr>
        <b/>
        <sz val="9"/>
        <color rgb="FFFF0000"/>
        <rFont val="맑은 고딕"/>
        <family val="3"/>
        <charset val="129"/>
        <scheme val="minor"/>
      </rPr>
      <t>부서재분류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FF0000"/>
        <rFont val="맑은 고딕"/>
        <family val="3"/>
        <charset val="129"/>
        <scheme val="minor"/>
      </rPr>
      <t>(도로계획과 ⇒ 교통도로과)</t>
    </r>
    <phoneticPr fontId="2" type="noConversion"/>
  </si>
  <si>
    <t>국비사업감액</t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</si>
  <si>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기금</t>
    </r>
    <r>
      <rPr>
        <sz val="9"/>
        <color theme="1"/>
        <rFont val="맑은 고딕"/>
        <family val="3"/>
        <charset val="129"/>
        <scheme val="minor"/>
      </rPr>
      <t>증액사업</t>
    </r>
    <phoneticPr fontId="6" type="noConversion"/>
  </si>
  <si>
    <t>2013 본예산서 p430 (200,000)</t>
  </si>
  <si>
    <t>우수자원봉사프로그램 공무지원사업 100,000
저소득층 사랑의 집 고치기 20,000</t>
  </si>
  <si>
    <r>
      <t>□</t>
    </r>
    <r>
      <rPr>
        <b/>
        <sz val="14"/>
        <color rgb="FF000000"/>
        <rFont val="맑은 고딕"/>
        <family val="3"/>
        <charset val="129"/>
      </rPr>
      <t xml:space="preserve"> </t>
    </r>
    <r>
      <rPr>
        <b/>
        <sz val="14"/>
        <color rgb="FF000000"/>
        <rFont val="맑은 고딕"/>
        <family val="3"/>
        <charset val="129"/>
        <scheme val="minor"/>
      </rPr>
      <t xml:space="preserve">정정내용 </t>
    </r>
    <r>
      <rPr>
        <b/>
        <sz val="14"/>
        <color rgb="FF000000"/>
        <rFont val="돋움"/>
        <family val="3"/>
        <charset val="129"/>
      </rPr>
      <t xml:space="preserve">: 2013~2017 </t>
    </r>
    <r>
      <rPr>
        <b/>
        <sz val="14"/>
        <color rgb="FF000000"/>
        <rFont val="맑은 고딕"/>
        <family val="3"/>
        <charset val="129"/>
        <scheme val="minor"/>
      </rPr>
      <t xml:space="preserve">중기지방재정계획 </t>
    </r>
    <r>
      <rPr>
        <b/>
        <sz val="14"/>
        <color rgb="FF000000"/>
        <rFont val="돋움"/>
        <family val="3"/>
        <charset val="129"/>
      </rPr>
      <t>150쪽</t>
    </r>
    <phoneticPr fontId="2" type="noConversion"/>
  </si>
  <si>
    <t>소계</t>
  </si>
  <si>
    <t>비고</t>
  </si>
  <si>
    <t>2013~2017 중기지방재정계획안</t>
    <phoneticPr fontId="6" type="noConversion"/>
  </si>
  <si>
    <t>경제정책과 국비사용잔액</t>
    <phoneticPr fontId="2" type="noConversion"/>
  </si>
  <si>
    <t>축산정책과 국비사용잔액</t>
    <phoneticPr fontId="2" type="noConversion"/>
  </si>
  <si>
    <t>도서관과 도비사용잔액</t>
    <phoneticPr fontId="6" type="noConversion"/>
  </si>
  <si>
    <t>반환금기타(국비사용잔액)</t>
    <phoneticPr fontId="2" type="noConversion"/>
  </si>
  <si>
    <t>구   분</t>
    <phoneticPr fontId="2" type="noConversion"/>
  </si>
  <si>
    <t>품질경영활동 지원(자체/직접)
- 선진품질경영 시스템 연수</t>
    <phoneticPr fontId="2" type="noConversion"/>
  </si>
  <si>
    <r>
      <rPr>
        <sz val="9"/>
        <color rgb="FF1D02BE"/>
        <rFont val="맑은 고딕"/>
        <family val="3"/>
        <charset val="129"/>
        <scheme val="minor"/>
      </rPr>
      <t>도비 5천은 신규 세부사업 "낙농업 유가공시설장비지원"으로 이동조정
에코팜랜드조성 기반시설(지방채/지원)
- 에코팜랜드 조성 기반시설</t>
    </r>
    <r>
      <rPr>
        <sz val="9"/>
        <color theme="1"/>
        <rFont val="맑은 고딕"/>
        <family val="3"/>
        <charset val="129"/>
        <scheme val="minor"/>
      </rPr>
      <t>에서 지방채 3억이 넘어옴</t>
    </r>
    <phoneticPr fontId="2" type="noConversion"/>
  </si>
  <si>
    <t>학교밖 청소년 지원</t>
    <phoneticPr fontId="2" type="noConversion"/>
  </si>
  <si>
    <t>기업지원과</t>
    <phoneticPr fontId="2" type="noConversion"/>
  </si>
  <si>
    <t>평생교육국</t>
    <phoneticPr fontId="2" type="noConversion"/>
  </si>
  <si>
    <t>평생교육진흥원</t>
    <phoneticPr fontId="2" type="noConversion"/>
  </si>
  <si>
    <t>작은도서관운영지원</t>
    <phoneticPr fontId="2" type="noConversion"/>
  </si>
  <si>
    <t>해양항만정책과</t>
    <phoneticPr fontId="2" type="noConversion"/>
  </si>
  <si>
    <t>장애인구강진료센터운영(국비/직접)</t>
    <phoneticPr fontId="2" type="noConversion"/>
  </si>
  <si>
    <t>취약계층 중장년 건강지원사업(자체/직첩)</t>
    <phoneticPr fontId="2" type="noConversion"/>
  </si>
  <si>
    <t>2014년도 경기도 일반회계 세출 예산 예결위 수정(안)</t>
    <phoneticPr fontId="6" type="noConversion"/>
  </si>
  <si>
    <t>노인복지과</t>
    <phoneticPr fontId="2" type="noConversion"/>
  </si>
  <si>
    <t>시니어클럽운영 노인일자리 활성화</t>
    <phoneticPr fontId="2" type="noConversion"/>
  </si>
  <si>
    <t>대중교통과</t>
    <phoneticPr fontId="2" type="noConversion"/>
  </si>
  <si>
    <t>군관협력</t>
    <phoneticPr fontId="2" type="noConversion"/>
  </si>
  <si>
    <t>한미협력사업</t>
    <phoneticPr fontId="2" type="noConversion"/>
  </si>
  <si>
    <t>설명서
65</t>
    <phoneticPr fontId="2" type="noConversion"/>
  </si>
  <si>
    <t>평택항 홍보관운영</t>
    <phoneticPr fontId="2" type="noConversion"/>
  </si>
  <si>
    <t>설명서
66</t>
    <phoneticPr fontId="2" type="noConversion"/>
  </si>
  <si>
    <t>해양항만경제과</t>
    <phoneticPr fontId="2" type="noConversion"/>
  </si>
  <si>
    <t>화물유치 인센티브</t>
    <phoneticPr fontId="2" type="noConversion"/>
  </si>
  <si>
    <t>교육정책과</t>
    <phoneticPr fontId="2" type="noConversion"/>
  </si>
  <si>
    <t>경기행복학습만들기</t>
    <phoneticPr fontId="2" type="noConversion"/>
  </si>
  <si>
    <t>건강증진과</t>
    <phoneticPr fontId="2" type="noConversion"/>
  </si>
  <si>
    <t>여성결혼이민자 건강검진사업</t>
    <phoneticPr fontId="2" type="noConversion"/>
  </si>
  <si>
    <t>균형발전국</t>
    <phoneticPr fontId="2" type="noConversion"/>
  </si>
  <si>
    <t>노동단체지원(북부)</t>
    <phoneticPr fontId="2" type="noConversion"/>
  </si>
  <si>
    <t>설명서
73</t>
    <phoneticPr fontId="2" type="noConversion"/>
  </si>
  <si>
    <t>의정담당관</t>
    <phoneticPr fontId="2" type="noConversion"/>
  </si>
  <si>
    <t>속기사 근무복 구입</t>
    <phoneticPr fontId="2" type="noConversion"/>
  </si>
  <si>
    <t>문화유산과</t>
    <phoneticPr fontId="2" type="noConversion"/>
  </si>
  <si>
    <t>도지정문화재보수정비</t>
    <phoneticPr fontId="2" type="noConversion"/>
  </si>
  <si>
    <t>보건정책과</t>
    <phoneticPr fontId="2" type="noConversion"/>
  </si>
  <si>
    <t>헌혈활동 장려지원</t>
    <phoneticPr fontId="2" type="noConversion"/>
  </si>
  <si>
    <t>특수보육과</t>
    <phoneticPr fontId="2" type="noConversion"/>
  </si>
  <si>
    <t>정부지원 어린이집 교재교구비 지원</t>
    <phoneticPr fontId="2" type="noConversion"/>
  </si>
  <si>
    <t>화성소방서</t>
    <phoneticPr fontId="2" type="noConversion"/>
  </si>
  <si>
    <t>소방청사 보강 및 직원복지 시설확충</t>
    <phoneticPr fontId="2" type="noConversion"/>
  </si>
  <si>
    <t>78번도로</t>
    <phoneticPr fontId="2" type="noConversion"/>
  </si>
  <si>
    <t>사이버도서관 운영</t>
    <phoneticPr fontId="2" type="noConversion"/>
  </si>
  <si>
    <t>경기도청 평생학습 Gold Triangle 프로젝트</t>
    <phoneticPr fontId="2" type="noConversion"/>
  </si>
  <si>
    <t>도서관과</t>
    <phoneticPr fontId="2" type="noConversion"/>
  </si>
  <si>
    <t>공공도서관건립지원 광특(금암도서관건립)</t>
    <phoneticPr fontId="2" type="noConversion"/>
  </si>
  <si>
    <t>아동청소년과</t>
    <phoneticPr fontId="2" type="noConversion"/>
  </si>
  <si>
    <t>아동복지시설운영- 꿈나무아동종합상담소운영</t>
    <phoneticPr fontId="2" type="noConversion"/>
  </si>
  <si>
    <t>도시재생과</t>
    <phoneticPr fontId="2" type="noConversion"/>
  </si>
  <si>
    <t>재정비사업 추정분담금 프로그램 홍보</t>
    <phoneticPr fontId="2" type="noConversion"/>
  </si>
  <si>
    <t>도생활체육지도자 배치</t>
    <phoneticPr fontId="2" type="noConversion"/>
  </si>
  <si>
    <t>출연금</t>
    <phoneticPr fontId="2" type="noConversion"/>
  </si>
  <si>
    <t>문화산업과</t>
    <phoneticPr fontId="2" type="noConversion"/>
  </si>
  <si>
    <t>경기콘텐츠진흥원 영상위원회 DMZ 영화제</t>
    <phoneticPr fontId="2" type="noConversion"/>
  </si>
  <si>
    <t>2014 전국체전 강화훈련 장비(기자재)지원</t>
    <phoneticPr fontId="2" type="noConversion"/>
  </si>
  <si>
    <t>장애인복지과</t>
    <phoneticPr fontId="2" type="noConversion"/>
  </si>
  <si>
    <t>장애아단체 육성지원</t>
    <phoneticPr fontId="2" type="noConversion"/>
  </si>
  <si>
    <t>다문화과</t>
    <phoneticPr fontId="2" type="noConversion"/>
  </si>
  <si>
    <t>다문화센터지원</t>
    <phoneticPr fontId="2" type="noConversion"/>
  </si>
  <si>
    <t>보육정책과</t>
    <phoneticPr fontId="2" type="noConversion"/>
  </si>
  <si>
    <t>민간보육시설 환경개선</t>
    <phoneticPr fontId="2" type="noConversion"/>
  </si>
  <si>
    <t>농업기술원</t>
    <phoneticPr fontId="2" type="noConversion"/>
  </si>
  <si>
    <t>자동화 식물생산시스템시험재료</t>
    <phoneticPr fontId="2" type="noConversion"/>
  </si>
  <si>
    <t>여성능력개발센터</t>
    <phoneticPr fontId="2" type="noConversion"/>
  </si>
  <si>
    <t>여성IT 전문직업훈련</t>
    <phoneticPr fontId="2" type="noConversion"/>
  </si>
  <si>
    <t>제19회 경기도에너지 웅변대회</t>
    <phoneticPr fontId="2" type="noConversion"/>
  </si>
  <si>
    <t>과학기술과</t>
    <phoneticPr fontId="2" type="noConversion"/>
  </si>
  <si>
    <t>경기과학정책연구사업지원</t>
    <phoneticPr fontId="2" type="noConversion"/>
  </si>
  <si>
    <t>입법정책담당관</t>
    <phoneticPr fontId="2" type="noConversion"/>
  </si>
  <si>
    <t>의원연구단체별 정책연구용역</t>
    <phoneticPr fontId="2" type="noConversion"/>
  </si>
  <si>
    <t>.</t>
    <phoneticPr fontId="2" type="noConversion"/>
  </si>
  <si>
    <t>.</t>
    <phoneticPr fontId="2" type="noConversion"/>
  </si>
  <si>
    <t>2014년도 경기도 일반회계 세출 예산 예결위 수정(안)</t>
    <phoneticPr fontId="6" type="noConversion"/>
  </si>
  <si>
    <t>□세출예산</t>
    <phoneticPr fontId="6" type="noConversion"/>
  </si>
  <si>
    <t>(단위 : 천원)</t>
    <phoneticPr fontId="6" type="noConversion"/>
  </si>
  <si>
    <t>위원회</t>
    <phoneticPr fontId="6" type="noConversion"/>
  </si>
  <si>
    <t>예산안
페이지</t>
    <phoneticPr fontId="6" type="noConversion"/>
  </si>
  <si>
    <t>부서명</t>
    <phoneticPr fontId="6" type="noConversion"/>
  </si>
  <si>
    <t>사업명</t>
    <phoneticPr fontId="6" type="noConversion"/>
  </si>
  <si>
    <t>예산안
(가)</t>
    <phoneticPr fontId="6" type="noConversion"/>
  </si>
  <si>
    <t>상임위 예산안 
조정액(라)</t>
    <phoneticPr fontId="6" type="noConversion"/>
  </si>
  <si>
    <t>상임위 수정
예산안
(마=가+라)</t>
    <phoneticPr fontId="6" type="noConversion"/>
  </si>
  <si>
    <t>예결위 예산안 
조정액(마)</t>
    <phoneticPr fontId="6" type="noConversion"/>
  </si>
  <si>
    <t>예결위 수정
예산안
(바=가+마)</t>
    <phoneticPr fontId="6" type="noConversion"/>
  </si>
  <si>
    <t>비  고</t>
    <phoneticPr fontId="6" type="noConversion"/>
  </si>
  <si>
    <t>감액</t>
    <phoneticPr fontId="2" type="noConversion"/>
  </si>
  <si>
    <t>증액</t>
    <phoneticPr fontId="2" type="noConversion"/>
  </si>
  <si>
    <t>합   계</t>
    <phoneticPr fontId="2" type="noConversion"/>
  </si>
  <si>
    <t>평가담당관</t>
    <phoneticPr fontId="2" type="noConversion"/>
  </si>
  <si>
    <t>간부공무원 역량평가</t>
    <phoneticPr fontId="2" type="noConversion"/>
  </si>
  <si>
    <t>대변인</t>
    <phoneticPr fontId="2" type="noConversion"/>
  </si>
  <si>
    <t>경기도대학생기자단운영(자체/지원)</t>
    <phoneticPr fontId="2" type="noConversion"/>
  </si>
  <si>
    <t>역량개발지원과</t>
    <phoneticPr fontId="2" type="noConversion"/>
  </si>
  <si>
    <t>수입대체경비활용사업(자체/직접)</t>
    <phoneticPr fontId="2" type="noConversion"/>
  </si>
  <si>
    <t>도정여론조사</t>
    <phoneticPr fontId="2" type="noConversion"/>
  </si>
  <si>
    <t>도로건설과</t>
    <phoneticPr fontId="2" type="noConversion"/>
  </si>
  <si>
    <t>구양수대교재가설공사</t>
    <phoneticPr fontId="2" type="noConversion"/>
  </si>
  <si>
    <t>추가</t>
    <phoneticPr fontId="2" type="noConversion"/>
  </si>
  <si>
    <t>의회운영 및 예산정책심사비교 연수
 → 의회운영 및 예산 관련 비교 연수</t>
    <phoneticPr fontId="2" type="noConversion"/>
  </si>
  <si>
    <t>도의원 생활관 임차료 등</t>
    <phoneticPr fontId="2" type="noConversion"/>
  </si>
  <si>
    <t>예결위 제2회 추경 
예산안 조정액(라)</t>
    <phoneticPr fontId="6" type="noConversion"/>
  </si>
  <si>
    <t>인재개발원</t>
    <phoneticPr fontId="2" type="noConversion"/>
  </si>
  <si>
    <t>수입대체경비활용사업(자체/직접)</t>
    <phoneticPr fontId="2" type="noConversion"/>
  </si>
  <si>
    <t>도정여론조사</t>
    <phoneticPr fontId="2" type="noConversion"/>
  </si>
  <si>
    <t>노인복지과</t>
    <phoneticPr fontId="2" type="noConversion"/>
  </si>
  <si>
    <t>시외버스터미널 기능보강</t>
    <phoneticPr fontId="2" type="noConversion"/>
  </si>
  <si>
    <t>군관협력담당관</t>
    <phoneticPr fontId="2" type="noConversion"/>
  </si>
  <si>
    <t>교육정책과</t>
    <phoneticPr fontId="2" type="noConversion"/>
  </si>
  <si>
    <t>보육정책과</t>
    <phoneticPr fontId="2" type="noConversion"/>
  </si>
  <si>
    <t>화성소방서</t>
    <phoneticPr fontId="2" type="noConversion"/>
  </si>
  <si>
    <t>도시재생과</t>
    <phoneticPr fontId="2" type="noConversion"/>
  </si>
  <si>
    <t>재정비사업 추정분담금 프로그램 홍보</t>
    <phoneticPr fontId="2" type="noConversion"/>
  </si>
  <si>
    <t>예결위 계수조정</t>
    <phoneticPr fontId="2" type="noConversion"/>
  </si>
  <si>
    <t>소방행정과</t>
    <phoneticPr fontId="2" type="noConversion"/>
  </si>
  <si>
    <t>소방청사관리</t>
    <phoneticPr fontId="2" type="noConversion"/>
  </si>
  <si>
    <t>소규모 노후시설 보수 3억 증</t>
    <phoneticPr fontId="2" type="noConversion"/>
  </si>
  <si>
    <t>상임위 대비 증감</t>
    <phoneticPr fontId="2" type="noConversion"/>
  </si>
  <si>
    <t>(단위:천원, %)</t>
    <phoneticPr fontId="6" type="noConversion"/>
  </si>
  <si>
    <t>집행부제출안
(E)</t>
    <phoneticPr fontId="2" type="noConversion"/>
  </si>
  <si>
    <t>증액
(H)</t>
    <phoneticPr fontId="6" type="noConversion"/>
  </si>
  <si>
    <t>상임위조정
예산안
(I=E+F)</t>
    <phoneticPr fontId="2" type="noConversion"/>
  </si>
  <si>
    <t>감액
(K)</t>
    <phoneticPr fontId="6" type="noConversion"/>
  </si>
  <si>
    <t>증액
(L)</t>
    <phoneticPr fontId="6" type="noConversion"/>
  </si>
  <si>
    <t>계
(J=K+L)</t>
    <phoneticPr fontId="2" type="noConversion"/>
  </si>
  <si>
    <t>예결위조정
예산안
(M=I+J)</t>
    <phoneticPr fontId="2" type="noConversion"/>
  </si>
  <si>
    <t>감액
(K-G)</t>
    <phoneticPr fontId="6" type="noConversion"/>
  </si>
  <si>
    <t>증액
(L-H)</t>
    <phoneticPr fontId="6" type="noConversion"/>
  </si>
  <si>
    <t>계
(N=J-F)</t>
    <phoneticPr fontId="2" type="noConversion"/>
  </si>
  <si>
    <t>증감율
(N/F)</t>
    <phoneticPr fontId="2" type="noConversion"/>
  </si>
  <si>
    <t>사업명 변경
특별, 운영</t>
    <phoneticPr fontId="2" type="noConversion"/>
  </si>
  <si>
    <t>78번 도로 삼거-옥계 위험도로</t>
    <phoneticPr fontId="2" type="noConversion"/>
  </si>
  <si>
    <t>경기도박물관 보증금 채권반납</t>
  </si>
  <si>
    <t>관광안내체계구축지원</t>
  </si>
  <si>
    <t>문화체육관광부 관광산업과-4039(2013.12.2)</t>
  </si>
  <si>
    <t>운동장 생활체육시설 지원(성립전)</t>
  </si>
  <si>
    <t>문화체육관광부 체육진흥과-4037(2013.10.1.),-5087(2013.12.10.)호</t>
  </si>
  <si>
    <t>농지보전부담금 (징수교부금 수입)</t>
  </si>
  <si>
    <t>친환경농업직접지불</t>
  </si>
  <si>
    <t>녹비작물종자대 지원</t>
  </si>
  <si>
    <t>농림축산식품부 친환경농업과-3276(2013.12.9)</t>
  </si>
  <si>
    <t>농림축산식품부 친환경농업과-3070(2013.11.27)</t>
  </si>
  <si>
    <t>한우 FTA 피해보전 직불금</t>
  </si>
  <si>
    <t>한우 FTA 폐업지원금</t>
  </si>
  <si>
    <t>농림축산식품부 축산경영과-4596(2013.12.12)</t>
  </si>
  <si>
    <t>미래농업기반구축</t>
  </si>
  <si>
    <t>국비(10억원) 미교부</t>
  </si>
  <si>
    <t>노인생활시설기능보강(국비 감액사업)</t>
  </si>
  <si>
    <t>영유아사전예방적건강관리</t>
  </si>
  <si>
    <t>국비 변경내시
※ 보건복지부 요양보험운영과(2013.12.10)호</t>
  </si>
  <si>
    <t>국비 변경내시
※ 보건복지부 출산정책과-3676(2013.12.10)호</t>
  </si>
  <si>
    <t>보건정책과 국비사용잔액 이자
※ 보건복지부응급의료과 -3331(2013.10.11.)호</t>
  </si>
  <si>
    <t>국비변경내시
※ 보건복지부 응급의료과-4112(2013.11.17)호</t>
  </si>
  <si>
    <t>국가지원지방도 확포장</t>
  </si>
  <si>
    <t>국가자전거도로 구축</t>
  </si>
  <si>
    <t>국지도 예산 내시 변경으로 3,145백만원 감액
국토교통부 재정담당관-2007(2013.12.08)</t>
  </si>
  <si>
    <t>국비추가내시
안전행정부 자전거정책과-2483
('13.12.05)</t>
  </si>
  <si>
    <t>폐기물자원화사업</t>
  </si>
  <si>
    <t>국비 변경내시(본예산서 56쪽)
환경부 폐자원에너지과-1591(2013.12.11.)호</t>
  </si>
  <si>
    <t>하수관거정비</t>
  </si>
  <si>
    <t>고도정수처리시설 시범사업(광특/지원)</t>
  </si>
  <si>
    <t>하수관거정비BTL사업 임대료 지급</t>
  </si>
  <si>
    <t>한강유역환경청 수질총량관리과-8028(13.12.3)</t>
  </si>
  <si>
    <t>환경부 수도정책과-6920(2013.12.05)</t>
  </si>
  <si>
    <t>영유아보육료 지원</t>
  </si>
  <si>
    <t>보건복지부 보육사업기획과-4876(2013.12.9.)호</t>
  </si>
  <si>
    <t>국가지원도 예산 감액변경내시
국토교통부 재정담당관-2007(2013.12.08)</t>
  </si>
  <si>
    <t>환경국</t>
    <phoneticPr fontId="2" type="noConversion"/>
  </si>
  <si>
    <t>국비 변경내시(본예산서 325쪽)
환경부 폐자원에너지과-1591(2013.12.11.)호</t>
  </si>
  <si>
    <t>환경부 수도정책과-920(2013.12.05)</t>
  </si>
  <si>
    <t>본예산
76</t>
    <phoneticPr fontId="2" type="noConversion"/>
  </si>
  <si>
    <t>도비</t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</si>
  <si>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(과목경정)</t>
    </r>
    <r>
      <rPr>
        <sz val="9"/>
        <color theme="1"/>
        <rFont val="맑은 고딕"/>
        <family val="3"/>
        <charset val="129"/>
        <scheme val="minor"/>
      </rPr>
      <t xml:space="preserve"> : 부기명 변경
지역상생협력 업무추진</t>
    </r>
  </si>
  <si>
    <r>
      <rPr>
        <b/>
        <sz val="9"/>
        <color rgb="FFFF0000"/>
        <rFont val="맑은 고딕"/>
        <family val="3"/>
        <charset val="129"/>
        <scheme val="minor"/>
      </rPr>
      <t>(과목경정)</t>
    </r>
    <r>
      <rPr>
        <sz val="9"/>
        <color theme="1"/>
        <rFont val="맑은 고딕"/>
        <family val="3"/>
        <charset val="129"/>
        <scheme val="minor"/>
      </rPr>
      <t xml:space="preserve"> : 부기명 변경
도정발전소통 업무추진</t>
    </r>
  </si>
  <si>
    <r>
      <rPr>
        <b/>
        <sz val="9"/>
        <color rgb="FFFF0000"/>
        <rFont val="맑은 고딕"/>
        <family val="3"/>
        <charset val="129"/>
        <scheme val="minor"/>
      </rPr>
      <t>(과목경정)</t>
    </r>
    <r>
      <rPr>
        <sz val="9"/>
        <color theme="1"/>
        <rFont val="맑은 고딕"/>
        <family val="3"/>
        <charset val="129"/>
        <scheme val="minor"/>
      </rPr>
      <t xml:space="preserve">
민간경상보조 ⇒ 출연금</t>
    </r>
  </si>
  <si>
    <t>미설치 시군 3개소 확대
(16개소 → 19개소)</t>
    <phoneticPr fontId="2" type="noConversion"/>
  </si>
  <si>
    <t>사업량 증가
전립선암검사(500명→10,000명)
골다공증검사(500명→2,105명)</t>
    <phoneticPr fontId="2" type="noConversion"/>
  </si>
  <si>
    <t>중증장애인전용 엑스선 장비구입 지원</t>
    <phoneticPr fontId="2" type="noConversion"/>
  </si>
  <si>
    <t>12개 시군 21개 사회복지관 기능보강 지원</t>
    <phoneticPr fontId="2" type="noConversion"/>
  </si>
  <si>
    <t>도로계획과</t>
    <phoneticPr fontId="2" type="noConversion"/>
  </si>
  <si>
    <r>
      <t xml:space="preserve">국비 추가내시(38,850) 및
도비추가(상임위 5:5 1,358,775)
</t>
    </r>
    <r>
      <rPr>
        <b/>
        <sz val="10"/>
        <color rgb="FFFF0000"/>
        <rFont val="맑은 고딕"/>
        <family val="3"/>
        <charset val="129"/>
        <scheme val="minor"/>
      </rPr>
      <t>도비변경(예결위 3:7 58,275)</t>
    </r>
  </si>
  <si>
    <t>한강유역환경청 수질총량관리과-7127(13.11.1), -7475(13.11.14),-8028(13.12.3)</t>
  </si>
  <si>
    <t>한강유역환경청 수질총량관리과-7896(13.11.28), -8028(13.12.3)</t>
  </si>
  <si>
    <t>(단위 : 천원)</t>
    <phoneticPr fontId="6" type="noConversion"/>
  </si>
  <si>
    <t>예      산     과     목</t>
  </si>
  <si>
    <t>명시이월내용</t>
  </si>
  <si>
    <t>예산액</t>
  </si>
  <si>
    <t>사유</t>
  </si>
  <si>
    <t>정책사업</t>
  </si>
  <si>
    <t>단위사업</t>
  </si>
  <si>
    <t>세부사업</t>
  </si>
  <si>
    <t>편성목
(통계목)</t>
  </si>
  <si>
    <t>합계</t>
  </si>
  <si>
    <t>평생체육활동여건조성
(체육과)</t>
  </si>
  <si>
    <t>체육기반시설확충</t>
  </si>
  <si>
    <t>지방체육시설건립및리모델링(광특/지원)</t>
  </si>
  <si>
    <t>지방체육시설건립및리모델링</t>
  </si>
  <si>
    <t>이용자 중심의 정보통신 기반 마련
(정보통신보안담당관)</t>
  </si>
  <si>
    <t>정보보호 강화</t>
  </si>
  <si>
    <t>스마트 보안관리 체계 구축
(자체/직접)</t>
  </si>
  <si>
    <t>시설비및부대비
(시설비)</t>
  </si>
  <si>
    <t>스마트 보안관리시스템 구축</t>
  </si>
  <si>
    <t>시설비및부대비
(감리비)</t>
  </si>
  <si>
    <t>스마트 보안관리시스템 구축 사업 감리용역</t>
  </si>
  <si>
    <t>시설비및부대비
(시설부대비)</t>
  </si>
  <si>
    <t>조달수수료</t>
  </si>
  <si>
    <t>생활경영 경쟁력 강화
(농업기술원)</t>
  </si>
  <si>
    <t>미래농업 기반구축</t>
  </si>
  <si>
    <t>지역곤충자원산업화 지원센터 건립
(국비/직접)</t>
  </si>
  <si>
    <t>지역곤충자원산업화지원센터 신축</t>
  </si>
  <si>
    <t>○ 국비 미교부 및 도비 미반영에 따른 명시이월사업 제외 
   * 2회 추경  P217</t>
  </si>
  <si>
    <t>축산위생연구
(축산위생연구소)</t>
  </si>
  <si>
    <t>가축연구</t>
  </si>
  <si>
    <t>경기도 말 시험사육장조성(자체/직접)</t>
  </si>
  <si>
    <t>재료비
(재료비)</t>
  </si>
  <si>
    <t>사료 구입</t>
  </si>
  <si>
    <t>마사조성, 설치</t>
  </si>
  <si>
    <t>자산취득비
(자산물품취득비)</t>
  </si>
  <si>
    <t>말 구입</t>
  </si>
  <si>
    <t>장구(안장) 구입</t>
  </si>
  <si>
    <t>인건비
(기간제근로자등보수)</t>
    <phoneticPr fontId="2" type="noConversion"/>
  </si>
  <si>
    <t>일반운영비
(사무관리비)</t>
    <phoneticPr fontId="2" type="noConversion"/>
  </si>
  <si>
    <t>자치단체등자본이전
(자치단체자본보조)</t>
  </si>
  <si>
    <t>○  '13년도내 전액 집행예정에 따라 명시이월사업 제외 
    * 2회 추경  P217</t>
    <phoneticPr fontId="2" type="noConversion"/>
  </si>
  <si>
    <t>○ 본예산 930</t>
    <phoneticPr fontId="2" type="noConversion"/>
  </si>
  <si>
    <t>○ 1회추경 573</t>
    <phoneticPr fontId="2" type="noConversion"/>
  </si>
  <si>
    <t>보건환경연구원</t>
    <phoneticPr fontId="2" type="noConversion"/>
  </si>
  <si>
    <t>입법, 의정 관련 비교 연수</t>
  </si>
  <si>
    <t>속기사 근무복 구입</t>
  </si>
  <si>
    <t>의원연구단체별 정책연구용역</t>
  </si>
  <si>
    <t>평가담당관</t>
  </si>
  <si>
    <t>총무과</t>
    <phoneticPr fontId="2" type="noConversion"/>
  </si>
  <si>
    <t>수원농산물검사소</t>
    <phoneticPr fontId="2" type="noConversion"/>
  </si>
  <si>
    <t>특화산업과</t>
    <phoneticPr fontId="2" type="noConversion"/>
  </si>
  <si>
    <t>홍보담당관</t>
    <phoneticPr fontId="2" type="noConversion"/>
  </si>
  <si>
    <t>추가</t>
    <phoneticPr fontId="2" type="noConversion"/>
  </si>
  <si>
    <t>보육청소년담당관</t>
    <phoneticPr fontId="2" type="noConversion"/>
  </si>
  <si>
    <t>기업지원과2과</t>
    <phoneticPr fontId="2" type="noConversion"/>
  </si>
  <si>
    <t>해양항만정책과</t>
  </si>
  <si>
    <t>농업기술원(원예산업연구과)</t>
  </si>
  <si>
    <t>건설본부(도로건설과)</t>
  </si>
  <si>
    <t>구양수대교 재가설공사(자체/직접)</t>
  </si>
  <si>
    <r>
      <rPr>
        <b/>
        <sz val="9"/>
        <color rgb="FFFF0000"/>
        <rFont val="맑은 고딕"/>
        <family val="3"/>
        <charset val="129"/>
        <scheme val="minor"/>
      </rPr>
      <t>(과목경정)</t>
    </r>
    <r>
      <rPr>
        <sz val="9"/>
        <rFont val="맑은 고딕"/>
        <family val="3"/>
        <charset val="129"/>
        <scheme val="minor"/>
      </rPr>
      <t xml:space="preserve">
 - 6.25전쟁 63주년 기념행사 ==&gt; 6.25전쟁 64주년 기념행사</t>
    </r>
    <phoneticPr fontId="2" type="noConversion"/>
  </si>
  <si>
    <r>
      <rPr>
        <b/>
        <sz val="9"/>
        <color rgb="FFFF0000"/>
        <rFont val="굴림체"/>
        <family val="3"/>
        <charset val="129"/>
      </rPr>
      <t>(과목변경)</t>
    </r>
    <r>
      <rPr>
        <sz val="9"/>
        <color rgb="FFFF0000"/>
        <rFont val="굴림체"/>
        <family val="3"/>
        <charset val="129"/>
      </rPr>
      <t xml:space="preserve">
</t>
    </r>
    <r>
      <rPr>
        <sz val="9"/>
        <rFont val="굴림체"/>
        <family val="3"/>
        <charset val="129"/>
      </rPr>
      <t>민간위탁금(307-05) =&gt; 
민간대행사업비(402-02)</t>
    </r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</si>
  <si>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(과목변경)</t>
    </r>
    <r>
      <rPr>
        <sz val="9"/>
        <color theme="1"/>
        <rFont val="맑은 고딕"/>
        <family val="2"/>
        <charset val="129"/>
        <scheme val="minor"/>
      </rPr>
      <t xml:space="preserve">
민간위탁금(307-05) =&gt; 
민간대행사업비(402-02)
행궁 유지관리비(인건비) 100백만원 증</t>
    </r>
    <phoneticPr fontId="2" type="noConversion"/>
  </si>
  <si>
    <t>문화유산과</t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</si>
  <si>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(과목변경)</t>
    </r>
    <r>
      <rPr>
        <sz val="9"/>
        <color theme="1"/>
        <rFont val="맑은 고딕"/>
        <family val="2"/>
        <charset val="129"/>
        <scheme val="minor"/>
      </rPr>
      <t xml:space="preserve">
민간위탁금(307-05) =&gt; 
민간대행사업비(402-02)</t>
    </r>
    <phoneticPr fontId="2" type="noConversion"/>
  </si>
  <si>
    <t>부기명 삭제</t>
  </si>
  <si>
    <t>세부사업 추가</t>
  </si>
  <si>
    <t>공무국외여행 방문지원</t>
  </si>
  <si>
    <t>도 재정상황 감안 필수경비 기반영
(의정연구센타운영비 12억 증액)</t>
    <phoneticPr fontId="2" type="noConversion"/>
  </si>
  <si>
    <t>문화,역사 강좌 각 50백만원, 한미축제 100백만원</t>
  </si>
  <si>
    <t>인건비 1억감, 홍보비 1억감</t>
  </si>
  <si>
    <t>국도비 분할?</t>
    <phoneticPr fontId="2" type="noConversion"/>
  </si>
  <si>
    <t>건설본부(북부도로과)</t>
    <phoneticPr fontId="2" type="noConversion"/>
  </si>
  <si>
    <t>&lt;사업대상지 조정&gt;
신천   1,000백만원 증
 → 500백만원 증
용암천 500백만원 증
 → 300백만원 증
복하천 1,000백만원 증
 → 500백만원 증
신복천 1,500백만원 증
 → 500백만원 증
정평천  500백만원 증
 → 0 증 
장안천 0
 → 500백만원 증
승안천 1,000백만원 감
 → 500백만원 감
청계천 2,705백만원 감
 → 1,355백만원 감
상패천  500백만원 감
 → 0 감
양재천 1,602,051천원 감
 → 0 감
나진포천 500백만원 감
 → 0 감</t>
  </si>
  <si>
    <t>교육협력과</t>
  </si>
  <si>
    <t>수질총량정책수립</t>
  </si>
  <si>
    <t>경기도 가족여성연구원 운영(자체/직접)</t>
  </si>
  <si>
    <t>출연금</t>
  </si>
  <si>
    <t>□ 기금수입</t>
    <phoneticPr fontId="6" type="noConversion"/>
  </si>
  <si>
    <t>(단위 : 천원)</t>
    <phoneticPr fontId="6" type="noConversion"/>
  </si>
  <si>
    <t>위원회</t>
    <phoneticPr fontId="6" type="noConversion"/>
  </si>
  <si>
    <t>예산안
(가)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</si>
  <si>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</si>
  <si>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</si>
  <si>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비  고</t>
    <phoneticPr fontId="6" type="noConversion"/>
  </si>
  <si>
    <t>상임위 재원별 증감액</t>
    <phoneticPr fontId="6" type="noConversion"/>
  </si>
  <si>
    <t>경제과학기술위원회</t>
    <phoneticPr fontId="6" type="noConversion"/>
  </si>
  <si>
    <t>경제투자실</t>
    <phoneticPr fontId="6" type="noConversion"/>
  </si>
  <si>
    <t>중소기업육성기금(운전자금)</t>
    <phoneticPr fontId="2" type="noConversion"/>
  </si>
  <si>
    <t>기업지원1과</t>
    <phoneticPr fontId="2" type="noConversion"/>
  </si>
  <si>
    <t>□ 기금지출</t>
    <phoneticPr fontId="6" type="noConversion"/>
  </si>
  <si>
    <t>예치금</t>
    <phoneticPr fontId="2" type="noConversion"/>
  </si>
  <si>
    <t>문화체육관광위원회</t>
    <phoneticPr fontId="6" type="noConversion"/>
  </si>
  <si>
    <t>체육진흥기금</t>
    <phoneticPr fontId="2" type="noConversion"/>
  </si>
  <si>
    <t>시군직장운동부 창단 지원</t>
    <phoneticPr fontId="2" type="noConversion"/>
  </si>
  <si>
    <t>장애인체육 직장운동부 운영지원</t>
    <phoneticPr fontId="2" type="noConversion"/>
  </si>
  <si>
    <t>생활체육지도자 지도역량 강화</t>
    <phoneticPr fontId="2" type="noConversion"/>
  </si>
  <si>
    <t>생활체육 콘텐츠 개발 및 활용</t>
    <phoneticPr fontId="2" type="noConversion"/>
  </si>
  <si>
    <t>생애주기별 생활체육 프로그램 개발 및 보급</t>
    <phoneticPr fontId="2" type="noConversion"/>
  </si>
  <si>
    <t>스포츠용품 박람회 참가 지원</t>
    <phoneticPr fontId="2" type="noConversion"/>
  </si>
  <si>
    <t>경기도대표스포츠이벤트발굴 및 운영</t>
    <phoneticPr fontId="2" type="noConversion"/>
  </si>
  <si>
    <t>공공기관 인프라활용 수익창출 프로그램개발</t>
    <phoneticPr fontId="2" type="noConversion"/>
  </si>
  <si>
    <r>
      <t>지역</t>
    </r>
    <r>
      <rPr>
        <b/>
        <sz val="10"/>
        <color rgb="FFFF0000"/>
        <rFont val="맑은 고딕"/>
        <family val="3"/>
        <charset val="129"/>
        <scheme val="minor"/>
      </rPr>
      <t>사회</t>
    </r>
    <r>
      <rPr>
        <sz val="10"/>
        <color theme="1"/>
        <rFont val="맑은 고딕"/>
        <family val="2"/>
        <charset val="129"/>
        <scheme val="minor"/>
      </rPr>
      <t>체육역량강화프로그램지원</t>
    </r>
    <phoneticPr fontId="2" type="noConversion"/>
  </si>
  <si>
    <t>도비</t>
    <phoneticPr fontId="2" type="noConversion"/>
  </si>
  <si>
    <t>국비</t>
    <phoneticPr fontId="2" type="noConversion"/>
  </si>
  <si>
    <t>도비</t>
    <phoneticPr fontId="6" type="noConversion"/>
  </si>
  <si>
    <t>도비</t>
    <phoneticPr fontId="2" type="noConversion"/>
  </si>
  <si>
    <t xml:space="preserve">대표프로그램 인증사업 : 감1억
경기관광실대조사 : 감 1억
융복합관광및관광협력 네트워크 구축 : 5천만
원효대사 토굴 재현 : 증 1억
한강하구문화지원개발 : 증 5천만
문화유적탐방 : 증 1억 
</t>
    <phoneticPr fontId="6" type="noConversion"/>
  </si>
  <si>
    <t>추가</t>
    <phoneticPr fontId="2" type="noConversion"/>
  </si>
  <si>
    <t>체육과</t>
    <phoneticPr fontId="2" type="noConversion"/>
  </si>
  <si>
    <t>도비</t>
    <phoneticPr fontId="2" type="noConversion"/>
  </si>
  <si>
    <t>예산담당관</t>
  </si>
  <si>
    <t>예산담당관</t>
    <phoneticPr fontId="2" type="noConversion"/>
  </si>
  <si>
    <t>봅슬레이팀 지원</t>
    <phoneticPr fontId="2" type="noConversion"/>
  </si>
  <si>
    <t>방송매체를 활용한 교통정보제공사업</t>
    <phoneticPr fontId="2" type="noConversion"/>
  </si>
  <si>
    <t>2014년 도비 부담액 반영
수원 525백만원, 가평 200백만원 증</t>
    <phoneticPr fontId="2" type="noConversion"/>
  </si>
  <si>
    <t>예비비</t>
  </si>
  <si>
    <t>수정47</t>
    <phoneticPr fontId="2" type="noConversion"/>
  </si>
  <si>
    <t>기획재정위원회</t>
    <phoneticPr fontId="2" type="noConversion"/>
  </si>
  <si>
    <t>기획조정실</t>
    <phoneticPr fontId="2" type="noConversion"/>
  </si>
  <si>
    <t>2회</t>
  </si>
  <si>
    <t>2회수정
236</t>
  </si>
  <si>
    <t>'13년도 제2회 추경 일반 및 특별회계 세입·세출 예산 수정안[전체예산총괄]</t>
    <phoneticPr fontId="6" type="noConversion"/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</si>
  <si>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</si>
  <si>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</si>
  <si>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</si>
  <si>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</si>
  <si>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</si>
  <si>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</si>
  <si>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</si>
  <si>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</si>
  <si>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</si>
  <si>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</si>
  <si>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</si>
  <si>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</si>
  <si>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</si>
  <si>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</si>
  <si>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</si>
  <si>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</si>
  <si>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</si>
  <si>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</si>
  <si>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</si>
  <si>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</si>
  <si>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</si>
  <si>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운 영 위</t>
    <phoneticPr fontId="6" type="noConversion"/>
  </si>
  <si>
    <t>일반회계 증감(시트)</t>
    <phoneticPr fontId="6" type="noConversion"/>
  </si>
  <si>
    <t>전체 증감</t>
    <phoneticPr fontId="6" type="noConversion"/>
  </si>
  <si>
    <t>기 획 위</t>
    <phoneticPr fontId="6" type="noConversion"/>
  </si>
  <si>
    <t>경 제 위</t>
    <phoneticPr fontId="6" type="noConversion"/>
  </si>
  <si>
    <t>행 정 위</t>
    <phoneticPr fontId="6" type="noConversion"/>
  </si>
  <si>
    <t>문 광 위</t>
    <phoneticPr fontId="6" type="noConversion"/>
  </si>
  <si>
    <t>기금</t>
    <phoneticPr fontId="6" type="noConversion"/>
  </si>
  <si>
    <t>농 림 위</t>
    <phoneticPr fontId="6" type="noConversion"/>
  </si>
  <si>
    <t>복 지 위</t>
    <phoneticPr fontId="6" type="noConversion"/>
  </si>
  <si>
    <t>건 설 위</t>
    <phoneticPr fontId="6" type="noConversion"/>
  </si>
  <si>
    <t>도 시 위</t>
    <phoneticPr fontId="6" type="noConversion"/>
  </si>
  <si>
    <t>여가평위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</si>
  <si>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</si>
  <si>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</si>
  <si>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</si>
  <si>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</si>
  <si>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</si>
  <si>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</si>
  <si>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</si>
  <si>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</si>
  <si>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</si>
  <si>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</si>
  <si>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</si>
  <si>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</si>
  <si>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□  총   괄</t>
    <phoneticPr fontId="6" type="noConversion"/>
  </si>
  <si>
    <t>(일반+특별+기금)</t>
    <phoneticPr fontId="6" type="noConversion"/>
  </si>
  <si>
    <t>집행부제출(안)</t>
    <phoneticPr fontId="6" type="noConversion"/>
  </si>
  <si>
    <t>세입예산(안)</t>
    <phoneticPr fontId="6" type="noConversion"/>
  </si>
  <si>
    <t>예산수정(안)</t>
    <phoneticPr fontId="6" type="noConversion"/>
  </si>
  <si>
    <t>예비비증감</t>
    <phoneticPr fontId="6" type="noConversion"/>
  </si>
  <si>
    <t>비    고</t>
    <phoneticPr fontId="6" type="noConversion"/>
  </si>
  <si>
    <t>감 액</t>
    <phoneticPr fontId="6" type="noConversion"/>
  </si>
  <si>
    <t>증 액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</si>
  <si>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</si>
  <si>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</si>
  <si>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운 영 위</t>
    <phoneticPr fontId="6" type="noConversion"/>
  </si>
  <si>
    <t>일반회계 증감(시트)</t>
    <phoneticPr fontId="6" type="noConversion"/>
  </si>
  <si>
    <t>전체 증감</t>
    <phoneticPr fontId="6" type="noConversion"/>
  </si>
  <si>
    <t>기 획 위</t>
    <phoneticPr fontId="6" type="noConversion"/>
  </si>
  <si>
    <t>경 제 위</t>
    <phoneticPr fontId="6" type="noConversion"/>
  </si>
  <si>
    <t>행 정 위</t>
    <phoneticPr fontId="6" type="noConversion"/>
  </si>
  <si>
    <t>문 광 위</t>
    <phoneticPr fontId="6" type="noConversion"/>
  </si>
  <si>
    <t>농 림 위</t>
    <phoneticPr fontId="6" type="noConversion"/>
  </si>
  <si>
    <t>복 지 위</t>
    <phoneticPr fontId="6" type="noConversion"/>
  </si>
  <si>
    <t>건 설 위</t>
    <phoneticPr fontId="6" type="noConversion"/>
  </si>
  <si>
    <t>도 시 위</t>
    <phoneticPr fontId="6" type="noConversion"/>
  </si>
  <si>
    <t>여가평위</t>
    <phoneticPr fontId="6" type="noConversion"/>
  </si>
  <si>
    <t>□ 회계별 예산총규모</t>
    <phoneticPr fontId="6" type="noConversion"/>
  </si>
  <si>
    <t>세출예산액
(집행부제출 안)</t>
    <phoneticPr fontId="6" type="noConversion"/>
  </si>
  <si>
    <t>(세출기준-세입기준)</t>
    <phoneticPr fontId="6" type="noConversion"/>
  </si>
  <si>
    <t>일반+기특</t>
    <phoneticPr fontId="6" type="noConversion"/>
  </si>
  <si>
    <t>공기업</t>
    <phoneticPr fontId="6" type="noConversion"/>
  </si>
  <si>
    <t>상임위 예산안 
조정액(나)</t>
    <phoneticPr fontId="6" type="noConversion"/>
  </si>
  <si>
    <t>상임위 수정
예산안
(다=가+나)</t>
    <phoneticPr fontId="6" type="noConversion"/>
  </si>
  <si>
    <t>예결위 예산안 
조정액(라)</t>
    <phoneticPr fontId="6" type="noConversion"/>
  </si>
  <si>
    <t>예결위 수정
예산안
(마=가+라)</t>
    <phoneticPr fontId="6" type="noConversion"/>
  </si>
  <si>
    <t>추가</t>
    <phoneticPr fontId="2" type="noConversion"/>
  </si>
  <si>
    <t>보건위생담당관</t>
    <phoneticPr fontId="2" type="noConversion"/>
  </si>
  <si>
    <t>공공보건의료기관 지원(자체/지원)</t>
    <phoneticPr fontId="2" type="noConversion"/>
  </si>
  <si>
    <t>총무과</t>
    <phoneticPr fontId="2" type="noConversion"/>
  </si>
  <si>
    <t>모범공무원 해외 배낭여행</t>
    <phoneticPr fontId="2" type="noConversion"/>
  </si>
  <si>
    <t>언론담당관</t>
    <phoneticPr fontId="2" type="noConversion"/>
  </si>
  <si>
    <t>통신구독료</t>
    <phoneticPr fontId="2" type="noConversion"/>
  </si>
  <si>
    <t>이원익 종택 토지매입비 100백만원 증 등</t>
    <phoneticPr fontId="2" type="noConversion"/>
  </si>
  <si>
    <t xml:space="preserve"> 스마트영화제, 만화축제 등 진흥원 사업비 450백만원 증</t>
    <phoneticPr fontId="2" type="noConversion"/>
  </si>
  <si>
    <t>국내 50백만원, 국외 50백만원</t>
    <phoneticPr fontId="2" type="noConversion"/>
  </si>
  <si>
    <t>사업명변경
부서변경(농식품유통과)</t>
    <phoneticPr fontId="2" type="noConversion"/>
  </si>
  <si>
    <t>부서변경(농식품유통과),
사업명변경</t>
    <phoneticPr fontId="2" type="noConversion"/>
  </si>
  <si>
    <t>환경안전관리과</t>
    <phoneticPr fontId="2" type="noConversion"/>
  </si>
  <si>
    <t>악취방지시설 설치 및 개선지원(자체/지원)</t>
    <phoneticPr fontId="2" type="noConversion"/>
  </si>
  <si>
    <t>안양소방서</t>
    <phoneticPr fontId="2" type="noConversion"/>
  </si>
  <si>
    <t>소방망루 홍보관 설치</t>
    <phoneticPr fontId="2" type="noConversion"/>
  </si>
  <si>
    <t>국비</t>
    <phoneticPr fontId="2" type="noConversion"/>
  </si>
  <si>
    <t>광특</t>
    <phoneticPr fontId="2" type="noConversion"/>
  </si>
  <si>
    <t>교통정보과</t>
    <phoneticPr fontId="2" type="noConversion"/>
  </si>
  <si>
    <t>재원별 증감액</t>
    <phoneticPr fontId="6" type="noConversion"/>
  </si>
  <si>
    <t>복지정책과</t>
    <phoneticPr fontId="2" type="noConversion"/>
  </si>
  <si>
    <t>□ 기타특별회게수입</t>
    <phoneticPr fontId="6" type="noConversion"/>
  </si>
  <si>
    <t>□ 기타특별회계지출</t>
    <phoneticPr fontId="6" type="noConversion"/>
  </si>
  <si>
    <t>필수예비비 115,310.355</t>
    <phoneticPr fontId="2" type="noConversion"/>
  </si>
  <si>
    <t>복지정책과</t>
    <phoneticPr fontId="2" type="noConversion"/>
  </si>
  <si>
    <t>의료급여기금</t>
    <phoneticPr fontId="2" type="noConversion"/>
  </si>
  <si>
    <t>의료급여 도비부담금</t>
    <phoneticPr fontId="2" type="noConversion"/>
  </si>
  <si>
    <t>아마추어 연극제 개최(자체/지원)</t>
    <phoneticPr fontId="2" type="noConversion"/>
  </si>
  <si>
    <t>의료급여(국비/직접)
- 의료급여수급권자 진료비 및 건강생활비</t>
    <phoneticPr fontId="2" type="noConversion"/>
  </si>
  <si>
    <t>도비감액</t>
    <phoneticPr fontId="2" type="noConversion"/>
  </si>
  <si>
    <t>보건복지공보위원회</t>
    <phoneticPr fontId="6" type="noConversion"/>
  </si>
  <si>
    <t>보건복지국</t>
    <phoneticPr fontId="6" type="noConversion"/>
  </si>
  <si>
    <t>문화정책과</t>
    <phoneticPr fontId="2" type="noConversion"/>
  </si>
  <si>
    <t>과목경정</t>
    <phoneticPr fontId="2" type="noConversion"/>
  </si>
  <si>
    <t>세출 증감액</t>
    <phoneticPr fontId="2" type="noConversion"/>
  </si>
  <si>
    <t>세입 증감액</t>
    <phoneticPr fontId="2" type="noConversion"/>
  </si>
  <si>
    <t>2014년도 기타특별회계 계획안</t>
    <phoneticPr fontId="6" type="noConversion"/>
  </si>
  <si>
    <t>증감액
(마-다)</t>
    <phoneticPr fontId="2" type="noConversion"/>
  </si>
  <si>
    <t>SSM사업조정 포함,소상공인박람회(2억)</t>
    <phoneticPr fontId="2" type="noConversion"/>
  </si>
  <si>
    <t>학생급식지원
=&gt;친환경 우수농축산물 학교급식지원</t>
    <phoneticPr fontId="2" type="noConversion"/>
  </si>
  <si>
    <t>경기도사이버도서관 운영(자체/직접)</t>
    <phoneticPr fontId="2" type="noConversion"/>
  </si>
  <si>
    <t>2013년 이월액</t>
    <phoneticPr fontId="2" type="noConversion"/>
  </si>
  <si>
    <t>상임위안</t>
    <phoneticPr fontId="2" type="noConversion"/>
  </si>
  <si>
    <t>예결위안</t>
    <phoneticPr fontId="2" type="noConversion"/>
  </si>
  <si>
    <t>예결위 계수조정 결과</t>
    <phoneticPr fontId="6" type="noConversion"/>
  </si>
  <si>
    <t>- 사업명 변경  
우수 엘리트체육인 경쟁력 지원</t>
    <phoneticPr fontId="2" type="noConversion"/>
  </si>
  <si>
    <t>- 사업명 변경                                                                                                                                                                                                                                                                찾아가는생활체육 현장지도 활동강화</t>
    <phoneticPr fontId="2" type="noConversion"/>
  </si>
  <si>
    <t>- 사업명 변경
스포츠용품 전시회 참가 지원</t>
    <phoneticPr fontId="2" type="noConversion"/>
  </si>
  <si>
    <t>예결위 계수조정 결과</t>
    <phoneticPr fontId="6" type="noConversion"/>
  </si>
  <si>
    <t>예산결산특별위원회</t>
    <phoneticPr fontId="6" type="noConversion"/>
  </si>
  <si>
    <t>중기지방재정계획 예결위 수정(안)</t>
    <phoneticPr fontId="6" type="noConversion"/>
  </si>
  <si>
    <t>예산안</t>
    <phoneticPr fontId="2" type="noConversion"/>
  </si>
  <si>
    <t>상임위안</t>
    <phoneticPr fontId="2" type="noConversion"/>
  </si>
  <si>
    <t>예결위안</t>
    <phoneticPr fontId="2" type="noConversion"/>
  </si>
  <si>
    <t>이월안</t>
    <phoneticPr fontId="2" type="noConversion"/>
  </si>
  <si>
    <t>이월안</t>
    <phoneticPr fontId="2" type="noConversion"/>
  </si>
  <si>
    <t>추가</t>
    <phoneticPr fontId="2" type="noConversion"/>
  </si>
  <si>
    <t>추가</t>
    <phoneticPr fontId="2" type="noConversion"/>
  </si>
  <si>
    <t>증가분포함 전체 예산액 33,000천원 과목경정
(기타보상금 ⇒ 민간경상보조금)</t>
    <phoneticPr fontId="2" type="noConversion"/>
  </si>
  <si>
    <t>보육청소년담당관</t>
    <phoneticPr fontId="2" type="noConversion"/>
  </si>
  <si>
    <t>2014년도에는 교육수료로 전환하되, 향후 1년간 시행하여 동제도의 교육과정과 능력 검증 평가시스템을 전면 보완 후에 계속 시행 여부를 결정</t>
    <phoneticPr fontId="2" type="noConversion"/>
  </si>
  <si>
    <t>추가</t>
    <phoneticPr fontId="2" type="noConversion"/>
  </si>
  <si>
    <t>2014년도 경기도 일반회계 세입 예산 예결위 조정(안)</t>
    <phoneticPr fontId="6" type="noConversion"/>
  </si>
  <si>
    <t>2014년도 경기도 일반 및 특별회계 세입·세출 예산 수정안[전체 예산 총괄]</t>
    <phoneticPr fontId="6" type="noConversion"/>
  </si>
  <si>
    <t>2014년도 경기도 일반회계 세출 예산 예결위 조정(안)</t>
    <phoneticPr fontId="6" type="noConversion"/>
  </si>
  <si>
    <t>2014년도 경기도 기금운용계획안 예결위 조정(안)</t>
    <phoneticPr fontId="6" type="noConversion"/>
  </si>
  <si>
    <t>2014년도 경기도 기타특별회계 계획안 예결위 조정(안)</t>
    <phoneticPr fontId="6" type="noConversion"/>
  </si>
  <si>
    <t>2013년도 제2회 추경 경기도 일반회계 세입 예산 예결위 조정(안)</t>
    <phoneticPr fontId="6" type="noConversion"/>
  </si>
  <si>
    <t>2013년도 제2회 추경 경기도 일반회계 세출 예산 예결위 수정(안)</t>
    <phoneticPr fontId="6" type="noConversion"/>
  </si>
  <si>
    <t>2013년도 제2회 추경 경기도 명시이월 사업조서 예결위 조정(안)</t>
    <phoneticPr fontId="6" type="noConversion"/>
  </si>
  <si>
    <t>도농행복일자리교류사업단 운영</t>
    <phoneticPr fontId="6" type="noConversion"/>
  </si>
  <si>
    <t>지역거점병원 공공성강화</t>
    <phoneticPr fontId="2" type="noConversion"/>
  </si>
  <si>
    <t>재정보전금지원(자체/지원)
-시책추진보전금</t>
    <phoneticPr fontId="2" type="noConversion"/>
  </si>
  <si>
    <t>재정보전금지원(자체/지원)
-일반재정보전금</t>
    <phoneticPr fontId="2" type="noConversion"/>
  </si>
  <si>
    <t>우수농산물 학교급식 소비 지원(자체/지원)
=&gt; 친환경 우수농축산물 학교급식지원(자체/지원)</t>
    <phoneticPr fontId="2" type="noConversion"/>
  </si>
  <si>
    <t>예결위 수정
예산안
(마=가+라)</t>
    <phoneticPr fontId="6" type="noConversion"/>
  </si>
  <si>
    <t>2013년도 명시이월조서안</t>
    <phoneticPr fontId="6" type="noConversion"/>
  </si>
  <si>
    <t>예결위원회 계수조정 결과</t>
    <phoneticPr fontId="6" type="noConversion"/>
  </si>
  <si>
    <t>○ 국비(광특) 1,307백만원 이월에 따른 매칭도비 914백만원 이월  (집행시기 미도래/공사착공 연기)
  - 의왕 부곡스포츠센터 건립 : 1,020백만원(국600,도420)
  - 광주 종합운동장 건립 : 1,201백만원(국707,도494)
&lt; 문화체육관광부 체육진흥과 – 4951(2013.11.29.) &gt;</t>
    <phoneticPr fontId="2" type="noConversion"/>
  </si>
  <si>
    <t>○ 스마트 보안관리시스템 구축사업과 관련하여, 부서 정책 설명회  및 법률자문 등 면밀한 내부검토로 인한 조달청 사전공고  및 본공고등의 지연에 따른 계약체결 지연</t>
    <phoneticPr fontId="2" type="noConversion"/>
  </si>
  <si>
    <t>중소기업육성기금(운전자금)</t>
    <phoneticPr fontId="2" type="noConversion"/>
  </si>
  <si>
    <t>예탁금상환금</t>
    <phoneticPr fontId="2" type="noConversion"/>
  </si>
  <si>
    <t>경기행복학습마을 조성(자체/지원)</t>
    <phoneticPr fontId="2" type="noConversion"/>
  </si>
  <si>
    <t>정부지원 어린이집 교재교구비 지원(자체/지원)</t>
    <phoneticPr fontId="2" type="noConversion"/>
  </si>
  <si>
    <t>청소년 야영장 기능보강</t>
    <phoneticPr fontId="2" type="noConversion"/>
  </si>
  <si>
    <t>아동복지시설운영
 - 꿈나무아동종합상담소 운영</t>
    <phoneticPr fontId="2" type="noConversion"/>
  </si>
  <si>
    <t>외국인 복지지원센터 지원(자치단체이전)</t>
    <phoneticPr fontId="2" type="noConversion"/>
  </si>
  <si>
    <t>IT블렌디드 교육 운영(자체/직접)
-여성 IT 전문직업훈련</t>
    <phoneticPr fontId="2" type="noConversion"/>
  </si>
  <si>
    <t>하수도시설 확충(자체/지원)</t>
    <phoneticPr fontId="2" type="noConversion"/>
  </si>
  <si>
    <t>국도 43호선 죽전동 진입로 교통환경개선사업</t>
    <phoneticPr fontId="2" type="noConversion"/>
  </si>
  <si>
    <t>송내역 환승센터 건립(국비/지원)</t>
    <phoneticPr fontId="2" type="noConversion"/>
  </si>
  <si>
    <t>시외버스터미널 기능 보강</t>
    <phoneticPr fontId="2" type="noConversion"/>
  </si>
  <si>
    <t>경기도 대학생 기자단 운영(자체/직접)</t>
    <phoneticPr fontId="2" type="noConversion"/>
  </si>
  <si>
    <t>오산역 환승센터 건립(국비/지원)</t>
    <phoneticPr fontId="2" type="noConversion"/>
  </si>
  <si>
    <t>수원역 환승센터 건립(국비/지원)</t>
    <phoneticPr fontId="2" type="noConversion"/>
  </si>
  <si>
    <t>수도권교통본부 운영(자체/직접)
- 수도권교통본부 운영경비 부담금</t>
    <phoneticPr fontId="2" type="noConversion"/>
  </si>
  <si>
    <t>민간투자사업 운영비 지원(자체/직접)</t>
    <phoneticPr fontId="2" type="noConversion"/>
  </si>
  <si>
    <t>미원천 하천환경조성사업(국비/직접)
- 미원천 하천환경조성사업 (시설비)
- 미원천 하천환경조성사업 (감리비)
- 미원천 하천환경조성사업 (시설부대비)</t>
    <phoneticPr fontId="2" type="noConversion"/>
  </si>
  <si>
    <t>신천 하천환경조성사업(국비/직접)
- 신천 하천환경조성사업 (시설비)
- 신천 하천환경조성사업 (시설부대비)</t>
    <phoneticPr fontId="2" type="noConversion"/>
  </si>
  <si>
    <t>생태하천복원사업(광특/지원)</t>
    <phoneticPr fontId="2" type="noConversion"/>
  </si>
  <si>
    <t>도비</t>
    <phoneticPr fontId="2" type="noConversion"/>
  </si>
  <si>
    <t>경기도청소년수련시설협회 운영지원</t>
    <phoneticPr fontId="2" type="noConversion"/>
  </si>
  <si>
    <t>안산 창의인성센터 소외계층 지원(자체/지원)</t>
    <phoneticPr fontId="2" type="noConversion"/>
  </si>
  <si>
    <t>경기도형 평생학습 Gold Triangle 프로젝트(자체/지원)</t>
    <phoneticPr fontId="2" type="noConversion"/>
  </si>
  <si>
    <t>대안교육 지원</t>
    <phoneticPr fontId="2" type="noConversion"/>
  </si>
  <si>
    <t>작은도서관 운영 지원(자체/직접)
작은도서관 독서문화프로그램 지원</t>
    <phoneticPr fontId="2" type="noConversion"/>
  </si>
  <si>
    <t>물산업육성지원(자체/직접)
- 물산업 전문가 포럼 운영 (행사운영비)</t>
    <phoneticPr fontId="2" type="noConversion"/>
  </si>
  <si>
    <t>수질예측시스템 운영 및 관리(자체/직접)</t>
    <phoneticPr fontId="2" type="noConversion"/>
  </si>
  <si>
    <t>저소득층 옥내급수관 개량 지원(자체/지원)</t>
    <phoneticPr fontId="2" type="noConversion"/>
  </si>
  <si>
    <t>물산업육성지원(자체/직접)
- 도내 물산업체 해외진출사업 지원 (행사운영비)</t>
    <phoneticPr fontId="2" type="noConversion"/>
  </si>
  <si>
    <t>물산업육성지원(자체/직접)
- 물산업 전문인력 양성을 위한 교육‧훈련사업 (행사운영비)</t>
    <phoneticPr fontId="2" type="noConversion"/>
  </si>
  <si>
    <t>2014 경기정원문화 박람회 개최지원(자체/직접)</t>
    <phoneticPr fontId="2" type="noConversion"/>
  </si>
  <si>
    <t>연인산도립공원 조성(지방채/직접)</t>
    <phoneticPr fontId="2" type="noConversion"/>
  </si>
  <si>
    <t>도시공원 조성지원(자체/지원)</t>
    <phoneticPr fontId="2" type="noConversion"/>
  </si>
  <si>
    <t>그린캠퍼스 운영지원(자체/직접)</t>
    <phoneticPr fontId="2" type="noConversion"/>
  </si>
  <si>
    <t>녹색환경지원센터 지원(자체/직접)
- 녹색환경지원센터 지원(3개소,국가직접지원)</t>
    <phoneticPr fontId="2" type="noConversion"/>
  </si>
  <si>
    <t>생활환경복지 마을 조성(자체/지원)</t>
    <phoneticPr fontId="2" type="noConversion"/>
  </si>
  <si>
    <t>국비</t>
    <phoneticPr fontId="2" type="noConversion"/>
  </si>
  <si>
    <t>초록마을대학 운영(자체/직접)</t>
    <phoneticPr fontId="2" type="noConversion"/>
  </si>
  <si>
    <t>생물다양성 네트워크 구축(자체/직접)</t>
    <phoneticPr fontId="2" type="noConversion"/>
  </si>
  <si>
    <t>생태면적율지침 수립 및 도입방안 마련 연구용역(자체/직접)</t>
    <phoneticPr fontId="2" type="noConversion"/>
  </si>
  <si>
    <t>사회복지관기능보강(분권/지원)</t>
    <phoneticPr fontId="2" type="noConversion"/>
  </si>
  <si>
    <t>노인일자리 활성화(분권/지원)
 - 시니어클럽 운영</t>
    <phoneticPr fontId="2" type="noConversion"/>
  </si>
  <si>
    <t>장애인단체 육성 및 지원(자체/직접)
- 재활프로그램 평가발표회</t>
    <phoneticPr fontId="2" type="noConversion"/>
  </si>
  <si>
    <t>헌혈활동장려지원(자체/직접)</t>
    <phoneticPr fontId="2" type="noConversion"/>
  </si>
  <si>
    <t>미래 첨단기술의 농업적 응용연구(자체/직접)
-자동화 식물생산시스템 시험재료</t>
    <phoneticPr fontId="2" type="noConversion"/>
  </si>
  <si>
    <t>재난관리업무 역량강화(자체/직접)
- 경기도자율방재단연합회 운영지원 (기타보상금)</t>
    <phoneticPr fontId="2" type="noConversion"/>
  </si>
  <si>
    <t>정보문화 육성 추진(자체/직접)</t>
    <phoneticPr fontId="2" type="noConversion"/>
  </si>
  <si>
    <t>간부공무원 역량평가(자체/직접)</t>
    <phoneticPr fontId="2" type="noConversion"/>
  </si>
  <si>
    <t>데이터 개방, 분석, 활용 기반 구축(자체/직접)
- 데이터 개방, 분석, 활용기반구축(시설비)</t>
    <phoneticPr fontId="2" type="noConversion"/>
  </si>
  <si>
    <t>재정보전금지원(자체/지원)
-특별재정보전금</t>
    <phoneticPr fontId="2" type="noConversion"/>
  </si>
  <si>
    <t>상생발전기금</t>
    <phoneticPr fontId="2" type="noConversion"/>
  </si>
  <si>
    <t>예비비</t>
    <phoneticPr fontId="2" type="noConversion"/>
  </si>
  <si>
    <t>한미협력사업</t>
    <phoneticPr fontId="2" type="noConversion"/>
  </si>
  <si>
    <t>경기도 경제단체연합회 지원(자체/직접)
- 경기도 경제단체연합회 지원</t>
    <phoneticPr fontId="2" type="noConversion"/>
  </si>
  <si>
    <t>소상공인 지원(자체/직접)</t>
    <phoneticPr fontId="2" type="noConversion"/>
  </si>
  <si>
    <r>
      <t>공예품대전 행사개최 및  우수공예품 판로지원(자체/직접)
-경기도 공예품 대전 행사비(민간경상보조)</t>
    </r>
    <r>
      <rPr>
        <b/>
        <sz val="10"/>
        <color rgb="FFFF0000"/>
        <rFont val="맑은 고딕"/>
        <family val="3"/>
        <charset val="129"/>
        <scheme val="minor"/>
      </rPr>
      <t/>
    </r>
    <phoneticPr fontId="2" type="noConversion"/>
  </si>
  <si>
    <t>공예품대전 행사개최 및  우수공예품 판로지원(자체/직접)
- 우수공예품 전시판매대회 참가 지원(민간행사보조)</t>
    <phoneticPr fontId="2" type="noConversion"/>
  </si>
  <si>
    <t>제19회 경기도에너지 웅변대회(자체/직접)</t>
    <phoneticPr fontId="2" type="noConversion"/>
  </si>
  <si>
    <r>
      <t xml:space="preserve">경기테크노파크 운영지원(자체/직접)
</t>
    </r>
    <r>
      <rPr>
        <b/>
        <sz val="10"/>
        <color rgb="FFFF0000"/>
        <rFont val="맑은 고딕"/>
        <family val="3"/>
        <charset val="129"/>
        <scheme val="minor"/>
      </rPr>
      <t>(과목경정)</t>
    </r>
    <phoneticPr fontId="2" type="noConversion"/>
  </si>
  <si>
    <t>경기과학정책연구사업지원</t>
    <phoneticPr fontId="2" type="noConversion"/>
  </si>
  <si>
    <t>경기 기능성 천연물산업 육성 지원(자체/직접)</t>
    <phoneticPr fontId="2" type="noConversion"/>
  </si>
  <si>
    <t>텍사스주립대 기술상용화프로그램운영(자체/직접)</t>
    <phoneticPr fontId="2" type="noConversion"/>
  </si>
  <si>
    <t>노동단체지원(북부)(자체/직접)
- 노동단체 건전활동 지원</t>
    <phoneticPr fontId="2" type="noConversion"/>
  </si>
  <si>
    <t>자원봉사 활성화 기반구축(자체/직접)
- 경기도자원봉사센터 지원 (민간위탁금)</t>
    <phoneticPr fontId="2" type="noConversion"/>
  </si>
  <si>
    <t>일제강점기 여자근로정신대 피해자 지원</t>
    <phoneticPr fontId="2" type="noConversion"/>
  </si>
  <si>
    <r>
      <t xml:space="preserve">도정운영 활성화 추진(자체/직접)
- 지역안정대책업무추진 (시책추진업무추진비)
</t>
    </r>
    <r>
      <rPr>
        <b/>
        <sz val="10"/>
        <color rgb="FFFF0000"/>
        <rFont val="맑은 고딕"/>
        <family val="3"/>
        <charset val="129"/>
        <scheme val="minor"/>
      </rPr>
      <t>(과목경정)</t>
    </r>
    <r>
      <rPr>
        <b/>
        <sz val="10"/>
        <color theme="1"/>
        <rFont val="맑은 고딕"/>
        <family val="3"/>
        <charset val="129"/>
        <scheme val="minor"/>
      </rPr>
      <t xml:space="preserve"> : 부기명 변경
 ⇒ 지역상생협력 업무추진</t>
    </r>
    <phoneticPr fontId="2" type="noConversion"/>
  </si>
  <si>
    <r>
      <t xml:space="preserve">도정운영 활성화 추진(자체/직접)
- 민생질서 확립대책 업무추진 (시책추진업무추진비)
</t>
    </r>
    <r>
      <rPr>
        <b/>
        <sz val="10"/>
        <color rgb="FFFF0000"/>
        <rFont val="맑은 고딕"/>
        <family val="3"/>
        <charset val="129"/>
        <scheme val="minor"/>
      </rPr>
      <t>(과목경정)</t>
    </r>
    <r>
      <rPr>
        <b/>
        <sz val="10"/>
        <color theme="1"/>
        <rFont val="맑은 고딕"/>
        <family val="3"/>
        <charset val="129"/>
        <scheme val="minor"/>
      </rPr>
      <t xml:space="preserve"> : 부기명 변경
 ⇒ 도정발전소통 업무추진</t>
    </r>
    <phoneticPr fontId="2" type="noConversion"/>
  </si>
  <si>
    <t>노사체육대회</t>
    <phoneticPr fontId="2" type="noConversion"/>
  </si>
  <si>
    <t>소방청사 보강 및 직원복지 시설확충</t>
    <phoneticPr fontId="2" type="noConversion"/>
  </si>
  <si>
    <t>소방학교장 업무추진비</t>
    <phoneticPr fontId="2" type="noConversion"/>
  </si>
  <si>
    <t>경기문화재단 운영(자체/직접)</t>
    <phoneticPr fontId="2" type="noConversion"/>
  </si>
  <si>
    <t>생활체육지도자 배치(기금/직접)
-도 생활체육지도자 배치</t>
    <phoneticPr fontId="2" type="noConversion"/>
  </si>
  <si>
    <t>기금</t>
    <phoneticPr fontId="2" type="noConversion"/>
  </si>
  <si>
    <t>2014 전국체전 강화훈련 장비(기자재) 지원</t>
    <phoneticPr fontId="2" type="noConversion"/>
  </si>
  <si>
    <t>레저스포츠시설지원(광특/지원)</t>
    <phoneticPr fontId="2" type="noConversion"/>
  </si>
  <si>
    <r>
      <t xml:space="preserve">남한산성 국가지정 문화재 보수정비(국비/직접)
</t>
    </r>
    <r>
      <rPr>
        <b/>
        <sz val="10"/>
        <color rgb="FFFF0000"/>
        <rFont val="맑은 고딕"/>
        <family val="3"/>
        <charset val="129"/>
        <scheme val="minor"/>
      </rPr>
      <t>(과목변경)</t>
    </r>
    <r>
      <rPr>
        <sz val="10"/>
        <color theme="1"/>
        <rFont val="맑은 고딕"/>
        <family val="2"/>
        <charset val="129"/>
        <scheme val="minor"/>
      </rPr>
      <t xml:space="preserve">
민간위탁금 ⇒ 민간대행사업</t>
    </r>
    <phoneticPr fontId="2" type="noConversion"/>
  </si>
  <si>
    <r>
      <t xml:space="preserve">남한산성 문화재 보존관리(자체/직접)
- 남한산성 복원정비
</t>
    </r>
    <r>
      <rPr>
        <b/>
        <sz val="10"/>
        <color rgb="FFFF0000"/>
        <rFont val="맑은 고딕"/>
        <family val="3"/>
        <charset val="129"/>
        <scheme val="minor"/>
      </rPr>
      <t>(과목변경)</t>
    </r>
    <r>
      <rPr>
        <sz val="10"/>
        <color theme="1"/>
        <rFont val="맑은 고딕"/>
        <family val="2"/>
        <charset val="129"/>
        <scheme val="minor"/>
      </rPr>
      <t xml:space="preserve">
민간위탁금 ⇒ 민간대행사업</t>
    </r>
    <phoneticPr fontId="2" type="noConversion"/>
  </si>
  <si>
    <r>
      <t>남한산성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문화재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보존관리</t>
    </r>
    <r>
      <rPr>
        <sz val="10"/>
        <color theme="1"/>
        <rFont val="맑은 고딕"/>
        <family val="3"/>
        <charset val="129"/>
        <scheme val="minor"/>
      </rPr>
      <t>(</t>
    </r>
    <r>
      <rPr>
        <sz val="10"/>
        <color theme="1"/>
        <rFont val="맑은 고딕"/>
        <family val="2"/>
        <charset val="129"/>
        <scheme val="minor"/>
      </rPr>
      <t>자체</t>
    </r>
    <r>
      <rPr>
        <sz val="10"/>
        <color theme="1"/>
        <rFont val="맑은 고딕"/>
        <family val="3"/>
        <charset val="129"/>
        <scheme val="minor"/>
      </rPr>
      <t>/</t>
    </r>
    <r>
      <rPr>
        <sz val="10"/>
        <color theme="1"/>
        <rFont val="맑은 고딕"/>
        <family val="2"/>
        <charset val="129"/>
        <scheme val="minor"/>
      </rPr>
      <t>직접</t>
    </r>
    <r>
      <rPr>
        <sz val="10"/>
        <color theme="1"/>
        <rFont val="맑은 고딕"/>
        <family val="3"/>
        <charset val="129"/>
        <scheme val="minor"/>
      </rPr>
      <t xml:space="preserve">)
- </t>
    </r>
    <r>
      <rPr>
        <sz val="10"/>
        <color theme="1"/>
        <rFont val="맑은 고딕"/>
        <family val="2"/>
        <charset val="129"/>
        <scheme val="minor"/>
      </rPr>
      <t>남한산성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도지정문화재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>방재시스템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구축
</t>
    </r>
    <r>
      <rPr>
        <b/>
        <sz val="10"/>
        <color rgb="FFFF0000"/>
        <rFont val="맑은 고딕"/>
        <family val="3"/>
        <charset val="129"/>
        <scheme val="minor"/>
      </rPr>
      <t>(과목변경)</t>
    </r>
    <r>
      <rPr>
        <sz val="10"/>
        <color theme="1"/>
        <rFont val="맑은 고딕"/>
        <family val="2"/>
        <charset val="129"/>
        <scheme val="minor"/>
      </rPr>
      <t xml:space="preserve">
민간위탁금 ⇒ 민간대행사업</t>
    </r>
    <phoneticPr fontId="2" type="noConversion"/>
  </si>
  <si>
    <t>도지정 문화재 보수정비(자체/지원)
- 도지정 문화재 보수정비</t>
    <phoneticPr fontId="2" type="noConversion"/>
  </si>
  <si>
    <t>생생문화재(국비/지원)
- 살아숨쉬는 서원향교 활용</t>
    <phoneticPr fontId="2" type="noConversion"/>
  </si>
  <si>
    <t>살아숨쉬는 서원향교 활용(국비/지원)</t>
    <phoneticPr fontId="2" type="noConversion"/>
  </si>
  <si>
    <t>다양성영화 산업육성(자체/직접)</t>
    <phoneticPr fontId="2" type="noConversion"/>
  </si>
  <si>
    <t>경기국제인형극제</t>
    <phoneticPr fontId="2" type="noConversion"/>
  </si>
  <si>
    <t>경기관광공사 운영</t>
    <phoneticPr fontId="2" type="noConversion"/>
  </si>
  <si>
    <t>출연금</t>
    <phoneticPr fontId="2" type="noConversion"/>
  </si>
  <si>
    <t>다국어 관광안내지도 제작(기금/지원)</t>
    <phoneticPr fontId="2" type="noConversion"/>
  </si>
  <si>
    <t>관광안내표지판 신설 및 개보수(기금/지원)</t>
    <phoneticPr fontId="2" type="noConversion"/>
  </si>
  <si>
    <r>
      <t>미곡</t>
    </r>
    <r>
      <rPr>
        <sz val="10"/>
        <color rgb="FFFF0000"/>
        <rFont val="맑은 고딕"/>
        <family val="3"/>
        <charset val="129"/>
        <scheme val="minor"/>
      </rPr>
      <t>종합</t>
    </r>
    <r>
      <rPr>
        <sz val="10"/>
        <rFont val="맑은 고딕"/>
        <family val="3"/>
        <charset val="129"/>
        <scheme val="minor"/>
      </rPr>
      <t xml:space="preserve">처리장 GAP 인증시설 </t>
    </r>
    <phoneticPr fontId="2" type="noConversion"/>
  </si>
  <si>
    <t>친환경농산물유통센터 운영관리(자체/직접)
- 지게차 (자산및물품취득비)</t>
    <phoneticPr fontId="2" type="noConversion"/>
  </si>
  <si>
    <t>경기농림진흥재단 지원(자체/직접)
- 경기농림재단 출연</t>
    <phoneticPr fontId="2" type="noConversion"/>
  </si>
  <si>
    <t>보행관리기 보급(저체/지원)</t>
    <phoneticPr fontId="2" type="noConversion"/>
  </si>
  <si>
    <t>경기도-카타르 식물공장 협력사업(자체/직접)</t>
    <phoneticPr fontId="2" type="noConversion"/>
  </si>
  <si>
    <t>화물유지 인센티브(자체/직접)</t>
    <phoneticPr fontId="2" type="noConversion"/>
  </si>
  <si>
    <t>해양아카데미</t>
    <phoneticPr fontId="2" type="noConversion"/>
  </si>
  <si>
    <t>평택 홍보 운영(자체/직접)</t>
    <phoneticPr fontId="2" type="noConversion"/>
  </si>
  <si>
    <t>마필산업 육성(자체/지원)
- 찾아가는 승마교실</t>
    <phoneticPr fontId="2" type="noConversion"/>
  </si>
  <si>
    <t>마필산업 육성(자체/지원)
- 승마장 육성지원</t>
    <phoneticPr fontId="2" type="noConversion"/>
  </si>
  <si>
    <r>
      <t>G마크 우수축산물 생산공급 지원(자체/지원)
=&gt;친환경 우수농</t>
    </r>
    <r>
      <rPr>
        <sz val="10"/>
        <color rgb="FFFF0000"/>
        <rFont val="맑은 고딕"/>
        <family val="3"/>
        <charset val="129"/>
        <scheme val="minor"/>
      </rPr>
      <t>축</t>
    </r>
    <r>
      <rPr>
        <sz val="10"/>
        <color theme="1"/>
        <rFont val="맑은 고딕"/>
        <family val="2"/>
        <charset val="129"/>
        <scheme val="minor"/>
      </rPr>
      <t>산물 학교급식지원(자체/지원)</t>
    </r>
    <phoneticPr fontId="2" type="noConversion"/>
  </si>
  <si>
    <r>
      <t>광역유기동물보호시설설치지원</t>
    </r>
    <r>
      <rPr>
        <sz val="10"/>
        <rFont val="맑은 고딕"/>
        <family val="3"/>
        <charset val="129"/>
        <scheme val="minor"/>
      </rPr>
      <t>(자체/직접)
- 시설비</t>
    </r>
    <phoneticPr fontId="2" type="noConversion"/>
  </si>
  <si>
    <t>사회단체 활성화 지원(자체/직접)
- 경기도사회복지사의날 기념식</t>
    <phoneticPr fontId="2" type="noConversion"/>
  </si>
  <si>
    <t>여성결혼이민자 건강검진사업(자체/직접)</t>
    <phoneticPr fontId="2" type="noConversion"/>
  </si>
  <si>
    <t>장애인 구강진료센터 설치운영(국비/직접)</t>
    <phoneticPr fontId="2" type="noConversion"/>
  </si>
  <si>
    <t>취약계층 중장년 건강지원 사업(자체/직접)</t>
    <phoneticPr fontId="2" type="noConversion"/>
  </si>
  <si>
    <r>
      <t xml:space="preserve">사회복지시설 및 보훈대상자 지원(자체/직접)
 - 6.25전쟁 63주년 기념 행사
</t>
    </r>
    <r>
      <rPr>
        <b/>
        <sz val="10"/>
        <color rgb="FFFF0000"/>
        <rFont val="맑은 고딕"/>
        <family val="3"/>
        <charset val="129"/>
        <scheme val="minor"/>
      </rPr>
      <t>(과목경정) : 부기명
63주년 ⇒ 64주년</t>
    </r>
    <phoneticPr fontId="2" type="noConversion"/>
  </si>
  <si>
    <t>의료기금전출금</t>
    <phoneticPr fontId="2" type="noConversion"/>
  </si>
  <si>
    <t>추가</t>
    <phoneticPr fontId="2" type="noConversion"/>
  </si>
  <si>
    <t>반월특수지역주변 미래창조단지 조성방안 연구추진(자체/직접)
- 반월특수지역내 미래창조단지 조성방안연구</t>
    <phoneticPr fontId="2" type="noConversion"/>
  </si>
  <si>
    <t>일반 전화선 14회선 채권반납</t>
    <phoneticPr fontId="6" type="noConversion"/>
  </si>
  <si>
    <t>문화체육관광부 관광산업과-4039(2013.12.2)</t>
    <phoneticPr fontId="6" type="noConversion"/>
  </si>
  <si>
    <t>문화체육관광부 체육진흥과-4037(2013.10.1.),-5087(2013.12.10.)호</t>
    <phoneticPr fontId="6" type="noConversion"/>
  </si>
  <si>
    <t>국비</t>
    <phoneticPr fontId="6" type="noConversion"/>
  </si>
  <si>
    <t>1회추경
61</t>
    <phoneticPr fontId="6" type="noConversion"/>
  </si>
  <si>
    <t>농림축산식품부 농가소득안정추진단-2418(2013.11.21)</t>
    <phoneticPr fontId="6" type="noConversion"/>
  </si>
  <si>
    <t>농지보전부담금 수수료 수납액 증가에 따른 세입예산 반영</t>
    <phoneticPr fontId="6" type="noConversion"/>
  </si>
  <si>
    <t>도비</t>
    <phoneticPr fontId="6" type="noConversion"/>
  </si>
  <si>
    <t>본예산
52</t>
    <phoneticPr fontId="6" type="noConversion"/>
  </si>
  <si>
    <t>농림축산식품부 친환경농업과-3276(2013.12.9)</t>
    <phoneticPr fontId="6" type="noConversion"/>
  </si>
  <si>
    <t>농림축산식품부 친환경농업과-3070(2013.11.27)</t>
    <phoneticPr fontId="6" type="noConversion"/>
  </si>
  <si>
    <t>신규</t>
    <phoneticPr fontId="6" type="noConversion"/>
  </si>
  <si>
    <t>농림축산식품부 축산경영과-4596(2013.12.12)</t>
    <phoneticPr fontId="6" type="noConversion"/>
  </si>
  <si>
    <t>농림축산식품부 축산경영과-
4596(2013.12.12)</t>
    <phoneticPr fontId="6" type="noConversion"/>
  </si>
  <si>
    <t>본예산
61</t>
    <phoneticPr fontId="6" type="noConversion"/>
  </si>
  <si>
    <t>국비(10억원) 미교부</t>
    <phoneticPr fontId="6" type="noConversion"/>
  </si>
  <si>
    <t>국비 변경내시
※ 보건복지부 요양보험운영과(2013.12.10)호</t>
    <phoneticPr fontId="6" type="noConversion"/>
  </si>
  <si>
    <t>국비 변경내시
※ 보건복지부 출산정책과-3676(2013.12.10)호</t>
    <phoneticPr fontId="6" type="noConversion"/>
  </si>
  <si>
    <t>1회추경
55</t>
    <phoneticPr fontId="6" type="noConversion"/>
  </si>
  <si>
    <t>보건정책과 국비사용잔액 이자
※ 보건복지부응급의료과 -3331(2013.10.11.)호</t>
    <phoneticPr fontId="6" type="noConversion"/>
  </si>
  <si>
    <t>1회추경
70</t>
    <phoneticPr fontId="6" type="noConversion"/>
  </si>
  <si>
    <t>국비변경내시
※ 보건복지부 응급의료과-4112(2013.11.17)호</t>
    <phoneticPr fontId="6" type="noConversion"/>
  </si>
  <si>
    <t>보건정책과 국비사용잔액 등(12년이전 사업)</t>
    <phoneticPr fontId="6" type="noConversion"/>
  </si>
  <si>
    <t>응급의료기관지원발전프로그램(국비감액사업)</t>
    <phoneticPr fontId="6" type="noConversion"/>
  </si>
  <si>
    <t>1회추경
68</t>
    <phoneticPr fontId="6" type="noConversion"/>
  </si>
  <si>
    <t>본예산
60</t>
    <phoneticPr fontId="6" type="noConversion"/>
  </si>
  <si>
    <t>본예산
56</t>
    <phoneticPr fontId="6" type="noConversion"/>
  </si>
  <si>
    <t>본예산
62</t>
    <phoneticPr fontId="6" type="noConversion"/>
  </si>
  <si>
    <t>운동장 생활체육 시설지원(기금/지원)</t>
    <phoneticPr fontId="2" type="noConversion"/>
  </si>
  <si>
    <t>본예산
224</t>
    <phoneticPr fontId="2" type="noConversion"/>
  </si>
  <si>
    <t>밭농업직불제(국비/지원)</t>
    <phoneticPr fontId="2" type="noConversion"/>
  </si>
  <si>
    <t>본예산
223</t>
    <phoneticPr fontId="2" type="noConversion"/>
  </si>
  <si>
    <t>친환경농업직접지불(국비/지원)</t>
    <phoneticPr fontId="2" type="noConversion"/>
  </si>
  <si>
    <t>녹비작물종자대 지원(국비/지원)</t>
    <phoneticPr fontId="2" type="noConversion"/>
  </si>
  <si>
    <t>국도비</t>
    <phoneticPr fontId="2" type="noConversion"/>
  </si>
  <si>
    <t>신규</t>
    <phoneticPr fontId="2" type="noConversion"/>
  </si>
  <si>
    <t>한우 FTA 피해보전 직불금(국비/지원)
  - 한우 FTA 피해보전 직불금</t>
    <phoneticPr fontId="2" type="noConversion"/>
  </si>
  <si>
    <t>한우 FTA 폐업지원금(국비/지원)
  - 한우 FTA 폐업지원금</t>
    <phoneticPr fontId="2" type="noConversion"/>
  </si>
  <si>
    <t>1회추경
337</t>
    <phoneticPr fontId="2" type="noConversion"/>
  </si>
  <si>
    <t>지역곤충자원산업화 지원센터 건립(국비/직접)</t>
    <phoneticPr fontId="2" type="noConversion"/>
  </si>
  <si>
    <t>노인생활시설기능보강(국비/지원)
- 노인요양시설기능보강 (자치단체자본보조)</t>
    <phoneticPr fontId="2" type="noConversion"/>
  </si>
  <si>
    <t>반환금기타
 - 국비사용잔액</t>
    <phoneticPr fontId="2" type="noConversion"/>
  </si>
  <si>
    <t>영유아 사전예방적 건강관리(기금/지원)
 - 미숙아 및 선청성 이상아 의료비 지원</t>
    <phoneticPr fontId="2" type="noConversion"/>
  </si>
  <si>
    <t>1회추경
209</t>
    <phoneticPr fontId="2" type="noConversion"/>
  </si>
  <si>
    <t>소아전용응급실 운영지원(기금/직접)</t>
    <phoneticPr fontId="2" type="noConversion"/>
  </si>
  <si>
    <t>1회추경
495</t>
    <phoneticPr fontId="2" type="noConversion"/>
  </si>
  <si>
    <t>노인생활시설기능보강(국비/지원)
- 노인요양시설 기능보강 (자치단체자본보조)</t>
    <phoneticPr fontId="2" type="noConversion"/>
  </si>
  <si>
    <t>본예산
538</t>
    <phoneticPr fontId="2" type="noConversion"/>
  </si>
  <si>
    <t>인력운영비
- 인건비 (무기계약근로자)
- 조리사 - 시간외수당</t>
    <phoneticPr fontId="2" type="noConversion"/>
  </si>
  <si>
    <t>인력운영비
- 인건비 (무기계약근로자)
- 무기계약근로자퇴직금</t>
    <phoneticPr fontId="2" type="noConversion"/>
  </si>
  <si>
    <t>1회추경
370</t>
    <phoneticPr fontId="2" type="noConversion"/>
  </si>
  <si>
    <t>안산농산물 정밀검사(자체/직접)
- 액체크로마토그래피질량분석기 (자산및물품취득비)</t>
    <phoneticPr fontId="2" type="noConversion"/>
  </si>
  <si>
    <t>택시 디지털운행기록장치 설치지원(국비/지원)</t>
    <phoneticPr fontId="2" type="noConversion"/>
  </si>
  <si>
    <t>1회추경
594</t>
    <phoneticPr fontId="2" type="noConversion"/>
  </si>
  <si>
    <t>덕양~용미 국지도건설(광특/직접)
- 덕양-용미 도로확포장 (시설비)</t>
    <phoneticPr fontId="2" type="noConversion"/>
  </si>
  <si>
    <t>초지대교~인천 국지도건설(광특/직접)
- 초지대교~인천 도로확포장 (시설비)</t>
    <phoneticPr fontId="2" type="noConversion"/>
  </si>
  <si>
    <t>본예산
982</t>
    <phoneticPr fontId="2" type="noConversion"/>
  </si>
  <si>
    <t>국가 자전거도로 구축사업(국비/지원)</t>
    <phoneticPr fontId="2" type="noConversion"/>
  </si>
  <si>
    <t>본예산
325</t>
    <phoneticPr fontId="2" type="noConversion"/>
  </si>
  <si>
    <t>유기성폐자원바이오가스화시설 설치(국비/지원)</t>
    <phoneticPr fontId="2" type="noConversion"/>
  </si>
  <si>
    <t>하수처리장확충(국비/지원)</t>
    <phoneticPr fontId="2" type="noConversion"/>
  </si>
  <si>
    <t>본예산
339</t>
    <phoneticPr fontId="2" type="noConversion"/>
  </si>
  <si>
    <t>하수처리장융자금원리금상환(국비/지원)</t>
    <phoneticPr fontId="2" type="noConversion"/>
  </si>
  <si>
    <t>하수관거정비(국비/지원)</t>
    <phoneticPr fontId="2" type="noConversion"/>
  </si>
  <si>
    <t>고도정수처리시설 시범사업(광특/지원)</t>
    <phoneticPr fontId="2" type="noConversion"/>
  </si>
  <si>
    <t>하수관거정비BTL사업임대료지급(국비/지원)</t>
    <phoneticPr fontId="2" type="noConversion"/>
  </si>
  <si>
    <t>영유아보육료(국비/지원)</t>
    <phoneticPr fontId="2" type="noConversion"/>
  </si>
  <si>
    <t>보육정책과</t>
    <phoneticPr fontId="2" type="noConversion"/>
  </si>
  <si>
    <t>수질총량과</t>
    <phoneticPr fontId="2" type="noConversion"/>
  </si>
  <si>
    <t>환경성질환 예방관리센터 건립(국비/지원)</t>
    <phoneticPr fontId="2" type="noConversion"/>
  </si>
  <si>
    <t>수질관리과</t>
    <phoneticPr fontId="2" type="noConversion"/>
  </si>
  <si>
    <t>시군부담
결식아동, 급식비 인상분
(사업명변경)
결식아동 187억 별도</t>
    <phoneticPr fontId="2" type="noConversion"/>
  </si>
  <si>
    <t>2014년 추경에 150억 반영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</si>
</sst>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-* #,##0_-;\-* #,##0_-;_-* &quot;-&quot;_-;_-@_-"/>
    <numFmt numFmtId="43" formatCode="_-* #,##0.00_-;\-* #,##0.00_-;_-* &quot;-&quot;??_-;_-@_-"/>
    <numFmt numFmtId="176" formatCode="#,##0;\△#,##0"/>
    <numFmt numFmtId="177" formatCode="#,##0;[Red]&quot;△&quot;#,##0"/>
    <numFmt numFmtId="178" formatCode="#,##0_ "/>
    <numFmt numFmtId="179" formatCode="#,##0\ ;[Red]&quot;△&quot;#,##0\ "/>
    <numFmt numFmtId="180" formatCode="_ * #,##0_ ;_ * \-#,##0_ ;_ * &quot;-&quot;_ ;_ @_ "/>
    <numFmt numFmtId="181" formatCode="#,##0.00&quot;₩&quot;\!\ &quot;F&quot;;[Red]&quot;₩&quot;\!\-#,##0.00&quot;₩&quot;\!\ &quot;F&quot;"/>
    <numFmt numFmtId="182" formatCode="&quot;?#,##0;\-&quot;&quot;?&quot;#,##0"/>
    <numFmt numFmtId="183" formatCode="&quot;?#,##0.00;\-&quot;&quot;?&quot;#,##0.00"/>
    <numFmt numFmtId="184" formatCode="&quot;RM&quot;#,##0.00_);[Red]&quot;₩&quot;\!\(&quot;RM&quot;#,##0.00&quot;₩&quot;\!\)"/>
    <numFmt numFmtId="185" formatCode="#,##0;&quot;△&quot;#,##0"/>
    <numFmt numFmtId="186" formatCode="#,##0\ ;&quot;△&quot;#,##0\ "/>
    <numFmt numFmtId="187" formatCode="0.000"/>
    <numFmt numFmtId="188" formatCode="#,##0.0\ ;[Red]&quot;△&quot;#,##0.0\ "/>
    <numFmt numFmtId="189" formatCode="#,##0;[Red]\△#,##0"/>
  </numFmts>
  <fonts count="1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0"/>
      <color theme="8" tint="-0.24997711111789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 tint="-0.499984740745262"/>
      <name val="맑은 고딕"/>
      <family val="3"/>
      <charset val="129"/>
      <scheme val="minor"/>
    </font>
    <font>
      <b/>
      <sz val="10"/>
      <color theme="0" tint="-0.499984740745262"/>
      <name val="맑은 고딕"/>
      <family val="3"/>
      <charset val="129"/>
      <scheme val="minor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indexed="8"/>
      <name val="돋움"/>
      <family val="3"/>
      <charset val="129"/>
    </font>
    <font>
      <sz val="11"/>
      <name val="굴림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8"/>
      <name val="굴림"/>
      <family val="3"/>
      <charset val="129"/>
    </font>
    <font>
      <b/>
      <sz val="17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color rgb="FF1D02BE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1D02BE"/>
      <name val="맑은 고딕"/>
      <family val="3"/>
      <charset val="129"/>
      <scheme val="minor"/>
    </font>
    <font>
      <b/>
      <sz val="9"/>
      <color rgb="FF1D02BE"/>
      <name val="맑은 고딕"/>
      <family val="3"/>
      <charset val="129"/>
      <scheme val="minor"/>
    </font>
    <font>
      <b/>
      <sz val="9"/>
      <color theme="1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rgb="FF0000CC"/>
      <name val="돋움"/>
      <family val="3"/>
      <charset val="129"/>
    </font>
    <font>
      <sz val="9"/>
      <color rgb="FFFF000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sz val="9"/>
      <name val="굴림체"/>
      <family val="3"/>
      <charset val="129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1"/>
      <color theme="0"/>
      <name val="굴림"/>
      <family val="3"/>
      <charset val="129"/>
    </font>
    <font>
      <b/>
      <sz val="10"/>
      <color theme="0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36"/>
      <name val="돋움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CC"/>
        <bgColor indexed="64"/>
      </patternFill>
    </fill>
  </fills>
  <borders count="5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7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3" borderId="6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22" borderId="13" applyNumberFormat="0" applyAlignment="0" applyProtection="0">
      <alignment vertical="center"/>
    </xf>
    <xf numFmtId="0" fontId="47" fillId="0" borderId="0"/>
    <xf numFmtId="41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184" fontId="13" fillId="0" borderId="0" applyFont="0" applyFill="0" applyBorder="0" applyAlignment="0" applyProtection="0"/>
    <xf numFmtId="38" fontId="50" fillId="22" borderId="0" applyNumberFormat="0" applyBorder="0" applyAlignment="0" applyProtection="0"/>
    <xf numFmtId="0" fontId="51" fillId="0" borderId="22" applyNumberFormat="0" applyAlignment="0" applyProtection="0">
      <alignment horizontal="left" vertical="center"/>
    </xf>
    <xf numFmtId="0" fontId="51" fillId="0" borderId="21">
      <alignment horizontal="left" vertical="center"/>
    </xf>
    <xf numFmtId="10" fontId="50" fillId="23" borderId="14" applyNumberFormat="0" applyBorder="0" applyAlignment="0" applyProtection="0"/>
    <xf numFmtId="184" fontId="13" fillId="0" borderId="0"/>
    <xf numFmtId="0" fontId="52" fillId="0" borderId="0"/>
    <xf numFmtId="10" fontId="52" fillId="0" borderId="0" applyFont="0" applyFill="0" applyBorder="0" applyAlignment="0" applyProtection="0"/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8" borderId="0" applyNumberFormat="0" applyBorder="0" applyAlignment="0" applyProtection="0">
      <alignment vertical="center"/>
    </xf>
    <xf numFmtId="0" fontId="15" fillId="4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9" borderId="5" applyNumberFormat="0" applyAlignment="0" applyProtection="0">
      <alignment vertical="center"/>
    </xf>
    <xf numFmtId="0" fontId="17" fillId="49" borderId="5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3" fillId="50" borderId="6" applyNumberFormat="0" applyFont="0" applyAlignment="0" applyProtection="0">
      <alignment vertical="center"/>
    </xf>
    <xf numFmtId="0" fontId="13" fillId="50" borderId="6" applyNumberFormat="0" applyFont="0" applyAlignment="0" applyProtection="0">
      <alignment vertical="center"/>
    </xf>
    <xf numFmtId="9" fontId="77" fillId="0" borderId="0" applyFont="0" applyFill="0" applyAlignment="0" applyProtection="0"/>
    <xf numFmtId="0" fontId="19" fillId="51" borderId="0" applyNumberFormat="0" applyBorder="0" applyAlignment="0" applyProtection="0">
      <alignment vertical="center"/>
    </xf>
    <xf numFmtId="0" fontId="19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2" borderId="7" applyNumberFormat="0" applyAlignment="0" applyProtection="0">
      <alignment vertical="center"/>
    </xf>
    <xf numFmtId="0" fontId="21" fillId="52" borderId="7" applyNumberFormat="0" applyAlignment="0" applyProtection="0">
      <alignment vertical="center"/>
    </xf>
    <xf numFmtId="18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36" borderId="5" applyNumberFormat="0" applyAlignment="0" applyProtection="0">
      <alignment vertical="center"/>
    </xf>
    <xf numFmtId="0" fontId="24" fillId="36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49" borderId="13" applyNumberFormat="0" applyAlignment="0" applyProtection="0">
      <alignment vertical="center"/>
    </xf>
    <xf numFmtId="0" fontId="30" fillId="49" borderId="13" applyNumberFormat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/>
    <xf numFmtId="184" fontId="13" fillId="0" borderId="0"/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8" borderId="0" applyNumberFormat="0" applyBorder="0" applyAlignment="0" applyProtection="0">
      <alignment vertical="center"/>
    </xf>
    <xf numFmtId="0" fontId="17" fillId="49" borderId="5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3" fillId="50" borderId="6" applyNumberFormat="0" applyFont="0" applyAlignment="0" applyProtection="0">
      <alignment vertical="center"/>
    </xf>
    <xf numFmtId="0" fontId="19" fillId="51" borderId="0" applyNumberFormat="0" applyBorder="0" applyAlignment="0" applyProtection="0">
      <alignment vertical="center"/>
    </xf>
    <xf numFmtId="0" fontId="21" fillId="52" borderId="7" applyNumberFormat="0" applyAlignment="0" applyProtection="0">
      <alignment vertical="center"/>
    </xf>
    <xf numFmtId="0" fontId="24" fillId="36" borderId="5" applyNumberFormat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49" borderId="13" applyNumberFormat="0" applyAlignment="0" applyProtection="0">
      <alignment vertical="center"/>
    </xf>
  </cellStyleXfs>
  <cellXfs count="89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4" xfId="0" applyFont="1" applyFill="1" applyBorder="1">
      <alignment vertical="center"/>
    </xf>
    <xf numFmtId="0" fontId="7" fillId="0" borderId="14" xfId="0" applyFont="1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4" fillId="0" borderId="14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shrinkToFit="1"/>
    </xf>
    <xf numFmtId="0" fontId="3" fillId="0" borderId="14" xfId="0" applyFont="1" applyBorder="1" applyAlignment="1">
      <alignment horizontal="center"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1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32" fillId="27" borderId="14" xfId="1" applyNumberFormat="1" applyFont="1" applyFill="1" applyBorder="1" applyAlignment="1">
      <alignment vertical="center" shrinkToFit="1"/>
    </xf>
    <xf numFmtId="177" fontId="32" fillId="27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177" fontId="34" fillId="0" borderId="14" xfId="1" applyNumberFormat="1" applyFont="1" applyFill="1" applyBorder="1" applyAlignment="1">
      <alignment horizontal="right" vertical="center" shrinkToFit="1"/>
    </xf>
    <xf numFmtId="177" fontId="34" fillId="0" borderId="14" xfId="1" applyNumberFormat="1" applyFont="1" applyBorder="1" applyAlignment="1">
      <alignment horizontal="right" vertical="center" shrinkToFit="1"/>
    </xf>
    <xf numFmtId="177" fontId="34" fillId="0" borderId="14" xfId="1" applyNumberFormat="1" applyFont="1" applyFill="1" applyBorder="1" applyAlignment="1">
      <alignment horizontal="right" vertical="center"/>
    </xf>
    <xf numFmtId="177" fontId="34" fillId="0" borderId="14" xfId="1" applyNumberFormat="1" applyFont="1" applyFill="1" applyBorder="1" applyAlignment="1">
      <alignment vertical="center"/>
    </xf>
    <xf numFmtId="177" fontId="34" fillId="28" borderId="14" xfId="1" applyNumberFormat="1" applyFont="1" applyFill="1" applyBorder="1" applyAlignment="1">
      <alignment horizontal="right" vertical="center"/>
    </xf>
    <xf numFmtId="177" fontId="34" fillId="0" borderId="14" xfId="1" applyNumberFormat="1" applyFont="1" applyBorder="1" applyAlignment="1">
      <alignment vertical="center" shrinkToFit="1"/>
    </xf>
    <xf numFmtId="177" fontId="7" fillId="0" borderId="14" xfId="0" applyNumberFormat="1" applyFont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center" vertical="center" wrapText="1" shrinkToFit="1"/>
    </xf>
    <xf numFmtId="177" fontId="5" fillId="4" borderId="14" xfId="1" applyNumberFormat="1" applyFont="1" applyFill="1" applyBorder="1" applyAlignment="1">
      <alignment vertical="center" wrapText="1" shrinkToFit="1"/>
    </xf>
    <xf numFmtId="177" fontId="5" fillId="0" borderId="14" xfId="1" applyNumberFormat="1" applyFont="1" applyFill="1" applyBorder="1" applyAlignment="1">
      <alignment horizontal="right" vertical="center" shrinkToFit="1"/>
    </xf>
    <xf numFmtId="177" fontId="3" fillId="0" borderId="0" xfId="0" applyNumberFormat="1" applyFont="1">
      <alignment vertical="center"/>
    </xf>
    <xf numFmtId="177" fontId="5" fillId="3" borderId="14" xfId="1" applyNumberFormat="1" applyFont="1" applyFill="1" applyBorder="1" applyAlignment="1">
      <alignment horizontal="left" vertical="center" shrinkToFit="1"/>
    </xf>
    <xf numFmtId="0" fontId="4" fillId="0" borderId="1" xfId="0" applyFont="1" applyBorder="1" applyAlignment="1">
      <alignment horizontal="right" vertical="center" shrinkToFit="1"/>
    </xf>
    <xf numFmtId="178" fontId="4" fillId="0" borderId="14" xfId="0" applyNumberFormat="1" applyFont="1" applyBorder="1" applyAlignment="1">
      <alignment vertical="center" shrinkToFit="1"/>
    </xf>
    <xf numFmtId="178" fontId="3" fillId="0" borderId="14" xfId="0" applyNumberFormat="1" applyFont="1" applyBorder="1" applyAlignment="1">
      <alignment vertical="center" shrinkToFit="1"/>
    </xf>
    <xf numFmtId="178" fontId="3" fillId="0" borderId="14" xfId="0" applyNumberFormat="1" applyFont="1" applyBorder="1">
      <alignment vertical="center"/>
    </xf>
    <xf numFmtId="0" fontId="13" fillId="0" borderId="0" xfId="2"/>
    <xf numFmtId="0" fontId="40" fillId="0" borderId="0" xfId="2" applyNumberFormat="1" applyFont="1" applyAlignment="1">
      <alignment horizontal="centerContinuous"/>
    </xf>
    <xf numFmtId="0" fontId="41" fillId="0" borderId="0" xfId="2" applyNumberFormat="1" applyFont="1" applyAlignment="1">
      <alignment horizontal="centerContinuous"/>
    </xf>
    <xf numFmtId="0" fontId="42" fillId="0" borderId="0" xfId="2" applyFont="1" applyAlignment="1">
      <alignment horizontal="centerContinuous"/>
    </xf>
    <xf numFmtId="0" fontId="41" fillId="0" borderId="0" xfId="2" applyFont="1" applyAlignment="1">
      <alignment horizontal="centerContinuous"/>
    </xf>
    <xf numFmtId="0" fontId="40" fillId="0" borderId="0" xfId="2" applyFont="1" applyAlignment="1">
      <alignment horizontal="left"/>
    </xf>
    <xf numFmtId="0" fontId="43" fillId="0" borderId="0" xfId="2" applyNumberFormat="1" applyFont="1" applyAlignment="1">
      <alignment horizontal="centerContinuous"/>
    </xf>
    <xf numFmtId="0" fontId="13" fillId="0" borderId="0" xfId="2" applyNumberFormat="1" applyAlignment="1">
      <alignment horizontal="centerContinuous"/>
    </xf>
    <xf numFmtId="0" fontId="44" fillId="0" borderId="0" xfId="2" applyNumberFormat="1" applyFont="1" applyAlignment="1">
      <alignment horizontal="centerContinuous"/>
    </xf>
    <xf numFmtId="0" fontId="45" fillId="0" borderId="0" xfId="2" applyNumberFormat="1" applyFont="1" applyAlignment="1">
      <alignment horizontal="centerContinuous"/>
    </xf>
    <xf numFmtId="0" fontId="46" fillId="0" borderId="0" xfId="2" applyNumberFormat="1" applyFont="1" applyAlignment="1">
      <alignment horizontal="centerContinuous"/>
    </xf>
    <xf numFmtId="0" fontId="46" fillId="0" borderId="0" xfId="2" applyFont="1"/>
    <xf numFmtId="177" fontId="34" fillId="28" borderId="14" xfId="1" applyNumberFormat="1" applyFont="1" applyFill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3" fillId="0" borderId="0" xfId="0" applyNumberFormat="1" applyFont="1" applyFill="1">
      <alignment vertical="center"/>
    </xf>
    <xf numFmtId="177" fontId="12" fillId="0" borderId="0" xfId="0" applyNumberFormat="1" applyFont="1" applyAlignment="1">
      <alignment vertical="center"/>
    </xf>
    <xf numFmtId="177" fontId="31" fillId="0" borderId="0" xfId="0" applyNumberFormat="1" applyFont="1" applyAlignment="1">
      <alignment horizontal="right" vertical="center"/>
    </xf>
    <xf numFmtId="177" fontId="4" fillId="0" borderId="4" xfId="0" applyNumberFormat="1" applyFont="1" applyFill="1" applyBorder="1" applyAlignment="1">
      <alignment horizontal="center" vertical="center"/>
    </xf>
    <xf numFmtId="177" fontId="8" fillId="2" borderId="14" xfId="0" applyNumberFormat="1" applyFont="1" applyFill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177" fontId="7" fillId="0" borderId="14" xfId="0" applyNumberFormat="1" applyFont="1" applyBorder="1">
      <alignment vertical="center"/>
    </xf>
    <xf numFmtId="177" fontId="7" fillId="0" borderId="14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horizontal="center" vertical="center"/>
    </xf>
    <xf numFmtId="177" fontId="4" fillId="0" borderId="14" xfId="1" applyNumberFormat="1" applyFont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center" vertical="center" shrinkToFit="1"/>
    </xf>
    <xf numFmtId="177" fontId="4" fillId="0" borderId="1" xfId="0" applyNumberFormat="1" applyFont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Border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7" fontId="4" fillId="0" borderId="14" xfId="0" applyNumberFormat="1" applyFont="1" applyBorder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center" vertical="center" wrapText="1"/>
    </xf>
    <xf numFmtId="177" fontId="4" fillId="27" borderId="14" xfId="0" applyNumberFormat="1" applyFont="1" applyFill="1" applyBorder="1" applyAlignment="1">
      <alignment horizontal="center" vertical="center"/>
    </xf>
    <xf numFmtId="177" fontId="4" fillId="27" borderId="14" xfId="0" applyNumberFormat="1" applyFont="1" applyFill="1" applyBorder="1">
      <alignment vertical="center"/>
    </xf>
    <xf numFmtId="177" fontId="4" fillId="27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vertical="center" shrinkToFit="1"/>
    </xf>
    <xf numFmtId="177" fontId="4" fillId="0" borderId="14" xfId="0" applyNumberFormat="1" applyFont="1" applyFill="1" applyBorder="1" applyAlignment="1">
      <alignment horizontal="center" vertical="center" wrapText="1"/>
    </xf>
    <xf numFmtId="177" fontId="4" fillId="0" borderId="14" xfId="0" applyNumberFormat="1" applyFont="1" applyFill="1" applyBorder="1" applyAlignment="1">
      <alignment horizontal="center" vertical="center" shrinkToFit="1"/>
    </xf>
    <xf numFmtId="177" fontId="3" fillId="0" borderId="15" xfId="0" applyNumberFormat="1" applyFont="1" applyBorder="1">
      <alignment vertical="center"/>
    </xf>
    <xf numFmtId="177" fontId="3" fillId="0" borderId="18" xfId="0" applyNumberFormat="1" applyFont="1" applyBorder="1">
      <alignment vertical="center"/>
    </xf>
    <xf numFmtId="177" fontId="3" fillId="0" borderId="16" xfId="0" applyNumberFormat="1" applyFont="1" applyBorder="1">
      <alignment vertical="center"/>
    </xf>
    <xf numFmtId="177" fontId="4" fillId="0" borderId="15" xfId="0" applyNumberFormat="1" applyFont="1" applyBorder="1" applyAlignment="1">
      <alignment horizontal="center" vertical="center"/>
    </xf>
    <xf numFmtId="177" fontId="4" fillId="0" borderId="15" xfId="0" applyNumberFormat="1" applyFont="1" applyBorder="1" applyAlignment="1">
      <alignment vertical="center" shrinkToFit="1"/>
    </xf>
    <xf numFmtId="177" fontId="4" fillId="0" borderId="15" xfId="0" applyNumberFormat="1" applyFont="1" applyBorder="1">
      <alignment vertical="center"/>
    </xf>
    <xf numFmtId="177" fontId="4" fillId="0" borderId="15" xfId="1" applyNumberFormat="1" applyFont="1" applyBorder="1" applyAlignment="1">
      <alignment horizontal="right" vertical="center" shrinkToFit="1"/>
    </xf>
    <xf numFmtId="177" fontId="4" fillId="0" borderId="15" xfId="0" applyNumberFormat="1" applyFont="1" applyBorder="1" applyAlignment="1">
      <alignment horizontal="right" vertical="center" shrinkToFit="1"/>
    </xf>
    <xf numFmtId="177" fontId="4" fillId="0" borderId="23" xfId="1" applyNumberFormat="1" applyFont="1" applyBorder="1" applyAlignment="1">
      <alignment horizontal="right" vertical="center" shrinkToFit="1"/>
    </xf>
    <xf numFmtId="177" fontId="4" fillId="0" borderId="23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left" vertical="center"/>
    </xf>
    <xf numFmtId="177" fontId="4" fillId="0" borderId="14" xfId="1" applyNumberFormat="1" applyFont="1" applyFill="1" applyBorder="1" applyAlignment="1">
      <alignment horizontal="right" vertical="center" shrinkToFit="1"/>
    </xf>
    <xf numFmtId="177" fontId="34" fillId="0" borderId="14" xfId="0" applyNumberFormat="1" applyFont="1" applyFill="1" applyBorder="1" applyAlignment="1">
      <alignment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wrapText="1" shrinkToFit="1"/>
    </xf>
    <xf numFmtId="177" fontId="34" fillId="0" borderId="14" xfId="0" applyNumberFormat="1" applyFont="1" applyFill="1" applyBorder="1" applyAlignment="1">
      <alignment horizontal="right" vertical="center" wrapText="1"/>
    </xf>
    <xf numFmtId="177" fontId="54" fillId="0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wrapText="1"/>
    </xf>
    <xf numFmtId="177" fontId="4" fillId="0" borderId="14" xfId="0" applyNumberFormat="1" applyFont="1" applyFill="1" applyBorder="1" applyAlignment="1">
      <alignment horizontal="right" vertical="center"/>
    </xf>
    <xf numFmtId="177" fontId="36" fillId="0" borderId="14" xfId="0" applyNumberFormat="1" applyFont="1" applyBorder="1" applyAlignment="1">
      <alignment horizontal="center" vertical="center"/>
    </xf>
    <xf numFmtId="177" fontId="36" fillId="0" borderId="14" xfId="0" applyNumberFormat="1" applyFont="1" applyBorder="1">
      <alignment vertical="center"/>
    </xf>
    <xf numFmtId="177" fontId="34" fillId="0" borderId="14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177" fontId="4" fillId="27" borderId="14" xfId="0" applyNumberFormat="1" applyFont="1" applyFill="1" applyBorder="1" applyAlignment="1">
      <alignment vertical="center" shrinkToFit="1"/>
    </xf>
    <xf numFmtId="177" fontId="4" fillId="0" borderId="14" xfId="0" applyNumberFormat="1" applyFont="1" applyBorder="1" applyAlignment="1">
      <alignment horizontal="right" vertical="center" wrapText="1" shrinkToFit="1"/>
    </xf>
    <xf numFmtId="177" fontId="4" fillId="0" borderId="14" xfId="0" applyNumberFormat="1" applyFont="1" applyFill="1" applyBorder="1" applyAlignment="1">
      <alignment vertical="center" wrapText="1"/>
    </xf>
    <xf numFmtId="177" fontId="34" fillId="0" borderId="14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vertical="center" shrinkToFit="1"/>
    </xf>
    <xf numFmtId="177" fontId="57" fillId="0" borderId="14" xfId="0" applyNumberFormat="1" applyFont="1" applyBorder="1" applyAlignment="1">
      <alignment horizontal="right" vertical="center" shrinkToFit="1"/>
    </xf>
    <xf numFmtId="177" fontId="34" fillId="0" borderId="14" xfId="0" applyNumberFormat="1" applyFont="1" applyFill="1" applyBorder="1">
      <alignment vertical="center"/>
    </xf>
    <xf numFmtId="177" fontId="34" fillId="0" borderId="14" xfId="0" applyNumberFormat="1" applyFont="1" applyBorder="1" applyAlignment="1">
      <alignment horizontal="center" vertical="center" wrapText="1"/>
    </xf>
    <xf numFmtId="177" fontId="34" fillId="0" borderId="14" xfId="0" applyNumberFormat="1" applyFont="1" applyBorder="1" applyAlignment="1">
      <alignment vertical="center" wrapText="1"/>
    </xf>
    <xf numFmtId="177" fontId="34" fillId="0" borderId="14" xfId="0" applyNumberFormat="1" applyFont="1" applyFill="1" applyBorder="1" applyAlignment="1">
      <alignment horizontal="center" vertical="center" wrapText="1"/>
    </xf>
    <xf numFmtId="177" fontId="32" fillId="0" borderId="14" xfId="1" applyNumberFormat="1" applyFont="1" applyFill="1" applyBorder="1" applyAlignment="1">
      <alignment horizontal="right" vertical="center" shrinkToFit="1"/>
    </xf>
    <xf numFmtId="177" fontId="4" fillId="28" borderId="14" xfId="0" applyNumberFormat="1" applyFont="1" applyFill="1" applyBorder="1" applyAlignment="1">
      <alignment horizontal="center" vertical="center" wrapText="1" shrinkToFit="1"/>
    </xf>
    <xf numFmtId="177" fontId="58" fillId="28" borderId="14" xfId="0" applyNumberFormat="1" applyFont="1" applyFill="1" applyBorder="1" applyAlignment="1">
      <alignment horizontal="right" vertical="center"/>
    </xf>
    <xf numFmtId="177" fontId="58" fillId="0" borderId="14" xfId="0" applyNumberFormat="1" applyFont="1" applyBorder="1" applyAlignment="1">
      <alignment horizontal="right" vertical="center" shrinkToFit="1"/>
    </xf>
    <xf numFmtId="177" fontId="7" fillId="0" borderId="14" xfId="0" applyNumberFormat="1" applyFont="1" applyFill="1" applyBorder="1" applyAlignment="1">
      <alignment horizontal="right" vertical="center" shrinkToFit="1"/>
    </xf>
    <xf numFmtId="177" fontId="34" fillId="0" borderId="14" xfId="0" applyNumberFormat="1" applyFont="1" applyFill="1" applyBorder="1" applyAlignment="1">
      <alignment horizontal="center" vertical="center" shrinkToFit="1"/>
    </xf>
    <xf numFmtId="177" fontId="34" fillId="0" borderId="14" xfId="0" applyNumberFormat="1" applyFont="1" applyFill="1" applyBorder="1" applyAlignment="1">
      <alignment horizontal="right" vertical="center"/>
    </xf>
    <xf numFmtId="177" fontId="53" fillId="0" borderId="14" xfId="0" applyNumberFormat="1" applyFont="1" applyFill="1" applyBorder="1" applyAlignment="1">
      <alignment horizontal="right" vertical="center"/>
    </xf>
    <xf numFmtId="177" fontId="37" fillId="0" borderId="14" xfId="0" applyNumberFormat="1" applyFont="1" applyFill="1" applyBorder="1" applyAlignment="1">
      <alignment horizontal="right" vertical="center" shrinkToFit="1"/>
    </xf>
    <xf numFmtId="177" fontId="34" fillId="28" borderId="14" xfId="0" applyNumberFormat="1" applyFont="1" applyFill="1" applyBorder="1" applyAlignment="1">
      <alignment horizontal="center" vertical="center" wrapText="1" shrinkToFit="1"/>
    </xf>
    <xf numFmtId="177" fontId="34" fillId="28" borderId="14" xfId="0" applyNumberFormat="1" applyFont="1" applyFill="1" applyBorder="1" applyAlignment="1">
      <alignment horizontal="right" vertical="center"/>
    </xf>
    <xf numFmtId="177" fontId="53" fillId="28" borderId="14" xfId="0" applyNumberFormat="1" applyFont="1" applyFill="1" applyBorder="1" applyAlignment="1">
      <alignment horizontal="right" vertical="center"/>
    </xf>
    <xf numFmtId="177" fontId="59" fillId="0" borderId="14" xfId="0" applyNumberFormat="1" applyFont="1" applyFill="1" applyBorder="1" applyAlignment="1">
      <alignment horizontal="right" vertical="center" shrinkToFit="1"/>
    </xf>
    <xf numFmtId="177" fontId="5" fillId="4" borderId="19" xfId="1" applyNumberFormat="1" applyFont="1" applyFill="1" applyBorder="1" applyAlignment="1">
      <alignment vertical="center"/>
    </xf>
    <xf numFmtId="177" fontId="5" fillId="4" borderId="20" xfId="1" applyNumberFormat="1" applyFont="1" applyFill="1" applyBorder="1" applyAlignment="1">
      <alignment vertical="center"/>
    </xf>
    <xf numFmtId="177" fontId="34" fillId="28" borderId="14" xfId="0" applyNumberFormat="1" applyFont="1" applyFill="1" applyBorder="1" applyAlignment="1">
      <alignment horizontal="center" vertical="center" shrinkToFit="1"/>
    </xf>
    <xf numFmtId="177" fontId="4" fillId="28" borderId="14" xfId="1" applyNumberFormat="1" applyFont="1" applyFill="1" applyBorder="1" applyAlignment="1">
      <alignment horizontal="right" vertical="center" shrinkToFit="1"/>
    </xf>
    <xf numFmtId="177" fontId="37" fillId="28" borderId="14" xfId="1" applyNumberFormat="1" applyFont="1" applyFill="1" applyBorder="1" applyAlignment="1">
      <alignment vertical="center" shrinkToFit="1"/>
    </xf>
    <xf numFmtId="177" fontId="37" fillId="0" borderId="14" xfId="1" applyNumberFormat="1" applyFont="1" applyFill="1" applyBorder="1" applyAlignment="1">
      <alignment vertical="center" shrinkToFit="1"/>
    </xf>
    <xf numFmtId="177" fontId="34" fillId="0" borderId="14" xfId="0" applyNumberFormat="1" applyFont="1" applyFill="1" applyBorder="1" applyAlignment="1">
      <alignment horizontal="center" vertical="center" wrapText="1" shrinkToFit="1"/>
    </xf>
    <xf numFmtId="177" fontId="4" fillId="0" borderId="14" xfId="1" applyNumberFormat="1" applyFont="1" applyBorder="1" applyAlignment="1">
      <alignment vertical="center" shrinkToFit="1"/>
    </xf>
    <xf numFmtId="177" fontId="60" fillId="28" borderId="14" xfId="0" applyNumberFormat="1" applyFont="1" applyFill="1" applyBorder="1" applyAlignment="1">
      <alignment horizontal="center" vertical="center"/>
    </xf>
    <xf numFmtId="177" fontId="60" fillId="0" borderId="14" xfId="0" applyNumberFormat="1" applyFont="1" applyBorder="1" applyAlignment="1">
      <alignment vertical="center" shrinkToFit="1"/>
    </xf>
    <xf numFmtId="177" fontId="60" fillId="0" borderId="14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vertical="center" shrinkToFit="1"/>
    </xf>
    <xf numFmtId="177" fontId="4" fillId="0" borderId="1" xfId="0" applyNumberFormat="1" applyFont="1" applyBorder="1" applyAlignment="1">
      <alignment vertical="center" shrinkToFit="1"/>
    </xf>
    <xf numFmtId="177" fontId="4" fillId="0" borderId="1" xfId="0" applyNumberFormat="1" applyFont="1" applyBorder="1">
      <alignment vertical="center"/>
    </xf>
    <xf numFmtId="177" fontId="60" fillId="28" borderId="14" xfId="0" applyNumberFormat="1" applyFont="1" applyFill="1" applyBorder="1" applyAlignment="1">
      <alignment horizontal="center" vertical="center" wrapText="1"/>
    </xf>
    <xf numFmtId="177" fontId="61" fillId="0" borderId="14" xfId="1" applyNumberFormat="1" applyFont="1" applyFill="1" applyBorder="1" applyAlignment="1">
      <alignment horizontal="right" vertical="center" shrinkToFit="1"/>
    </xf>
    <xf numFmtId="177" fontId="61" fillId="28" borderId="14" xfId="1" applyNumberFormat="1" applyFont="1" applyFill="1" applyBorder="1" applyAlignment="1">
      <alignment horizontal="right" vertical="center" shrinkToFit="1"/>
    </xf>
    <xf numFmtId="177" fontId="62" fillId="0" borderId="14" xfId="0" applyNumberFormat="1" applyFont="1" applyFill="1" applyBorder="1" applyAlignment="1">
      <alignment horizontal="right" vertical="center" shrinkToFit="1"/>
    </xf>
    <xf numFmtId="177" fontId="60" fillId="0" borderId="14" xfId="0" applyNumberFormat="1" applyFont="1" applyFill="1" applyBorder="1" applyAlignment="1">
      <alignment horizontal="left" vertical="center" wrapText="1"/>
    </xf>
    <xf numFmtId="177" fontId="4" fillId="0" borderId="14" xfId="1" applyNumberFormat="1" applyFont="1" applyFill="1" applyBorder="1" applyAlignment="1">
      <alignment vertical="center" shrinkToFit="1"/>
    </xf>
    <xf numFmtId="177" fontId="3" fillId="0" borderId="4" xfId="0" applyNumberFormat="1" applyFont="1" applyFill="1" applyBorder="1" applyAlignment="1">
      <alignment vertical="center" shrinkToFit="1"/>
    </xf>
    <xf numFmtId="177" fontId="3" fillId="0" borderId="1" xfId="0" applyNumberFormat="1" applyFont="1" applyBorder="1" applyAlignment="1">
      <alignment vertical="center" shrinkToFit="1"/>
    </xf>
    <xf numFmtId="177" fontId="4" fillId="0" borderId="14" xfId="0" applyNumberFormat="1" applyFont="1" applyBorder="1" applyAlignment="1">
      <alignment vertical="center" wrapText="1"/>
    </xf>
    <xf numFmtId="0" fontId="64" fillId="0" borderId="0" xfId="2" applyFont="1"/>
    <xf numFmtId="0" fontId="65" fillId="0" borderId="0" xfId="2" applyFont="1"/>
    <xf numFmtId="0" fontId="63" fillId="0" borderId="0" xfId="2" applyFont="1" applyAlignment="1">
      <alignment horizontal="center" vertical="center" wrapText="1"/>
    </xf>
    <xf numFmtId="0" fontId="63" fillId="0" borderId="0" xfId="2" applyFont="1" applyAlignment="1">
      <alignment horizontal="center" vertical="center"/>
    </xf>
    <xf numFmtId="0" fontId="66" fillId="0" borderId="0" xfId="2" applyFont="1" applyAlignment="1">
      <alignment vertical="center"/>
    </xf>
    <xf numFmtId="0" fontId="66" fillId="0" borderId="0" xfId="2" applyFont="1" applyAlignment="1"/>
    <xf numFmtId="0" fontId="66" fillId="0" borderId="0" xfId="2" applyFont="1"/>
    <xf numFmtId="0" fontId="67" fillId="0" borderId="0" xfId="2" applyFont="1" applyAlignment="1">
      <alignment vertical="center"/>
    </xf>
    <xf numFmtId="0" fontId="65" fillId="0" borderId="0" xfId="2" applyFont="1" applyAlignment="1">
      <alignment vertical="center"/>
    </xf>
    <xf numFmtId="185" fontId="65" fillId="0" borderId="0" xfId="2" applyNumberFormat="1" applyFont="1" applyAlignment="1">
      <alignment vertical="center"/>
    </xf>
    <xf numFmtId="0" fontId="65" fillId="0" borderId="0" xfId="2" applyFont="1" applyAlignment="1">
      <alignment horizontal="right" vertical="center"/>
    </xf>
    <xf numFmtId="41" fontId="64" fillId="0" borderId="0" xfId="2" applyNumberFormat="1" applyFont="1" applyAlignment="1">
      <alignment vertical="center"/>
    </xf>
    <xf numFmtId="0" fontId="64" fillId="0" borderId="0" xfId="2" applyFont="1" applyAlignment="1">
      <alignment vertical="center"/>
    </xf>
    <xf numFmtId="0" fontId="64" fillId="0" borderId="24" xfId="2" applyFont="1" applyBorder="1" applyAlignment="1">
      <alignment vertical="center"/>
    </xf>
    <xf numFmtId="0" fontId="64" fillId="0" borderId="20" xfId="2" applyFont="1" applyBorder="1" applyAlignment="1">
      <alignment horizontal="center" vertical="center"/>
    </xf>
    <xf numFmtId="0" fontId="64" fillId="0" borderId="19" xfId="2" applyFont="1" applyBorder="1" applyAlignment="1">
      <alignment horizontal="center" vertical="center"/>
    </xf>
    <xf numFmtId="0" fontId="64" fillId="0" borderId="20" xfId="2" applyFont="1" applyBorder="1" applyAlignment="1">
      <alignment horizontal="center" vertical="center" wrapText="1"/>
    </xf>
    <xf numFmtId="0" fontId="64" fillId="0" borderId="14" xfId="2" applyFont="1" applyBorder="1" applyAlignment="1">
      <alignment horizontal="center" vertical="center" wrapText="1"/>
    </xf>
    <xf numFmtId="185" fontId="69" fillId="30" borderId="20" xfId="2" applyNumberFormat="1" applyFont="1" applyFill="1" applyBorder="1" applyAlignment="1">
      <alignment horizontal="right" vertical="center"/>
    </xf>
    <xf numFmtId="185" fontId="64" fillId="0" borderId="19" xfId="2" applyNumberFormat="1" applyFont="1" applyBorder="1" applyAlignment="1">
      <alignment horizontal="right" vertical="center"/>
    </xf>
    <xf numFmtId="186" fontId="70" fillId="0" borderId="33" xfId="2" applyNumberFormat="1" applyFont="1" applyBorder="1" applyAlignment="1">
      <alignment vertical="center"/>
    </xf>
    <xf numFmtId="0" fontId="71" fillId="13" borderId="34" xfId="2" applyFont="1" applyFill="1" applyBorder="1" applyAlignment="1">
      <alignment vertical="center" wrapText="1"/>
    </xf>
    <xf numFmtId="186" fontId="69" fillId="0" borderId="20" xfId="45" applyNumberFormat="1" applyFont="1" applyBorder="1" applyAlignment="1">
      <alignment vertical="center"/>
    </xf>
    <xf numFmtId="186" fontId="64" fillId="0" borderId="14" xfId="45" applyNumberFormat="1" applyFont="1" applyBorder="1" applyAlignment="1">
      <alignment vertical="center"/>
    </xf>
    <xf numFmtId="186" fontId="64" fillId="0" borderId="14" xfId="2" applyNumberFormat="1" applyFont="1" applyBorder="1" applyAlignment="1">
      <alignment vertical="center"/>
    </xf>
    <xf numFmtId="41" fontId="69" fillId="0" borderId="0" xfId="45" applyFont="1" applyBorder="1" applyAlignment="1">
      <alignment vertical="center"/>
    </xf>
    <xf numFmtId="185" fontId="73" fillId="0" borderId="20" xfId="2" applyNumberFormat="1" applyFont="1" applyBorder="1" applyAlignment="1">
      <alignment horizontal="right" vertical="center" wrapText="1"/>
    </xf>
    <xf numFmtId="185" fontId="73" fillId="0" borderId="14" xfId="2" applyNumberFormat="1" applyFont="1" applyBorder="1" applyAlignment="1">
      <alignment horizontal="right" vertical="center" wrapText="1"/>
    </xf>
    <xf numFmtId="185" fontId="72" fillId="9" borderId="35" xfId="2" applyNumberFormat="1" applyFont="1" applyFill="1" applyBorder="1" applyAlignment="1">
      <alignment vertical="center"/>
    </xf>
    <xf numFmtId="185" fontId="64" fillId="0" borderId="0" xfId="2" applyNumberFormat="1" applyFont="1"/>
    <xf numFmtId="0" fontId="64" fillId="0" borderId="0" xfId="2" applyFont="1" applyAlignment="1">
      <alignment horizontal="center" wrapText="1"/>
    </xf>
    <xf numFmtId="0" fontId="64" fillId="0" borderId="0" xfId="2" applyFont="1" applyAlignment="1">
      <alignment wrapText="1"/>
    </xf>
    <xf numFmtId="177" fontId="68" fillId="0" borderId="0" xfId="45" applyNumberFormat="1" applyFont="1" applyFill="1" applyBorder="1" applyAlignment="1">
      <alignment horizontal="right" vertical="center" shrinkToFit="1"/>
    </xf>
    <xf numFmtId="177" fontId="68" fillId="0" borderId="0" xfId="45" applyNumberFormat="1" applyFont="1" applyFill="1" applyBorder="1" applyAlignment="1">
      <alignment horizontal="center" vertical="center" shrinkToFit="1"/>
    </xf>
    <xf numFmtId="0" fontId="64" fillId="0" borderId="0" xfId="2" applyFont="1" applyFill="1"/>
    <xf numFmtId="185" fontId="64" fillId="0" borderId="0" xfId="45" applyNumberFormat="1" applyFont="1" applyBorder="1" applyAlignment="1">
      <alignment vertical="center"/>
    </xf>
    <xf numFmtId="0" fontId="65" fillId="0" borderId="0" xfId="2" applyFont="1" applyFill="1"/>
    <xf numFmtId="0" fontId="72" fillId="0" borderId="0" xfId="2" applyFont="1" applyFill="1"/>
    <xf numFmtId="0" fontId="74" fillId="0" borderId="0" xfId="2" applyFont="1" applyFill="1"/>
    <xf numFmtId="0" fontId="66" fillId="0" borderId="0" xfId="2" applyFont="1" applyAlignment="1">
      <alignment horizontal="left" vertical="center"/>
    </xf>
    <xf numFmtId="0" fontId="66" fillId="0" borderId="0" xfId="2" applyFont="1" applyAlignment="1">
      <alignment horizontal="right" vertical="center"/>
    </xf>
    <xf numFmtId="178" fontId="64" fillId="0" borderId="0" xfId="2" applyNumberFormat="1" applyFont="1" applyAlignment="1">
      <alignment vertical="center"/>
    </xf>
    <xf numFmtId="0" fontId="75" fillId="0" borderId="36" xfId="2" applyNumberFormat="1" applyFont="1" applyFill="1" applyBorder="1" applyAlignment="1"/>
    <xf numFmtId="0" fontId="65" fillId="0" borderId="14" xfId="2" applyFont="1" applyBorder="1" applyAlignment="1">
      <alignment horizontal="center"/>
    </xf>
    <xf numFmtId="0" fontId="75" fillId="0" borderId="36" xfId="2" applyNumberFormat="1" applyFont="1" applyFill="1" applyBorder="1" applyAlignment="1">
      <alignment horizontal="center"/>
    </xf>
    <xf numFmtId="0" fontId="5" fillId="0" borderId="14" xfId="2" applyNumberFormat="1" applyFont="1" applyFill="1" applyBorder="1" applyAlignment="1">
      <alignment horizontal="center"/>
    </xf>
    <xf numFmtId="0" fontId="65" fillId="0" borderId="20" xfId="2" applyFont="1" applyBorder="1" applyAlignment="1">
      <alignment horizontal="center"/>
    </xf>
    <xf numFmtId="178" fontId="75" fillId="0" borderId="17" xfId="2" applyNumberFormat="1" applyFont="1" applyFill="1" applyBorder="1" applyAlignment="1"/>
    <xf numFmtId="41" fontId="65" fillId="0" borderId="14" xfId="45" applyFont="1" applyBorder="1"/>
    <xf numFmtId="178" fontId="75" fillId="0" borderId="37" xfId="2" applyNumberFormat="1" applyFont="1" applyFill="1" applyBorder="1" applyAlignment="1"/>
    <xf numFmtId="178" fontId="75" fillId="0" borderId="14" xfId="2" applyNumberFormat="1" applyFont="1" applyFill="1" applyBorder="1" applyAlignment="1"/>
    <xf numFmtId="0" fontId="65" fillId="0" borderId="20" xfId="2" applyFont="1" applyBorder="1"/>
    <xf numFmtId="178" fontId="65" fillId="0" borderId="14" xfId="2" applyNumberFormat="1" applyFont="1" applyBorder="1"/>
    <xf numFmtId="178" fontId="75" fillId="0" borderId="20" xfId="2" applyNumberFormat="1" applyFont="1" applyFill="1" applyBorder="1" applyAlignment="1"/>
    <xf numFmtId="178" fontId="75" fillId="0" borderId="38" xfId="2" applyNumberFormat="1" applyFont="1" applyFill="1" applyBorder="1" applyAlignment="1"/>
    <xf numFmtId="177" fontId="41" fillId="0" borderId="0" xfId="2" applyNumberFormat="1" applyFont="1" applyAlignment="1">
      <alignment vertical="center"/>
    </xf>
    <xf numFmtId="177" fontId="76" fillId="0" borderId="0" xfId="2" applyNumberFormat="1" applyFont="1" applyAlignment="1">
      <alignment vertical="center"/>
    </xf>
    <xf numFmtId="0" fontId="65" fillId="0" borderId="24" xfId="2" applyFont="1" applyBorder="1"/>
    <xf numFmtId="0" fontId="64" fillId="0" borderId="24" xfId="2" applyFont="1" applyBorder="1"/>
    <xf numFmtId="0" fontId="64" fillId="29" borderId="0" xfId="2" applyFont="1" applyFill="1"/>
    <xf numFmtId="177" fontId="79" fillId="0" borderId="14" xfId="45" applyNumberFormat="1" applyFont="1" applyFill="1" applyBorder="1" applyAlignment="1">
      <alignment horizontal="right" vertical="center" shrinkToFit="1"/>
    </xf>
    <xf numFmtId="0" fontId="5" fillId="0" borderId="20" xfId="2" applyNumberFormat="1" applyFont="1" applyFill="1" applyBorder="1" applyAlignment="1">
      <alignment horizontal="center"/>
    </xf>
    <xf numFmtId="0" fontId="65" fillId="0" borderId="0" xfId="2" applyFont="1" applyAlignment="1">
      <alignment horizontal="center"/>
    </xf>
    <xf numFmtId="0" fontId="65" fillId="30" borderId="14" xfId="2" applyFont="1" applyFill="1" applyBorder="1" applyAlignment="1">
      <alignment horizontal="center" vertical="center" wrapText="1"/>
    </xf>
    <xf numFmtId="0" fontId="65" fillId="30" borderId="14" xfId="2" applyFont="1" applyFill="1" applyBorder="1" applyAlignment="1">
      <alignment horizontal="center" vertical="center" wrapText="1" shrinkToFit="1"/>
    </xf>
    <xf numFmtId="0" fontId="65" fillId="0" borderId="14" xfId="2" applyFont="1" applyBorder="1" applyAlignment="1">
      <alignment horizontal="center" vertical="center"/>
    </xf>
    <xf numFmtId="0" fontId="80" fillId="0" borderId="14" xfId="2" applyFont="1" applyFill="1" applyBorder="1" applyAlignment="1">
      <alignment horizontal="center" vertical="center"/>
    </xf>
    <xf numFmtId="0" fontId="82" fillId="0" borderId="14" xfId="2" applyFont="1" applyFill="1" applyBorder="1" applyAlignment="1">
      <alignment horizontal="center" vertical="center"/>
    </xf>
    <xf numFmtId="0" fontId="80" fillId="0" borderId="14" xfId="2" applyFont="1" applyBorder="1" applyAlignment="1">
      <alignment horizontal="center" vertical="center"/>
    </xf>
    <xf numFmtId="179" fontId="81" fillId="0" borderId="14" xfId="45" applyNumberFormat="1" applyFont="1" applyFill="1" applyBorder="1" applyAlignment="1">
      <alignment horizontal="right" vertical="center" shrinkToFit="1"/>
    </xf>
    <xf numFmtId="179" fontId="81" fillId="26" borderId="14" xfId="45" applyNumberFormat="1" applyFont="1" applyFill="1" applyBorder="1" applyAlignment="1">
      <alignment horizontal="right" vertical="center" shrinkToFit="1"/>
    </xf>
    <xf numFmtId="179" fontId="77" fillId="0" borderId="14" xfId="45" applyNumberFormat="1" applyFont="1" applyFill="1" applyBorder="1" applyAlignment="1">
      <alignment horizontal="right" vertical="center" shrinkToFit="1"/>
    </xf>
    <xf numFmtId="179" fontId="77" fillId="26" borderId="14" xfId="45" applyNumberFormat="1" applyFont="1" applyFill="1" applyBorder="1" applyAlignment="1">
      <alignment horizontal="right" vertical="center" shrinkToFit="1"/>
    </xf>
    <xf numFmtId="177" fontId="38" fillId="3" borderId="14" xfId="1" applyNumberFormat="1" applyFont="1" applyFill="1" applyBorder="1" applyAlignment="1">
      <alignment horizontal="left" vertical="center" wrapText="1" shrinkToFit="1"/>
    </xf>
    <xf numFmtId="177" fontId="38" fillId="4" borderId="14" xfId="1" applyNumberFormat="1" applyFont="1" applyFill="1" applyBorder="1" applyAlignment="1">
      <alignment horizontal="left" vertical="center" wrapText="1" shrinkToFit="1"/>
    </xf>
    <xf numFmtId="177" fontId="84" fillId="0" borderId="14" xfId="0" applyNumberFormat="1" applyFont="1" applyBorder="1" applyAlignment="1">
      <alignment horizontal="left" vertical="center" wrapText="1" shrinkToFit="1"/>
    </xf>
    <xf numFmtId="177" fontId="39" fillId="0" borderId="14" xfId="0" applyNumberFormat="1" applyFont="1" applyBorder="1" applyAlignment="1">
      <alignment horizontal="left" vertical="center" wrapText="1" shrinkToFit="1"/>
    </xf>
    <xf numFmtId="177" fontId="86" fillId="0" borderId="14" xfId="0" applyNumberFormat="1" applyFont="1" applyBorder="1" applyAlignment="1">
      <alignment horizontal="left" vertical="center" wrapText="1" shrinkToFit="1"/>
    </xf>
    <xf numFmtId="177" fontId="35" fillId="0" borderId="14" xfId="0" applyNumberFormat="1" applyFont="1" applyBorder="1" applyAlignment="1">
      <alignment horizontal="left" vertical="center" wrapText="1" shrinkToFit="1"/>
    </xf>
    <xf numFmtId="177" fontId="84" fillId="0" borderId="14" xfId="0" applyNumberFormat="1" applyFont="1" applyFill="1" applyBorder="1" applyAlignment="1">
      <alignment horizontal="left" vertical="center" wrapText="1" shrinkToFit="1"/>
    </xf>
    <xf numFmtId="0" fontId="65" fillId="0" borderId="0" xfId="2" applyFont="1" applyBorder="1" applyAlignment="1">
      <alignment horizontal="center"/>
    </xf>
    <xf numFmtId="41" fontId="65" fillId="0" borderId="0" xfId="45" applyFont="1" applyBorder="1"/>
    <xf numFmtId="0" fontId="64" fillId="0" borderId="21" xfId="2" applyFont="1" applyBorder="1" applyAlignment="1">
      <alignment horizontal="center" vertical="center"/>
    </xf>
    <xf numFmtId="177" fontId="7" fillId="0" borderId="14" xfId="0" applyNumberFormat="1" applyFont="1" applyBorder="1" applyAlignment="1">
      <alignment horizontal="left" vertical="center" wrapText="1"/>
    </xf>
    <xf numFmtId="177" fontId="5" fillId="3" borderId="14" xfId="1" applyNumberFormat="1" applyFont="1" applyFill="1" applyBorder="1" applyAlignment="1">
      <alignment horizontal="left" vertical="center" wrapText="1"/>
    </xf>
    <xf numFmtId="177" fontId="5" fillId="4" borderId="14" xfId="1" applyNumberFormat="1" applyFont="1" applyFill="1" applyBorder="1" applyAlignment="1">
      <alignment horizontal="left" vertical="center" wrapText="1"/>
    </xf>
    <xf numFmtId="177" fontId="4" fillId="0" borderId="14" xfId="0" applyNumberFormat="1" applyFont="1" applyFill="1" applyBorder="1" applyAlignment="1">
      <alignment vertical="center" shrinkToFit="1"/>
    </xf>
    <xf numFmtId="177" fontId="4" fillId="0" borderId="14" xfId="0" applyNumberFormat="1" applyFont="1" applyBorder="1" applyAlignment="1">
      <alignment horizontal="left" vertical="center" wrapText="1"/>
    </xf>
    <xf numFmtId="177" fontId="4" fillId="0" borderId="14" xfId="0" applyNumberFormat="1" applyFont="1" applyFill="1" applyBorder="1">
      <alignment vertical="center"/>
    </xf>
    <xf numFmtId="177" fontId="4" fillId="27" borderId="14" xfId="0" applyNumberFormat="1" applyFont="1" applyFill="1" applyBorder="1" applyAlignment="1">
      <alignment horizontal="right" vertical="center" shrinkToFit="1"/>
    </xf>
    <xf numFmtId="177" fontId="34" fillId="27" borderId="14" xfId="1" applyNumberFormat="1" applyFont="1" applyFill="1" applyBorder="1" applyAlignment="1">
      <alignment horizontal="right" vertical="center" shrinkToFit="1"/>
    </xf>
    <xf numFmtId="177" fontId="34" fillId="0" borderId="14" xfId="0" applyNumberFormat="1" applyFont="1" applyBorder="1" applyAlignment="1">
      <alignment horizontal="left" vertical="center" wrapText="1"/>
    </xf>
    <xf numFmtId="177" fontId="34" fillId="0" borderId="14" xfId="0" applyNumberFormat="1" applyFont="1" applyFill="1" applyBorder="1" applyAlignment="1">
      <alignment vertical="center" wrapText="1"/>
    </xf>
    <xf numFmtId="177" fontId="34" fillId="27" borderId="14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left" vertical="center" wrapText="1"/>
    </xf>
    <xf numFmtId="177" fontId="3" fillId="0" borderId="14" xfId="0" applyNumberFormat="1" applyFont="1" applyBorder="1" applyAlignment="1">
      <alignment horizontal="center" vertical="center"/>
    </xf>
    <xf numFmtId="0" fontId="60" fillId="0" borderId="14" xfId="0" applyFont="1" applyFill="1" applyBorder="1" applyAlignment="1">
      <alignment vertical="center" wrapText="1" shrinkToFit="1"/>
    </xf>
    <xf numFmtId="0" fontId="88" fillId="0" borderId="14" xfId="0" applyFont="1" applyFill="1" applyBorder="1" applyAlignment="1">
      <alignment vertical="center" wrapText="1" shrinkToFit="1"/>
    </xf>
    <xf numFmtId="177" fontId="4" fillId="0" borderId="14" xfId="0" applyNumberFormat="1" applyFont="1" applyBorder="1" applyAlignment="1">
      <alignment vertical="center" wrapText="1" shrinkToFit="1"/>
    </xf>
    <xf numFmtId="177" fontId="4" fillId="0" borderId="14" xfId="0" applyNumberFormat="1" applyFont="1" applyFill="1" applyBorder="1" applyAlignment="1">
      <alignment vertical="center" wrapText="1" shrinkToFit="1"/>
    </xf>
    <xf numFmtId="177" fontId="4" fillId="27" borderId="14" xfId="0" applyNumberFormat="1" applyFont="1" applyFill="1" applyBorder="1" applyAlignment="1">
      <alignment vertical="center" wrapText="1"/>
    </xf>
    <xf numFmtId="177" fontId="4" fillId="27" borderId="14" xfId="0" applyNumberFormat="1" applyFont="1" applyFill="1" applyBorder="1" applyAlignment="1">
      <alignment horizontal="center" vertical="center" shrinkToFit="1"/>
    </xf>
    <xf numFmtId="177" fontId="91" fillId="0" borderId="14" xfId="0" applyNumberFormat="1" applyFont="1" applyFill="1" applyBorder="1" applyAlignment="1">
      <alignment horizontal="left" vertical="center" wrapText="1" shrinkToFit="1"/>
    </xf>
    <xf numFmtId="177" fontId="3" fillId="0" borderId="14" xfId="0" applyNumberFormat="1" applyFont="1" applyFill="1" applyBorder="1" applyAlignment="1">
      <alignment vertical="center" shrinkToFit="1"/>
    </xf>
    <xf numFmtId="177" fontId="3" fillId="0" borderId="14" xfId="0" applyNumberFormat="1" applyFont="1" applyBorder="1" applyAlignment="1">
      <alignment vertical="center" wrapText="1"/>
    </xf>
    <xf numFmtId="177" fontId="3" fillId="0" borderId="14" xfId="0" applyNumberFormat="1" applyFont="1" applyBorder="1" applyAlignment="1">
      <alignment vertical="center" shrinkToFit="1"/>
    </xf>
    <xf numFmtId="177" fontId="3" fillId="0" borderId="14" xfId="0" applyNumberFormat="1" applyFont="1" applyFill="1" applyBorder="1">
      <alignment vertical="center"/>
    </xf>
    <xf numFmtId="177" fontId="3" fillId="0" borderId="14" xfId="0" applyNumberFormat="1" applyFont="1" applyBorder="1" applyAlignment="1">
      <alignment horizontal="center" vertical="center" shrinkToFit="1"/>
    </xf>
    <xf numFmtId="177" fontId="4" fillId="27" borderId="14" xfId="0" applyNumberFormat="1" applyFont="1" applyFill="1" applyBorder="1" applyAlignment="1">
      <alignment horizontal="center" vertical="center" wrapText="1"/>
    </xf>
    <xf numFmtId="177" fontId="34" fillId="27" borderId="14" xfId="0" applyNumberFormat="1" applyFont="1" applyFill="1" applyBorder="1" applyAlignment="1">
      <alignment horizontal="center" vertical="center"/>
    </xf>
    <xf numFmtId="177" fontId="34" fillId="27" borderId="14" xfId="0" applyNumberFormat="1" applyFont="1" applyFill="1" applyBorder="1">
      <alignment vertical="center"/>
    </xf>
    <xf numFmtId="177" fontId="34" fillId="27" borderId="14" xfId="0" applyNumberFormat="1" applyFont="1" applyFill="1" applyBorder="1" applyAlignment="1">
      <alignment vertical="center" wrapText="1"/>
    </xf>
    <xf numFmtId="177" fontId="91" fillId="27" borderId="14" xfId="0" applyNumberFormat="1" applyFont="1" applyFill="1" applyBorder="1" applyAlignment="1">
      <alignment horizontal="left" vertical="center" wrapText="1" shrinkToFit="1"/>
    </xf>
    <xf numFmtId="177" fontId="91" fillId="27" borderId="14" xfId="0" applyNumberFormat="1" applyFont="1" applyFill="1" applyBorder="1" applyAlignment="1">
      <alignment horizontal="left" vertical="center" shrinkToFit="1"/>
    </xf>
    <xf numFmtId="177" fontId="91" fillId="0" borderId="14" xfId="0" applyNumberFormat="1" applyFont="1" applyBorder="1" applyAlignment="1">
      <alignment horizontal="left" vertical="center" wrapText="1"/>
    </xf>
    <xf numFmtId="177" fontId="91" fillId="0" borderId="14" xfId="1" applyNumberFormat="1" applyFont="1" applyFill="1" applyBorder="1" applyAlignment="1">
      <alignment horizontal="right" vertical="center" wrapText="1"/>
    </xf>
    <xf numFmtId="177" fontId="91" fillId="27" borderId="14" xfId="0" applyNumberFormat="1" applyFont="1" applyFill="1" applyBorder="1" applyAlignment="1">
      <alignment horizontal="left" vertical="center" wrapText="1"/>
    </xf>
    <xf numFmtId="177" fontId="91" fillId="27" borderId="14" xfId="1" applyNumberFormat="1" applyFont="1" applyFill="1" applyBorder="1" applyAlignment="1">
      <alignment horizontal="right" vertical="center" wrapText="1"/>
    </xf>
    <xf numFmtId="177" fontId="91" fillId="0" borderId="14" xfId="1" applyNumberFormat="1" applyFont="1" applyFill="1" applyBorder="1" applyAlignment="1">
      <alignment horizontal="right" vertical="center" shrinkToFit="1"/>
    </xf>
    <xf numFmtId="177" fontId="91" fillId="0" borderId="14" xfId="0" applyNumberFormat="1" applyFont="1" applyBorder="1" applyAlignment="1">
      <alignment horizontal="justify" vertical="center" wrapText="1"/>
    </xf>
    <xf numFmtId="177" fontId="34" fillId="0" borderId="14" xfId="0" applyNumberFormat="1" applyFont="1" applyFill="1" applyBorder="1" applyAlignment="1">
      <alignment horizontal="right" vertical="center" shrinkToFit="1"/>
    </xf>
    <xf numFmtId="177" fontId="34" fillId="0" borderId="14" xfId="0" applyNumberFormat="1" applyFont="1" applyFill="1" applyBorder="1" applyAlignment="1">
      <alignment horizontal="left" vertical="center" wrapText="1"/>
    </xf>
    <xf numFmtId="177" fontId="34" fillId="28" borderId="14" xfId="0" applyNumberFormat="1" applyFont="1" applyFill="1" applyBorder="1" applyAlignment="1">
      <alignment horizontal="left" vertical="center" wrapText="1"/>
    </xf>
    <xf numFmtId="177" fontId="34" fillId="0" borderId="14" xfId="0" applyNumberFormat="1" applyFont="1" applyBorder="1">
      <alignment vertical="center"/>
    </xf>
    <xf numFmtId="177" fontId="34" fillId="28" borderId="14" xfId="0" applyNumberFormat="1" applyFont="1" applyFill="1" applyBorder="1" applyAlignment="1">
      <alignment horizontal="center" vertical="center" wrapText="1"/>
    </xf>
    <xf numFmtId="177" fontId="34" fillId="0" borderId="14" xfId="0" applyNumberFormat="1" applyFont="1" applyFill="1" applyBorder="1" applyAlignment="1">
      <alignment horizontal="left" vertical="center" shrinkToFit="1"/>
    </xf>
    <xf numFmtId="177" fontId="4" fillId="28" borderId="14" xfId="0" applyNumberFormat="1" applyFont="1" applyFill="1" applyBorder="1" applyAlignment="1">
      <alignment horizontal="left" vertical="center" wrapText="1"/>
    </xf>
    <xf numFmtId="177" fontId="34" fillId="0" borderId="14" xfId="0" applyNumberFormat="1" applyFont="1" applyFill="1" applyBorder="1" applyAlignment="1">
      <alignment horizontal="center" vertical="center"/>
    </xf>
    <xf numFmtId="177" fontId="35" fillId="0" borderId="14" xfId="0" applyNumberFormat="1" applyFont="1" applyBorder="1" applyAlignment="1">
      <alignment horizontal="left" vertical="center" wrapText="1"/>
    </xf>
    <xf numFmtId="177" fontId="38" fillId="3" borderId="14" xfId="1" applyNumberFormat="1" applyFont="1" applyFill="1" applyBorder="1" applyAlignment="1">
      <alignment horizontal="left" vertical="center" wrapText="1"/>
    </xf>
    <xf numFmtId="177" fontId="38" fillId="4" borderId="14" xfId="1" applyNumberFormat="1" applyFont="1" applyFill="1" applyBorder="1" applyAlignment="1">
      <alignment horizontal="left" vertical="center" wrapText="1"/>
    </xf>
    <xf numFmtId="177" fontId="84" fillId="0" borderId="14" xfId="0" applyNumberFormat="1" applyFont="1" applyBorder="1" applyAlignment="1">
      <alignment horizontal="left" vertical="center" wrapText="1"/>
    </xf>
    <xf numFmtId="177" fontId="84" fillId="27" borderId="14" xfId="0" applyNumberFormat="1" applyFont="1" applyFill="1" applyBorder="1" applyAlignment="1">
      <alignment horizontal="left" vertical="center" wrapText="1"/>
    </xf>
    <xf numFmtId="177" fontId="39" fillId="0" borderId="14" xfId="0" applyNumberFormat="1" applyFont="1" applyBorder="1" applyAlignment="1">
      <alignment horizontal="left" vertical="center" wrapText="1"/>
    </xf>
    <xf numFmtId="177" fontId="84" fillId="0" borderId="14" xfId="0" applyNumberFormat="1" applyFont="1" applyFill="1" applyBorder="1" applyAlignment="1">
      <alignment horizontal="left" vertical="center" wrapText="1"/>
    </xf>
    <xf numFmtId="177" fontId="35" fillId="0" borderId="14" xfId="0" applyNumberFormat="1" applyFont="1" applyBorder="1" applyAlignment="1">
      <alignment horizontal="right" vertical="center" wrapText="1" shrinkToFit="1"/>
    </xf>
    <xf numFmtId="177" fontId="38" fillId="3" borderId="14" xfId="1" applyNumberFormat="1" applyFont="1" applyFill="1" applyBorder="1" applyAlignment="1">
      <alignment horizontal="right" vertical="center" wrapText="1" shrinkToFit="1"/>
    </xf>
    <xf numFmtId="177" fontId="38" fillId="4" borderId="14" xfId="1" applyNumberFormat="1" applyFont="1" applyFill="1" applyBorder="1" applyAlignment="1">
      <alignment horizontal="right" vertical="center" wrapText="1" shrinkToFit="1"/>
    </xf>
    <xf numFmtId="177" fontId="84" fillId="0" borderId="14" xfId="0" applyNumberFormat="1" applyFont="1" applyBorder="1" applyAlignment="1">
      <alignment vertical="center" wrapText="1" shrinkToFit="1"/>
    </xf>
    <xf numFmtId="177" fontId="84" fillId="0" borderId="14" xfId="0" applyNumberFormat="1" applyFont="1" applyBorder="1" applyAlignment="1">
      <alignment vertical="center" wrapText="1"/>
    </xf>
    <xf numFmtId="177" fontId="84" fillId="0" borderId="14" xfId="0" quotePrefix="1" applyNumberFormat="1" applyFont="1" applyBorder="1" applyAlignment="1">
      <alignment vertical="center" wrapText="1"/>
    </xf>
    <xf numFmtId="177" fontId="84" fillId="27" borderId="14" xfId="0" quotePrefix="1" applyNumberFormat="1" applyFont="1" applyFill="1" applyBorder="1" applyAlignment="1">
      <alignment horizontal="left" vertical="center" wrapText="1" shrinkToFit="1"/>
    </xf>
    <xf numFmtId="177" fontId="84" fillId="27" borderId="14" xfId="0" applyNumberFormat="1" applyFont="1" applyFill="1" applyBorder="1" applyAlignment="1">
      <alignment horizontal="left" vertical="center" wrapText="1" shrinkToFit="1"/>
    </xf>
    <xf numFmtId="177" fontId="84" fillId="27" borderId="14" xfId="0" applyNumberFormat="1" applyFont="1" applyFill="1" applyBorder="1" applyAlignment="1">
      <alignment horizontal="right" vertical="center" wrapText="1" shrinkToFit="1"/>
    </xf>
    <xf numFmtId="177" fontId="86" fillId="27" borderId="14" xfId="0" applyNumberFormat="1" applyFont="1" applyFill="1" applyBorder="1" applyAlignment="1">
      <alignment horizontal="left" vertical="center" wrapText="1" shrinkToFit="1"/>
    </xf>
    <xf numFmtId="177" fontId="95" fillId="0" borderId="14" xfId="0" applyNumberFormat="1" applyFont="1" applyBorder="1" applyAlignment="1">
      <alignment horizontal="left" vertical="center" wrapText="1" shrinkToFit="1"/>
    </xf>
    <xf numFmtId="177" fontId="95" fillId="0" borderId="14" xfId="0" applyNumberFormat="1" applyFont="1" applyBorder="1" applyAlignment="1">
      <alignment horizontal="left" vertical="center" wrapText="1"/>
    </xf>
    <xf numFmtId="177" fontId="38" fillId="4" borderId="14" xfId="1" applyNumberFormat="1" applyFont="1" applyFill="1" applyBorder="1" applyAlignment="1">
      <alignment vertical="center" wrapText="1" shrinkToFit="1"/>
    </xf>
    <xf numFmtId="177" fontId="96" fillId="0" borderId="14" xfId="0" applyNumberFormat="1" applyFont="1" applyBorder="1" applyAlignment="1">
      <alignment vertical="center" wrapText="1" shrinkToFit="1"/>
    </xf>
    <xf numFmtId="177" fontId="84" fillId="0" borderId="14" xfId="0" applyNumberFormat="1" applyFont="1" applyBorder="1" applyAlignment="1">
      <alignment horizontal="right" vertical="center" wrapText="1" shrinkToFit="1"/>
    </xf>
    <xf numFmtId="177" fontId="39" fillId="27" borderId="14" xfId="0" applyNumberFormat="1" applyFont="1" applyFill="1" applyBorder="1" applyAlignment="1">
      <alignment horizontal="left" vertical="center" wrapText="1" shrinkToFit="1"/>
    </xf>
    <xf numFmtId="177" fontId="98" fillId="4" borderId="14" xfId="1" applyNumberFormat="1" applyFont="1" applyFill="1" applyBorder="1" applyAlignment="1">
      <alignment horizontal="right" vertical="center" wrapText="1" shrinkToFit="1"/>
    </xf>
    <xf numFmtId="177" fontId="95" fillId="0" borderId="14" xfId="0" applyNumberFormat="1" applyFont="1" applyBorder="1" applyAlignment="1">
      <alignment vertical="center" wrapText="1"/>
    </xf>
    <xf numFmtId="177" fontId="12" fillId="0" borderId="0" xfId="0" applyNumberFormat="1" applyFont="1" applyAlignment="1">
      <alignment horizontal="left" vertical="center"/>
    </xf>
    <xf numFmtId="177" fontId="3" fillId="0" borderId="0" xfId="0" applyNumberFormat="1" applyFont="1" applyAlignment="1">
      <alignment horizontal="left" vertical="center"/>
    </xf>
    <xf numFmtId="177" fontId="7" fillId="0" borderId="14" xfId="0" applyNumberFormat="1" applyFont="1" applyBorder="1" applyAlignment="1">
      <alignment horizontal="left" vertical="center"/>
    </xf>
    <xf numFmtId="177" fontId="5" fillId="4" borderId="14" xfId="1" applyNumberFormat="1" applyFont="1" applyFill="1" applyBorder="1" applyAlignment="1">
      <alignment horizontal="left" vertical="center"/>
    </xf>
    <xf numFmtId="177" fontId="3" fillId="0" borderId="14" xfId="0" applyNumberFormat="1" applyFont="1" applyBorder="1" applyAlignment="1">
      <alignment horizontal="left" vertical="center"/>
    </xf>
    <xf numFmtId="177" fontId="36" fillId="0" borderId="14" xfId="0" applyNumberFormat="1" applyFont="1" applyFill="1" applyBorder="1">
      <alignment vertical="center"/>
    </xf>
    <xf numFmtId="177" fontId="34" fillId="0" borderId="14" xfId="0" applyNumberFormat="1" applyFont="1" applyFill="1" applyBorder="1" applyAlignment="1">
      <alignment horizontal="left" vertical="center" wrapText="1" shrinkToFit="1"/>
    </xf>
    <xf numFmtId="177" fontId="35" fillId="0" borderId="14" xfId="0" applyNumberFormat="1" applyFont="1" applyBorder="1" applyAlignment="1">
      <alignment vertical="center" wrapText="1"/>
    </xf>
    <xf numFmtId="177" fontId="38" fillId="3" borderId="14" xfId="1" applyNumberFormat="1" applyFont="1" applyFill="1" applyBorder="1" applyAlignment="1">
      <alignment vertical="center" wrapText="1"/>
    </xf>
    <xf numFmtId="177" fontId="38" fillId="4" borderId="14" xfId="1" applyNumberFormat="1" applyFont="1" applyFill="1" applyBorder="1" applyAlignment="1">
      <alignment vertical="center" wrapText="1"/>
    </xf>
    <xf numFmtId="177" fontId="84" fillId="0" borderId="15" xfId="0" applyNumberFormat="1" applyFont="1" applyBorder="1" applyAlignment="1">
      <alignment vertical="center" wrapText="1"/>
    </xf>
    <xf numFmtId="177" fontId="39" fillId="0" borderId="14" xfId="0" applyNumberFormat="1" applyFont="1" applyBorder="1" applyAlignment="1">
      <alignment vertical="center" wrapText="1"/>
    </xf>
    <xf numFmtId="177" fontId="39" fillId="0" borderId="14" xfId="0" applyNumberFormat="1" applyFont="1" applyFill="1" applyBorder="1" applyAlignment="1">
      <alignment vertical="center" wrapText="1"/>
    </xf>
    <xf numFmtId="177" fontId="3" fillId="0" borderId="0" xfId="0" applyNumberFormat="1" applyFont="1" applyAlignment="1">
      <alignment vertical="center"/>
    </xf>
    <xf numFmtId="176" fontId="4" fillId="53" borderId="14" xfId="0" applyNumberFormat="1" applyFont="1" applyFill="1" applyBorder="1" applyAlignment="1">
      <alignment horizontal="right" vertical="center" shrinkToFit="1"/>
    </xf>
    <xf numFmtId="176" fontId="4" fillId="53" borderId="14" xfId="0" applyNumberFormat="1" applyFont="1" applyFill="1" applyBorder="1" applyAlignment="1">
      <alignment horizontal="center" vertical="center" shrinkToFit="1"/>
    </xf>
    <xf numFmtId="0" fontId="4" fillId="0" borderId="14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177" fontId="3" fillId="0" borderId="0" xfId="0" applyNumberFormat="1" applyFont="1" applyFill="1">
      <alignment vertical="center"/>
    </xf>
    <xf numFmtId="177" fontId="5" fillId="4" borderId="14" xfId="1" applyNumberFormat="1" applyFont="1" applyFill="1" applyBorder="1" applyAlignment="1">
      <alignment horizontal="right" vertical="center" shrinkToFit="1"/>
    </xf>
    <xf numFmtId="0" fontId="3" fillId="0" borderId="14" xfId="0" applyFont="1" applyFill="1" applyBorder="1">
      <alignment vertical="center"/>
    </xf>
    <xf numFmtId="176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center" vertical="center" shrinkToFit="1"/>
    </xf>
    <xf numFmtId="177" fontId="4" fillId="0" borderId="14" xfId="1" applyNumberFormat="1" applyFont="1" applyFill="1" applyBorder="1" applyAlignment="1">
      <alignment horizontal="right" vertical="center" shrinkToFit="1"/>
    </xf>
    <xf numFmtId="177" fontId="4" fillId="27" borderId="14" xfId="0" applyNumberFormat="1" applyFont="1" applyFill="1" applyBorder="1">
      <alignment vertical="center"/>
    </xf>
    <xf numFmtId="177" fontId="4" fillId="27" borderId="14" xfId="1" applyNumberFormat="1" applyFont="1" applyFill="1" applyBorder="1" applyAlignment="1">
      <alignment horizontal="right" vertical="center" shrinkToFit="1"/>
    </xf>
    <xf numFmtId="177" fontId="4" fillId="27" borderId="14" xfId="0" applyNumberFormat="1" applyFont="1" applyFill="1" applyBorder="1" applyAlignment="1">
      <alignment horizontal="right" vertical="center" shrinkToFit="1"/>
    </xf>
    <xf numFmtId="177" fontId="4" fillId="27" borderId="14" xfId="0" applyNumberFormat="1" applyFont="1" applyFill="1" applyBorder="1" applyAlignment="1">
      <alignment horizontal="center" vertical="center" shrinkToFit="1"/>
    </xf>
    <xf numFmtId="177" fontId="93" fillId="0" borderId="0" xfId="0" applyNumberFormat="1" applyFont="1">
      <alignment vertical="center"/>
    </xf>
    <xf numFmtId="177" fontId="84" fillId="0" borderId="14" xfId="0" applyNumberFormat="1" applyFont="1" applyBorder="1" applyAlignment="1">
      <alignment vertical="center" wrapText="1" shrinkToFit="1"/>
    </xf>
    <xf numFmtId="177" fontId="4" fillId="27" borderId="14" xfId="0" applyNumberFormat="1" applyFont="1" applyFill="1" applyBorder="1" applyAlignment="1">
      <alignment horizontal="center" vertical="center"/>
    </xf>
    <xf numFmtId="177" fontId="5" fillId="3" borderId="14" xfId="1" applyNumberFormat="1" applyFont="1" applyFill="1" applyBorder="1" applyAlignment="1">
      <alignment horizontal="right"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/>
    </xf>
    <xf numFmtId="177" fontId="3" fillId="0" borderId="0" xfId="0" applyNumberFormat="1" applyFont="1">
      <alignment vertical="center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Border="1">
      <alignment vertical="center"/>
    </xf>
    <xf numFmtId="177" fontId="4" fillId="0" borderId="14" xfId="1" applyNumberFormat="1" applyFont="1" applyBorder="1" applyAlignment="1">
      <alignment horizontal="right" vertical="center" shrinkToFit="1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4" fillId="0" borderId="14" xfId="0" applyNumberFormat="1" applyFont="1" applyBorder="1">
      <alignment vertical="center"/>
    </xf>
    <xf numFmtId="177" fontId="4" fillId="0" borderId="14" xfId="0" applyNumberFormat="1" applyFont="1" applyBorder="1" applyAlignment="1">
      <alignment horizontal="center" vertical="center" wrapText="1"/>
    </xf>
    <xf numFmtId="177" fontId="4" fillId="0" borderId="14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3" fillId="0" borderId="0" xfId="2"/>
    <xf numFmtId="0" fontId="40" fillId="0" borderId="0" xfId="2" applyNumberFormat="1" applyFont="1" applyAlignment="1">
      <alignment horizontal="centerContinuous"/>
    </xf>
    <xf numFmtId="0" fontId="41" fillId="0" borderId="0" xfId="2" applyNumberFormat="1" applyFont="1" applyAlignment="1">
      <alignment horizontal="centerContinuous"/>
    </xf>
    <xf numFmtId="0" fontId="42" fillId="0" borderId="0" xfId="2" applyFont="1" applyAlignment="1">
      <alignment horizontal="centerContinuous"/>
    </xf>
    <xf numFmtId="0" fontId="41" fillId="0" borderId="0" xfId="2" applyFont="1" applyAlignment="1">
      <alignment horizontal="centerContinuous"/>
    </xf>
    <xf numFmtId="0" fontId="40" fillId="0" borderId="0" xfId="2" applyFont="1" applyAlignment="1">
      <alignment horizontal="left"/>
    </xf>
    <xf numFmtId="0" fontId="43" fillId="0" borderId="0" xfId="2" applyNumberFormat="1" applyFont="1" applyAlignment="1">
      <alignment horizontal="centerContinuous"/>
    </xf>
    <xf numFmtId="0" fontId="13" fillId="0" borderId="0" xfId="2" applyNumberFormat="1" applyAlignment="1">
      <alignment horizontal="centerContinuous"/>
    </xf>
    <xf numFmtId="0" fontId="44" fillId="0" borderId="0" xfId="2" applyNumberFormat="1" applyFont="1" applyAlignment="1">
      <alignment horizontal="centerContinuous"/>
    </xf>
    <xf numFmtId="0" fontId="46" fillId="0" borderId="0" xfId="2" applyFont="1"/>
    <xf numFmtId="0" fontId="99" fillId="0" borderId="0" xfId="0" applyFont="1" applyAlignment="1">
      <alignment vertical="center"/>
    </xf>
    <xf numFmtId="0" fontId="10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177" fontId="84" fillId="0" borderId="14" xfId="0" applyNumberFormat="1" applyFont="1" applyFill="1" applyBorder="1" applyAlignment="1">
      <alignment vertical="center" wrapText="1" shrinkToFit="1"/>
    </xf>
    <xf numFmtId="177" fontId="85" fillId="0" borderId="14" xfId="0" applyNumberFormat="1" applyFont="1" applyFill="1" applyBorder="1" applyAlignment="1">
      <alignment vertical="center" wrapText="1" shrinkToFit="1"/>
    </xf>
    <xf numFmtId="0" fontId="105" fillId="3" borderId="17" xfId="0" applyFont="1" applyFill="1" applyBorder="1" applyAlignment="1">
      <alignment horizontal="center" vertical="center" shrinkToFit="1"/>
    </xf>
    <xf numFmtId="0" fontId="106" fillId="3" borderId="17" xfId="0" applyFont="1" applyFill="1" applyBorder="1" applyAlignment="1">
      <alignment horizontal="center" vertical="center" shrinkToFit="1"/>
    </xf>
    <xf numFmtId="0" fontId="107" fillId="0" borderId="41" xfId="0" applyFont="1" applyBorder="1" applyAlignment="1">
      <alignment horizontal="center" vertical="center" shrinkToFit="1"/>
    </xf>
    <xf numFmtId="41" fontId="108" fillId="0" borderId="41" xfId="1" applyFont="1" applyBorder="1" applyAlignment="1">
      <alignment horizontal="center" vertical="center" shrinkToFit="1"/>
    </xf>
    <xf numFmtId="0" fontId="107" fillId="0" borderId="42" xfId="0" applyFont="1" applyBorder="1" applyAlignment="1">
      <alignment horizontal="center" vertical="center" shrinkToFit="1"/>
    </xf>
    <xf numFmtId="41" fontId="106" fillId="0" borderId="42" xfId="1" applyFont="1" applyBorder="1" applyAlignment="1">
      <alignment horizontal="center" vertical="center" shrinkToFit="1"/>
    </xf>
    <xf numFmtId="41" fontId="108" fillId="0" borderId="42" xfId="1" applyFont="1" applyBorder="1" applyAlignment="1">
      <alignment horizontal="center" vertical="center" shrinkToFit="1"/>
    </xf>
    <xf numFmtId="177" fontId="3" fillId="0" borderId="0" xfId="0" applyNumberFormat="1" applyFont="1" applyAlignment="1">
      <alignment horizontal="center" vertical="center" shrinkToFit="1"/>
    </xf>
    <xf numFmtId="177" fontId="92" fillId="0" borderId="14" xfId="0" applyNumberFormat="1" applyFont="1" applyBorder="1" applyAlignment="1">
      <alignment horizontal="center" vertical="center" shrinkToFit="1"/>
    </xf>
    <xf numFmtId="177" fontId="34" fillId="27" borderId="14" xfId="0" applyNumberFormat="1" applyFont="1" applyFill="1" applyBorder="1" applyAlignment="1">
      <alignment horizontal="center" vertical="center" shrinkToFit="1"/>
    </xf>
    <xf numFmtId="177" fontId="34" fillId="0" borderId="14" xfId="0" applyNumberFormat="1" applyFont="1" applyBorder="1" applyAlignment="1">
      <alignment horizontal="center" vertical="center" shrinkToFit="1"/>
    </xf>
    <xf numFmtId="177" fontId="84" fillId="0" borderId="16" xfId="0" applyNumberFormat="1" applyFont="1" applyBorder="1" applyAlignment="1">
      <alignment vertical="center" wrapText="1" shrinkToFit="1"/>
    </xf>
    <xf numFmtId="177" fontId="8" fillId="2" borderId="14" xfId="0" applyNumberFormat="1" applyFont="1" applyFill="1" applyBorder="1" applyAlignment="1">
      <alignment horizontal="center" vertical="center"/>
    </xf>
    <xf numFmtId="177" fontId="84" fillId="0" borderId="14" xfId="0" applyNumberFormat="1" applyFont="1" applyBorder="1" applyAlignment="1">
      <alignment horizontal="left" vertical="center" wrapText="1" shrinkToFit="1"/>
    </xf>
    <xf numFmtId="0" fontId="65" fillId="30" borderId="0" xfId="2" applyFont="1" applyFill="1" applyBorder="1" applyAlignment="1">
      <alignment horizontal="center" vertical="center"/>
    </xf>
    <xf numFmtId="0" fontId="65" fillId="30" borderId="0" xfId="2" applyFont="1" applyFill="1" applyBorder="1" applyAlignment="1">
      <alignment horizontal="center" vertical="center" wrapText="1"/>
    </xf>
    <xf numFmtId="179" fontId="81" fillId="26" borderId="0" xfId="45" applyNumberFormat="1" applyFont="1" applyFill="1" applyBorder="1" applyAlignment="1">
      <alignment horizontal="right" vertical="center" shrinkToFit="1"/>
    </xf>
    <xf numFmtId="179" fontId="77" fillId="26" borderId="0" xfId="45" applyNumberFormat="1" applyFont="1" applyFill="1" applyBorder="1" applyAlignment="1">
      <alignment horizontal="right" vertical="center" shrinkToFit="1"/>
    </xf>
    <xf numFmtId="0" fontId="65" fillId="0" borderId="0" xfId="2" applyFont="1" applyBorder="1"/>
    <xf numFmtId="177" fontId="3" fillId="0" borderId="14" xfId="0" applyNumberFormat="1" applyFont="1" applyBorder="1" applyAlignment="1">
      <alignment horizontal="center" vertical="center" wrapText="1"/>
    </xf>
    <xf numFmtId="188" fontId="81" fillId="26" borderId="14" xfId="45" applyNumberFormat="1" applyFont="1" applyFill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/>
    </xf>
    <xf numFmtId="177" fontId="3" fillId="0" borderId="14" xfId="0" applyNumberFormat="1" applyFont="1" applyBorder="1">
      <alignment vertical="center"/>
    </xf>
    <xf numFmtId="177" fontId="4" fillId="29" borderId="14" xfId="0" applyNumberFormat="1" applyFont="1" applyFill="1" applyBorder="1" applyAlignment="1">
      <alignment horizontal="center" vertical="center" shrinkToFit="1"/>
    </xf>
    <xf numFmtId="177" fontId="3" fillId="0" borderId="0" xfId="0" applyNumberFormat="1" applyFont="1">
      <alignment vertical="center"/>
    </xf>
    <xf numFmtId="177" fontId="3" fillId="0" borderId="14" xfId="0" applyNumberFormat="1" applyFont="1" applyBorder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4" fillId="0" borderId="14" xfId="0" applyNumberFormat="1" applyFont="1" applyFill="1" applyBorder="1" applyAlignment="1">
      <alignment horizontal="center" vertical="center" shrinkToFit="1"/>
    </xf>
    <xf numFmtId="177" fontId="5" fillId="4" borderId="1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177" fontId="3" fillId="0" borderId="0" xfId="0" applyNumberFormat="1" applyFont="1">
      <alignment vertical="center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38" fillId="3" borderId="14" xfId="1" applyNumberFormat="1" applyFont="1" applyFill="1" applyBorder="1" applyAlignment="1">
      <alignment vertical="center" wrapText="1"/>
    </xf>
    <xf numFmtId="177" fontId="38" fillId="4" borderId="14" xfId="1" applyNumberFormat="1" applyFont="1" applyFill="1" applyBorder="1" applyAlignment="1">
      <alignment vertical="center" wrapText="1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left" vertical="center" shrinkToFit="1"/>
    </xf>
    <xf numFmtId="177" fontId="3" fillId="0" borderId="14" xfId="0" applyNumberFormat="1" applyFont="1" applyBorder="1">
      <alignment vertical="center"/>
    </xf>
    <xf numFmtId="177" fontId="5" fillId="4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right"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177" fontId="3" fillId="0" borderId="0" xfId="0" applyNumberFormat="1" applyFont="1">
      <alignment vertical="center"/>
    </xf>
    <xf numFmtId="177" fontId="4" fillId="0" borderId="14" xfId="1" applyNumberFormat="1" applyFont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Border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/>
    </xf>
    <xf numFmtId="177" fontId="4" fillId="0" borderId="14" xfId="0" applyNumberFormat="1" applyFont="1" applyFill="1" applyBorder="1">
      <alignment vertical="center"/>
    </xf>
    <xf numFmtId="177" fontId="5" fillId="4" borderId="14" xfId="1" applyNumberFormat="1" applyFont="1" applyFill="1" applyBorder="1" applyAlignment="1">
      <alignment horizontal="right" vertical="center" shrinkToFit="1"/>
    </xf>
    <xf numFmtId="177" fontId="3" fillId="0" borderId="0" xfId="0" applyNumberFormat="1" applyFont="1">
      <alignment vertical="center"/>
    </xf>
    <xf numFmtId="177" fontId="4" fillId="0" borderId="14" xfId="1" applyNumberFormat="1" applyFont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Border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/>
    </xf>
    <xf numFmtId="177" fontId="4" fillId="0" borderId="14" xfId="0" applyNumberFormat="1" applyFont="1" applyFill="1" applyBorder="1">
      <alignment vertical="center"/>
    </xf>
    <xf numFmtId="177" fontId="5" fillId="4" borderId="14" xfId="1" applyNumberFormat="1" applyFont="1" applyFill="1" applyBorder="1" applyAlignment="1">
      <alignment horizontal="right" vertical="center" shrinkToFit="1"/>
    </xf>
    <xf numFmtId="177" fontId="3" fillId="0" borderId="0" xfId="0" applyNumberFormat="1" applyFont="1">
      <alignment vertical="center"/>
    </xf>
    <xf numFmtId="177" fontId="4" fillId="0" borderId="14" xfId="1" applyNumberFormat="1" applyFont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Border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/>
    </xf>
    <xf numFmtId="177" fontId="4" fillId="0" borderId="14" xfId="0" applyNumberFormat="1" applyFont="1" applyFill="1" applyBorder="1">
      <alignment vertical="center"/>
    </xf>
    <xf numFmtId="177" fontId="3" fillId="0" borderId="0" xfId="0" applyNumberFormat="1" applyFont="1">
      <alignment vertical="center"/>
    </xf>
    <xf numFmtId="177" fontId="4" fillId="0" borderId="14" xfId="1" applyNumberFormat="1" applyFont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/>
    </xf>
    <xf numFmtId="177" fontId="3" fillId="0" borderId="18" xfId="0" applyNumberFormat="1" applyFont="1" applyBorder="1">
      <alignment vertical="center"/>
    </xf>
    <xf numFmtId="177" fontId="4" fillId="0" borderId="14" xfId="0" applyNumberFormat="1" applyFont="1" applyFill="1" applyBorder="1" applyAlignment="1">
      <alignment vertical="center" wrapText="1"/>
    </xf>
    <xf numFmtId="177" fontId="5" fillId="4" borderId="14" xfId="1" applyNumberFormat="1" applyFont="1" applyFill="1" applyBorder="1" applyAlignment="1">
      <alignment horizontal="right" vertical="center" shrinkToFit="1"/>
    </xf>
    <xf numFmtId="177" fontId="3" fillId="0" borderId="0" xfId="0" applyNumberFormat="1" applyFont="1">
      <alignment vertical="center"/>
    </xf>
    <xf numFmtId="177" fontId="4" fillId="0" borderId="14" xfId="1" applyNumberFormat="1" applyFont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Border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center" vertical="center" wrapText="1"/>
    </xf>
    <xf numFmtId="177" fontId="4" fillId="0" borderId="14" xfId="0" applyNumberFormat="1" applyFont="1" applyFill="1" applyBorder="1" applyAlignment="1">
      <alignment vertical="center" wrapText="1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177" fontId="5" fillId="4" borderId="14" xfId="1" applyNumberFormat="1" applyFont="1" applyFill="1" applyBorder="1" applyAlignment="1">
      <alignment vertical="center" wrapText="1" shrinkToFit="1"/>
    </xf>
    <xf numFmtId="177" fontId="3" fillId="0" borderId="0" xfId="0" applyNumberFormat="1" applyFont="1">
      <alignment vertical="center"/>
    </xf>
    <xf numFmtId="177" fontId="3" fillId="0" borderId="0" xfId="0" applyNumberFormat="1" applyFont="1" applyFill="1">
      <alignment vertical="center"/>
    </xf>
    <xf numFmtId="177" fontId="3" fillId="0" borderId="14" xfId="0" applyNumberFormat="1" applyFont="1" applyBorder="1">
      <alignment vertical="center"/>
    </xf>
    <xf numFmtId="177" fontId="38" fillId="4" borderId="14" xfId="1" applyNumberFormat="1" applyFont="1" applyFill="1" applyBorder="1" applyAlignment="1">
      <alignment vertical="center" wrapText="1"/>
    </xf>
    <xf numFmtId="177" fontId="5" fillId="4" borderId="14" xfId="1" applyNumberFormat="1" applyFont="1" applyFill="1" applyBorder="1" applyAlignment="1">
      <alignment horizontal="left" vertical="center"/>
    </xf>
    <xf numFmtId="177" fontId="3" fillId="0" borderId="0" xfId="0" applyNumberFormat="1" applyFont="1" applyFill="1">
      <alignment vertical="center"/>
    </xf>
    <xf numFmtId="177" fontId="3" fillId="0" borderId="0" xfId="0" applyNumberFormat="1" applyFont="1">
      <alignment vertical="center"/>
    </xf>
    <xf numFmtId="177" fontId="4" fillId="0" borderId="14" xfId="1" applyNumberFormat="1" applyFont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Border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/>
    </xf>
    <xf numFmtId="177" fontId="4" fillId="0" borderId="14" xfId="0" applyNumberFormat="1" applyFont="1" applyFill="1" applyBorder="1">
      <alignment vertical="center"/>
    </xf>
    <xf numFmtId="177" fontId="34" fillId="0" borderId="14" xfId="1" applyNumberFormat="1" applyFont="1" applyFill="1" applyBorder="1" applyAlignment="1">
      <alignment horizontal="right" vertical="center" shrinkToFit="1"/>
    </xf>
    <xf numFmtId="177" fontId="3" fillId="0" borderId="0" xfId="0" applyNumberFormat="1" applyFont="1">
      <alignment vertical="center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Border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/>
    </xf>
    <xf numFmtId="177" fontId="3" fillId="0" borderId="0" xfId="0" applyNumberFormat="1" applyFont="1">
      <alignment vertical="center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/>
    </xf>
    <xf numFmtId="177" fontId="5" fillId="4" borderId="14" xfId="1" applyNumberFormat="1" applyFont="1" applyFill="1" applyBorder="1" applyAlignment="1">
      <alignment horizontal="right" vertical="center" shrinkToFit="1"/>
    </xf>
    <xf numFmtId="177" fontId="3" fillId="0" borderId="0" xfId="0" applyNumberFormat="1" applyFont="1">
      <alignment vertical="center"/>
    </xf>
    <xf numFmtId="177" fontId="4" fillId="0" borderId="14" xfId="1" applyNumberFormat="1" applyFont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Border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/>
    </xf>
    <xf numFmtId="177" fontId="4" fillId="0" borderId="14" xfId="0" applyNumberFormat="1" applyFont="1" applyFill="1" applyBorder="1">
      <alignment vertical="center"/>
    </xf>
    <xf numFmtId="177" fontId="3" fillId="0" borderId="0" xfId="0" applyNumberFormat="1" applyFont="1">
      <alignment vertical="center"/>
    </xf>
    <xf numFmtId="177" fontId="4" fillId="0" borderId="14" xfId="1" applyNumberFormat="1" applyFont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Border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/>
    </xf>
    <xf numFmtId="177" fontId="3" fillId="0" borderId="18" xfId="0" applyNumberFormat="1" applyFont="1" applyBorder="1">
      <alignment vertical="center"/>
    </xf>
    <xf numFmtId="177" fontId="4" fillId="0" borderId="14" xfId="0" applyNumberFormat="1" applyFont="1" applyFill="1" applyBorder="1" applyAlignment="1">
      <alignment vertical="center" wrapText="1"/>
    </xf>
    <xf numFmtId="177" fontId="3" fillId="0" borderId="0" xfId="0" applyNumberFormat="1" applyFont="1">
      <alignment vertical="center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Border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/>
    </xf>
    <xf numFmtId="177" fontId="34" fillId="0" borderId="14" xfId="0" applyNumberFormat="1" applyFont="1" applyFill="1" applyBorder="1" applyAlignment="1">
      <alignment vertical="center" wrapText="1"/>
    </xf>
    <xf numFmtId="177" fontId="5" fillId="4" borderId="14" xfId="1" applyNumberFormat="1" applyFont="1" applyFill="1" applyBorder="1" applyAlignment="1">
      <alignment horizontal="right" vertical="center" shrinkToFit="1"/>
    </xf>
    <xf numFmtId="177" fontId="5" fillId="4" borderId="14" xfId="1" applyNumberFormat="1" applyFont="1" applyFill="1" applyBorder="1" applyAlignment="1">
      <alignment vertical="center" wrapText="1" shrinkToFit="1"/>
    </xf>
    <xf numFmtId="177" fontId="3" fillId="0" borderId="0" xfId="0" applyNumberFormat="1" applyFont="1">
      <alignment vertical="center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177" fontId="4" fillId="0" borderId="14" xfId="1" applyNumberFormat="1" applyFont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Border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4" fillId="0" borderId="1" xfId="1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/>
    </xf>
    <xf numFmtId="177" fontId="34" fillId="0" borderId="14" xfId="0" applyNumberFormat="1" applyFont="1" applyFill="1" applyBorder="1" applyAlignment="1">
      <alignment horizontal="left" vertical="center" wrapText="1"/>
    </xf>
    <xf numFmtId="177" fontId="3" fillId="0" borderId="0" xfId="0" applyNumberFormat="1" applyFont="1">
      <alignment vertical="center"/>
    </xf>
    <xf numFmtId="177" fontId="3" fillId="0" borderId="14" xfId="0" applyNumberFormat="1" applyFont="1" applyBorder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3" fillId="0" borderId="1" xfId="0" applyNumberFormat="1" applyFont="1" applyBorder="1">
      <alignment vertical="center"/>
    </xf>
    <xf numFmtId="177" fontId="34" fillId="0" borderId="14" xfId="1" applyNumberFormat="1" applyFont="1" applyFill="1" applyBorder="1" applyAlignment="1">
      <alignment horizontal="right" vertical="center" shrinkToFit="1"/>
    </xf>
    <xf numFmtId="177" fontId="60" fillId="0" borderId="14" xfId="0" applyNumberFormat="1" applyFont="1" applyFill="1" applyBorder="1" applyAlignment="1">
      <alignment horizontal="left" vertical="center" wrapText="1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177" fontId="3" fillId="0" borderId="0" xfId="0" applyNumberFormat="1" applyFont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177" fontId="3" fillId="0" borderId="0" xfId="0" applyNumberFormat="1" applyFont="1">
      <alignment vertical="center"/>
    </xf>
    <xf numFmtId="177" fontId="4" fillId="0" borderId="14" xfId="1" applyNumberFormat="1" applyFont="1" applyBorder="1" applyAlignment="1">
      <alignment horizontal="right" vertical="center" shrinkToFit="1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89" fontId="12" fillId="0" borderId="0" xfId="0" applyNumberFormat="1" applyFont="1" applyAlignment="1">
      <alignment vertical="center"/>
    </xf>
    <xf numFmtId="177" fontId="8" fillId="2" borderId="0" xfId="0" applyNumberFormat="1" applyFont="1" applyFill="1" applyBorder="1" applyAlignment="1">
      <alignment horizontal="center" vertical="center"/>
    </xf>
    <xf numFmtId="189" fontId="113" fillId="0" borderId="14" xfId="2" applyNumberFormat="1" applyFont="1" applyBorder="1" applyAlignment="1">
      <alignment horizontal="left" vertical="center" wrapText="1"/>
    </xf>
    <xf numFmtId="177" fontId="7" fillId="0" borderId="0" xfId="0" applyNumberFormat="1" applyFont="1" applyBorder="1" applyAlignment="1">
      <alignment horizontal="center" vertical="center" shrinkToFit="1"/>
    </xf>
    <xf numFmtId="189" fontId="110" fillId="3" borderId="14" xfId="46" applyNumberFormat="1" applyFont="1" applyFill="1" applyBorder="1" applyAlignment="1">
      <alignment horizontal="left" vertical="center" wrapText="1" shrinkToFit="1"/>
    </xf>
    <xf numFmtId="189" fontId="31" fillId="0" borderId="0" xfId="0" applyNumberFormat="1" applyFont="1" applyAlignment="1">
      <alignment horizontal="right" vertical="center"/>
    </xf>
    <xf numFmtId="189" fontId="38" fillId="3" borderId="14" xfId="2" applyNumberFormat="1" applyFont="1" applyFill="1" applyBorder="1" applyAlignment="1">
      <alignment horizontal="left" vertical="center"/>
    </xf>
    <xf numFmtId="189" fontId="110" fillId="0" borderId="14" xfId="2" applyNumberFormat="1" applyFont="1" applyBorder="1" applyAlignment="1">
      <alignment horizontal="center" vertical="center"/>
    </xf>
    <xf numFmtId="189" fontId="3" fillId="0" borderId="0" xfId="0" applyNumberFormat="1" applyFont="1" applyFill="1">
      <alignment vertical="center"/>
    </xf>
    <xf numFmtId="189" fontId="11" fillId="0" borderId="0" xfId="0" applyNumberFormat="1" applyFont="1" applyAlignment="1">
      <alignment vertical="center"/>
    </xf>
    <xf numFmtId="189" fontId="3" fillId="0" borderId="0" xfId="0" applyNumberFormat="1" applyFont="1" applyAlignment="1">
      <alignment horizontal="center" vertical="center"/>
    </xf>
    <xf numFmtId="189" fontId="3" fillId="0" borderId="0" xfId="0" applyNumberFormat="1" applyFont="1">
      <alignment vertical="center"/>
    </xf>
    <xf numFmtId="189" fontId="112" fillId="3" borderId="14" xfId="46" applyNumberFormat="1" applyFont="1" applyFill="1" applyBorder="1" applyAlignment="1">
      <alignment vertical="center"/>
    </xf>
    <xf numFmtId="189" fontId="113" fillId="0" borderId="14" xfId="2" applyNumberFormat="1" applyFont="1" applyBorder="1" applyAlignment="1">
      <alignment horizontal="justify" vertical="center" wrapText="1"/>
    </xf>
    <xf numFmtId="189" fontId="111" fillId="3" borderId="14" xfId="46" applyNumberFormat="1" applyFont="1" applyFill="1" applyBorder="1" applyAlignment="1">
      <alignment horizontal="right" vertical="center" shrinkToFit="1"/>
    </xf>
    <xf numFmtId="189" fontId="5" fillId="0" borderId="14" xfId="2" applyNumberFormat="1" applyFont="1" applyFill="1" applyBorder="1" applyAlignment="1">
      <alignment horizontal="center" vertical="center"/>
    </xf>
    <xf numFmtId="189" fontId="111" fillId="0" borderId="14" xfId="46" applyNumberFormat="1" applyFont="1" applyFill="1" applyBorder="1" applyAlignment="1">
      <alignment vertical="center"/>
    </xf>
    <xf numFmtId="189" fontId="5" fillId="0" borderId="14" xfId="2" applyNumberFormat="1" applyFont="1" applyFill="1" applyBorder="1" applyAlignment="1">
      <alignment vertical="center"/>
    </xf>
    <xf numFmtId="189" fontId="109" fillId="3" borderId="14" xfId="2" applyNumberFormat="1" applyFont="1" applyFill="1" applyBorder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177" fontId="3" fillId="0" borderId="0" xfId="0" applyNumberFormat="1" applyFont="1">
      <alignment vertical="center"/>
    </xf>
    <xf numFmtId="177" fontId="3" fillId="0" borderId="0" xfId="0" applyNumberFormat="1" applyFont="1" applyAlignment="1">
      <alignment horizontal="center" vertical="center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Border="1">
      <alignment vertical="center"/>
    </xf>
    <xf numFmtId="177" fontId="4" fillId="0" borderId="1" xfId="1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 shrinkToFit="1"/>
    </xf>
    <xf numFmtId="177" fontId="5" fillId="4" borderId="14" xfId="1" applyNumberFormat="1" applyFont="1" applyFill="1" applyBorder="1" applyAlignment="1">
      <alignment horizontal="left" vertical="center" wrapText="1"/>
    </xf>
    <xf numFmtId="177" fontId="5" fillId="3" borderId="0" xfId="1" applyNumberFormat="1" applyFont="1" applyFill="1" applyBorder="1" applyAlignment="1">
      <alignment horizontal="center" vertical="center" shrinkToFit="1"/>
    </xf>
    <xf numFmtId="177" fontId="5" fillId="4" borderId="0" xfId="1" applyNumberFormat="1" applyFont="1" applyFill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177" fontId="34" fillId="0" borderId="14" xfId="1" applyNumberFormat="1" applyFont="1" applyFill="1" applyBorder="1" applyAlignment="1">
      <alignment horizontal="right" vertical="center" shrinkToFit="1"/>
    </xf>
    <xf numFmtId="177" fontId="34" fillId="0" borderId="14" xfId="1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center" vertical="center" shrinkToFit="1"/>
    </xf>
    <xf numFmtId="177" fontId="3" fillId="0" borderId="0" xfId="0" applyNumberFormat="1" applyFont="1" applyAlignment="1">
      <alignment horizontal="center" vertical="center"/>
    </xf>
    <xf numFmtId="177" fontId="4" fillId="0" borderId="14" xfId="0" applyNumberFormat="1" applyFont="1" applyBorder="1" applyAlignment="1">
      <alignment vertical="center" shrinkToFit="1"/>
    </xf>
    <xf numFmtId="177" fontId="4" fillId="0" borderId="14" xfId="0" applyNumberFormat="1" applyFont="1" applyFill="1" applyBorder="1" applyAlignment="1">
      <alignment horizontal="center" vertical="center" shrinkToFit="1"/>
    </xf>
    <xf numFmtId="177" fontId="4" fillId="0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177" fontId="34" fillId="0" borderId="14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177" fontId="4" fillId="27" borderId="14" xfId="0" applyNumberFormat="1" applyFont="1" applyFill="1" applyBorder="1" applyAlignment="1">
      <alignment vertical="center" shrinkToFit="1"/>
    </xf>
    <xf numFmtId="177" fontId="3" fillId="0" borderId="14" xfId="0" applyNumberFormat="1" applyFont="1" applyFill="1" applyBorder="1">
      <alignment vertical="center"/>
    </xf>
    <xf numFmtId="177" fontId="3" fillId="0" borderId="0" xfId="0" applyNumberFormat="1" applyFont="1">
      <alignment vertical="center"/>
    </xf>
    <xf numFmtId="177" fontId="4" fillId="0" borderId="14" xfId="1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/>
    </xf>
    <xf numFmtId="177" fontId="4" fillId="0" borderId="14" xfId="0" applyNumberFormat="1" applyFont="1" applyBorder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center" vertical="center" shrinkToFit="1"/>
    </xf>
    <xf numFmtId="177" fontId="84" fillId="0" borderId="14" xfId="0" applyNumberFormat="1" applyFont="1" applyBorder="1" applyAlignment="1">
      <alignment horizontal="left" vertical="center" wrapText="1" shrinkToFit="1"/>
    </xf>
    <xf numFmtId="177" fontId="4" fillId="54" borderId="14" xfId="0" applyNumberFormat="1" applyFont="1" applyFill="1" applyBorder="1" applyAlignment="1">
      <alignment horizontal="center" vertical="center" shrinkToFit="1"/>
    </xf>
    <xf numFmtId="177" fontId="4" fillId="54" borderId="14" xfId="0" applyNumberFormat="1" applyFont="1" applyFill="1" applyBorder="1" applyAlignment="1">
      <alignment horizontal="right" vertical="center" shrinkToFit="1"/>
    </xf>
    <xf numFmtId="177" fontId="4" fillId="27" borderId="14" xfId="0" applyNumberFormat="1" applyFont="1" applyFill="1" applyBorder="1" applyAlignment="1">
      <alignment horizontal="center" vertical="center" shrinkToFit="1"/>
    </xf>
    <xf numFmtId="177" fontId="3" fillId="0" borderId="14" xfId="0" applyNumberFormat="1" applyFont="1" applyBorder="1" applyAlignment="1">
      <alignment horizontal="center" vertical="center" shrinkToFit="1"/>
    </xf>
    <xf numFmtId="177" fontId="84" fillId="27" borderId="14" xfId="0" applyNumberFormat="1" applyFont="1" applyFill="1" applyBorder="1" applyAlignment="1">
      <alignment horizontal="right" vertical="center" wrapText="1" shrinkToFit="1"/>
    </xf>
    <xf numFmtId="177" fontId="31" fillId="0" borderId="0" xfId="0" applyNumberFormat="1" applyFont="1" applyFill="1">
      <alignment vertical="center"/>
    </xf>
    <xf numFmtId="177" fontId="3" fillId="0" borderId="0" xfId="0" applyNumberFormat="1" applyFont="1">
      <alignment vertical="center"/>
    </xf>
    <xf numFmtId="177" fontId="4" fillId="0" borderId="14" xfId="1" applyNumberFormat="1" applyFont="1" applyBorder="1" applyAlignment="1">
      <alignment horizontal="right" vertical="center" shrinkToFit="1"/>
    </xf>
    <xf numFmtId="177" fontId="3" fillId="0" borderId="14" xfId="0" applyNumberFormat="1" applyFont="1" applyBorder="1">
      <alignment vertical="center"/>
    </xf>
    <xf numFmtId="177" fontId="4" fillId="0" borderId="14" xfId="0" applyNumberFormat="1" applyFont="1" applyBorder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7" fontId="3" fillId="0" borderId="14" xfId="0" applyNumberFormat="1" applyFont="1" applyBorder="1" applyAlignment="1">
      <alignment horizontal="center" vertical="center"/>
    </xf>
    <xf numFmtId="177" fontId="84" fillId="0" borderId="14" xfId="0" applyNumberFormat="1" applyFont="1" applyBorder="1" applyAlignment="1">
      <alignment horizontal="left" vertical="center" wrapText="1"/>
    </xf>
    <xf numFmtId="177" fontId="3" fillId="0" borderId="0" xfId="0" applyNumberFormat="1" applyFont="1">
      <alignment vertical="center"/>
    </xf>
    <xf numFmtId="177" fontId="4" fillId="26" borderId="14" xfId="1" applyNumberFormat="1" applyFont="1" applyFill="1" applyBorder="1" applyAlignment="1">
      <alignment horizontal="right" vertical="center" shrinkToFit="1"/>
    </xf>
    <xf numFmtId="177" fontId="4" fillId="27" borderId="14" xfId="0" applyNumberFormat="1" applyFont="1" applyFill="1" applyBorder="1" applyAlignment="1">
      <alignment horizontal="center" vertical="center"/>
    </xf>
    <xf numFmtId="177" fontId="4" fillId="27" borderId="14" xfId="0" applyNumberFormat="1" applyFont="1" applyFill="1" applyBorder="1">
      <alignment vertical="center"/>
    </xf>
    <xf numFmtId="177" fontId="4" fillId="27" borderId="14" xfId="1" applyNumberFormat="1" applyFont="1" applyFill="1" applyBorder="1" applyAlignment="1">
      <alignment horizontal="right" vertical="center" shrinkToFit="1"/>
    </xf>
    <xf numFmtId="177" fontId="4" fillId="27" borderId="14" xfId="0" applyNumberFormat="1" applyFont="1" applyFill="1" applyBorder="1" applyAlignment="1">
      <alignment horizontal="right" vertical="center" shrinkToFit="1"/>
    </xf>
    <xf numFmtId="177" fontId="4" fillId="55" borderId="14" xfId="0" applyNumberFormat="1" applyFont="1" applyFill="1" applyBorder="1" applyAlignment="1">
      <alignment horizontal="center" vertical="center" shrinkToFit="1"/>
    </xf>
    <xf numFmtId="177" fontId="4" fillId="55" borderId="14" xfId="0" applyNumberFormat="1" applyFont="1" applyFill="1" applyBorder="1" applyAlignment="1">
      <alignment horizontal="right" vertical="center" shrinkToFit="1"/>
    </xf>
    <xf numFmtId="177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89" fontId="113" fillId="0" borderId="14" xfId="0" applyNumberFormat="1" applyFont="1" applyFill="1" applyBorder="1" applyAlignment="1">
      <alignment horizontal="left" vertical="center" wrapText="1"/>
    </xf>
    <xf numFmtId="189" fontId="113" fillId="0" borderId="14" xfId="0" applyNumberFormat="1" applyFont="1" applyFill="1" applyBorder="1" applyAlignment="1">
      <alignment horizontal="left" vertical="center" wrapText="1" shrinkToFit="1"/>
    </xf>
    <xf numFmtId="189" fontId="113" fillId="0" borderId="14" xfId="46" applyNumberFormat="1" applyFont="1" applyFill="1" applyBorder="1" applyAlignment="1">
      <alignment horizontal="left" vertical="center" wrapText="1"/>
    </xf>
    <xf numFmtId="189" fontId="34" fillId="0" borderId="14" xfId="0" applyNumberFormat="1" applyFont="1" applyFill="1" applyBorder="1" applyAlignment="1">
      <alignment vertical="center" wrapText="1"/>
    </xf>
    <xf numFmtId="189" fontId="34" fillId="0" borderId="14" xfId="1" applyNumberFormat="1" applyFont="1" applyFill="1" applyBorder="1" applyAlignment="1">
      <alignment horizontal="right" vertical="center" shrinkToFit="1"/>
    </xf>
    <xf numFmtId="189" fontId="114" fillId="0" borderId="14" xfId="0" applyNumberFormat="1" applyFont="1" applyFill="1" applyBorder="1" applyAlignment="1">
      <alignment horizontal="left" vertical="center" wrapText="1"/>
    </xf>
    <xf numFmtId="189" fontId="114" fillId="0" borderId="14" xfId="46" applyNumberFormat="1" applyFont="1" applyFill="1" applyBorder="1" applyAlignment="1">
      <alignment horizontal="left" vertical="center" wrapText="1"/>
    </xf>
    <xf numFmtId="189" fontId="114" fillId="0" borderId="14" xfId="46" applyNumberFormat="1" applyFont="1" applyFill="1" applyBorder="1" applyAlignment="1">
      <alignment vertical="center" shrinkToFit="1"/>
    </xf>
    <xf numFmtId="189" fontId="114" fillId="0" borderId="14" xfId="46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center" vertical="center"/>
    </xf>
    <xf numFmtId="177" fontId="8" fillId="2" borderId="14" xfId="0" applyNumberFormat="1" applyFont="1" applyFill="1" applyBorder="1" applyAlignment="1">
      <alignment horizontal="center" vertical="center"/>
    </xf>
    <xf numFmtId="0" fontId="63" fillId="0" borderId="0" xfId="2" applyFont="1" applyAlignment="1">
      <alignment horizontal="center" vertical="center" wrapText="1"/>
    </xf>
    <xf numFmtId="0" fontId="65" fillId="30" borderId="14" xfId="2" applyFont="1" applyFill="1" applyBorder="1" applyAlignment="1">
      <alignment horizontal="center" vertical="center"/>
    </xf>
    <xf numFmtId="177" fontId="84" fillId="0" borderId="16" xfId="0" applyNumberFormat="1" applyFont="1" applyBorder="1" applyAlignment="1">
      <alignment horizontal="left" vertical="center" wrapText="1" shrinkToFit="1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4" fillId="0" borderId="20" xfId="2" applyFont="1" applyBorder="1" applyAlignment="1">
      <alignment horizontal="center" vertical="center"/>
    </xf>
    <xf numFmtId="176" fontId="34" fillId="0" borderId="14" xfId="1" applyNumberFormat="1" applyFont="1" applyFill="1" applyBorder="1" applyAlignment="1">
      <alignment horizontal="right" vertical="center" shrinkToFit="1"/>
    </xf>
    <xf numFmtId="41" fontId="36" fillId="0" borderId="14" xfId="0" applyNumberFormat="1" applyFont="1" applyFill="1" applyBorder="1">
      <alignment vertical="center"/>
    </xf>
    <xf numFmtId="0" fontId="36" fillId="55" borderId="14" xfId="0" applyFont="1" applyFill="1" applyBorder="1" applyAlignment="1">
      <alignment horizontal="center" vertical="center" wrapText="1"/>
    </xf>
    <xf numFmtId="0" fontId="36" fillId="55" borderId="14" xfId="0" applyFont="1" applyFill="1" applyBorder="1">
      <alignment vertical="center"/>
    </xf>
    <xf numFmtId="176" fontId="34" fillId="55" borderId="14" xfId="0" applyNumberFormat="1" applyFont="1" applyFill="1" applyBorder="1" applyAlignment="1">
      <alignment horizontal="center" vertical="center" shrinkToFit="1"/>
    </xf>
    <xf numFmtId="0" fontId="36" fillId="0" borderId="14" xfId="0" applyFont="1" applyFill="1" applyBorder="1">
      <alignment vertical="center"/>
    </xf>
    <xf numFmtId="0" fontId="36" fillId="0" borderId="14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vertical="center" wrapText="1"/>
    </xf>
    <xf numFmtId="178" fontId="36" fillId="0" borderId="14" xfId="0" applyNumberFormat="1" applyFont="1" applyFill="1" applyBorder="1">
      <alignment vertical="center"/>
    </xf>
    <xf numFmtId="177" fontId="34" fillId="0" borderId="14" xfId="1" applyNumberFormat="1" applyFont="1" applyFill="1" applyBorder="1" applyAlignment="1">
      <alignment horizontal="right" vertical="center" wrapText="1"/>
    </xf>
    <xf numFmtId="177" fontId="39" fillId="0" borderId="14" xfId="0" applyNumberFormat="1" applyFont="1" applyFill="1" applyBorder="1" applyAlignment="1">
      <alignment horizontal="left" vertical="center" wrapText="1" shrinkToFit="1"/>
    </xf>
    <xf numFmtId="0" fontId="112" fillId="0" borderId="14" xfId="0" applyFont="1" applyFill="1" applyBorder="1" applyAlignment="1">
      <alignment horizontal="left" vertical="center" wrapText="1" shrinkToFit="1"/>
    </xf>
    <xf numFmtId="177" fontId="119" fillId="0" borderId="0" xfId="0" applyNumberFormat="1" applyFont="1" applyFill="1" applyAlignment="1">
      <alignment vertical="center" shrinkToFit="1"/>
    </xf>
    <xf numFmtId="177" fontId="36" fillId="0" borderId="0" xfId="0" applyNumberFormat="1" applyFont="1">
      <alignment vertical="center"/>
    </xf>
    <xf numFmtId="0" fontId="64" fillId="0" borderId="47" xfId="2" applyFont="1" applyBorder="1" applyAlignment="1">
      <alignment horizontal="center" vertical="center"/>
    </xf>
    <xf numFmtId="41" fontId="64" fillId="0" borderId="14" xfId="45" applyFont="1" applyBorder="1" applyAlignment="1">
      <alignment horizontal="right" vertical="center"/>
    </xf>
    <xf numFmtId="177" fontId="68" fillId="0" borderId="14" xfId="45" applyNumberFormat="1" applyFont="1" applyFill="1" applyBorder="1" applyAlignment="1">
      <alignment horizontal="right" vertical="center" shrinkToFit="1"/>
    </xf>
    <xf numFmtId="41" fontId="64" fillId="0" borderId="48" xfId="45" applyFont="1" applyBorder="1" applyAlignment="1">
      <alignment horizontal="right" vertical="center"/>
    </xf>
    <xf numFmtId="0" fontId="64" fillId="0" borderId="47" xfId="2" applyFont="1" applyBorder="1" applyAlignment="1">
      <alignment horizontal="center" vertical="center" wrapText="1"/>
    </xf>
    <xf numFmtId="185" fontId="69" fillId="30" borderId="21" xfId="2" applyNumberFormat="1" applyFont="1" applyFill="1" applyBorder="1" applyAlignment="1">
      <alignment vertical="center"/>
    </xf>
    <xf numFmtId="41" fontId="64" fillId="0" borderId="21" xfId="2" applyNumberFormat="1" applyFont="1" applyBorder="1" applyAlignment="1">
      <alignment horizontal="center" vertical="center"/>
    </xf>
    <xf numFmtId="186" fontId="70" fillId="0" borderId="0" xfId="2" applyNumberFormat="1" applyFont="1" applyBorder="1" applyAlignment="1">
      <alignment vertical="center"/>
    </xf>
    <xf numFmtId="0" fontId="71" fillId="13" borderId="0" xfId="2" applyFont="1" applyFill="1" applyBorder="1" applyAlignment="1">
      <alignment vertical="center" wrapText="1"/>
    </xf>
    <xf numFmtId="41" fontId="64" fillId="0" borderId="0" xfId="45" applyFont="1" applyBorder="1" applyAlignment="1">
      <alignment vertical="center"/>
    </xf>
    <xf numFmtId="185" fontId="64" fillId="0" borderId="0" xfId="2" applyNumberFormat="1" applyFont="1" applyBorder="1" applyAlignment="1">
      <alignment vertical="center"/>
    </xf>
    <xf numFmtId="0" fontId="64" fillId="0" borderId="47" xfId="2" applyFont="1" applyFill="1" applyBorder="1" applyAlignment="1">
      <alignment horizontal="center" vertical="center"/>
    </xf>
    <xf numFmtId="41" fontId="72" fillId="0" borderId="14" xfId="45" applyFont="1" applyBorder="1" applyAlignment="1">
      <alignment horizontal="right" vertical="center"/>
    </xf>
    <xf numFmtId="0" fontId="64" fillId="0" borderId="49" xfId="2" applyFont="1" applyBorder="1" applyAlignment="1">
      <alignment horizontal="center" vertical="center"/>
    </xf>
    <xf numFmtId="41" fontId="120" fillId="0" borderId="0" xfId="2" applyNumberFormat="1" applyFont="1"/>
    <xf numFmtId="0" fontId="70" fillId="0" borderId="0" xfId="2" applyFont="1" applyAlignment="1">
      <alignment wrapText="1"/>
    </xf>
    <xf numFmtId="41" fontId="64" fillId="0" borderId="14" xfId="45" applyFont="1" applyFill="1" applyBorder="1" applyAlignment="1">
      <alignment horizontal="right" vertical="center"/>
    </xf>
    <xf numFmtId="0" fontId="72" fillId="0" borderId="47" xfId="2" applyFont="1" applyFill="1" applyBorder="1" applyAlignment="1">
      <alignment horizontal="center" vertical="center"/>
    </xf>
    <xf numFmtId="41" fontId="72" fillId="0" borderId="14" xfId="45" applyFont="1" applyFill="1" applyBorder="1" applyAlignment="1">
      <alignment horizontal="right" vertical="center"/>
    </xf>
    <xf numFmtId="0" fontId="64" fillId="0" borderId="33" xfId="2" applyFont="1" applyFill="1" applyBorder="1" applyAlignment="1">
      <alignment horizontal="center" vertical="center"/>
    </xf>
    <xf numFmtId="41" fontId="64" fillId="0" borderId="50" xfId="45" applyFont="1" applyFill="1" applyBorder="1" applyAlignment="1">
      <alignment horizontal="right" vertical="center"/>
    </xf>
    <xf numFmtId="177" fontId="68" fillId="0" borderId="50" xfId="45" applyNumberFormat="1" applyFont="1" applyFill="1" applyBorder="1" applyAlignment="1">
      <alignment horizontal="right" vertical="center" shrinkToFit="1"/>
    </xf>
    <xf numFmtId="41" fontId="64" fillId="0" borderId="34" xfId="45" applyFont="1" applyBorder="1" applyAlignment="1">
      <alignment horizontal="right" vertical="center"/>
    </xf>
    <xf numFmtId="0" fontId="64" fillId="0" borderId="33" xfId="2" applyFont="1" applyBorder="1" applyAlignment="1">
      <alignment horizontal="center" vertical="center"/>
    </xf>
    <xf numFmtId="41" fontId="64" fillId="0" borderId="50" xfId="45" applyFont="1" applyBorder="1" applyAlignment="1">
      <alignment horizontal="right" vertical="center"/>
    </xf>
    <xf numFmtId="41" fontId="65" fillId="0" borderId="0" xfId="2" applyNumberFormat="1" applyFont="1"/>
    <xf numFmtId="41" fontId="64" fillId="0" borderId="0" xfId="2" applyNumberFormat="1" applyFont="1"/>
    <xf numFmtId="178" fontId="121" fillId="0" borderId="14" xfId="2" applyNumberFormat="1" applyFont="1" applyFill="1" applyBorder="1" applyAlignment="1"/>
    <xf numFmtId="0" fontId="75" fillId="0" borderId="36" xfId="2" applyNumberFormat="1" applyFont="1" applyFill="1" applyBorder="1" applyAlignment="1">
      <alignment vertical="center"/>
    </xf>
    <xf numFmtId="0" fontId="5" fillId="0" borderId="14" xfId="2" applyNumberFormat="1" applyFont="1" applyFill="1" applyBorder="1" applyAlignment="1">
      <alignment horizontal="center" vertical="center"/>
    </xf>
    <xf numFmtId="178" fontId="75" fillId="0" borderId="17" xfId="2" applyNumberFormat="1" applyFont="1" applyFill="1" applyBorder="1" applyAlignment="1">
      <alignment vertical="center"/>
    </xf>
    <xf numFmtId="41" fontId="65" fillId="0" borderId="14" xfId="45" applyFont="1" applyBorder="1" applyAlignment="1">
      <alignment vertical="center"/>
    </xf>
    <xf numFmtId="178" fontId="121" fillId="0" borderId="14" xfId="2" applyNumberFormat="1" applyFont="1" applyFill="1" applyBorder="1" applyAlignment="1">
      <alignment vertical="center"/>
    </xf>
    <xf numFmtId="178" fontId="65" fillId="0" borderId="14" xfId="2" applyNumberFormat="1" applyFont="1" applyBorder="1" applyAlignment="1">
      <alignment vertical="center"/>
    </xf>
    <xf numFmtId="178" fontId="75" fillId="2" borderId="17" xfId="2" applyNumberFormat="1" applyFont="1" applyFill="1" applyBorder="1" applyAlignment="1">
      <alignment vertical="center"/>
    </xf>
    <xf numFmtId="41" fontId="65" fillId="2" borderId="14" xfId="45" applyFont="1" applyFill="1" applyBorder="1" applyAlignment="1">
      <alignment vertical="center"/>
    </xf>
    <xf numFmtId="178" fontId="65" fillId="2" borderId="14" xfId="2" applyNumberFormat="1" applyFont="1" applyFill="1" applyBorder="1" applyAlignment="1">
      <alignment vertical="center"/>
    </xf>
    <xf numFmtId="177" fontId="65" fillId="0" borderId="0" xfId="2" applyNumberFormat="1" applyFont="1"/>
    <xf numFmtId="177" fontId="3" fillId="0" borderId="14" xfId="0" applyNumberFormat="1" applyFont="1" applyFill="1" applyBorder="1" applyAlignment="1">
      <alignment vertical="center" wrapText="1"/>
    </xf>
    <xf numFmtId="177" fontId="3" fillId="0" borderId="0" xfId="0" applyNumberFormat="1" applyFont="1" applyBorder="1">
      <alignment vertical="center"/>
    </xf>
    <xf numFmtId="43" fontId="65" fillId="0" borderId="0" xfId="2" applyNumberFormat="1" applyFont="1"/>
    <xf numFmtId="41" fontId="65" fillId="0" borderId="0" xfId="1" applyFont="1" applyAlignment="1"/>
    <xf numFmtId="177" fontId="119" fillId="0" borderId="0" xfId="0" applyNumberFormat="1" applyFont="1" applyFill="1" applyAlignment="1">
      <alignment horizontal="center" vertical="center" shrinkToFit="1"/>
    </xf>
    <xf numFmtId="177" fontId="4" fillId="26" borderId="14" xfId="1" applyNumberFormat="1" applyFont="1" applyFill="1" applyBorder="1" applyAlignment="1">
      <alignment horizontal="center" vertical="center" shrinkToFit="1"/>
    </xf>
    <xf numFmtId="177" fontId="4" fillId="0" borderId="14" xfId="1" applyNumberFormat="1" applyFont="1" applyFill="1" applyBorder="1" applyAlignment="1">
      <alignment horizontal="center" vertical="center" shrinkToFit="1"/>
    </xf>
    <xf numFmtId="177" fontId="4" fillId="26" borderId="15" xfId="1" applyNumberFormat="1" applyFont="1" applyFill="1" applyBorder="1" applyAlignment="1">
      <alignment horizontal="center" vertical="center" shrinkToFit="1"/>
    </xf>
    <xf numFmtId="177" fontId="4" fillId="26" borderId="18" xfId="1" applyNumberFormat="1" applyFont="1" applyFill="1" applyBorder="1" applyAlignment="1">
      <alignment horizontal="center" vertical="center" shrinkToFit="1"/>
    </xf>
    <xf numFmtId="177" fontId="4" fillId="26" borderId="16" xfId="1" applyNumberFormat="1" applyFont="1" applyFill="1" applyBorder="1" applyAlignment="1">
      <alignment horizontal="center" vertical="center" shrinkToFit="1"/>
    </xf>
    <xf numFmtId="0" fontId="123" fillId="0" borderId="0" xfId="2" applyFont="1" applyAlignment="1">
      <alignment vertical="center"/>
    </xf>
    <xf numFmtId="177" fontId="123" fillId="0" borderId="0" xfId="2" applyNumberFormat="1" applyFont="1" applyAlignment="1">
      <alignment horizontal="left" vertical="center"/>
    </xf>
    <xf numFmtId="185" fontId="123" fillId="0" borderId="0" xfId="2" applyNumberFormat="1" applyFont="1" applyAlignment="1">
      <alignment vertical="center"/>
    </xf>
    <xf numFmtId="189" fontId="64" fillId="2" borderId="14" xfId="2" applyNumberFormat="1" applyFont="1" applyFill="1" applyBorder="1" applyAlignment="1">
      <alignment horizontal="center" vertical="center"/>
    </xf>
    <xf numFmtId="189" fontId="64" fillId="2" borderId="14" xfId="2" applyNumberFormat="1" applyFont="1" applyFill="1" applyBorder="1" applyAlignment="1">
      <alignment horizontal="center" vertical="center" wrapText="1"/>
    </xf>
    <xf numFmtId="189" fontId="111" fillId="0" borderId="14" xfId="46" applyNumberFormat="1" applyFont="1" applyFill="1" applyBorder="1" applyAlignment="1">
      <alignment vertical="center" shrinkToFit="1"/>
    </xf>
    <xf numFmtId="189" fontId="111" fillId="3" borderId="14" xfId="46" applyNumberFormat="1" applyFont="1" applyFill="1" applyBorder="1" applyAlignment="1">
      <alignment vertical="center" shrinkToFit="1"/>
    </xf>
    <xf numFmtId="189" fontId="114" fillId="0" borderId="14" xfId="2" applyNumberFormat="1" applyFont="1" applyBorder="1" applyAlignment="1">
      <alignment vertical="center" shrinkToFit="1"/>
    </xf>
    <xf numFmtId="189" fontId="114" fillId="0" borderId="14" xfId="2" applyNumberFormat="1" applyFont="1" applyBorder="1" applyAlignment="1">
      <alignment horizontal="right" vertical="center" shrinkToFit="1"/>
    </xf>
    <xf numFmtId="0" fontId="4" fillId="0" borderId="14" xfId="0" quotePrefix="1" applyFont="1" applyFill="1" applyBorder="1" applyAlignment="1">
      <alignment horizontal="left" vertical="center" wrapText="1" shrinkToFit="1"/>
    </xf>
    <xf numFmtId="189" fontId="113" fillId="0" borderId="0" xfId="2" applyNumberFormat="1" applyFont="1" applyBorder="1" applyAlignment="1">
      <alignment horizontal="left" vertical="center" wrapText="1"/>
    </xf>
    <xf numFmtId="189" fontId="113" fillId="0" borderId="0" xfId="2" applyNumberFormat="1" applyFont="1" applyBorder="1" applyAlignment="1">
      <alignment horizontal="justify" vertical="center" wrapText="1"/>
    </xf>
    <xf numFmtId="189" fontId="114" fillId="0" borderId="0" xfId="2" applyNumberFormat="1" applyFont="1" applyBorder="1" applyAlignment="1">
      <alignment vertical="center" shrinkToFit="1"/>
    </xf>
    <xf numFmtId="189" fontId="114" fillId="0" borderId="0" xfId="2" applyNumberFormat="1" applyFont="1" applyBorder="1" applyAlignment="1">
      <alignment horizontal="right" vertical="center" shrinkToFit="1"/>
    </xf>
    <xf numFmtId="189" fontId="113" fillId="0" borderId="0" xfId="2" applyNumberFormat="1" applyFont="1" applyFill="1" applyBorder="1" applyAlignment="1">
      <alignment horizontal="left" vertical="center" wrapText="1"/>
    </xf>
    <xf numFmtId="189" fontId="111" fillId="0" borderId="14" xfId="46" applyNumberFormat="1" applyFont="1" applyFill="1" applyBorder="1" applyAlignment="1">
      <alignment horizontal="right" vertical="center" shrinkToFit="1"/>
    </xf>
    <xf numFmtId="177" fontId="119" fillId="0" borderId="14" xfId="0" applyNumberFormat="1" applyFont="1" applyBorder="1">
      <alignment vertical="center"/>
    </xf>
    <xf numFmtId="177" fontId="119" fillId="0" borderId="14" xfId="0" applyNumberFormat="1" applyFont="1" applyFill="1" applyBorder="1">
      <alignment vertical="center"/>
    </xf>
    <xf numFmtId="177" fontId="124" fillId="3" borderId="14" xfId="1" applyNumberFormat="1" applyFont="1" applyFill="1" applyBorder="1" applyAlignment="1">
      <alignment horizontal="center" vertical="center" shrinkToFit="1"/>
    </xf>
    <xf numFmtId="177" fontId="119" fillId="27" borderId="14" xfId="0" applyNumberFormat="1" applyFont="1" applyFill="1" applyBorder="1">
      <alignment vertical="center"/>
    </xf>
    <xf numFmtId="177" fontId="124" fillId="27" borderId="14" xfId="1" applyNumberFormat="1" applyFont="1" applyFill="1" applyBorder="1" applyAlignment="1">
      <alignment vertical="center"/>
    </xf>
    <xf numFmtId="0" fontId="119" fillId="0" borderId="14" xfId="0" applyFont="1" applyFill="1" applyBorder="1">
      <alignment vertical="center"/>
    </xf>
    <xf numFmtId="189" fontId="113" fillId="0" borderId="14" xfId="2" applyNumberFormat="1" applyFont="1" applyFill="1" applyBorder="1" applyAlignment="1">
      <alignment horizontal="left" vertical="center" wrapText="1"/>
    </xf>
    <xf numFmtId="41" fontId="64" fillId="0" borderId="14" xfId="45" applyFont="1" applyBorder="1" applyAlignment="1">
      <alignment horizontal="right" vertical="center" shrinkToFit="1"/>
    </xf>
    <xf numFmtId="41" fontId="64" fillId="0" borderId="48" xfId="45" applyFont="1" applyBorder="1" applyAlignment="1">
      <alignment horizontal="right" vertical="center" shrinkToFit="1"/>
    </xf>
    <xf numFmtId="41" fontId="72" fillId="0" borderId="14" xfId="45" applyFont="1" applyBorder="1" applyAlignment="1">
      <alignment horizontal="right" vertical="center" shrinkToFit="1"/>
    </xf>
    <xf numFmtId="41" fontId="64" fillId="0" borderId="14" xfId="45" applyFont="1" applyFill="1" applyBorder="1" applyAlignment="1">
      <alignment horizontal="right" vertical="center" shrinkToFit="1"/>
    </xf>
    <xf numFmtId="41" fontId="72" fillId="0" borderId="14" xfId="45" applyFont="1" applyFill="1" applyBorder="1" applyAlignment="1">
      <alignment horizontal="right" vertical="center" shrinkToFit="1"/>
    </xf>
    <xf numFmtId="41" fontId="64" fillId="0" borderId="50" xfId="45" applyFont="1" applyFill="1" applyBorder="1" applyAlignment="1">
      <alignment horizontal="right" vertical="center" shrinkToFit="1"/>
    </xf>
    <xf numFmtId="41" fontId="64" fillId="0" borderId="34" xfId="45" applyFont="1" applyBorder="1" applyAlignment="1">
      <alignment horizontal="right" vertical="center" shrinkToFit="1"/>
    </xf>
    <xf numFmtId="41" fontId="64" fillId="0" borderId="50" xfId="45" applyFont="1" applyBorder="1" applyAlignment="1">
      <alignment horizontal="right" vertical="center" shrinkToFit="1"/>
    </xf>
    <xf numFmtId="189" fontId="64" fillId="2" borderId="19" xfId="2" applyNumberFormat="1" applyFont="1" applyFill="1" applyBorder="1" applyAlignment="1">
      <alignment vertical="center"/>
    </xf>
    <xf numFmtId="189" fontId="111" fillId="0" borderId="19" xfId="46" applyNumberFormat="1" applyFont="1" applyFill="1" applyBorder="1" applyAlignment="1">
      <alignment vertical="center" shrinkToFit="1"/>
    </xf>
    <xf numFmtId="189" fontId="114" fillId="0" borderId="19" xfId="46" applyNumberFormat="1" applyFont="1" applyFill="1" applyBorder="1" applyAlignment="1">
      <alignment vertical="center" shrinkToFit="1"/>
    </xf>
    <xf numFmtId="189" fontId="114" fillId="0" borderId="19" xfId="2" applyNumberFormat="1" applyFont="1" applyBorder="1" applyAlignment="1">
      <alignment vertical="center" shrinkToFit="1"/>
    </xf>
    <xf numFmtId="189" fontId="64" fillId="2" borderId="19" xfId="2" applyNumberFormat="1" applyFont="1" applyFill="1" applyBorder="1" applyAlignment="1">
      <alignment horizontal="center" vertical="center"/>
    </xf>
    <xf numFmtId="177" fontId="119" fillId="0" borderId="0" xfId="0" applyNumberFormat="1" applyFont="1">
      <alignment vertical="center"/>
    </xf>
    <xf numFmtId="185" fontId="119" fillId="0" borderId="0" xfId="0" applyNumberFormat="1" applyFont="1">
      <alignment vertical="center"/>
    </xf>
    <xf numFmtId="189" fontId="113" fillId="0" borderId="14" xfId="2" applyNumberFormat="1" applyFont="1" applyBorder="1" applyAlignment="1">
      <alignment vertical="center" wrapText="1"/>
    </xf>
    <xf numFmtId="189" fontId="113" fillId="0" borderId="14" xfId="0" applyNumberFormat="1" applyFont="1" applyFill="1" applyBorder="1" applyAlignment="1">
      <alignment vertical="center" wrapText="1"/>
    </xf>
    <xf numFmtId="177" fontId="119" fillId="0" borderId="0" xfId="0" applyNumberFormat="1" applyFont="1" applyFill="1">
      <alignment vertical="center"/>
    </xf>
    <xf numFmtId="0" fontId="126" fillId="0" borderId="0" xfId="2" applyFont="1"/>
    <xf numFmtId="0" fontId="126" fillId="0" borderId="0" xfId="2" applyNumberFormat="1" applyFont="1" applyAlignment="1">
      <alignment horizontal="centerContinuous"/>
    </xf>
    <xf numFmtId="177" fontId="34" fillId="53" borderId="14" xfId="0" applyNumberFormat="1" applyFont="1" applyFill="1" applyBorder="1" applyAlignment="1">
      <alignment horizontal="center" vertical="center" wrapText="1"/>
    </xf>
    <xf numFmtId="177" fontId="34" fillId="53" borderId="14" xfId="0" applyNumberFormat="1" applyFont="1" applyFill="1" applyBorder="1">
      <alignment vertical="center"/>
    </xf>
    <xf numFmtId="177" fontId="91" fillId="0" borderId="14" xfId="0" applyNumberFormat="1" applyFont="1" applyFill="1" applyBorder="1" applyAlignment="1">
      <alignment horizontal="left" vertical="center" wrapText="1"/>
    </xf>
    <xf numFmtId="176" fontId="4" fillId="0" borderId="14" xfId="0" applyNumberFormat="1" applyFont="1" applyBorder="1" applyAlignment="1">
      <alignment horizontal="left" vertical="center" wrapText="1" shrinkToFit="1"/>
    </xf>
    <xf numFmtId="177" fontId="5" fillId="2" borderId="14" xfId="0" applyNumberFormat="1" applyFont="1" applyFill="1" applyBorder="1" applyAlignment="1">
      <alignment horizontal="center" vertical="center"/>
    </xf>
    <xf numFmtId="177" fontId="10" fillId="0" borderId="0" xfId="0" applyNumberFormat="1" applyFont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177" fontId="8" fillId="2" borderId="14" xfId="0" applyNumberFormat="1" applyFont="1" applyFill="1" applyBorder="1" applyAlignment="1">
      <alignment horizontal="center" vertical="center" wrapText="1"/>
    </xf>
    <xf numFmtId="177" fontId="8" fillId="2" borderId="14" xfId="0" applyNumberFormat="1" applyFont="1" applyFill="1" applyBorder="1" applyAlignment="1">
      <alignment horizontal="center" vertical="center"/>
    </xf>
    <xf numFmtId="0" fontId="45" fillId="0" borderId="0" xfId="2" applyNumberFormat="1" applyFont="1" applyAlignment="1">
      <alignment horizontal="center"/>
    </xf>
    <xf numFmtId="0" fontId="63" fillId="0" borderId="0" xfId="2" applyFont="1" applyAlignment="1">
      <alignment horizontal="center" vertical="center" shrinkToFit="1"/>
    </xf>
    <xf numFmtId="0" fontId="65" fillId="30" borderId="44" xfId="2" applyFont="1" applyFill="1" applyBorder="1" applyAlignment="1">
      <alignment horizontal="center" vertical="center"/>
    </xf>
    <xf numFmtId="0" fontId="65" fillId="30" borderId="47" xfId="2" applyFont="1" applyFill="1" applyBorder="1" applyAlignment="1">
      <alignment horizontal="center" vertical="center"/>
    </xf>
    <xf numFmtId="0" fontId="65" fillId="30" borderId="45" xfId="2" applyFont="1" applyFill="1" applyBorder="1" applyAlignment="1">
      <alignment horizontal="center" vertical="center" shrinkToFit="1"/>
    </xf>
    <xf numFmtId="0" fontId="65" fillId="30" borderId="14" xfId="2" applyFont="1" applyFill="1" applyBorder="1" applyAlignment="1">
      <alignment horizontal="center" vertical="center" shrinkToFit="1"/>
    </xf>
    <xf numFmtId="0" fontId="65" fillId="30" borderId="45" xfId="2" applyFont="1" applyFill="1" applyBorder="1" applyAlignment="1">
      <alignment horizontal="center" vertical="center"/>
    </xf>
    <xf numFmtId="0" fontId="65" fillId="30" borderId="46" xfId="2" applyFont="1" applyFill="1" applyBorder="1" applyAlignment="1">
      <alignment horizontal="center" vertical="center"/>
    </xf>
    <xf numFmtId="0" fontId="65" fillId="30" borderId="48" xfId="2" applyFont="1" applyFill="1" applyBorder="1" applyAlignment="1">
      <alignment horizontal="center" vertical="center"/>
    </xf>
    <xf numFmtId="0" fontId="64" fillId="0" borderId="25" xfId="2" applyFont="1" applyBorder="1" applyAlignment="1">
      <alignment horizontal="center" vertical="center"/>
    </xf>
    <xf numFmtId="0" fontId="64" fillId="0" borderId="29" xfId="2" applyFont="1" applyBorder="1" applyAlignment="1">
      <alignment horizontal="center" vertical="center"/>
    </xf>
    <xf numFmtId="0" fontId="64" fillId="0" borderId="26" xfId="2" applyFont="1" applyBorder="1" applyAlignment="1">
      <alignment horizontal="center" vertical="center"/>
    </xf>
    <xf numFmtId="0" fontId="64" fillId="0" borderId="30" xfId="2" applyFont="1" applyBorder="1" applyAlignment="1">
      <alignment horizontal="center" vertical="center"/>
    </xf>
    <xf numFmtId="0" fontId="64" fillId="0" borderId="21" xfId="2" applyFont="1" applyBorder="1" applyAlignment="1">
      <alignment horizontal="center" vertical="center"/>
    </xf>
    <xf numFmtId="0" fontId="64" fillId="0" borderId="20" xfId="2" applyFont="1" applyBorder="1" applyAlignment="1">
      <alignment horizontal="center" vertical="center"/>
    </xf>
    <xf numFmtId="0" fontId="64" fillId="0" borderId="27" xfId="2" applyFont="1" applyBorder="1" applyAlignment="1">
      <alignment horizontal="center" vertical="center"/>
    </xf>
    <xf numFmtId="0" fontId="64" fillId="0" borderId="28" xfId="2" applyFont="1" applyBorder="1" applyAlignment="1">
      <alignment horizontal="center" vertical="center"/>
    </xf>
    <xf numFmtId="0" fontId="64" fillId="0" borderId="31" xfId="2" applyFont="1" applyBorder="1" applyAlignment="1">
      <alignment horizontal="center" vertical="center"/>
    </xf>
    <xf numFmtId="0" fontId="64" fillId="0" borderId="32" xfId="2" applyFont="1" applyBorder="1" applyAlignment="1">
      <alignment horizontal="center" vertical="center"/>
    </xf>
    <xf numFmtId="0" fontId="65" fillId="30" borderId="51" xfId="2" applyFont="1" applyFill="1" applyBorder="1" applyAlignment="1">
      <alignment horizontal="center" vertical="center" wrapText="1" shrinkToFit="1"/>
    </xf>
    <xf numFmtId="0" fontId="65" fillId="30" borderId="16" xfId="2" applyFont="1" applyFill="1" applyBorder="1" applyAlignment="1">
      <alignment horizontal="center" vertical="center" wrapText="1" shrinkToFit="1"/>
    </xf>
    <xf numFmtId="0" fontId="72" fillId="0" borderId="21" xfId="2" applyFont="1" applyBorder="1" applyAlignment="1">
      <alignment horizontal="center" vertical="center" wrapText="1"/>
    </xf>
    <xf numFmtId="0" fontId="72" fillId="0" borderId="20" xfId="2" applyFont="1" applyBorder="1" applyAlignment="1">
      <alignment horizontal="center" vertical="center" wrapText="1"/>
    </xf>
    <xf numFmtId="0" fontId="65" fillId="30" borderId="27" xfId="2" applyFont="1" applyFill="1" applyBorder="1" applyAlignment="1">
      <alignment horizontal="center" vertical="center" wrapText="1"/>
    </xf>
    <xf numFmtId="0" fontId="65" fillId="30" borderId="43" xfId="2" applyFont="1" applyFill="1" applyBorder="1" applyAlignment="1">
      <alignment horizontal="center" vertical="center" wrapText="1"/>
    </xf>
    <xf numFmtId="0" fontId="65" fillId="30" borderId="28" xfId="2" applyFont="1" applyFill="1" applyBorder="1" applyAlignment="1">
      <alignment horizontal="center" vertical="center" wrapText="1"/>
    </xf>
    <xf numFmtId="0" fontId="65" fillId="30" borderId="14" xfId="2" applyFont="1" applyFill="1" applyBorder="1" applyAlignment="1">
      <alignment horizontal="center" vertical="center"/>
    </xf>
    <xf numFmtId="0" fontId="65" fillId="30" borderId="19" xfId="2" applyFont="1" applyFill="1" applyBorder="1" applyAlignment="1">
      <alignment horizontal="center" vertical="center"/>
    </xf>
    <xf numFmtId="0" fontId="65" fillId="30" borderId="21" xfId="2" applyFont="1" applyFill="1" applyBorder="1" applyAlignment="1">
      <alignment horizontal="center" vertical="center"/>
    </xf>
    <xf numFmtId="0" fontId="65" fillId="30" borderId="20" xfId="2" applyFont="1" applyFill="1" applyBorder="1" applyAlignment="1">
      <alignment horizontal="center" vertical="center"/>
    </xf>
    <xf numFmtId="0" fontId="65" fillId="30" borderId="15" xfId="2" applyFont="1" applyFill="1" applyBorder="1" applyAlignment="1">
      <alignment horizontal="center" vertical="center" wrapText="1"/>
    </xf>
    <xf numFmtId="0" fontId="65" fillId="30" borderId="16" xfId="2" applyFont="1" applyFill="1" applyBorder="1" applyAlignment="1">
      <alignment horizontal="center" vertical="center" wrapText="1"/>
    </xf>
    <xf numFmtId="0" fontId="65" fillId="30" borderId="14" xfId="2" applyFont="1" applyFill="1" applyBorder="1" applyAlignment="1">
      <alignment horizontal="center" vertical="center" wrapText="1" shrinkToFit="1"/>
    </xf>
    <xf numFmtId="0" fontId="63" fillId="0" borderId="0" xfId="2" applyFont="1" applyAlignment="1">
      <alignment horizontal="center" vertical="center" wrapText="1"/>
    </xf>
    <xf numFmtId="0" fontId="65" fillId="30" borderId="14" xfId="2" applyFont="1" applyFill="1" applyBorder="1" applyAlignment="1">
      <alignment horizontal="center" vertical="center" wrapText="1"/>
    </xf>
    <xf numFmtId="0" fontId="65" fillId="30" borderId="15" xfId="2" applyFont="1" applyFill="1" applyBorder="1" applyAlignment="1">
      <alignment horizontal="center" vertical="center" wrapText="1" shrinkToFit="1"/>
    </xf>
    <xf numFmtId="177" fontId="8" fillId="2" borderId="15" xfId="0" applyNumberFormat="1" applyFont="1" applyFill="1" applyBorder="1" applyAlignment="1">
      <alignment horizontal="center" vertical="center"/>
    </xf>
    <xf numFmtId="177" fontId="8" fillId="2" borderId="16" xfId="0" applyNumberFormat="1" applyFont="1" applyFill="1" applyBorder="1" applyAlignment="1">
      <alignment horizontal="center" vertical="center"/>
    </xf>
    <xf numFmtId="177" fontId="115" fillId="2" borderId="14" xfId="0" applyNumberFormat="1" applyFont="1" applyFill="1" applyBorder="1" applyAlignment="1">
      <alignment horizontal="center" vertical="center"/>
    </xf>
    <xf numFmtId="177" fontId="125" fillId="0" borderId="0" xfId="0" applyNumberFormat="1" applyFont="1" applyAlignment="1">
      <alignment horizontal="center" vertical="center"/>
    </xf>
    <xf numFmtId="177" fontId="9" fillId="2" borderId="15" xfId="0" applyNumberFormat="1" applyFont="1" applyFill="1" applyBorder="1" applyAlignment="1">
      <alignment horizontal="center" vertical="center" wrapText="1"/>
    </xf>
    <xf numFmtId="177" fontId="9" fillId="2" borderId="16" xfId="0" applyNumberFormat="1" applyFont="1" applyFill="1" applyBorder="1" applyAlignment="1">
      <alignment horizontal="center" vertical="center" wrapText="1"/>
    </xf>
    <xf numFmtId="177" fontId="84" fillId="0" borderId="15" xfId="0" applyNumberFormat="1" applyFont="1" applyBorder="1" applyAlignment="1">
      <alignment horizontal="left" vertical="center" wrapText="1" shrinkToFit="1"/>
    </xf>
    <xf numFmtId="177" fontId="84" fillId="0" borderId="18" xfId="0" applyNumberFormat="1" applyFont="1" applyBorder="1" applyAlignment="1">
      <alignment horizontal="left" vertical="center" wrapText="1" shrinkToFit="1"/>
    </xf>
    <xf numFmtId="177" fontId="84" fillId="0" borderId="16" xfId="0" applyNumberFormat="1" applyFont="1" applyBorder="1" applyAlignment="1">
      <alignment horizontal="left" vertical="center" wrapText="1" shrinkToFit="1"/>
    </xf>
    <xf numFmtId="177" fontId="9" fillId="2" borderId="14" xfId="0" applyNumberFormat="1" applyFont="1" applyFill="1" applyBorder="1" applyAlignment="1">
      <alignment horizontal="center" vertical="center" wrapText="1"/>
    </xf>
    <xf numFmtId="177" fontId="8" fillId="2" borderId="14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25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63" fillId="0" borderId="0" xfId="2" quotePrefix="1" applyFont="1" applyAlignment="1">
      <alignment horizontal="center" vertical="center" wrapText="1"/>
    </xf>
    <xf numFmtId="0" fontId="63" fillId="0" borderId="0" xfId="2" applyFont="1" applyAlignment="1">
      <alignment horizontal="center" vertical="center"/>
    </xf>
    <xf numFmtId="0" fontId="83" fillId="0" borderId="0" xfId="2" applyFont="1" applyAlignment="1">
      <alignment horizontal="center" vertical="center" wrapText="1"/>
    </xf>
    <xf numFmtId="0" fontId="83" fillId="0" borderId="0" xfId="2" applyFont="1" applyAlignment="1">
      <alignment horizontal="center" vertical="center"/>
    </xf>
    <xf numFmtId="0" fontId="64" fillId="0" borderId="40" xfId="2" applyFont="1" applyBorder="1" applyAlignment="1">
      <alignment horizontal="center" vertical="center"/>
    </xf>
    <xf numFmtId="0" fontId="64" fillId="0" borderId="39" xfId="2" applyFont="1" applyBorder="1" applyAlignment="1">
      <alignment horizontal="center" vertical="center"/>
    </xf>
    <xf numFmtId="177" fontId="5" fillId="2" borderId="15" xfId="0" applyNumberFormat="1" applyFont="1" applyFill="1" applyBorder="1" applyAlignment="1">
      <alignment horizontal="center" vertical="center" wrapText="1"/>
    </xf>
    <xf numFmtId="177" fontId="5" fillId="2" borderId="16" xfId="0" applyNumberFormat="1" applyFont="1" applyFill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0" fillId="0" borderId="0" xfId="2" applyNumberFormat="1" applyFont="1" applyAlignment="1">
      <alignment horizontal="center"/>
    </xf>
    <xf numFmtId="0" fontId="43" fillId="0" borderId="0" xfId="2" applyNumberFormat="1" applyFont="1" applyAlignment="1">
      <alignment horizontal="center"/>
    </xf>
    <xf numFmtId="189" fontId="64" fillId="2" borderId="14" xfId="2" applyNumberFormat="1" applyFont="1" applyFill="1" applyBorder="1" applyAlignment="1">
      <alignment horizontal="center" vertical="center" wrapText="1"/>
    </xf>
    <xf numFmtId="189" fontId="41" fillId="3" borderId="14" xfId="2" applyNumberFormat="1" applyFont="1" applyFill="1" applyBorder="1" applyAlignment="1">
      <alignment horizontal="left" vertical="center"/>
    </xf>
    <xf numFmtId="189" fontId="113" fillId="0" borderId="14" xfId="46" applyNumberFormat="1" applyFont="1" applyFill="1" applyBorder="1" applyAlignment="1">
      <alignment horizontal="left" vertical="center" wrapText="1" shrinkToFit="1"/>
    </xf>
    <xf numFmtId="189" fontId="114" fillId="0" borderId="14" xfId="0" applyNumberFormat="1" applyFont="1" applyFill="1" applyBorder="1" applyAlignment="1">
      <alignment horizontal="center" vertical="center" wrapText="1"/>
    </xf>
    <xf numFmtId="189" fontId="114" fillId="0" borderId="14" xfId="0" applyNumberFormat="1" applyFont="1" applyFill="1" applyBorder="1" applyAlignment="1">
      <alignment vertical="center" wrapText="1"/>
    </xf>
    <xf numFmtId="189" fontId="125" fillId="0" borderId="0" xfId="0" applyNumberFormat="1" applyFont="1" applyAlignment="1">
      <alignment horizontal="center" vertical="center"/>
    </xf>
    <xf numFmtId="189" fontId="110" fillId="2" borderId="14" xfId="2" applyNumberFormat="1" applyFont="1" applyFill="1" applyBorder="1" applyAlignment="1">
      <alignment horizontal="center" vertical="center"/>
    </xf>
    <xf numFmtId="189" fontId="64" fillId="2" borderId="14" xfId="2" applyNumberFormat="1" applyFont="1" applyFill="1" applyBorder="1" applyAlignment="1">
      <alignment horizontal="center" vertical="center"/>
    </xf>
    <xf numFmtId="189" fontId="113" fillId="0" borderId="14" xfId="2" applyNumberFormat="1" applyFont="1" applyFill="1" applyBorder="1" applyAlignment="1">
      <alignment horizontal="left" vertical="center" wrapText="1"/>
    </xf>
    <xf numFmtId="189" fontId="113" fillId="0" borderId="14" xfId="0" applyNumberFormat="1" applyFont="1" applyFill="1" applyBorder="1" applyAlignment="1">
      <alignment horizontal="center" vertical="center" wrapText="1"/>
    </xf>
    <xf numFmtId="189" fontId="113" fillId="0" borderId="14" xfId="0" applyNumberFormat="1" applyFont="1" applyFill="1" applyBorder="1" applyAlignment="1">
      <alignment horizontal="center" vertical="center" wrapText="1" shrinkToFit="1"/>
    </xf>
    <xf numFmtId="189" fontId="113" fillId="0" borderId="14" xfId="0" applyNumberFormat="1" applyFont="1" applyFill="1" applyBorder="1" applyAlignment="1">
      <alignment vertical="center" wrapText="1" shrinkToFit="1"/>
    </xf>
  </cellXfs>
  <cellStyles count="179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5" xfId="123"/>
    <cellStyle name="쉼표 [0] 3" xfId="124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5" xfId="139"/>
    <cellStyle name="표준 6" xfId="140"/>
  </cellStyles>
  <dxfs count="0"/>
  <tableStyles count="0" defaultTableStyle="TableStyleMedium2" defaultPivotStyle="PivotStyleLight16"/>
  <colors>
    <mruColors>
      <color rgb="FFFF66CC"/>
      <color rgb="FF99FF33"/>
      <color rgb="FF0000CC"/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6</xdr:col>
      <xdr:colOff>85725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6</xdr:col>
      <xdr:colOff>85725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6</xdr:col>
      <xdr:colOff>85725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6</xdr:col>
      <xdr:colOff>85725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6</xdr:col>
      <xdr:colOff>85725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6</xdr:col>
      <xdr:colOff>85725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1DHASGEM\(131014)%202013&#45380;%20&#51228;1&#54924;&#52628;&#44221;%20&#49345;&#51076;&#50948;&#50696;&#48708;&#49900;&#49324;(&#44228;&#49688;&#51312;&#51221;-&#52509;&#44292;)_&#50696;&#49328;&#4989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1DHASGEM\(131014)%2013&#45380;%201&#54924;&#52628;&#44221;%20&#50696;&#44208;&#50948;%20&#44228;&#49688;&#51312;&#51221;(&#52572;&#5133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13년 제1회추경(세입)"/>
      <sheetName val="13년 제1회추경(세출)"/>
      <sheetName val="13년 1회추경(세출)_기금"/>
      <sheetName val="13년 제1회추경(세출)_증액"/>
    </sheetNames>
    <sheetDataSet>
      <sheetData sheetId="0"/>
      <sheetData sheetId="1"/>
      <sheetData sheetId="2"/>
      <sheetData sheetId="3"/>
      <sheetData sheetId="4">
        <row r="7">
          <cell r="H7">
            <v>-48600000</v>
          </cell>
          <cell r="I7">
            <v>48600000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삭감1"/>
      <sheetName val="삭감"/>
      <sheetName val="총괄표"/>
      <sheetName val="세입_일반"/>
      <sheetName val="세출_일반"/>
      <sheetName val="세입_기타특별"/>
      <sheetName val="세출_기타특별"/>
      <sheetName val="세입_공기업특별"/>
      <sheetName val="세출_공기업특별"/>
      <sheetName val="총괄표_기금"/>
      <sheetName val="세입_기특"/>
      <sheetName val="세출_기특"/>
      <sheetName val="세입_기금"/>
      <sheetName val="세출_기금"/>
      <sheetName val="교육비특별회계"/>
    </sheetNames>
    <sheetDataSet>
      <sheetData sheetId="0"/>
      <sheetData sheetId="1"/>
      <sheetData sheetId="2"/>
      <sheetData sheetId="3">
        <row r="6">
          <cell r="F6">
            <v>265000</v>
          </cell>
          <cell r="G6">
            <v>-44277</v>
          </cell>
          <cell r="H6">
            <v>6557700</v>
          </cell>
        </row>
      </sheetData>
      <sheetData sheetId="4">
        <row r="6">
          <cell r="F6">
            <v>-60824000</v>
          </cell>
          <cell r="G6">
            <v>0</v>
          </cell>
          <cell r="H6">
            <v>0</v>
          </cell>
        </row>
      </sheetData>
      <sheetData sheetId="5"/>
      <sheetData sheetId="6"/>
      <sheetData sheetId="7">
        <row r="6">
          <cell r="G6">
            <v>0</v>
          </cell>
          <cell r="H6">
            <v>0</v>
          </cell>
        </row>
      </sheetData>
      <sheetData sheetId="8">
        <row r="6">
          <cell r="G6">
            <v>0</v>
          </cell>
          <cell r="H6">
            <v>0</v>
          </cell>
        </row>
      </sheetData>
      <sheetData sheetId="9"/>
      <sheetData sheetId="10">
        <row r="6">
          <cell r="F6">
            <v>0</v>
          </cell>
          <cell r="G6">
            <v>0</v>
          </cell>
        </row>
      </sheetData>
      <sheetData sheetId="11">
        <row r="6">
          <cell r="F6">
            <v>0</v>
          </cell>
          <cell r="G6">
            <v>0</v>
          </cell>
        </row>
      </sheetData>
      <sheetData sheetId="12">
        <row r="6">
          <cell r="F6">
            <v>0</v>
          </cell>
          <cell r="G6">
            <v>0</v>
          </cell>
        </row>
      </sheetData>
      <sheetData sheetId="13">
        <row r="6">
          <cell r="F6">
            <v>0</v>
          </cell>
          <cell r="G6">
            <v>0</v>
          </cell>
        </row>
      </sheetData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showGridLines="0" view="pageBreakPreview" zoomScale="80" zoomScaleNormal="80" zoomScaleSheetLayoutView="80" workbookViewId="0">
      <pane xSplit="6" ySplit="6" topLeftCell="G22" activePane="bottomRight" state="frozen"/>
      <selection activeCell="K43" sqref="K43"/>
      <selection pane="topRight" activeCell="K43" sqref="K43"/>
      <selection pane="bottomLeft" activeCell="K43" sqref="K43"/>
      <selection pane="bottomRight" activeCell="D23" sqref="D23"/>
    </sheetView>
  </sheetViews>
  <sheetFormatPr defaultColWidth="8.75" defaultRowHeight="13.5"/>
  <cols>
    <col min="1" max="1" width="2.5" style="372" customWidth="1"/>
    <col min="2" max="2" width="3.5" style="372" customWidth="1"/>
    <col min="3" max="3" width="6.75" style="85" customWidth="1"/>
    <col min="4" max="4" width="14.25" style="372" customWidth="1"/>
    <col min="5" max="5" width="36.75" style="372" customWidth="1"/>
    <col min="6" max="6" width="12.25" style="372" customWidth="1"/>
    <col min="7" max="8" width="12" style="372" hidden="1" customWidth="1"/>
    <col min="9" max="9" width="13.125" style="372" hidden="1" customWidth="1"/>
    <col min="10" max="11" width="10.75" style="372" customWidth="1"/>
    <col min="12" max="12" width="11.625" style="372" customWidth="1"/>
    <col min="13" max="13" width="20.875" style="372" customWidth="1"/>
    <col min="14" max="14" width="8.75" style="366"/>
    <col min="15" max="16384" width="8.75" style="372"/>
  </cols>
  <sheetData>
    <row r="1" spans="1:13" ht="26.25">
      <c r="A1" s="802" t="s">
        <v>1066</v>
      </c>
      <c r="B1" s="803"/>
      <c r="C1" s="803"/>
      <c r="D1" s="803"/>
      <c r="E1" s="803"/>
      <c r="F1" s="803"/>
      <c r="G1" s="803"/>
      <c r="H1" s="803"/>
      <c r="I1" s="803"/>
      <c r="J1" s="803"/>
      <c r="K1" s="803"/>
      <c r="L1" s="803"/>
      <c r="M1" s="803"/>
    </row>
    <row r="2" spans="1:13" ht="16.5">
      <c r="A2" s="87" t="s">
        <v>24</v>
      </c>
      <c r="B2" s="87"/>
    </row>
    <row r="3" spans="1:13">
      <c r="H3" s="372">
        <f>SUM(G6:H6)</f>
        <v>0</v>
      </c>
      <c r="K3" s="372">
        <f>SUM(J6:K6)</f>
        <v>4243336</v>
      </c>
      <c r="M3" s="88" t="s">
        <v>19</v>
      </c>
    </row>
    <row r="4" spans="1:13" ht="33" customHeight="1">
      <c r="A4" s="801" t="s">
        <v>10</v>
      </c>
      <c r="B4" s="801"/>
      <c r="C4" s="804" t="s">
        <v>11</v>
      </c>
      <c r="D4" s="801" t="s">
        <v>9</v>
      </c>
      <c r="E4" s="801" t="s">
        <v>8</v>
      </c>
      <c r="F4" s="804" t="s">
        <v>20</v>
      </c>
      <c r="G4" s="805" t="s">
        <v>21</v>
      </c>
      <c r="H4" s="806"/>
      <c r="I4" s="804" t="s">
        <v>15</v>
      </c>
      <c r="J4" s="805" t="s">
        <v>22</v>
      </c>
      <c r="K4" s="806"/>
      <c r="L4" s="804" t="s">
        <v>16</v>
      </c>
      <c r="M4" s="801" t="s">
        <v>12</v>
      </c>
    </row>
    <row r="5" spans="1:13" ht="16.5" customHeight="1">
      <c r="A5" s="801"/>
      <c r="B5" s="801"/>
      <c r="C5" s="804"/>
      <c r="D5" s="801"/>
      <c r="E5" s="801"/>
      <c r="F5" s="801"/>
      <c r="G5" s="412" t="s">
        <v>1</v>
      </c>
      <c r="H5" s="412" t="s">
        <v>2</v>
      </c>
      <c r="I5" s="801"/>
      <c r="J5" s="412" t="s">
        <v>1</v>
      </c>
      <c r="K5" s="412" t="s">
        <v>2</v>
      </c>
      <c r="L5" s="801"/>
      <c r="M5" s="801"/>
    </row>
    <row r="6" spans="1:13" ht="29.25" customHeight="1">
      <c r="A6" s="92"/>
      <c r="B6" s="93" t="s">
        <v>5</v>
      </c>
      <c r="C6" s="94"/>
      <c r="D6" s="94"/>
      <c r="E6" s="59"/>
      <c r="F6" s="137">
        <f t="shared" ref="F6:K6" si="0">SUM(F7:F1004)</f>
        <v>3612129</v>
      </c>
      <c r="G6" s="137">
        <f t="shared" si="0"/>
        <v>0</v>
      </c>
      <c r="H6" s="137">
        <f t="shared" si="0"/>
        <v>0</v>
      </c>
      <c r="I6" s="137">
        <f t="shared" si="0"/>
        <v>3612129</v>
      </c>
      <c r="J6" s="137">
        <f t="shared" si="0"/>
        <v>0</v>
      </c>
      <c r="K6" s="137">
        <f t="shared" si="0"/>
        <v>4243336</v>
      </c>
      <c r="L6" s="137">
        <f>SUM(L7:L1004)</f>
        <v>7855465</v>
      </c>
      <c r="M6" s="319"/>
    </row>
    <row r="7" spans="1:13" ht="29.25" customHeight="1">
      <c r="A7" s="374"/>
      <c r="B7" s="374"/>
      <c r="C7" s="371">
        <v>78</v>
      </c>
      <c r="D7" s="379" t="s">
        <v>1067</v>
      </c>
      <c r="E7" s="379" t="s">
        <v>1068</v>
      </c>
      <c r="F7" s="375">
        <v>252000</v>
      </c>
      <c r="G7" s="375"/>
      <c r="H7" s="375"/>
      <c r="I7" s="376">
        <f t="shared" ref="I7:I42" si="1">F7+G7+H7</f>
        <v>252000</v>
      </c>
      <c r="J7" s="375"/>
      <c r="K7" s="375">
        <v>63000</v>
      </c>
      <c r="L7" s="376">
        <f t="shared" ref="L7:L42" si="2">F7+J7+K7</f>
        <v>315000</v>
      </c>
      <c r="M7" s="367"/>
    </row>
    <row r="8" spans="1:13" ht="29.25" customHeight="1">
      <c r="A8" s="374"/>
      <c r="B8" s="374"/>
      <c r="C8" s="371" t="s">
        <v>28</v>
      </c>
      <c r="D8" s="379" t="s">
        <v>1069</v>
      </c>
      <c r="E8" s="379" t="s">
        <v>1158</v>
      </c>
      <c r="F8" s="375"/>
      <c r="G8" s="375"/>
      <c r="H8" s="375"/>
      <c r="I8" s="376">
        <f t="shared" si="1"/>
        <v>0</v>
      </c>
      <c r="J8" s="375"/>
      <c r="K8" s="375">
        <v>50000</v>
      </c>
      <c r="L8" s="376">
        <f t="shared" si="2"/>
        <v>50000</v>
      </c>
      <c r="M8" s="411"/>
    </row>
    <row r="9" spans="1:13" ht="29.25" customHeight="1">
      <c r="A9" s="374"/>
      <c r="B9" s="374"/>
      <c r="C9" s="371">
        <v>50</v>
      </c>
      <c r="D9" s="379" t="s">
        <v>1070</v>
      </c>
      <c r="E9" s="379" t="s">
        <v>1071</v>
      </c>
      <c r="F9" s="375">
        <v>222500</v>
      </c>
      <c r="G9" s="375"/>
      <c r="H9" s="375"/>
      <c r="I9" s="376">
        <f t="shared" si="1"/>
        <v>222500</v>
      </c>
      <c r="J9" s="375"/>
      <c r="K9" s="375">
        <v>150000</v>
      </c>
      <c r="L9" s="376">
        <f t="shared" si="2"/>
        <v>372500</v>
      </c>
      <c r="M9" s="367"/>
    </row>
    <row r="10" spans="1:13" ht="29.25" customHeight="1">
      <c r="A10" s="374"/>
      <c r="B10" s="374"/>
      <c r="C10" s="419" t="s">
        <v>1072</v>
      </c>
      <c r="D10" s="379" t="s">
        <v>1063</v>
      </c>
      <c r="E10" s="374" t="s">
        <v>1073</v>
      </c>
      <c r="F10" s="375">
        <v>500000</v>
      </c>
      <c r="G10" s="375"/>
      <c r="H10" s="375"/>
      <c r="I10" s="376">
        <f t="shared" si="1"/>
        <v>500000</v>
      </c>
      <c r="J10" s="375"/>
      <c r="K10" s="375">
        <v>100000</v>
      </c>
      <c r="L10" s="376">
        <f t="shared" si="2"/>
        <v>600000</v>
      </c>
      <c r="M10" s="323"/>
    </row>
    <row r="11" spans="1:13" ht="29.25" customHeight="1">
      <c r="A11" s="374"/>
      <c r="B11" s="374"/>
      <c r="C11" s="419" t="s">
        <v>1074</v>
      </c>
      <c r="D11" s="379" t="s">
        <v>1075</v>
      </c>
      <c r="E11" s="374" t="s">
        <v>1076</v>
      </c>
      <c r="F11" s="375">
        <v>474224</v>
      </c>
      <c r="G11" s="375"/>
      <c r="H11" s="375"/>
      <c r="I11" s="376">
        <f t="shared" si="1"/>
        <v>474224</v>
      </c>
      <c r="J11" s="375"/>
      <c r="K11" s="375">
        <v>200000</v>
      </c>
      <c r="L11" s="376">
        <f t="shared" si="2"/>
        <v>674224</v>
      </c>
      <c r="M11" s="323"/>
    </row>
    <row r="12" spans="1:13" ht="29.25" customHeight="1">
      <c r="A12" s="374"/>
      <c r="B12" s="374"/>
      <c r="C12" s="355">
        <v>22</v>
      </c>
      <c r="D12" s="379" t="s">
        <v>1077</v>
      </c>
      <c r="E12" s="374" t="s">
        <v>1078</v>
      </c>
      <c r="F12" s="375">
        <v>130000</v>
      </c>
      <c r="G12" s="375"/>
      <c r="H12" s="375"/>
      <c r="I12" s="376">
        <f t="shared" si="1"/>
        <v>130000</v>
      </c>
      <c r="J12" s="375"/>
      <c r="K12" s="375">
        <v>100000</v>
      </c>
      <c r="L12" s="376">
        <f t="shared" si="2"/>
        <v>230000</v>
      </c>
      <c r="M12" s="323"/>
    </row>
    <row r="13" spans="1:13" ht="29.25" customHeight="1">
      <c r="A13" s="374"/>
      <c r="B13" s="374"/>
      <c r="C13" s="355">
        <v>762</v>
      </c>
      <c r="D13" s="379" t="s">
        <v>1079</v>
      </c>
      <c r="E13" s="374" t="s">
        <v>1080</v>
      </c>
      <c r="F13" s="375">
        <v>150000</v>
      </c>
      <c r="G13" s="375"/>
      <c r="H13" s="375"/>
      <c r="I13" s="376">
        <f t="shared" si="1"/>
        <v>150000</v>
      </c>
      <c r="J13" s="375"/>
      <c r="K13" s="375">
        <v>100000</v>
      </c>
      <c r="L13" s="376">
        <f t="shared" si="2"/>
        <v>250000</v>
      </c>
      <c r="M13" s="323"/>
    </row>
    <row r="14" spans="1:13" ht="29.25" customHeight="1">
      <c r="A14" s="374"/>
      <c r="B14" s="374"/>
      <c r="C14" s="355">
        <v>77</v>
      </c>
      <c r="D14" s="379" t="s">
        <v>1081</v>
      </c>
      <c r="E14" s="374" t="s">
        <v>1082</v>
      </c>
      <c r="F14" s="375">
        <v>210000</v>
      </c>
      <c r="G14" s="375"/>
      <c r="H14" s="375"/>
      <c r="I14" s="376">
        <f t="shared" si="1"/>
        <v>210000</v>
      </c>
      <c r="J14" s="375"/>
      <c r="K14" s="375">
        <v>40000</v>
      </c>
      <c r="L14" s="376">
        <f t="shared" si="2"/>
        <v>250000</v>
      </c>
      <c r="M14" s="323"/>
    </row>
    <row r="15" spans="1:13" ht="29.25" customHeight="1">
      <c r="A15" s="374"/>
      <c r="B15" s="374"/>
      <c r="C15" s="355">
        <v>1220</v>
      </c>
      <c r="D15" s="379" t="s">
        <v>1060</v>
      </c>
      <c r="E15" s="374" t="s">
        <v>1062</v>
      </c>
      <c r="F15" s="375">
        <v>298000</v>
      </c>
      <c r="G15" s="375"/>
      <c r="H15" s="375"/>
      <c r="I15" s="376">
        <f t="shared" si="1"/>
        <v>298000</v>
      </c>
      <c r="J15" s="375"/>
      <c r="K15" s="375">
        <v>100000</v>
      </c>
      <c r="L15" s="376">
        <f t="shared" si="2"/>
        <v>398000</v>
      </c>
      <c r="M15" s="323"/>
    </row>
    <row r="16" spans="1:13" ht="29.25" customHeight="1">
      <c r="A16" s="374"/>
      <c r="B16" s="374"/>
      <c r="C16" s="419" t="s">
        <v>1083</v>
      </c>
      <c r="D16" s="379" t="s">
        <v>1084</v>
      </c>
      <c r="E16" s="374" t="s">
        <v>1085</v>
      </c>
      <c r="F16" s="375">
        <v>4800</v>
      </c>
      <c r="G16" s="375"/>
      <c r="H16" s="375"/>
      <c r="I16" s="376">
        <f t="shared" si="1"/>
        <v>4800</v>
      </c>
      <c r="J16" s="375"/>
      <c r="K16" s="375">
        <v>1200</v>
      </c>
      <c r="L16" s="376">
        <f t="shared" si="2"/>
        <v>6000</v>
      </c>
      <c r="M16" s="323"/>
    </row>
    <row r="17" spans="1:13" ht="29.25" customHeight="1">
      <c r="A17" s="374"/>
      <c r="B17" s="374"/>
      <c r="C17" s="355">
        <v>466</v>
      </c>
      <c r="D17" s="379" t="s">
        <v>1086</v>
      </c>
      <c r="E17" s="374" t="s">
        <v>1087</v>
      </c>
      <c r="F17" s="375">
        <v>477105</v>
      </c>
      <c r="G17" s="375"/>
      <c r="H17" s="375"/>
      <c r="I17" s="376">
        <f t="shared" si="1"/>
        <v>477105</v>
      </c>
      <c r="J17" s="375"/>
      <c r="K17" s="375">
        <v>200000</v>
      </c>
      <c r="L17" s="376">
        <f t="shared" si="2"/>
        <v>677105</v>
      </c>
      <c r="M17" s="323"/>
    </row>
    <row r="18" spans="1:13" ht="29.25" customHeight="1">
      <c r="A18" s="374"/>
      <c r="B18" s="374"/>
      <c r="C18" s="355">
        <v>259</v>
      </c>
      <c r="D18" s="379" t="s">
        <v>1088</v>
      </c>
      <c r="E18" s="374" t="s">
        <v>1089</v>
      </c>
      <c r="F18" s="375">
        <v>20000</v>
      </c>
      <c r="G18" s="375"/>
      <c r="H18" s="375"/>
      <c r="I18" s="376">
        <f t="shared" si="1"/>
        <v>20000</v>
      </c>
      <c r="J18" s="375"/>
      <c r="K18" s="375">
        <v>10000</v>
      </c>
      <c r="L18" s="376">
        <f t="shared" si="2"/>
        <v>30000</v>
      </c>
      <c r="M18" s="323"/>
    </row>
    <row r="19" spans="1:13" ht="29.25" customHeight="1">
      <c r="A19" s="374"/>
      <c r="B19" s="374"/>
      <c r="C19" s="355">
        <v>1120</v>
      </c>
      <c r="D19" s="379" t="s">
        <v>1090</v>
      </c>
      <c r="E19" s="374" t="s">
        <v>1091</v>
      </c>
      <c r="F19" s="375"/>
      <c r="G19" s="375"/>
      <c r="H19" s="375"/>
      <c r="I19" s="376">
        <f>F19+G19+H19</f>
        <v>0</v>
      </c>
      <c r="J19" s="375"/>
      <c r="K19" s="375">
        <v>150000</v>
      </c>
      <c r="L19" s="376">
        <f>F19+J19+K19</f>
        <v>150000</v>
      </c>
      <c r="M19" s="323"/>
    </row>
    <row r="20" spans="1:13" ht="29.25" customHeight="1">
      <c r="A20" s="374"/>
      <c r="B20" s="374"/>
      <c r="C20" s="355" t="s">
        <v>28</v>
      </c>
      <c r="D20" s="379" t="s">
        <v>1092</v>
      </c>
      <c r="E20" s="374" t="s">
        <v>1093</v>
      </c>
      <c r="F20" s="375"/>
      <c r="G20" s="375"/>
      <c r="H20" s="375"/>
      <c r="I20" s="376">
        <f t="shared" si="1"/>
        <v>0</v>
      </c>
      <c r="J20" s="375"/>
      <c r="K20" s="375">
        <v>153000</v>
      </c>
      <c r="L20" s="376">
        <f t="shared" si="2"/>
        <v>153000</v>
      </c>
      <c r="M20" s="323"/>
    </row>
    <row r="21" spans="1:13" ht="29.25" customHeight="1">
      <c r="A21" s="374"/>
      <c r="B21" s="374"/>
      <c r="C21" s="419"/>
      <c r="D21" s="379"/>
      <c r="E21" s="374" t="s">
        <v>1094</v>
      </c>
      <c r="F21" s="375"/>
      <c r="G21" s="375"/>
      <c r="H21" s="375"/>
      <c r="I21" s="376">
        <f t="shared" si="1"/>
        <v>0</v>
      </c>
      <c r="J21" s="375"/>
      <c r="K21" s="375">
        <v>500000</v>
      </c>
      <c r="L21" s="376">
        <f t="shared" si="2"/>
        <v>500000</v>
      </c>
      <c r="M21" s="323"/>
    </row>
    <row r="22" spans="1:13" ht="29.25" customHeight="1">
      <c r="A22" s="374"/>
      <c r="B22" s="374"/>
      <c r="C22" s="355"/>
      <c r="D22" s="379" t="s">
        <v>1060</v>
      </c>
      <c r="E22" s="374" t="s">
        <v>1095</v>
      </c>
      <c r="F22" s="375"/>
      <c r="G22" s="375"/>
      <c r="H22" s="375"/>
      <c r="I22" s="376">
        <f t="shared" si="1"/>
        <v>0</v>
      </c>
      <c r="J22" s="375"/>
      <c r="K22" s="375">
        <v>90000</v>
      </c>
      <c r="L22" s="376">
        <f t="shared" si="2"/>
        <v>90000</v>
      </c>
      <c r="M22" s="323"/>
    </row>
    <row r="23" spans="1:13" ht="29.25" customHeight="1">
      <c r="A23" s="374"/>
      <c r="B23" s="374"/>
      <c r="C23" s="355">
        <v>27</v>
      </c>
      <c r="D23" s="379" t="s">
        <v>1077</v>
      </c>
      <c r="E23" s="374" t="s">
        <v>1096</v>
      </c>
      <c r="F23" s="375">
        <v>500000</v>
      </c>
      <c r="G23" s="375"/>
      <c r="H23" s="375"/>
      <c r="I23" s="376">
        <f t="shared" si="1"/>
        <v>500000</v>
      </c>
      <c r="J23" s="375"/>
      <c r="K23" s="375">
        <v>100000</v>
      </c>
      <c r="L23" s="376">
        <f t="shared" si="2"/>
        <v>600000</v>
      </c>
      <c r="M23" s="323"/>
    </row>
    <row r="24" spans="1:13" ht="29.25" customHeight="1">
      <c r="A24" s="374"/>
      <c r="B24" s="374"/>
      <c r="C24" s="419">
        <v>1217</v>
      </c>
      <c r="D24" s="379" t="s">
        <v>1097</v>
      </c>
      <c r="E24" s="374" t="s">
        <v>1098</v>
      </c>
      <c r="F24" s="375"/>
      <c r="G24" s="375"/>
      <c r="H24" s="375"/>
      <c r="I24" s="376">
        <f t="shared" si="1"/>
        <v>0</v>
      </c>
      <c r="J24" s="375"/>
      <c r="K24" s="375">
        <v>500000</v>
      </c>
      <c r="L24" s="376">
        <f t="shared" si="2"/>
        <v>500000</v>
      </c>
      <c r="M24" s="323"/>
    </row>
    <row r="25" spans="1:13" ht="29.25" customHeight="1">
      <c r="A25" s="374"/>
      <c r="B25" s="374"/>
      <c r="C25" s="355"/>
      <c r="D25" s="379" t="s">
        <v>1099</v>
      </c>
      <c r="E25" s="374" t="s">
        <v>1100</v>
      </c>
      <c r="F25" s="375"/>
      <c r="G25" s="375"/>
      <c r="H25" s="375"/>
      <c r="I25" s="376">
        <f t="shared" si="1"/>
        <v>0</v>
      </c>
      <c r="J25" s="375"/>
      <c r="K25" s="375">
        <v>70000</v>
      </c>
      <c r="L25" s="376">
        <f t="shared" si="2"/>
        <v>70000</v>
      </c>
      <c r="M25" s="323"/>
    </row>
    <row r="26" spans="1:13" ht="29.25" customHeight="1">
      <c r="A26" s="374"/>
      <c r="B26" s="374"/>
      <c r="C26" s="355"/>
      <c r="D26" s="379" t="s">
        <v>1101</v>
      </c>
      <c r="E26" s="374" t="s">
        <v>1102</v>
      </c>
      <c r="F26" s="375"/>
      <c r="G26" s="375"/>
      <c r="H26" s="375"/>
      <c r="I26" s="376">
        <f t="shared" si="1"/>
        <v>0</v>
      </c>
      <c r="J26" s="375"/>
      <c r="K26" s="375">
        <v>40000</v>
      </c>
      <c r="L26" s="376">
        <f t="shared" si="2"/>
        <v>40000</v>
      </c>
      <c r="M26" s="323"/>
    </row>
    <row r="27" spans="1:13" ht="29.25" customHeight="1">
      <c r="A27" s="374"/>
      <c r="B27" s="374"/>
      <c r="C27" s="355"/>
      <c r="D27" s="379" t="s">
        <v>78</v>
      </c>
      <c r="E27" s="374" t="s">
        <v>1103</v>
      </c>
      <c r="F27" s="375"/>
      <c r="G27" s="375"/>
      <c r="H27" s="375"/>
      <c r="I27" s="376">
        <f t="shared" si="1"/>
        <v>0</v>
      </c>
      <c r="J27" s="375"/>
      <c r="K27" s="375">
        <v>11136</v>
      </c>
      <c r="L27" s="376">
        <f t="shared" si="2"/>
        <v>11136</v>
      </c>
      <c r="M27" s="323"/>
    </row>
    <row r="28" spans="1:13" ht="29.25" customHeight="1">
      <c r="A28" s="374"/>
      <c r="B28" s="374"/>
      <c r="C28" s="419"/>
      <c r="D28" s="379" t="s">
        <v>1061</v>
      </c>
      <c r="E28" s="374" t="s">
        <v>1104</v>
      </c>
      <c r="F28" s="375"/>
      <c r="G28" s="375"/>
      <c r="H28" s="375"/>
      <c r="I28" s="376">
        <f t="shared" si="1"/>
        <v>0</v>
      </c>
      <c r="J28" s="375"/>
      <c r="K28" s="375">
        <v>150000</v>
      </c>
      <c r="L28" s="376">
        <f t="shared" si="2"/>
        <v>150000</v>
      </c>
      <c r="M28" s="323"/>
    </row>
    <row r="29" spans="1:13" ht="29.25" customHeight="1">
      <c r="A29" s="374"/>
      <c r="B29" s="374"/>
      <c r="C29" s="355"/>
      <c r="D29" s="379" t="s">
        <v>1061</v>
      </c>
      <c r="E29" s="374" t="s">
        <v>1104</v>
      </c>
      <c r="F29" s="375"/>
      <c r="G29" s="375"/>
      <c r="H29" s="375"/>
      <c r="I29" s="376">
        <f>F29+G29+H29</f>
        <v>0</v>
      </c>
      <c r="J29" s="375"/>
      <c r="K29" s="375">
        <v>100000</v>
      </c>
      <c r="L29" s="376">
        <f>F29+J29+K29</f>
        <v>100000</v>
      </c>
      <c r="M29" s="367"/>
    </row>
    <row r="30" spans="1:13" ht="29.25" customHeight="1">
      <c r="A30" s="374"/>
      <c r="B30" s="374"/>
      <c r="C30" s="355"/>
      <c r="D30" s="379" t="s">
        <v>1105</v>
      </c>
      <c r="E30" s="374" t="s">
        <v>1106</v>
      </c>
      <c r="F30" s="375"/>
      <c r="G30" s="375"/>
      <c r="H30" s="375"/>
      <c r="I30" s="376">
        <f t="shared" si="1"/>
        <v>0</v>
      </c>
      <c r="J30" s="375"/>
      <c r="K30" s="375">
        <v>200000</v>
      </c>
      <c r="L30" s="376">
        <f t="shared" si="2"/>
        <v>200000</v>
      </c>
      <c r="M30" s="323"/>
    </row>
    <row r="31" spans="1:13" ht="29.25" customHeight="1">
      <c r="A31" s="374"/>
      <c r="B31" s="374"/>
      <c r="C31" s="355"/>
      <c r="D31" s="379" t="s">
        <v>78</v>
      </c>
      <c r="E31" s="374" t="s">
        <v>1107</v>
      </c>
      <c r="F31" s="375"/>
      <c r="G31" s="375"/>
      <c r="H31" s="375"/>
      <c r="I31" s="376">
        <f t="shared" si="1"/>
        <v>0</v>
      </c>
      <c r="J31" s="375"/>
      <c r="K31" s="375">
        <v>150000</v>
      </c>
      <c r="L31" s="376">
        <f t="shared" si="2"/>
        <v>150000</v>
      </c>
      <c r="M31" s="323"/>
    </row>
    <row r="32" spans="1:13" ht="29.25" customHeight="1">
      <c r="A32" s="374"/>
      <c r="B32" s="374"/>
      <c r="C32" s="371">
        <v>1128</v>
      </c>
      <c r="D32" s="379" t="s">
        <v>1033</v>
      </c>
      <c r="E32" s="379" t="s">
        <v>1058</v>
      </c>
      <c r="F32" s="375">
        <v>77500</v>
      </c>
      <c r="G32" s="375"/>
      <c r="H32" s="375"/>
      <c r="I32" s="376">
        <f t="shared" si="1"/>
        <v>77500</v>
      </c>
      <c r="J32" s="375"/>
      <c r="K32" s="375">
        <v>50000</v>
      </c>
      <c r="L32" s="376">
        <f t="shared" si="2"/>
        <v>127500</v>
      </c>
      <c r="M32" s="367"/>
    </row>
    <row r="33" spans="1:13" ht="29.25" customHeight="1">
      <c r="A33" s="374"/>
      <c r="B33" s="374"/>
      <c r="C33" s="355"/>
      <c r="D33" s="379" t="s">
        <v>1108</v>
      </c>
      <c r="E33" s="374" t="s">
        <v>1109</v>
      </c>
      <c r="F33" s="375"/>
      <c r="G33" s="375"/>
      <c r="H33" s="375"/>
      <c r="I33" s="376">
        <f t="shared" si="1"/>
        <v>0</v>
      </c>
      <c r="J33" s="375"/>
      <c r="K33" s="375">
        <v>20000</v>
      </c>
      <c r="L33" s="376">
        <f t="shared" si="2"/>
        <v>20000</v>
      </c>
      <c r="M33" s="367"/>
    </row>
    <row r="34" spans="1:13" ht="29.25" customHeight="1">
      <c r="A34" s="374"/>
      <c r="B34" s="374"/>
      <c r="C34" s="355"/>
      <c r="D34" s="379" t="s">
        <v>1110</v>
      </c>
      <c r="E34" s="374" t="s">
        <v>1111</v>
      </c>
      <c r="F34" s="375"/>
      <c r="G34" s="375"/>
      <c r="H34" s="375"/>
      <c r="I34" s="376">
        <f t="shared" si="1"/>
        <v>0</v>
      </c>
      <c r="J34" s="375"/>
      <c r="K34" s="375">
        <v>100000</v>
      </c>
      <c r="L34" s="376">
        <f t="shared" si="2"/>
        <v>100000</v>
      </c>
      <c r="M34" s="367"/>
    </row>
    <row r="35" spans="1:13" ht="29.25" customHeight="1">
      <c r="A35" s="374"/>
      <c r="B35" s="374"/>
      <c r="C35" s="355"/>
      <c r="D35" s="379" t="s">
        <v>1112</v>
      </c>
      <c r="E35" s="374" t="s">
        <v>1113</v>
      </c>
      <c r="F35" s="375"/>
      <c r="G35" s="375"/>
      <c r="H35" s="375"/>
      <c r="I35" s="376">
        <f t="shared" si="1"/>
        <v>0</v>
      </c>
      <c r="J35" s="375"/>
      <c r="K35" s="375">
        <v>150000</v>
      </c>
      <c r="L35" s="376">
        <f t="shared" si="2"/>
        <v>150000</v>
      </c>
      <c r="M35" s="367"/>
    </row>
    <row r="36" spans="1:13" ht="29.25" customHeight="1">
      <c r="A36" s="374"/>
      <c r="B36" s="374"/>
      <c r="C36" s="355">
        <v>630</v>
      </c>
      <c r="D36" s="379" t="s">
        <v>1114</v>
      </c>
      <c r="E36" s="379" t="s">
        <v>1115</v>
      </c>
      <c r="F36" s="375"/>
      <c r="G36" s="375"/>
      <c r="H36" s="375"/>
      <c r="I36" s="376">
        <f t="shared" si="1"/>
        <v>0</v>
      </c>
      <c r="J36" s="375"/>
      <c r="K36" s="375">
        <v>50000</v>
      </c>
      <c r="L36" s="376">
        <f t="shared" si="2"/>
        <v>50000</v>
      </c>
      <c r="M36" s="413"/>
    </row>
    <row r="37" spans="1:13" ht="29.25" customHeight="1">
      <c r="A37" s="374"/>
      <c r="B37" s="374"/>
      <c r="C37" s="355"/>
      <c r="D37" s="379" t="s">
        <v>1116</v>
      </c>
      <c r="E37" s="374" t="s">
        <v>1117</v>
      </c>
      <c r="F37" s="375"/>
      <c r="G37" s="375"/>
      <c r="H37" s="375"/>
      <c r="I37" s="376">
        <f t="shared" si="1"/>
        <v>0</v>
      </c>
      <c r="J37" s="375"/>
      <c r="K37" s="375">
        <v>60000</v>
      </c>
      <c r="L37" s="376">
        <f t="shared" si="2"/>
        <v>60000</v>
      </c>
      <c r="M37" s="413"/>
    </row>
    <row r="38" spans="1:13" ht="29.25" customHeight="1">
      <c r="A38" s="374"/>
      <c r="B38" s="374"/>
      <c r="C38" s="355"/>
      <c r="D38" s="379" t="s">
        <v>1059</v>
      </c>
      <c r="E38" s="374" t="s">
        <v>1118</v>
      </c>
      <c r="F38" s="375"/>
      <c r="G38" s="375"/>
      <c r="H38" s="375"/>
      <c r="I38" s="376">
        <f t="shared" si="1"/>
        <v>0</v>
      </c>
      <c r="J38" s="375"/>
      <c r="K38" s="375">
        <v>5000</v>
      </c>
      <c r="L38" s="376">
        <f t="shared" si="2"/>
        <v>5000</v>
      </c>
      <c r="M38" s="413"/>
    </row>
    <row r="39" spans="1:13" ht="29.25" customHeight="1">
      <c r="A39" s="374"/>
      <c r="B39" s="374"/>
      <c r="C39" s="371">
        <v>768</v>
      </c>
      <c r="D39" s="379" t="s">
        <v>1079</v>
      </c>
      <c r="E39" s="379" t="s">
        <v>1064</v>
      </c>
      <c r="F39" s="375">
        <v>120000</v>
      </c>
      <c r="G39" s="375"/>
      <c r="H39" s="375"/>
      <c r="I39" s="376">
        <f t="shared" si="1"/>
        <v>120000</v>
      </c>
      <c r="J39" s="375"/>
      <c r="K39" s="375">
        <v>120000</v>
      </c>
      <c r="L39" s="376">
        <f t="shared" si="2"/>
        <v>240000</v>
      </c>
      <c r="M39" s="367"/>
    </row>
    <row r="40" spans="1:13" ht="29.25" customHeight="1">
      <c r="A40" s="374"/>
      <c r="B40" s="374"/>
      <c r="C40" s="355">
        <v>760</v>
      </c>
      <c r="D40" s="379" t="s">
        <v>1079</v>
      </c>
      <c r="E40" s="374" t="s">
        <v>1065</v>
      </c>
      <c r="F40" s="375">
        <v>16000</v>
      </c>
      <c r="G40" s="375"/>
      <c r="H40" s="375"/>
      <c r="I40" s="376">
        <f t="shared" si="1"/>
        <v>16000</v>
      </c>
      <c r="J40" s="375"/>
      <c r="K40" s="375">
        <v>100000</v>
      </c>
      <c r="L40" s="376">
        <f t="shared" si="2"/>
        <v>116000</v>
      </c>
      <c r="M40" s="323"/>
    </row>
    <row r="41" spans="1:13" ht="29.25" customHeight="1">
      <c r="A41" s="374"/>
      <c r="B41" s="374"/>
      <c r="C41" s="355"/>
      <c r="D41" s="379" t="s">
        <v>1119</v>
      </c>
      <c r="E41" s="374" t="s">
        <v>1120</v>
      </c>
      <c r="F41" s="375"/>
      <c r="G41" s="375"/>
      <c r="H41" s="375"/>
      <c r="I41" s="376">
        <f t="shared" si="1"/>
        <v>0</v>
      </c>
      <c r="J41" s="375"/>
      <c r="K41" s="375">
        <v>100000</v>
      </c>
      <c r="L41" s="376">
        <f t="shared" si="2"/>
        <v>100000</v>
      </c>
      <c r="M41" s="323"/>
    </row>
    <row r="42" spans="1:13" ht="29.25" customHeight="1">
      <c r="A42" s="374"/>
      <c r="B42" s="374"/>
      <c r="C42" s="355">
        <v>15</v>
      </c>
      <c r="D42" s="379" t="s">
        <v>1121</v>
      </c>
      <c r="E42" s="374" t="s">
        <v>1122</v>
      </c>
      <c r="F42" s="375">
        <v>160000</v>
      </c>
      <c r="G42" s="375"/>
      <c r="H42" s="375"/>
      <c r="I42" s="376">
        <f t="shared" si="1"/>
        <v>160000</v>
      </c>
      <c r="J42" s="375"/>
      <c r="K42" s="375">
        <v>160000</v>
      </c>
      <c r="L42" s="376">
        <f t="shared" si="2"/>
        <v>320000</v>
      </c>
      <c r="M42" s="323"/>
    </row>
    <row r="43" spans="1:13">
      <c r="K43" s="372" t="s">
        <v>1124</v>
      </c>
    </row>
  </sheetData>
  <mergeCells count="11">
    <mergeCell ref="M4:M5"/>
    <mergeCell ref="A1:M1"/>
    <mergeCell ref="A4:B5"/>
    <mergeCell ref="C4:C5"/>
    <mergeCell ref="D4:D5"/>
    <mergeCell ref="E4:E5"/>
    <mergeCell ref="F4:F5"/>
    <mergeCell ref="G4:H4"/>
    <mergeCell ref="I4:I5"/>
    <mergeCell ref="J4:K4"/>
    <mergeCell ref="L4:L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5" orientation="portrait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showGridLines="0" view="pageBreakPreview" zoomScale="80" zoomScaleNormal="80" zoomScaleSheetLayoutView="80" workbookViewId="0">
      <pane xSplit="6" ySplit="6" topLeftCell="G7" activePane="bottomRight" state="frozen"/>
      <selection activeCell="E38" sqref="E38"/>
      <selection pane="topRight" activeCell="E38" sqref="E38"/>
      <selection pane="bottomLeft" activeCell="E38" sqref="E38"/>
      <selection pane="bottomRight" activeCell="E38" sqref="E38"/>
    </sheetView>
  </sheetViews>
  <sheetFormatPr defaultColWidth="8.75" defaultRowHeight="13.5"/>
  <cols>
    <col min="1" max="1" width="2.5" style="372" customWidth="1"/>
    <col min="2" max="2" width="3.5" style="372" customWidth="1"/>
    <col min="3" max="3" width="6.75" style="85" customWidth="1"/>
    <col min="4" max="4" width="14.25" style="372" customWidth="1"/>
    <col min="5" max="5" width="36.75" style="372" customWidth="1"/>
    <col min="6" max="6" width="12.25" style="372" customWidth="1"/>
    <col min="7" max="8" width="12" style="372" hidden="1" customWidth="1"/>
    <col min="9" max="9" width="13.125" style="372" hidden="1" customWidth="1"/>
    <col min="10" max="11" width="10.75" style="372" customWidth="1"/>
    <col min="12" max="12" width="11.625" style="372" customWidth="1"/>
    <col min="13" max="13" width="20.875" style="372" customWidth="1"/>
    <col min="14" max="14" width="8.75" style="366"/>
    <col min="15" max="16384" width="8.75" style="372"/>
  </cols>
  <sheetData>
    <row r="1" spans="1:21" ht="26.25">
      <c r="A1" s="802" t="s">
        <v>1125</v>
      </c>
      <c r="B1" s="803"/>
      <c r="C1" s="803"/>
      <c r="D1" s="803"/>
      <c r="E1" s="803"/>
      <c r="F1" s="803"/>
      <c r="G1" s="803"/>
      <c r="H1" s="803"/>
      <c r="I1" s="803"/>
      <c r="J1" s="803"/>
      <c r="K1" s="803"/>
      <c r="L1" s="803"/>
      <c r="M1" s="803"/>
    </row>
    <row r="2" spans="1:21" ht="16.5">
      <c r="A2" s="87" t="s">
        <v>1126</v>
      </c>
      <c r="B2" s="87"/>
    </row>
    <row r="3" spans="1:21">
      <c r="H3" s="372">
        <f>SUM(G6:H6)</f>
        <v>0</v>
      </c>
      <c r="K3" s="372">
        <f>SUM(J6:K6)</f>
        <v>-4717000</v>
      </c>
      <c r="M3" s="88" t="s">
        <v>1127</v>
      </c>
    </row>
    <row r="4" spans="1:21" ht="33" customHeight="1">
      <c r="A4" s="801" t="s">
        <v>1128</v>
      </c>
      <c r="B4" s="801"/>
      <c r="C4" s="804" t="s">
        <v>1129</v>
      </c>
      <c r="D4" s="801" t="s">
        <v>1130</v>
      </c>
      <c r="E4" s="801" t="s">
        <v>1131</v>
      </c>
      <c r="F4" s="804" t="s">
        <v>1132</v>
      </c>
      <c r="G4" s="805" t="s">
        <v>1133</v>
      </c>
      <c r="H4" s="806"/>
      <c r="I4" s="804" t="s">
        <v>1134</v>
      </c>
      <c r="J4" s="805" t="s">
        <v>1135</v>
      </c>
      <c r="K4" s="806"/>
      <c r="L4" s="804" t="s">
        <v>1136</v>
      </c>
      <c r="M4" s="801" t="s">
        <v>1137</v>
      </c>
    </row>
    <row r="5" spans="1:21" ht="16.5" customHeight="1">
      <c r="A5" s="801"/>
      <c r="B5" s="801"/>
      <c r="C5" s="804"/>
      <c r="D5" s="801"/>
      <c r="E5" s="801"/>
      <c r="F5" s="801"/>
      <c r="G5" s="412" t="s">
        <v>1138</v>
      </c>
      <c r="H5" s="412" t="s">
        <v>1139</v>
      </c>
      <c r="I5" s="801"/>
      <c r="J5" s="412" t="s">
        <v>1138</v>
      </c>
      <c r="K5" s="412" t="s">
        <v>1139</v>
      </c>
      <c r="L5" s="801"/>
      <c r="M5" s="801"/>
    </row>
    <row r="6" spans="1:21" ht="29.25" customHeight="1">
      <c r="A6" s="92"/>
      <c r="B6" s="93" t="s">
        <v>1140</v>
      </c>
      <c r="C6" s="94"/>
      <c r="D6" s="94"/>
      <c r="E6" s="59"/>
      <c r="F6" s="137">
        <f t="shared" ref="F6:K6" si="0">SUM(F7:F973)</f>
        <v>10142832</v>
      </c>
      <c r="G6" s="137">
        <f t="shared" si="0"/>
        <v>0</v>
      </c>
      <c r="H6" s="137">
        <f t="shared" si="0"/>
        <v>0</v>
      </c>
      <c r="I6" s="137">
        <f t="shared" si="0"/>
        <v>417000</v>
      </c>
      <c r="J6" s="137">
        <f t="shared" si="0"/>
        <v>-4717000</v>
      </c>
      <c r="K6" s="137">
        <f t="shared" si="0"/>
        <v>0</v>
      </c>
      <c r="L6" s="137">
        <f>SUM(L7:L973)</f>
        <v>5425832</v>
      </c>
      <c r="M6" s="319"/>
    </row>
    <row r="7" spans="1:21" ht="29.25" customHeight="1">
      <c r="A7" s="374"/>
      <c r="B7" s="374"/>
      <c r="C7" s="371">
        <v>87</v>
      </c>
      <c r="D7" s="379" t="s">
        <v>1141</v>
      </c>
      <c r="E7" s="379" t="s">
        <v>1142</v>
      </c>
      <c r="F7" s="375">
        <v>287000</v>
      </c>
      <c r="G7" s="375"/>
      <c r="H7" s="375"/>
      <c r="I7" s="376">
        <f t="shared" ref="I7:I8" si="1">F7+G7+H7</f>
        <v>287000</v>
      </c>
      <c r="J7" s="375">
        <v>-287000</v>
      </c>
      <c r="K7" s="375"/>
      <c r="L7" s="376">
        <f t="shared" ref="L7:L11" si="2">F7+J7+K7</f>
        <v>0</v>
      </c>
      <c r="M7" s="367"/>
    </row>
    <row r="8" spans="1:21" ht="29.25" customHeight="1">
      <c r="A8" s="374"/>
      <c r="B8" s="374"/>
      <c r="C8" s="371">
        <v>783</v>
      </c>
      <c r="D8" s="379" t="s">
        <v>1143</v>
      </c>
      <c r="E8" s="379" t="s">
        <v>1144</v>
      </c>
      <c r="F8" s="375">
        <v>130000</v>
      </c>
      <c r="G8" s="375"/>
      <c r="H8" s="375"/>
      <c r="I8" s="376">
        <f t="shared" si="1"/>
        <v>130000</v>
      </c>
      <c r="J8" s="375">
        <v>-130000</v>
      </c>
      <c r="K8" s="375"/>
      <c r="L8" s="376">
        <f t="shared" si="2"/>
        <v>0</v>
      </c>
      <c r="M8" s="411"/>
    </row>
    <row r="9" spans="1:21" ht="29.25" customHeight="1">
      <c r="A9" s="374"/>
      <c r="B9" s="374"/>
      <c r="C9" s="371">
        <v>429</v>
      </c>
      <c r="D9" s="379" t="s">
        <v>1145</v>
      </c>
      <c r="E9" s="379" t="s">
        <v>1146</v>
      </c>
      <c r="F9" s="375">
        <v>3925832</v>
      </c>
      <c r="G9" s="375"/>
      <c r="H9" s="375"/>
      <c r="I9" s="376"/>
      <c r="J9" s="375">
        <v>-700000</v>
      </c>
      <c r="K9" s="375"/>
      <c r="L9" s="376">
        <f t="shared" si="2"/>
        <v>3225832</v>
      </c>
      <c r="M9" s="367"/>
    </row>
    <row r="10" spans="1:21" ht="29.25" customHeight="1">
      <c r="A10" s="374"/>
      <c r="B10" s="374"/>
      <c r="C10" s="419"/>
      <c r="D10" s="379" t="s">
        <v>1143</v>
      </c>
      <c r="E10" s="374" t="s">
        <v>1147</v>
      </c>
      <c r="F10" s="375">
        <v>200000</v>
      </c>
      <c r="G10" s="375"/>
      <c r="H10" s="375"/>
      <c r="I10" s="376"/>
      <c r="J10" s="375">
        <v>-100000</v>
      </c>
      <c r="K10" s="375"/>
      <c r="L10" s="376">
        <f t="shared" si="2"/>
        <v>100000</v>
      </c>
      <c r="M10" s="323"/>
    </row>
    <row r="11" spans="1:21" ht="29.25" customHeight="1">
      <c r="A11" s="374"/>
      <c r="B11" s="374"/>
      <c r="C11" s="419"/>
      <c r="D11" s="379" t="s">
        <v>1148</v>
      </c>
      <c r="E11" s="374" t="s">
        <v>1149</v>
      </c>
      <c r="F11" s="375">
        <v>5600000</v>
      </c>
      <c r="G11" s="375"/>
      <c r="H11" s="375"/>
      <c r="I11" s="376"/>
      <c r="J11" s="375">
        <v>-3500000</v>
      </c>
      <c r="K11" s="375"/>
      <c r="L11" s="376">
        <f t="shared" si="2"/>
        <v>2100000</v>
      </c>
      <c r="M11" s="323"/>
    </row>
    <row r="12" spans="1:21" s="366" customFormat="1">
      <c r="A12" s="372"/>
      <c r="B12" s="372"/>
      <c r="C12" s="85"/>
      <c r="D12" s="372"/>
      <c r="E12" s="372"/>
      <c r="F12" s="372"/>
      <c r="G12" s="372"/>
      <c r="H12" s="372"/>
      <c r="I12" s="372"/>
      <c r="J12" s="372"/>
      <c r="K12" s="372" t="s">
        <v>1123</v>
      </c>
      <c r="L12" s="372"/>
      <c r="M12" s="372"/>
      <c r="O12" s="372"/>
      <c r="P12" s="372"/>
      <c r="Q12" s="372"/>
      <c r="R12" s="372"/>
      <c r="S12" s="372"/>
      <c r="T12" s="372"/>
      <c r="U12" s="372"/>
    </row>
  </sheetData>
  <mergeCells count="11">
    <mergeCell ref="M4:M5"/>
    <mergeCell ref="A1:M1"/>
    <mergeCell ref="A4:B5"/>
    <mergeCell ref="C4:C5"/>
    <mergeCell ref="D4:D5"/>
    <mergeCell ref="E4:E5"/>
    <mergeCell ref="F4:F5"/>
    <mergeCell ref="G4:H4"/>
    <mergeCell ref="I4:I5"/>
    <mergeCell ref="J4:K4"/>
    <mergeCell ref="L4:L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5" orientation="portrait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view="pageBreakPreview" zoomScaleNormal="100" zoomScaleSheetLayoutView="100" workbookViewId="0">
      <selection activeCell="I13" sqref="I13"/>
    </sheetView>
  </sheetViews>
  <sheetFormatPr defaultRowHeight="13.5"/>
  <cols>
    <col min="1" max="10" width="8.125" style="69" customWidth="1"/>
    <col min="11" max="16384" width="9" style="69"/>
  </cols>
  <sheetData>
    <row r="1" spans="1:10" ht="27" customHeight="1"/>
    <row r="2" spans="1:10" ht="27" customHeight="1"/>
    <row r="3" spans="1:10" ht="27" customHeight="1"/>
    <row r="4" spans="1:10" ht="27" customHeight="1"/>
    <row r="5" spans="1:10" ht="18.75">
      <c r="B5" s="70" t="s">
        <v>349</v>
      </c>
      <c r="C5" s="71"/>
      <c r="D5" s="71"/>
      <c r="E5" s="71"/>
      <c r="F5" s="71"/>
      <c r="G5" s="71"/>
      <c r="H5" s="71"/>
      <c r="I5" s="71"/>
    </row>
    <row r="6" spans="1:10" ht="18.75">
      <c r="B6" s="72"/>
      <c r="C6" s="73"/>
      <c r="E6" s="74"/>
      <c r="F6" s="73"/>
      <c r="G6" s="73"/>
      <c r="H6" s="73"/>
      <c r="I6" s="73"/>
    </row>
    <row r="7" spans="1:10" ht="46.5">
      <c r="A7" s="795"/>
      <c r="B7" s="391" t="s">
        <v>1479</v>
      </c>
      <c r="C7" s="796"/>
      <c r="D7" s="796"/>
      <c r="E7" s="796"/>
      <c r="F7" s="796"/>
      <c r="G7" s="796"/>
      <c r="H7" s="796"/>
      <c r="I7" s="796"/>
      <c r="J7" s="795"/>
    </row>
    <row r="8" spans="1:10" ht="19.5">
      <c r="B8" s="77"/>
      <c r="C8" s="76"/>
      <c r="D8" s="76"/>
      <c r="E8" s="76"/>
      <c r="F8" s="76"/>
      <c r="G8" s="76"/>
      <c r="H8" s="76"/>
      <c r="I8" s="76"/>
    </row>
    <row r="9" spans="1:10" ht="19.5">
      <c r="B9" s="77"/>
      <c r="C9" s="76"/>
      <c r="D9" s="76"/>
      <c r="E9" s="76"/>
      <c r="F9" s="76"/>
      <c r="G9" s="76"/>
      <c r="H9" s="76"/>
      <c r="I9" s="76"/>
    </row>
    <row r="10" spans="1:10" ht="19.5">
      <c r="B10" s="77"/>
      <c r="C10" s="76"/>
      <c r="D10" s="76"/>
      <c r="E10" s="76"/>
      <c r="F10" s="76"/>
      <c r="G10" s="76"/>
      <c r="H10" s="76"/>
      <c r="I10" s="76"/>
    </row>
    <row r="11" spans="1:10" ht="19.5">
      <c r="B11" s="77"/>
      <c r="C11" s="76"/>
      <c r="D11" s="76"/>
      <c r="E11" s="76"/>
      <c r="F11" s="76"/>
      <c r="G11" s="76"/>
      <c r="H11" s="76"/>
      <c r="I11" s="76"/>
    </row>
    <row r="12" spans="1:10" ht="19.5">
      <c r="B12" s="77"/>
      <c r="C12" s="76"/>
      <c r="D12" s="76"/>
      <c r="E12" s="76"/>
      <c r="F12" s="76"/>
      <c r="G12" s="76"/>
      <c r="H12" s="76"/>
      <c r="I12" s="76"/>
    </row>
    <row r="13" spans="1:10" ht="19.5">
      <c r="B13" s="77"/>
      <c r="C13" s="76"/>
      <c r="D13" s="76"/>
      <c r="E13" s="76"/>
      <c r="F13" s="76"/>
      <c r="G13" s="76"/>
      <c r="H13" s="76"/>
      <c r="I13" s="76"/>
    </row>
    <row r="14" spans="1:10">
      <c r="B14" s="76"/>
      <c r="C14" s="76"/>
      <c r="D14" s="76"/>
      <c r="E14" s="76"/>
      <c r="F14" s="76"/>
      <c r="G14" s="76"/>
      <c r="H14" s="76"/>
      <c r="I14" s="76"/>
    </row>
    <row r="15" spans="1:10">
      <c r="B15" s="76"/>
      <c r="C15" s="76"/>
      <c r="D15" s="76"/>
      <c r="E15" s="76"/>
      <c r="F15" s="76"/>
      <c r="G15" s="76"/>
      <c r="H15" s="76"/>
      <c r="I15" s="76"/>
    </row>
    <row r="16" spans="1:10">
      <c r="B16" s="76"/>
      <c r="C16" s="76"/>
      <c r="D16" s="76"/>
      <c r="E16" s="76"/>
      <c r="F16" s="76"/>
      <c r="G16" s="76"/>
      <c r="H16" s="76"/>
      <c r="I16" s="76"/>
    </row>
    <row r="17" spans="2:9">
      <c r="B17" s="76"/>
      <c r="C17" s="76"/>
      <c r="D17" s="76"/>
      <c r="E17" s="76"/>
      <c r="F17" s="76"/>
      <c r="G17" s="76"/>
      <c r="H17" s="76"/>
      <c r="I17" s="76"/>
    </row>
    <row r="18" spans="2:9">
      <c r="B18" s="76"/>
      <c r="C18" s="76"/>
      <c r="D18" s="76"/>
      <c r="E18" s="76"/>
      <c r="F18" s="76"/>
      <c r="G18" s="76"/>
      <c r="H18" s="76"/>
      <c r="I18" s="76"/>
    </row>
    <row r="19" spans="2:9">
      <c r="B19" s="76"/>
      <c r="C19" s="76"/>
      <c r="D19" s="76"/>
      <c r="E19" s="76"/>
      <c r="F19" s="76"/>
      <c r="G19" s="76"/>
      <c r="H19" s="76"/>
      <c r="I19" s="76"/>
    </row>
    <row r="20" spans="2:9">
      <c r="B20" s="76"/>
      <c r="C20" s="76"/>
      <c r="D20" s="76"/>
      <c r="E20" s="76"/>
      <c r="F20" s="76"/>
      <c r="G20" s="76"/>
      <c r="H20" s="76"/>
      <c r="I20" s="76"/>
    </row>
    <row r="21" spans="2:9">
      <c r="B21" s="76"/>
      <c r="C21" s="76"/>
      <c r="D21" s="76"/>
      <c r="E21" s="76"/>
      <c r="F21" s="76"/>
      <c r="G21" s="76"/>
      <c r="H21" s="76"/>
      <c r="I21" s="76"/>
    </row>
    <row r="22" spans="2:9">
      <c r="B22" s="76"/>
      <c r="C22" s="76"/>
      <c r="D22" s="76"/>
      <c r="E22" s="76"/>
      <c r="F22" s="76"/>
      <c r="G22" s="76"/>
      <c r="H22" s="76"/>
      <c r="I22" s="76"/>
    </row>
    <row r="23" spans="2:9">
      <c r="B23" s="76"/>
      <c r="C23" s="76"/>
      <c r="D23" s="76"/>
      <c r="E23" s="76"/>
      <c r="F23" s="76"/>
      <c r="G23" s="76"/>
      <c r="H23" s="76"/>
      <c r="I23" s="76"/>
    </row>
    <row r="24" spans="2:9">
      <c r="B24" s="76"/>
      <c r="C24" s="76"/>
      <c r="D24" s="76"/>
      <c r="E24" s="76"/>
      <c r="F24" s="76"/>
      <c r="G24" s="76"/>
      <c r="H24" s="76"/>
      <c r="I24" s="76"/>
    </row>
    <row r="25" spans="2:9">
      <c r="B25" s="76"/>
      <c r="C25" s="76"/>
      <c r="D25" s="76"/>
      <c r="E25" s="76"/>
      <c r="F25" s="76"/>
      <c r="G25" s="76"/>
      <c r="H25" s="76"/>
      <c r="I25" s="76"/>
    </row>
    <row r="26" spans="2:9">
      <c r="B26" s="76"/>
      <c r="C26" s="76"/>
      <c r="D26" s="76"/>
      <c r="E26" s="76"/>
      <c r="F26" s="76"/>
      <c r="G26" s="76"/>
      <c r="H26" s="76"/>
      <c r="I26" s="76"/>
    </row>
    <row r="27" spans="2:9">
      <c r="B27" s="76"/>
      <c r="C27" s="76"/>
      <c r="D27" s="76"/>
      <c r="E27" s="76"/>
      <c r="F27" s="76"/>
      <c r="G27" s="76"/>
      <c r="H27" s="76"/>
      <c r="I27" s="76"/>
    </row>
    <row r="28" spans="2:9">
      <c r="B28" s="76"/>
      <c r="C28" s="76"/>
      <c r="D28" s="76"/>
      <c r="E28" s="76"/>
      <c r="F28" s="76"/>
      <c r="G28" s="76"/>
      <c r="H28" s="76"/>
      <c r="I28" s="76"/>
    </row>
    <row r="29" spans="2:9">
      <c r="B29" s="76"/>
      <c r="C29" s="76"/>
      <c r="D29" s="76"/>
      <c r="E29" s="76"/>
      <c r="F29" s="76"/>
      <c r="G29" s="76"/>
      <c r="H29" s="76"/>
      <c r="I29" s="76"/>
    </row>
    <row r="30" spans="2:9">
      <c r="B30" s="76"/>
      <c r="C30" s="76"/>
      <c r="D30" s="76"/>
      <c r="E30" s="76"/>
      <c r="F30" s="76"/>
      <c r="G30" s="76"/>
      <c r="H30" s="76"/>
      <c r="I30" s="76"/>
    </row>
    <row r="31" spans="2:9">
      <c r="B31" s="76"/>
      <c r="C31" s="76"/>
      <c r="D31" s="76"/>
      <c r="E31" s="76"/>
      <c r="F31" s="76"/>
      <c r="G31" s="76"/>
      <c r="H31" s="76"/>
      <c r="I31" s="76"/>
    </row>
    <row r="32" spans="2:9">
      <c r="B32" s="76"/>
      <c r="C32" s="76"/>
      <c r="D32" s="76"/>
      <c r="E32" s="76"/>
      <c r="F32" s="76"/>
      <c r="G32" s="76"/>
      <c r="H32" s="76"/>
      <c r="I32" s="76"/>
    </row>
    <row r="33" spans="2:9" s="80" customFormat="1" ht="33.75">
      <c r="B33" s="807" t="s">
        <v>1484</v>
      </c>
      <c r="C33" s="807"/>
      <c r="D33" s="807"/>
      <c r="E33" s="807"/>
      <c r="F33" s="807"/>
      <c r="G33" s="807"/>
      <c r="H33" s="807"/>
      <c r="I33" s="807"/>
    </row>
    <row r="34" spans="2:9">
      <c r="B34" s="76"/>
      <c r="C34" s="76"/>
      <c r="D34" s="76"/>
      <c r="E34" s="76"/>
      <c r="F34" s="76"/>
      <c r="G34" s="76"/>
      <c r="H34" s="76"/>
      <c r="I34" s="76"/>
    </row>
    <row r="35" spans="2:9" ht="46.5">
      <c r="B35" s="75"/>
      <c r="C35" s="76"/>
      <c r="D35" s="76"/>
      <c r="E35" s="76"/>
      <c r="F35" s="76"/>
      <c r="G35" s="76"/>
      <c r="H35" s="76"/>
      <c r="I35" s="76"/>
    </row>
    <row r="36" spans="2:9">
      <c r="B36" s="76"/>
      <c r="C36" s="76"/>
      <c r="D36" s="76"/>
      <c r="E36" s="76"/>
      <c r="F36" s="76"/>
      <c r="G36" s="76"/>
      <c r="H36" s="76"/>
      <c r="I36" s="76"/>
    </row>
    <row r="37" spans="2:9">
      <c r="B37" s="76"/>
      <c r="C37" s="76"/>
      <c r="D37" s="76"/>
      <c r="E37" s="76"/>
      <c r="F37" s="76"/>
      <c r="G37" s="76"/>
      <c r="H37" s="76"/>
      <c r="I37" s="76"/>
    </row>
    <row r="38" spans="2:9">
      <c r="B38" s="76"/>
      <c r="C38" s="76"/>
      <c r="D38" s="76"/>
      <c r="E38" s="76"/>
      <c r="F38" s="76"/>
      <c r="G38" s="76"/>
      <c r="H38" s="76"/>
      <c r="I38" s="76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97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311"/>
  <sheetViews>
    <sheetView zoomScaleNormal="100" zoomScaleSheetLayoutView="70" workbookViewId="0">
      <pane xSplit="1" ySplit="6" topLeftCell="B7" activePane="bottomRight" state="frozen"/>
      <selection activeCell="B1" sqref="B1:K1"/>
      <selection pane="topRight" activeCell="B1" sqref="B1:K1"/>
      <selection pane="bottomLeft" activeCell="B1" sqref="B1:K1"/>
      <selection pane="bottomRight" activeCell="B1" sqref="B1:K1"/>
    </sheetView>
  </sheetViews>
  <sheetFormatPr defaultRowHeight="13.5"/>
  <cols>
    <col min="1" max="1" width="1" style="185" customWidth="1"/>
    <col min="2" max="2" width="17.75" style="185" customWidth="1"/>
    <col min="3" max="3" width="16.375" style="185" customWidth="1"/>
    <col min="4" max="7" width="11.625" style="185" customWidth="1"/>
    <col min="8" max="8" width="16.375" style="185" customWidth="1"/>
    <col min="9" max="9" width="19.25" style="184" hidden="1" customWidth="1"/>
    <col min="10" max="10" width="16.125" style="184" hidden="1" customWidth="1"/>
    <col min="11" max="11" width="14.625" style="184" hidden="1" customWidth="1"/>
    <col min="12" max="12" width="22.375" style="184" hidden="1" customWidth="1"/>
    <col min="13" max="14" width="14.75" style="184" hidden="1" customWidth="1"/>
    <col min="15" max="15" width="12.25" style="184" hidden="1" customWidth="1"/>
    <col min="16" max="16" width="13.375" style="184" hidden="1" customWidth="1"/>
    <col min="17" max="17" width="0" style="185" hidden="1" customWidth="1"/>
    <col min="18" max="16384" width="9" style="185"/>
  </cols>
  <sheetData>
    <row r="1" spans="2:16" ht="33" customHeight="1">
      <c r="B1" s="808" t="s">
        <v>1498</v>
      </c>
      <c r="C1" s="808"/>
      <c r="D1" s="808"/>
      <c r="E1" s="808"/>
      <c r="F1" s="808"/>
      <c r="G1" s="808"/>
      <c r="H1" s="808"/>
    </row>
    <row r="2" spans="2:16" ht="12.75" customHeight="1">
      <c r="B2" s="685"/>
      <c r="C2" s="187"/>
      <c r="D2" s="187"/>
      <c r="E2" s="187"/>
      <c r="F2" s="187"/>
      <c r="G2" s="187"/>
      <c r="H2" s="187"/>
    </row>
    <row r="3" spans="2:16" ht="23.25" customHeight="1">
      <c r="B3" s="188" t="s">
        <v>1403</v>
      </c>
      <c r="C3" s="189"/>
      <c r="D3" s="190"/>
      <c r="E3" s="190"/>
    </row>
    <row r="4" spans="2:16" s="192" customFormat="1" ht="18" customHeight="1" thickBot="1">
      <c r="B4" s="191"/>
      <c r="D4" s="754" t="s">
        <v>1470</v>
      </c>
      <c r="E4" s="755"/>
      <c r="F4" s="756" t="s">
        <v>1469</v>
      </c>
      <c r="G4" s="755"/>
      <c r="H4" s="194" t="s">
        <v>351</v>
      </c>
      <c r="I4" s="195"/>
      <c r="J4" s="196"/>
      <c r="K4" s="196"/>
      <c r="L4" s="196"/>
      <c r="M4" s="197" t="s">
        <v>1404</v>
      </c>
      <c r="N4" s="196"/>
      <c r="O4" s="197" t="s">
        <v>353</v>
      </c>
      <c r="P4" s="197"/>
    </row>
    <row r="5" spans="2:16" ht="24" customHeight="1">
      <c r="B5" s="809" t="s">
        <v>354</v>
      </c>
      <c r="C5" s="811" t="s">
        <v>1405</v>
      </c>
      <c r="D5" s="813" t="s">
        <v>1406</v>
      </c>
      <c r="E5" s="813"/>
      <c r="F5" s="813" t="s">
        <v>356</v>
      </c>
      <c r="G5" s="813"/>
      <c r="H5" s="814" t="s">
        <v>1407</v>
      </c>
      <c r="I5" s="820" t="s">
        <v>357</v>
      </c>
      <c r="J5" s="820"/>
      <c r="K5" s="816" t="s">
        <v>1408</v>
      </c>
      <c r="L5" s="818" t="s">
        <v>1409</v>
      </c>
      <c r="M5" s="820" t="s">
        <v>360</v>
      </c>
      <c r="N5" s="821"/>
      <c r="O5" s="822" t="s">
        <v>361</v>
      </c>
      <c r="P5" s="823"/>
    </row>
    <row r="6" spans="2:16" ht="24" customHeight="1">
      <c r="B6" s="810"/>
      <c r="C6" s="812"/>
      <c r="D6" s="686" t="s">
        <v>1410</v>
      </c>
      <c r="E6" s="686" t="s">
        <v>1411</v>
      </c>
      <c r="F6" s="686" t="s">
        <v>1410</v>
      </c>
      <c r="G6" s="686" t="s">
        <v>1411</v>
      </c>
      <c r="H6" s="815"/>
      <c r="I6" s="691" t="s">
        <v>362</v>
      </c>
      <c r="J6" s="199" t="s">
        <v>363</v>
      </c>
      <c r="K6" s="817"/>
      <c r="L6" s="819"/>
      <c r="M6" s="200" t="s">
        <v>362</v>
      </c>
      <c r="N6" s="201" t="s">
        <v>363</v>
      </c>
      <c r="O6" s="824"/>
      <c r="P6" s="825"/>
    </row>
    <row r="7" spans="2:16" ht="38.25" customHeight="1" thickBot="1">
      <c r="B7" s="706" t="s">
        <v>364</v>
      </c>
      <c r="C7" s="777">
        <f t="shared" ref="C7:H7" si="0">SUM(C8:C18)</f>
        <v>15998797261</v>
      </c>
      <c r="D7" s="708">
        <f>SUM(D8:D18)</f>
        <v>-11496131</v>
      </c>
      <c r="E7" s="708">
        <f>SUM(E8:E18)</f>
        <v>3293928</v>
      </c>
      <c r="F7" s="708">
        <f t="shared" si="0"/>
        <v>-156386988</v>
      </c>
      <c r="G7" s="708">
        <f t="shared" si="0"/>
        <v>148184785</v>
      </c>
      <c r="H7" s="778">
        <f t="shared" si="0"/>
        <v>15990595058</v>
      </c>
      <c r="I7" s="202">
        <f>D25+E25</f>
        <v>1797797</v>
      </c>
      <c r="J7" s="203">
        <f>F25+G25</f>
        <v>1797797</v>
      </c>
      <c r="K7" s="204">
        <f>I7-J7</f>
        <v>0</v>
      </c>
      <c r="L7" s="205" t="s">
        <v>1412</v>
      </c>
      <c r="M7" s="206"/>
      <c r="N7" s="207"/>
      <c r="O7" s="208"/>
      <c r="P7" s="208"/>
    </row>
    <row r="8" spans="2:16" ht="38.25" hidden="1" customHeight="1" thickBot="1">
      <c r="B8" s="710" t="s">
        <v>1413</v>
      </c>
      <c r="C8" s="777">
        <v>0</v>
      </c>
      <c r="D8" s="708"/>
      <c r="E8" s="708"/>
      <c r="F8" s="708"/>
      <c r="G8" s="708"/>
      <c r="H8" s="778">
        <f>C8-F8+G8</f>
        <v>0</v>
      </c>
      <c r="I8" s="711">
        <f>D7+E7</f>
        <v>-8202203</v>
      </c>
      <c r="J8" s="712">
        <f>F7+G7</f>
        <v>-8202203</v>
      </c>
      <c r="K8" s="713">
        <f>I8-J8</f>
        <v>0</v>
      </c>
      <c r="L8" s="714"/>
      <c r="M8" s="209"/>
      <c r="N8" s="715"/>
      <c r="O8" s="716"/>
      <c r="P8" s="716"/>
    </row>
    <row r="9" spans="2:16" ht="38.25" customHeight="1">
      <c r="B9" s="717" t="s">
        <v>1414</v>
      </c>
      <c r="C9" s="779">
        <v>28464169</v>
      </c>
      <c r="D9" s="708">
        <f>SUMIF(일입!$A$7:$A$49,"의회운영위원회",일입!$J$6:$J$49)</f>
        <v>0</v>
      </c>
      <c r="E9" s="708">
        <f>SUMIF(일입!$A$7:$A$49,"의회운영위원회",일입!$K$6:$K$49)</f>
        <v>0</v>
      </c>
      <c r="F9" s="708">
        <f>SUMIF(일출!$A$7:$A$93,"의회운영위원회",일출!$J$7:$J$597)</f>
        <v>-92000</v>
      </c>
      <c r="G9" s="708">
        <f>SUMIF(일출!$A$7:$A$93,"의회운영위원회",일출!$K$7:$K$597)</f>
        <v>1298060</v>
      </c>
      <c r="H9" s="778">
        <f t="shared" ref="H9:H18" si="1">C9+F9+G9</f>
        <v>29670229</v>
      </c>
      <c r="I9" s="828" t="s">
        <v>1415</v>
      </c>
      <c r="J9" s="829"/>
      <c r="K9" s="196"/>
      <c r="N9" s="719" t="s">
        <v>1416</v>
      </c>
    </row>
    <row r="10" spans="2:16" ht="38.25" customHeight="1" thickBot="1">
      <c r="B10" s="717" t="s">
        <v>1417</v>
      </c>
      <c r="C10" s="777">
        <v>4357973500</v>
      </c>
      <c r="D10" s="708">
        <f>SUMIF(일입!$A$7:$A$49,"기획재정위원회",일입!$J$7:$J$49)</f>
        <v>-255093</v>
      </c>
      <c r="E10" s="708">
        <f>SUMIF(일입!$A$7:$A$49,"기획재정위원회",일입!$K$7:$K$49)</f>
        <v>0</v>
      </c>
      <c r="F10" s="708">
        <f>SUMIF(일출!$A$7:$A$93,"기획재정위원회",일출!$J$7:$J$597)</f>
        <v>-110315093</v>
      </c>
      <c r="G10" s="708">
        <f>SUMIF(일출!$A$7:$A$93,"기획재정위원회",일출!$K$7:$K$597)</f>
        <v>51665157</v>
      </c>
      <c r="H10" s="778">
        <f t="shared" si="1"/>
        <v>4299323564</v>
      </c>
      <c r="I10" s="210">
        <f>일입!J6+일입!K6</f>
        <v>1797797</v>
      </c>
      <c r="J10" s="211">
        <f>일출!J6+일출!K6</f>
        <v>1797797</v>
      </c>
      <c r="K10" s="196"/>
      <c r="N10" s="212">
        <f>M7-N7</f>
        <v>0</v>
      </c>
    </row>
    <row r="11" spans="2:16" ht="38.25" customHeight="1">
      <c r="B11" s="717" t="s">
        <v>1418</v>
      </c>
      <c r="C11" s="777">
        <v>533838788</v>
      </c>
      <c r="D11" s="708">
        <f>SUMIF(일입!$A$7:$A$49,"경제과학기술위원회",일입!$J$7:$J$49)</f>
        <v>0</v>
      </c>
      <c r="E11" s="708">
        <f>SUMIF(일입!$A$7:$A$49,"경제과학기술위원회",일입!$K$7:$K$49)</f>
        <v>0</v>
      </c>
      <c r="F11" s="708">
        <f>SUMIF(일출!$A$7:$A$93,"경제과학기술위원회",일출!$J$7:$J$597)</f>
        <v>-2331000</v>
      </c>
      <c r="G11" s="708">
        <f>SUMIF(일출!$A$7:$A$93,"경제과학기술위원회",일출!$K$7:$K$597)</f>
        <v>12386446</v>
      </c>
      <c r="H11" s="778">
        <f t="shared" si="1"/>
        <v>543894234</v>
      </c>
      <c r="I11" s="213"/>
      <c r="J11" s="214"/>
      <c r="K11" s="215"/>
      <c r="N11" s="213"/>
    </row>
    <row r="12" spans="2:16" ht="38.25" customHeight="1">
      <c r="B12" s="717" t="s">
        <v>1419</v>
      </c>
      <c r="C12" s="777">
        <v>1081293870</v>
      </c>
      <c r="D12" s="708">
        <f>SUMIF(일입!$A$7:$A$49,"행정자치위원회",일입!$J$7:$J$49)</f>
        <v>-35000</v>
      </c>
      <c r="E12" s="708">
        <f>SUMIF(일입!$A$7:$A$49,"행정자치위원회",일입!$K$7:$K$49)</f>
        <v>884256</v>
      </c>
      <c r="F12" s="708">
        <f>SUMIF(일출!$A$7:$A$597,"행정자치위원회",일출!J7:J597)</f>
        <v>-121900</v>
      </c>
      <c r="G12" s="708">
        <f>SUMIF(일출!$A$7:$A$597,"행정자치위원회",일출!K7:K597)</f>
        <v>10641222</v>
      </c>
      <c r="H12" s="778">
        <f t="shared" si="1"/>
        <v>1091813192</v>
      </c>
      <c r="I12" s="213"/>
      <c r="J12" s="720"/>
      <c r="L12" s="721"/>
      <c r="M12" s="721"/>
    </row>
    <row r="13" spans="2:16" ht="38.25" customHeight="1">
      <c r="B13" s="717" t="s">
        <v>1420</v>
      </c>
      <c r="C13" s="777">
        <v>242843715</v>
      </c>
      <c r="D13" s="708">
        <f>SUMIF(일입!$A$7:$A$49,"문화체육관광위원회",일입!$J$7:$J$49)</f>
        <v>0</v>
      </c>
      <c r="E13" s="708">
        <f>SUMIF(일입!$A$7:$A$49,"문화체육관광위원회",일입!$K$7:$K$49)</f>
        <v>473388</v>
      </c>
      <c r="F13" s="708">
        <f>SUMIF(일출!$A$7:$A$597,"문화체육관광위원회",일출!J8:J598)</f>
        <v>-1111000</v>
      </c>
      <c r="G13" s="708">
        <f>SUMIF(일출!$A$7:$A$597,"문화체육관광위원회",일출!K8:K598)</f>
        <v>5734136</v>
      </c>
      <c r="H13" s="778">
        <f t="shared" si="1"/>
        <v>247466851</v>
      </c>
      <c r="K13" s="216"/>
      <c r="L13" s="217"/>
      <c r="N13" s="184" t="s">
        <v>366</v>
      </c>
    </row>
    <row r="14" spans="2:16" s="220" customFormat="1" ht="38.25" customHeight="1">
      <c r="B14" s="717" t="s">
        <v>1421</v>
      </c>
      <c r="C14" s="780">
        <v>401166483</v>
      </c>
      <c r="D14" s="708">
        <f>SUMIF(일입!$A$7:$A$49,"농림수산위원회",일입!$J$7:$J$49)</f>
        <v>-594638</v>
      </c>
      <c r="E14" s="708">
        <f>SUMIF(일입!$A$7:$A$49,"농림수산위원회",일입!$K$7:$K$49)</f>
        <v>1172304</v>
      </c>
      <c r="F14" s="708">
        <f>SUMIF(일출!$A$7:$A$597,"농림수산위원회",일출!$J$7:$J$597)</f>
        <v>-3045424</v>
      </c>
      <c r="G14" s="708">
        <f>SUMIF(일출!$A$7:$A$597,"농림수산위원회",일출!$K$7:$K$597)</f>
        <v>18770600</v>
      </c>
      <c r="H14" s="778">
        <f t="shared" si="1"/>
        <v>416891659</v>
      </c>
      <c r="I14" s="218"/>
      <c r="J14" s="218"/>
      <c r="K14" s="216"/>
      <c r="L14" s="217"/>
      <c r="M14" s="209"/>
      <c r="N14" s="219">
        <f>N10-J24</f>
        <v>0</v>
      </c>
      <c r="O14" s="218"/>
      <c r="P14" s="218"/>
    </row>
    <row r="15" spans="2:16" s="220" customFormat="1" ht="38.25" customHeight="1">
      <c r="B15" s="717" t="s">
        <v>1422</v>
      </c>
      <c r="C15" s="780">
        <v>3203996030</v>
      </c>
      <c r="D15" s="708">
        <f>SUMIF(일입!$A$7:$A$49,"보건복지공보위원회",일입!$J$7:$J$49)+기특입출!J6</f>
        <v>-10611400</v>
      </c>
      <c r="E15" s="708">
        <f>SUMIF(일입!$A$7:$A$49,"보건복지공보위원회",일입!$K$7:$K$49)+기특입출!K6</f>
        <v>32980</v>
      </c>
      <c r="F15" s="708">
        <f>SUMIF(일출!$A$7:$A$597,"보건복지공보위원회",일출!$J$7:$J$597)+기특입출!J15</f>
        <v>-24120900</v>
      </c>
      <c r="G15" s="708">
        <f>SUMIF(일출!$A$7:$A$597,"보건복지공보위원회",일출!$K$7:$K$597)+기특입출!K15</f>
        <v>4907253</v>
      </c>
      <c r="H15" s="778">
        <f t="shared" si="1"/>
        <v>3184782383</v>
      </c>
      <c r="I15" s="218"/>
      <c r="J15" s="218"/>
      <c r="K15" s="216"/>
      <c r="L15" s="217"/>
      <c r="M15" s="218"/>
      <c r="N15" s="218"/>
      <c r="O15" s="218"/>
      <c r="P15" s="218"/>
    </row>
    <row r="16" spans="2:16" s="220" customFormat="1" ht="38.25" customHeight="1">
      <c r="B16" s="717" t="s">
        <v>1423</v>
      </c>
      <c r="C16" s="780">
        <v>1047622259</v>
      </c>
      <c r="D16" s="708">
        <f>SUMIF(일입!$A$7:$A$49,"건설교통위원회",일입!$J$7:$J$49)</f>
        <v>0</v>
      </c>
      <c r="E16" s="708">
        <f>SUMIF(일입!$A$7:$A$49,"건설교통위원회",일입!$K$7:$K$49)</f>
        <v>0</v>
      </c>
      <c r="F16" s="708">
        <f>SUMIF(일출!$A$7:$A$597,"건설교통위원회",일출!$J$7:$J$597)</f>
        <v>-13957551</v>
      </c>
      <c r="G16" s="708">
        <f>SUMIF(일출!$A$7:$A$597,"건설교통위원회",일출!$K$7:$K$597)</f>
        <v>16618000</v>
      </c>
      <c r="H16" s="778">
        <f t="shared" si="1"/>
        <v>1050282708</v>
      </c>
      <c r="I16" s="218"/>
      <c r="J16" s="218"/>
      <c r="K16" s="216"/>
      <c r="L16" s="217"/>
      <c r="M16" s="218"/>
      <c r="N16" s="218"/>
      <c r="O16" s="218"/>
      <c r="P16" s="218"/>
    </row>
    <row r="17" spans="2:16" s="222" customFormat="1" ht="38.25" customHeight="1">
      <c r="B17" s="723" t="s">
        <v>1424</v>
      </c>
      <c r="C17" s="781">
        <v>782773870</v>
      </c>
      <c r="D17" s="708">
        <f>SUMIF(일입!$A$7:$A$49,"도시환경위원회",일입!$J$7:$J$49)</f>
        <v>0</v>
      </c>
      <c r="E17" s="708">
        <f>SUMIF(일입!$A$7:$A$49,"도시환경위원회",일입!$K$7:$K$49)</f>
        <v>0</v>
      </c>
      <c r="F17" s="708">
        <f>SUMIF(일출!$A$7:$A$597,"도시환경위원회",일출!J7:J597)</f>
        <v>-554620</v>
      </c>
      <c r="G17" s="708">
        <f>SUMIF(일출!$A$7:$A$597,"도시환경위원회",일출!K7:K597)</f>
        <v>8726390</v>
      </c>
      <c r="H17" s="778">
        <f t="shared" si="1"/>
        <v>790945640</v>
      </c>
      <c r="I17" s="221"/>
      <c r="J17" s="221"/>
      <c r="K17" s="216"/>
      <c r="L17" s="217"/>
      <c r="M17" s="221"/>
      <c r="N17" s="221"/>
      <c r="O17" s="221"/>
      <c r="P17" s="221"/>
    </row>
    <row r="18" spans="2:16" s="220" customFormat="1" ht="38.25" customHeight="1" thickBot="1">
      <c r="B18" s="725" t="s">
        <v>1425</v>
      </c>
      <c r="C18" s="782">
        <v>4318824577</v>
      </c>
      <c r="D18" s="727">
        <f>SUMIF(일입!$A$7:$A$49,"여성가족평생교육위원회",일입!$J$7:$J$49)</f>
        <v>0</v>
      </c>
      <c r="E18" s="727">
        <f>SUMIF(일입!$A$7:$A$49,"여성가족평생교육위원회",일입!$K$7:$K$49)</f>
        <v>731000</v>
      </c>
      <c r="F18" s="727">
        <f>SUMIF(일출!$A$7:$A$597,"여성가족평생교육위원회",일출!$J$7:$J$597)</f>
        <v>-737500</v>
      </c>
      <c r="G18" s="727">
        <f>SUMIF(일출!$A$7:$A$597,"여성가족평생교육위원회",일출!$K$7:$K$597)</f>
        <v>17437521</v>
      </c>
      <c r="H18" s="783">
        <f t="shared" si="1"/>
        <v>4335524598</v>
      </c>
      <c r="I18" s="218"/>
      <c r="J18" s="218"/>
      <c r="K18" s="216"/>
      <c r="L18" s="217"/>
      <c r="M18" s="218"/>
      <c r="N18" s="218"/>
      <c r="O18" s="218"/>
      <c r="P18" s="218"/>
    </row>
    <row r="19" spans="2:16" ht="18" customHeight="1">
      <c r="B19" s="192"/>
      <c r="C19" s="192"/>
      <c r="D19" s="192"/>
      <c r="E19" s="192"/>
      <c r="F19" s="192"/>
      <c r="G19" s="192"/>
      <c r="H19" s="192"/>
      <c r="K19" s="216"/>
      <c r="L19" s="217"/>
    </row>
    <row r="20" spans="2:16" ht="20.25">
      <c r="B20" s="223" t="s">
        <v>1426</v>
      </c>
      <c r="C20" s="188"/>
      <c r="D20" s="188"/>
      <c r="E20" s="188"/>
      <c r="F20" s="188"/>
      <c r="G20" s="188"/>
      <c r="H20" s="224"/>
      <c r="K20" s="216"/>
      <c r="L20" s="217"/>
    </row>
    <row r="21" spans="2:16" ht="19.5" thickBot="1">
      <c r="B21" s="191"/>
      <c r="C21" s="192"/>
      <c r="D21" s="192"/>
      <c r="E21" s="192"/>
      <c r="F21" s="192"/>
      <c r="G21" s="192"/>
      <c r="H21" s="194" t="s">
        <v>368</v>
      </c>
    </row>
    <row r="22" spans="2:16" ht="24.75" customHeight="1">
      <c r="B22" s="809" t="s">
        <v>1392</v>
      </c>
      <c r="C22" s="826" t="s">
        <v>1427</v>
      </c>
      <c r="D22" s="813" t="s">
        <v>1406</v>
      </c>
      <c r="E22" s="813"/>
      <c r="F22" s="813" t="s">
        <v>356</v>
      </c>
      <c r="G22" s="813"/>
      <c r="H22" s="814" t="s">
        <v>1407</v>
      </c>
    </row>
    <row r="23" spans="2:16" ht="24.75" customHeight="1">
      <c r="B23" s="810"/>
      <c r="C23" s="827"/>
      <c r="D23" s="686" t="s">
        <v>1410</v>
      </c>
      <c r="E23" s="686" t="s">
        <v>1411</v>
      </c>
      <c r="F23" s="686" t="s">
        <v>1410</v>
      </c>
      <c r="G23" s="686" t="s">
        <v>1411</v>
      </c>
      <c r="H23" s="815"/>
      <c r="I23" s="184" t="s">
        <v>369</v>
      </c>
    </row>
    <row r="24" spans="2:16" ht="36" customHeight="1">
      <c r="B24" s="706" t="s">
        <v>1395</v>
      </c>
      <c r="C24" s="777">
        <f t="shared" ref="C24:H24" si="2">SUM(C25:C26)</f>
        <v>15998797261</v>
      </c>
      <c r="D24" s="708">
        <f>SUM(D25:D26)</f>
        <v>-11496131</v>
      </c>
      <c r="E24" s="708">
        <f t="shared" ref="E24:F24" si="3">SUM(E25:E26)</f>
        <v>3293928</v>
      </c>
      <c r="F24" s="708">
        <f t="shared" si="3"/>
        <v>-156386988</v>
      </c>
      <c r="G24" s="708">
        <f>SUM(G25:G26)</f>
        <v>148184785</v>
      </c>
      <c r="H24" s="778">
        <f t="shared" si="2"/>
        <v>15990595058</v>
      </c>
      <c r="I24" s="195">
        <f>C24+D24+E24</f>
        <v>15990595058</v>
      </c>
      <c r="J24" s="225">
        <f>I24-H24</f>
        <v>0</v>
      </c>
      <c r="K24" s="196" t="s">
        <v>1428</v>
      </c>
    </row>
    <row r="25" spans="2:16" ht="36" customHeight="1">
      <c r="B25" s="706" t="s">
        <v>371</v>
      </c>
      <c r="C25" s="777">
        <v>12927432660</v>
      </c>
      <c r="D25" s="708">
        <f>일입!J6</f>
        <v>-1496131</v>
      </c>
      <c r="E25" s="708">
        <f>일입!K6</f>
        <v>3293928</v>
      </c>
      <c r="F25" s="708">
        <f>일출!J6</f>
        <v>-146386988</v>
      </c>
      <c r="G25" s="708">
        <f>일출!K6</f>
        <v>148184785</v>
      </c>
      <c r="H25" s="778">
        <f>C25+F25+G25</f>
        <v>12929230457</v>
      </c>
      <c r="I25" s="195">
        <f>C25+D25+E25</f>
        <v>12929230457</v>
      </c>
      <c r="J25" s="225">
        <f>I25-H25</f>
        <v>0</v>
      </c>
      <c r="K25" s="196" t="s">
        <v>1428</v>
      </c>
    </row>
    <row r="26" spans="2:16" ht="36" customHeight="1" thickBot="1">
      <c r="B26" s="729" t="s">
        <v>372</v>
      </c>
      <c r="C26" s="784">
        <v>3071364601</v>
      </c>
      <c r="D26" s="727">
        <f>기특입출!J6</f>
        <v>-10000000</v>
      </c>
      <c r="E26" s="727">
        <f>기특입출!K6</f>
        <v>0</v>
      </c>
      <c r="F26" s="727">
        <f>기특입출!J15</f>
        <v>-10000000</v>
      </c>
      <c r="G26" s="727">
        <f>기특입출!K15</f>
        <v>0</v>
      </c>
      <c r="H26" s="783">
        <f>C26+F26+G26</f>
        <v>3061364601</v>
      </c>
      <c r="I26" s="195">
        <f>C26+D26+E26</f>
        <v>3061364601</v>
      </c>
      <c r="J26" s="225">
        <f>I26-H26</f>
        <v>0</v>
      </c>
      <c r="K26" s="196" t="s">
        <v>1428</v>
      </c>
    </row>
    <row r="27" spans="2:16" ht="9" customHeight="1">
      <c r="B27" s="192"/>
      <c r="C27" s="192"/>
      <c r="D27" s="192"/>
      <c r="E27" s="192"/>
      <c r="F27" s="192"/>
      <c r="G27" s="192"/>
      <c r="H27" s="192"/>
    </row>
    <row r="28" spans="2:16" ht="20.25" customHeight="1">
      <c r="D28" s="743"/>
      <c r="H28" s="731"/>
    </row>
    <row r="29" spans="2:16" ht="20.25" customHeight="1">
      <c r="H29" s="731"/>
    </row>
    <row r="30" spans="2:16" ht="20.25" customHeight="1"/>
    <row r="31" spans="2:16" ht="17.100000000000001" hidden="1" customHeight="1">
      <c r="B31" s="734" t="s">
        <v>373</v>
      </c>
      <c r="C31" s="249" t="s">
        <v>1429</v>
      </c>
      <c r="D31" s="735" t="s">
        <v>1430</v>
      </c>
      <c r="E31" s="249" t="s">
        <v>378</v>
      </c>
      <c r="G31" s="184"/>
      <c r="H31" s="184"/>
      <c r="O31" s="185"/>
      <c r="P31" s="185"/>
    </row>
    <row r="32" spans="2:16" ht="17.100000000000001" hidden="1" customHeight="1">
      <c r="B32" s="736" t="s">
        <v>379</v>
      </c>
      <c r="C32" s="737">
        <v>28464169</v>
      </c>
      <c r="D32" s="738"/>
      <c r="E32" s="739">
        <f t="shared" ref="E32:E42" si="4">SUM(C32:D32)</f>
        <v>28464169</v>
      </c>
      <c r="G32" s="184"/>
      <c r="H32" s="184"/>
      <c r="O32" s="185"/>
      <c r="P32" s="185"/>
    </row>
    <row r="33" spans="2:16" ht="17.100000000000001" hidden="1" customHeight="1">
      <c r="B33" s="736" t="s">
        <v>380</v>
      </c>
      <c r="C33" s="737">
        <v>2963824127</v>
      </c>
      <c r="D33" s="738">
        <v>1394149373</v>
      </c>
      <c r="E33" s="739">
        <f t="shared" si="4"/>
        <v>4357973500</v>
      </c>
      <c r="G33" s="184"/>
      <c r="H33" s="184"/>
      <c r="O33" s="185"/>
      <c r="P33" s="185"/>
    </row>
    <row r="34" spans="2:16" ht="17.100000000000001" hidden="1" customHeight="1">
      <c r="B34" s="736" t="s">
        <v>92</v>
      </c>
      <c r="C34" s="737">
        <v>134669886</v>
      </c>
      <c r="D34" s="738">
        <v>399168902</v>
      </c>
      <c r="E34" s="739">
        <f t="shared" si="4"/>
        <v>533838788</v>
      </c>
      <c r="G34" s="184"/>
      <c r="H34" s="184"/>
      <c r="O34" s="185"/>
      <c r="P34" s="185"/>
    </row>
    <row r="35" spans="2:16" ht="17.100000000000001" hidden="1" customHeight="1">
      <c r="B35" s="736" t="s">
        <v>101</v>
      </c>
      <c r="C35" s="737">
        <v>1081293870</v>
      </c>
      <c r="D35" s="738"/>
      <c r="E35" s="739">
        <f t="shared" si="4"/>
        <v>1081293870</v>
      </c>
      <c r="G35" s="184"/>
      <c r="H35" s="184"/>
      <c r="O35" s="185"/>
      <c r="P35" s="185"/>
    </row>
    <row r="36" spans="2:16" ht="17.100000000000001" hidden="1" customHeight="1">
      <c r="B36" s="736" t="s">
        <v>227</v>
      </c>
      <c r="C36" s="737">
        <v>190359315</v>
      </c>
      <c r="D36" s="738">
        <v>52484400</v>
      </c>
      <c r="E36" s="739">
        <f t="shared" si="4"/>
        <v>242843715</v>
      </c>
      <c r="G36" s="184"/>
      <c r="H36" s="184"/>
      <c r="O36" s="185"/>
      <c r="P36" s="185"/>
    </row>
    <row r="37" spans="2:16" ht="17.100000000000001" hidden="1" customHeight="1">
      <c r="B37" s="736" t="s">
        <v>113</v>
      </c>
      <c r="C37" s="737">
        <v>401166483</v>
      </c>
      <c r="D37" s="738"/>
      <c r="E37" s="739">
        <f t="shared" si="4"/>
        <v>401166483</v>
      </c>
      <c r="G37" s="184"/>
      <c r="H37" s="184"/>
      <c r="O37" s="185"/>
      <c r="P37" s="185"/>
    </row>
    <row r="38" spans="2:16" ht="17.100000000000001" hidden="1" customHeight="1">
      <c r="B38" s="736" t="s">
        <v>132</v>
      </c>
      <c r="C38" s="737">
        <v>3203996030</v>
      </c>
      <c r="D38" s="738"/>
      <c r="E38" s="739">
        <f t="shared" si="4"/>
        <v>3203996030</v>
      </c>
      <c r="G38" s="184"/>
      <c r="H38" s="184"/>
      <c r="O38" s="185"/>
      <c r="P38" s="185"/>
    </row>
    <row r="39" spans="2:16" ht="17.100000000000001" hidden="1" customHeight="1">
      <c r="B39" s="736" t="s">
        <v>170</v>
      </c>
      <c r="C39" s="737">
        <v>1047622259</v>
      </c>
      <c r="D39" s="738"/>
      <c r="E39" s="739">
        <f t="shared" si="4"/>
        <v>1047622259</v>
      </c>
      <c r="G39" s="184"/>
      <c r="H39" s="184"/>
      <c r="O39" s="185"/>
      <c r="P39" s="185"/>
    </row>
    <row r="40" spans="2:16" ht="17.100000000000001" hidden="1" customHeight="1">
      <c r="B40" s="736" t="s">
        <v>186</v>
      </c>
      <c r="C40" s="737">
        <v>754413870</v>
      </c>
      <c r="D40" s="738">
        <v>28360000</v>
      </c>
      <c r="E40" s="739">
        <f t="shared" si="4"/>
        <v>782773870</v>
      </c>
      <c r="G40" s="184"/>
      <c r="H40" s="184"/>
      <c r="O40" s="185"/>
      <c r="P40" s="185"/>
    </row>
    <row r="41" spans="2:16" ht="17.100000000000001" hidden="1" customHeight="1">
      <c r="B41" s="736" t="s">
        <v>201</v>
      </c>
      <c r="C41" s="737">
        <v>4318824577</v>
      </c>
      <c r="D41" s="738"/>
      <c r="E41" s="739">
        <f t="shared" si="4"/>
        <v>4318824577</v>
      </c>
      <c r="G41" s="184"/>
      <c r="H41" s="184"/>
      <c r="O41" s="185"/>
      <c r="P41" s="185"/>
    </row>
    <row r="42" spans="2:16" ht="17.100000000000001" hidden="1" customHeight="1">
      <c r="B42" s="740" t="s">
        <v>381</v>
      </c>
      <c r="C42" s="741">
        <f>SUM(C32:C41)</f>
        <v>14124634586</v>
      </c>
      <c r="D42" s="741">
        <f>SUM(D32:D41)</f>
        <v>1874162675</v>
      </c>
      <c r="E42" s="742">
        <f t="shared" si="4"/>
        <v>15998797261</v>
      </c>
      <c r="G42" s="184"/>
      <c r="H42" s="184"/>
      <c r="O42" s="185"/>
      <c r="P42" s="185"/>
    </row>
    <row r="43" spans="2:16" hidden="1"/>
    <row r="44" spans="2:16" hidden="1">
      <c r="B44" s="239"/>
      <c r="C44" s="239"/>
      <c r="D44" s="743"/>
    </row>
    <row r="45" spans="2:16">
      <c r="C45" s="239"/>
    </row>
    <row r="46" spans="2:16">
      <c r="C46" s="743"/>
      <c r="D46" s="743"/>
    </row>
    <row r="47" spans="2:16">
      <c r="C47" s="239"/>
    </row>
    <row r="48" spans="2:16">
      <c r="C48" s="731"/>
      <c r="D48" s="747"/>
    </row>
    <row r="50" spans="3:4">
      <c r="C50" s="747"/>
    </row>
    <row r="51" spans="3:4">
      <c r="C51" s="747"/>
    </row>
    <row r="52" spans="3:4">
      <c r="C52" s="747"/>
      <c r="D52" s="746"/>
    </row>
    <row r="71" spans="1:16">
      <c r="A71" s="241"/>
      <c r="B71" s="241"/>
      <c r="C71" s="241"/>
      <c r="D71" s="241"/>
      <c r="E71" s="241"/>
      <c r="F71" s="241"/>
      <c r="G71" s="241"/>
      <c r="H71" s="241"/>
      <c r="I71" s="242"/>
      <c r="J71" s="242"/>
      <c r="K71" s="242"/>
      <c r="L71" s="242"/>
      <c r="M71" s="242"/>
      <c r="N71" s="242"/>
      <c r="O71" s="242"/>
      <c r="P71" s="242"/>
    </row>
    <row r="181" spans="9:9" s="184" customFormat="1" ht="24">
      <c r="I181" s="215" t="s">
        <v>383</v>
      </c>
    </row>
    <row r="311" spans="9:11" s="184" customFormat="1" ht="12">
      <c r="I311" s="243"/>
      <c r="K311" s="184">
        <v>-50000</v>
      </c>
    </row>
  </sheetData>
  <mergeCells count="17"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87" orientation="portrait" r:id="rId1"/>
  <headerFooter alignWithMargins="0">
    <oddFooter>&amp;C&amp;P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3"/>
  <sheetViews>
    <sheetView view="pageBreakPreview" zoomScale="80" zoomScaleNormal="90" zoomScaleSheetLayoutView="80" workbookViewId="0">
      <pane xSplit="1" ySplit="7" topLeftCell="B8" activePane="bottomRight" state="frozen"/>
      <selection sqref="A1:N1"/>
      <selection pane="topRight" sqref="A1:N1"/>
      <selection pane="bottomLeft" sqref="A1:N1"/>
      <selection pane="bottomRight" activeCell="K17" sqref="K17"/>
    </sheetView>
  </sheetViews>
  <sheetFormatPr defaultRowHeight="13.5"/>
  <cols>
    <col min="1" max="1" width="1" style="185" customWidth="1"/>
    <col min="2" max="2" width="11.375" style="185" customWidth="1"/>
    <col min="3" max="7" width="11.375" style="185" hidden="1" customWidth="1"/>
    <col min="8" max="9" width="12.625" style="185" customWidth="1"/>
    <col min="10" max="10" width="13.625" style="185" customWidth="1"/>
    <col min="11" max="12" width="12.625" style="185" customWidth="1"/>
    <col min="13" max="13" width="12" style="185" customWidth="1"/>
    <col min="14" max="14" width="13.375" style="185" customWidth="1"/>
    <col min="15" max="15" width="12.125" style="185" customWidth="1"/>
    <col min="16" max="17" width="12.625" style="185" customWidth="1"/>
    <col min="18" max="18" width="10.25" style="185" bestFit="1" customWidth="1"/>
    <col min="19" max="19" width="11.375" style="185" customWidth="1"/>
    <col min="20" max="20" width="12.625" style="185" customWidth="1"/>
    <col min="21" max="16384" width="9" style="185"/>
  </cols>
  <sheetData>
    <row r="1" spans="1:20" ht="33" customHeight="1">
      <c r="B1" s="840" t="s">
        <v>386</v>
      </c>
      <c r="C1" s="840"/>
      <c r="D1" s="840"/>
      <c r="E1" s="840"/>
      <c r="F1" s="840"/>
      <c r="G1" s="840"/>
      <c r="H1" s="840"/>
      <c r="I1" s="840"/>
      <c r="J1" s="840"/>
      <c r="K1" s="840"/>
      <c r="L1" s="840"/>
      <c r="M1" s="840"/>
      <c r="N1" s="840"/>
      <c r="O1" s="840"/>
      <c r="P1" s="840"/>
      <c r="Q1" s="840"/>
      <c r="R1" s="840"/>
      <c r="S1" s="840"/>
      <c r="T1" s="840"/>
    </row>
    <row r="2" spans="1:20" ht="12.75" customHeight="1">
      <c r="B2" s="186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</row>
    <row r="3" spans="1:20" ht="23.25" customHeight="1">
      <c r="C3" s="189"/>
      <c r="D3" s="189"/>
      <c r="E3" s="190"/>
      <c r="F3" s="190"/>
      <c r="G3" s="190"/>
      <c r="H3" s="188" t="s">
        <v>384</v>
      </c>
      <c r="I3" s="190"/>
    </row>
    <row r="4" spans="1:20" s="192" customFormat="1" ht="18" customHeight="1">
      <c r="B4" s="191"/>
      <c r="J4" s="193"/>
      <c r="M4" s="194"/>
      <c r="T4" s="194" t="s">
        <v>1170</v>
      </c>
    </row>
    <row r="5" spans="1:20" ht="18.75" customHeight="1">
      <c r="A5" s="246"/>
      <c r="B5" s="833" t="s">
        <v>354</v>
      </c>
      <c r="C5" s="833" t="s">
        <v>355</v>
      </c>
      <c r="D5" s="833"/>
      <c r="E5" s="833"/>
      <c r="F5" s="833"/>
      <c r="G5" s="833"/>
      <c r="H5" s="833" t="s">
        <v>356</v>
      </c>
      <c r="I5" s="833"/>
      <c r="J5" s="833"/>
      <c r="K5" s="833"/>
      <c r="L5" s="833"/>
      <c r="M5" s="833"/>
      <c r="N5" s="833"/>
      <c r="O5" s="833"/>
      <c r="P5" s="833"/>
      <c r="Q5" s="833"/>
      <c r="R5" s="833"/>
      <c r="S5" s="833"/>
      <c r="T5" s="833"/>
    </row>
    <row r="6" spans="1:20" ht="18.75" customHeight="1">
      <c r="A6" s="246"/>
      <c r="B6" s="833"/>
      <c r="C6" s="842" t="s">
        <v>397</v>
      </c>
      <c r="D6" s="834" t="s">
        <v>402</v>
      </c>
      <c r="E6" s="835"/>
      <c r="F6" s="836"/>
      <c r="G6" s="837" t="s">
        <v>403</v>
      </c>
      <c r="H6" s="839" t="s">
        <v>1171</v>
      </c>
      <c r="I6" s="833" t="s">
        <v>402</v>
      </c>
      <c r="J6" s="833"/>
      <c r="K6" s="833"/>
      <c r="L6" s="841" t="s">
        <v>1173</v>
      </c>
      <c r="M6" s="833" t="s">
        <v>1165</v>
      </c>
      <c r="N6" s="833"/>
      <c r="O6" s="833"/>
      <c r="P6" s="841" t="s">
        <v>1177</v>
      </c>
      <c r="Q6" s="830" t="s">
        <v>1169</v>
      </c>
      <c r="R6" s="831"/>
      <c r="S6" s="831"/>
      <c r="T6" s="832"/>
    </row>
    <row r="7" spans="1:20" ht="33" customHeight="1">
      <c r="A7" s="246"/>
      <c r="B7" s="833"/>
      <c r="C7" s="827"/>
      <c r="D7" s="248" t="s">
        <v>398</v>
      </c>
      <c r="E7" s="247" t="s">
        <v>404</v>
      </c>
      <c r="F7" s="247" t="s">
        <v>405</v>
      </c>
      <c r="G7" s="838"/>
      <c r="H7" s="839"/>
      <c r="I7" s="248" t="s">
        <v>400</v>
      </c>
      <c r="J7" s="247" t="s">
        <v>406</v>
      </c>
      <c r="K7" s="247" t="s">
        <v>1172</v>
      </c>
      <c r="L7" s="841"/>
      <c r="M7" s="248" t="s">
        <v>1176</v>
      </c>
      <c r="N7" s="247" t="s">
        <v>1174</v>
      </c>
      <c r="O7" s="247" t="s">
        <v>1175</v>
      </c>
      <c r="P7" s="841"/>
      <c r="Q7" s="248" t="s">
        <v>1180</v>
      </c>
      <c r="R7" s="248" t="s">
        <v>1181</v>
      </c>
      <c r="S7" s="247" t="s">
        <v>1178</v>
      </c>
      <c r="T7" s="247" t="s">
        <v>1179</v>
      </c>
    </row>
    <row r="8" spans="1:20" ht="38.25" customHeight="1">
      <c r="B8" s="249" t="s">
        <v>364</v>
      </c>
      <c r="C8" s="253">
        <f>SUM(C9:C18)</f>
        <v>45180229</v>
      </c>
      <c r="D8" s="254">
        <f>E8+F8</f>
        <v>1324409</v>
      </c>
      <c r="E8" s="253">
        <f t="shared" ref="E8:K8" si="0">SUM(E9:E18)</f>
        <v>-1496131</v>
      </c>
      <c r="F8" s="253">
        <f t="shared" si="0"/>
        <v>2820540</v>
      </c>
      <c r="G8" s="254">
        <f t="shared" ref="G8:G18" si="1">C8+D8</f>
        <v>46504638</v>
      </c>
      <c r="H8" s="253">
        <f t="shared" si="0"/>
        <v>3987267909</v>
      </c>
      <c r="I8" s="254">
        <f t="shared" si="0"/>
        <v>59347108</v>
      </c>
      <c r="J8" s="253">
        <f t="shared" si="0"/>
        <v>-38265694</v>
      </c>
      <c r="K8" s="253">
        <f t="shared" si="0"/>
        <v>97612802</v>
      </c>
      <c r="L8" s="254">
        <f>H8+I8</f>
        <v>4046615017</v>
      </c>
      <c r="M8" s="254">
        <f>N8+O8</f>
        <v>1797797</v>
      </c>
      <c r="N8" s="253">
        <f t="shared" ref="N8:O8" si="2">SUM(N9:N18)</f>
        <v>-146386988</v>
      </c>
      <c r="O8" s="253">
        <f t="shared" si="2"/>
        <v>148184785</v>
      </c>
      <c r="P8" s="254">
        <f>H8+N8+O8</f>
        <v>3989065706</v>
      </c>
      <c r="Q8" s="254">
        <f>S8+T8</f>
        <v>-57549311</v>
      </c>
      <c r="R8" s="420">
        <f>Q8/I8*100</f>
        <v>-96.97070832836539</v>
      </c>
      <c r="S8" s="253">
        <f>N8-J8</f>
        <v>-108121294</v>
      </c>
      <c r="T8" s="253">
        <f>O8-K8</f>
        <v>50571983</v>
      </c>
    </row>
    <row r="9" spans="1:20" ht="38.25" customHeight="1">
      <c r="B9" s="250" t="s">
        <v>388</v>
      </c>
      <c r="C9" s="255">
        <f>일입!F7</f>
        <v>350133</v>
      </c>
      <c r="D9" s="254">
        <f t="shared" ref="D9:D18" si="3">E9+F9</f>
        <v>-255093</v>
      </c>
      <c r="E9" s="255">
        <f>일입!G7</f>
        <v>-255093</v>
      </c>
      <c r="F9" s="255">
        <f>일입!H7</f>
        <v>0</v>
      </c>
      <c r="G9" s="254">
        <f t="shared" si="1"/>
        <v>95040</v>
      </c>
      <c r="H9" s="255">
        <f>일출!F30</f>
        <v>2332147076</v>
      </c>
      <c r="I9" s="254">
        <f t="shared" ref="I9:I18" si="4">J9+K9</f>
        <v>210064</v>
      </c>
      <c r="J9" s="255">
        <f>일출!G30</f>
        <v>-1055093</v>
      </c>
      <c r="K9" s="255">
        <f>일출!H30</f>
        <v>1265157</v>
      </c>
      <c r="L9" s="254">
        <f t="shared" ref="L9:L18" si="5">H9+I9</f>
        <v>2332357140</v>
      </c>
      <c r="M9" s="254">
        <f t="shared" ref="M9:M18" si="6">N9+O9</f>
        <v>-58649936</v>
      </c>
      <c r="N9" s="255">
        <f>일출!J30</f>
        <v>-110315093</v>
      </c>
      <c r="O9" s="255">
        <f>일출!K30</f>
        <v>51665157</v>
      </c>
      <c r="P9" s="254">
        <f t="shared" ref="P9:P18" si="7">H9+N9+O9</f>
        <v>2273497140</v>
      </c>
      <c r="Q9" s="254">
        <f t="shared" ref="Q9:Q18" si="8">S9+T9</f>
        <v>-58860000</v>
      </c>
      <c r="R9" s="420">
        <f t="shared" ref="R9:R18" si="9">Q9/I9*100</f>
        <v>-28020.031990250591</v>
      </c>
      <c r="S9" s="253">
        <f t="shared" ref="S9:S18" si="10">N9-J9</f>
        <v>-109260000</v>
      </c>
      <c r="T9" s="253">
        <f t="shared" ref="T9:T18" si="11">O9-K9</f>
        <v>50400000</v>
      </c>
    </row>
    <row r="10" spans="1:20" ht="38.25" customHeight="1">
      <c r="B10" s="250" t="s">
        <v>389</v>
      </c>
      <c r="C10" s="255"/>
      <c r="D10" s="254">
        <f t="shared" si="3"/>
        <v>0</v>
      </c>
      <c r="E10" s="255"/>
      <c r="F10" s="255"/>
      <c r="G10" s="254">
        <f t="shared" si="1"/>
        <v>0</v>
      </c>
      <c r="H10" s="255">
        <f>일출!F62</f>
        <v>32726201</v>
      </c>
      <c r="I10" s="254">
        <f t="shared" si="4"/>
        <v>12320446</v>
      </c>
      <c r="J10" s="255">
        <f>일출!G62</f>
        <v>-2311000</v>
      </c>
      <c r="K10" s="255">
        <f>일출!H62</f>
        <v>14631446</v>
      </c>
      <c r="L10" s="254">
        <f t="shared" si="5"/>
        <v>45046647</v>
      </c>
      <c r="M10" s="254">
        <f t="shared" si="6"/>
        <v>10055446</v>
      </c>
      <c r="N10" s="255">
        <f>일출!J62</f>
        <v>-2331000</v>
      </c>
      <c r="O10" s="255">
        <f>일출!K62</f>
        <v>12386446</v>
      </c>
      <c r="P10" s="254">
        <f t="shared" si="7"/>
        <v>42781647</v>
      </c>
      <c r="Q10" s="254">
        <f t="shared" si="8"/>
        <v>-2265000</v>
      </c>
      <c r="R10" s="420">
        <f t="shared" si="9"/>
        <v>-18.384074732359526</v>
      </c>
      <c r="S10" s="253">
        <f t="shared" si="10"/>
        <v>-20000</v>
      </c>
      <c r="T10" s="253">
        <f t="shared" si="11"/>
        <v>-2245000</v>
      </c>
    </row>
    <row r="11" spans="1:20" ht="38.25" customHeight="1">
      <c r="B11" s="250" t="s">
        <v>390</v>
      </c>
      <c r="C11" s="255">
        <f>일입!F11</f>
        <v>2362900</v>
      </c>
      <c r="D11" s="254">
        <f t="shared" si="3"/>
        <v>849256</v>
      </c>
      <c r="E11" s="255">
        <f>일입!G11</f>
        <v>-35000</v>
      </c>
      <c r="F11" s="255">
        <f>일입!H11</f>
        <v>884256</v>
      </c>
      <c r="G11" s="254">
        <f t="shared" si="1"/>
        <v>3212156</v>
      </c>
      <c r="H11" s="255">
        <f>일출!F129</f>
        <v>18129543</v>
      </c>
      <c r="I11" s="254">
        <f t="shared" si="4"/>
        <v>8482682</v>
      </c>
      <c r="J11" s="255">
        <f>일출!G129</f>
        <v>-1107040</v>
      </c>
      <c r="K11" s="255">
        <f>일출!H129</f>
        <v>9589722</v>
      </c>
      <c r="L11" s="254">
        <f t="shared" si="5"/>
        <v>26612225</v>
      </c>
      <c r="M11" s="254">
        <f t="shared" si="6"/>
        <v>10519322</v>
      </c>
      <c r="N11" s="255">
        <f>일출!J129</f>
        <v>-121900</v>
      </c>
      <c r="O11" s="255">
        <f>일출!K129</f>
        <v>10641222</v>
      </c>
      <c r="P11" s="254">
        <f t="shared" si="7"/>
        <v>28648865</v>
      </c>
      <c r="Q11" s="254">
        <f t="shared" si="8"/>
        <v>2036640</v>
      </c>
      <c r="R11" s="420">
        <f t="shared" si="9"/>
        <v>24.00938759698878</v>
      </c>
      <c r="S11" s="253">
        <f t="shared" si="10"/>
        <v>985140</v>
      </c>
      <c r="T11" s="253">
        <f t="shared" si="11"/>
        <v>1051500</v>
      </c>
    </row>
    <row r="12" spans="1:20" ht="38.25" customHeight="1">
      <c r="B12" s="250" t="s">
        <v>391</v>
      </c>
      <c r="C12" s="255"/>
      <c r="D12" s="254">
        <f t="shared" si="3"/>
        <v>0</v>
      </c>
      <c r="E12" s="255"/>
      <c r="F12" s="255"/>
      <c r="G12" s="254">
        <f t="shared" si="1"/>
        <v>0</v>
      </c>
      <c r="H12" s="255">
        <f>일출!F298</f>
        <v>65993078</v>
      </c>
      <c r="I12" s="254">
        <f t="shared" si="4"/>
        <v>3480200</v>
      </c>
      <c r="J12" s="255">
        <f>일출!G298</f>
        <v>-1273000</v>
      </c>
      <c r="K12" s="255">
        <f>일출!H298</f>
        <v>4753200</v>
      </c>
      <c r="L12" s="254">
        <f t="shared" si="5"/>
        <v>69473278</v>
      </c>
      <c r="M12" s="254">
        <f t="shared" si="6"/>
        <v>4623136</v>
      </c>
      <c r="N12" s="255">
        <f>일출!J298</f>
        <v>-1111000</v>
      </c>
      <c r="O12" s="255">
        <f>일출!K298</f>
        <v>5734136</v>
      </c>
      <c r="P12" s="254">
        <f t="shared" si="7"/>
        <v>70616214</v>
      </c>
      <c r="Q12" s="254">
        <f t="shared" si="8"/>
        <v>1142936</v>
      </c>
      <c r="R12" s="420">
        <f t="shared" si="9"/>
        <v>32.841101086144477</v>
      </c>
      <c r="S12" s="253">
        <f t="shared" si="10"/>
        <v>162000</v>
      </c>
      <c r="T12" s="253">
        <f t="shared" si="11"/>
        <v>980936</v>
      </c>
    </row>
    <row r="13" spans="1:20" s="220" customFormat="1" ht="38.25" customHeight="1">
      <c r="B13" s="250" t="s">
        <v>392</v>
      </c>
      <c r="C13" s="255">
        <f>일입!F21</f>
        <v>4207342</v>
      </c>
      <c r="D13" s="254">
        <f t="shared" si="3"/>
        <v>577666</v>
      </c>
      <c r="E13" s="255">
        <f>일입!G21</f>
        <v>-594638</v>
      </c>
      <c r="F13" s="255">
        <f>일입!H21</f>
        <v>1172304</v>
      </c>
      <c r="G13" s="254">
        <f t="shared" si="1"/>
        <v>4785008</v>
      </c>
      <c r="H13" s="255">
        <f>일출!F338</f>
        <v>34102573</v>
      </c>
      <c r="I13" s="254">
        <f t="shared" si="4"/>
        <v>2157026</v>
      </c>
      <c r="J13" s="255">
        <f>일출!G338</f>
        <v>-2998424</v>
      </c>
      <c r="K13" s="255">
        <f>일출!H338</f>
        <v>5155450</v>
      </c>
      <c r="L13" s="254">
        <f t="shared" si="5"/>
        <v>36259599</v>
      </c>
      <c r="M13" s="254">
        <f t="shared" si="6"/>
        <v>15725176</v>
      </c>
      <c r="N13" s="255">
        <f>일출!J338</f>
        <v>-3045424</v>
      </c>
      <c r="O13" s="255">
        <f>일출!K338</f>
        <v>18770600</v>
      </c>
      <c r="P13" s="254">
        <f t="shared" si="7"/>
        <v>49827749</v>
      </c>
      <c r="Q13" s="254">
        <f t="shared" si="8"/>
        <v>13568150</v>
      </c>
      <c r="R13" s="420">
        <f t="shared" si="9"/>
        <v>629.02116154371811</v>
      </c>
      <c r="S13" s="253">
        <f t="shared" si="10"/>
        <v>-47000</v>
      </c>
      <c r="T13" s="253">
        <f t="shared" si="11"/>
        <v>13615150</v>
      </c>
    </row>
    <row r="14" spans="1:20" s="220" customFormat="1" ht="38.25" customHeight="1">
      <c r="B14" s="250" t="s">
        <v>393</v>
      </c>
      <c r="C14" s="255">
        <f>일입!F35</f>
        <v>23653287</v>
      </c>
      <c r="D14" s="254">
        <f t="shared" si="3"/>
        <v>-578420</v>
      </c>
      <c r="E14" s="255">
        <f>일입!G35</f>
        <v>-611400</v>
      </c>
      <c r="F14" s="255">
        <f>일입!H35</f>
        <v>32980</v>
      </c>
      <c r="G14" s="254">
        <f t="shared" si="1"/>
        <v>23074867</v>
      </c>
      <c r="H14" s="255">
        <f>일출!F392</f>
        <v>1203765506</v>
      </c>
      <c r="I14" s="254">
        <f t="shared" si="4"/>
        <v>1723006</v>
      </c>
      <c r="J14" s="255">
        <f>일출!G392</f>
        <v>-3990900</v>
      </c>
      <c r="K14" s="255">
        <f>일출!H392</f>
        <v>5713906</v>
      </c>
      <c r="L14" s="254">
        <f t="shared" si="5"/>
        <v>1205488512</v>
      </c>
      <c r="M14" s="254">
        <f t="shared" si="6"/>
        <v>-9213647</v>
      </c>
      <c r="N14" s="255">
        <f>일출!J392</f>
        <v>-14120900</v>
      </c>
      <c r="O14" s="255">
        <f>일출!K392</f>
        <v>4907253</v>
      </c>
      <c r="P14" s="254">
        <f t="shared" si="7"/>
        <v>1194551859</v>
      </c>
      <c r="Q14" s="254">
        <f t="shared" si="8"/>
        <v>-10936653</v>
      </c>
      <c r="R14" s="420">
        <f t="shared" si="9"/>
        <v>-634.74259520860642</v>
      </c>
      <c r="S14" s="253">
        <f t="shared" si="10"/>
        <v>-10130000</v>
      </c>
      <c r="T14" s="253">
        <f t="shared" si="11"/>
        <v>-806653</v>
      </c>
    </row>
    <row r="15" spans="1:20" s="220" customFormat="1" ht="38.25" customHeight="1">
      <c r="B15" s="250" t="s">
        <v>394</v>
      </c>
      <c r="C15" s="255"/>
      <c r="D15" s="254">
        <f t="shared" si="3"/>
        <v>0</v>
      </c>
      <c r="E15" s="255"/>
      <c r="F15" s="255"/>
      <c r="G15" s="254">
        <f t="shared" si="1"/>
        <v>0</v>
      </c>
      <c r="H15" s="255">
        <f>일출!F446</f>
        <v>176982263</v>
      </c>
      <c r="I15" s="254">
        <f t="shared" si="4"/>
        <v>-683117</v>
      </c>
      <c r="J15" s="255">
        <f>일출!G446</f>
        <v>-23058117</v>
      </c>
      <c r="K15" s="255">
        <f>일출!H446</f>
        <v>22375000</v>
      </c>
      <c r="L15" s="254">
        <f t="shared" si="5"/>
        <v>176299146</v>
      </c>
      <c r="M15" s="254">
        <f t="shared" si="6"/>
        <v>2660449</v>
      </c>
      <c r="N15" s="255">
        <f>일출!J446</f>
        <v>-13957551</v>
      </c>
      <c r="O15" s="255">
        <f>일출!K446</f>
        <v>16618000</v>
      </c>
      <c r="P15" s="254">
        <f t="shared" si="7"/>
        <v>179642712</v>
      </c>
      <c r="Q15" s="254">
        <f t="shared" si="8"/>
        <v>3343566</v>
      </c>
      <c r="R15" s="420">
        <f t="shared" si="9"/>
        <v>-489.45729648069073</v>
      </c>
      <c r="S15" s="253">
        <f t="shared" si="10"/>
        <v>9100566</v>
      </c>
      <c r="T15" s="253">
        <f t="shared" si="11"/>
        <v>-5757000</v>
      </c>
    </row>
    <row r="16" spans="1:20" s="222" customFormat="1" ht="38.25" customHeight="1">
      <c r="B16" s="251" t="s">
        <v>395</v>
      </c>
      <c r="C16" s="255"/>
      <c r="D16" s="254">
        <f t="shared" si="3"/>
        <v>0</v>
      </c>
      <c r="E16" s="255"/>
      <c r="F16" s="255"/>
      <c r="G16" s="254">
        <f t="shared" si="1"/>
        <v>0</v>
      </c>
      <c r="H16" s="255">
        <f>일출!F478</f>
        <v>82963572</v>
      </c>
      <c r="I16" s="254">
        <f t="shared" si="4"/>
        <v>9124920</v>
      </c>
      <c r="J16" s="255">
        <f>일출!G478</f>
        <v>-1354620</v>
      </c>
      <c r="K16" s="255">
        <f>일출!H478</f>
        <v>10479540</v>
      </c>
      <c r="L16" s="254">
        <f t="shared" si="5"/>
        <v>92088492</v>
      </c>
      <c r="M16" s="254">
        <f t="shared" si="6"/>
        <v>8171770</v>
      </c>
      <c r="N16" s="255">
        <f>일출!J478</f>
        <v>-554620</v>
      </c>
      <c r="O16" s="255">
        <f>일출!K478</f>
        <v>8726390</v>
      </c>
      <c r="P16" s="254">
        <f t="shared" si="7"/>
        <v>91135342</v>
      </c>
      <c r="Q16" s="254">
        <f t="shared" si="8"/>
        <v>-953150</v>
      </c>
      <c r="R16" s="420">
        <f t="shared" si="9"/>
        <v>-10.445571029663823</v>
      </c>
      <c r="S16" s="253">
        <f t="shared" si="10"/>
        <v>800000</v>
      </c>
      <c r="T16" s="253">
        <f t="shared" si="11"/>
        <v>-1753150</v>
      </c>
    </row>
    <row r="17" spans="2:20" s="220" customFormat="1" ht="38.25" customHeight="1">
      <c r="B17" s="250" t="s">
        <v>367</v>
      </c>
      <c r="C17" s="255">
        <f>일입!F42</f>
        <v>14606567</v>
      </c>
      <c r="D17" s="254">
        <f t="shared" si="3"/>
        <v>731000</v>
      </c>
      <c r="E17" s="255">
        <f>일입!G42</f>
        <v>0</v>
      </c>
      <c r="F17" s="255">
        <f>일입!H42</f>
        <v>731000</v>
      </c>
      <c r="G17" s="254">
        <f t="shared" si="1"/>
        <v>15337567</v>
      </c>
      <c r="H17" s="255">
        <f>일출!F532</f>
        <v>38700021</v>
      </c>
      <c r="I17" s="254">
        <f t="shared" si="4"/>
        <v>21670021</v>
      </c>
      <c r="J17" s="255">
        <f>일출!G532</f>
        <v>-997500</v>
      </c>
      <c r="K17" s="255">
        <f>일출!H532</f>
        <v>22667521</v>
      </c>
      <c r="L17" s="254">
        <f t="shared" si="5"/>
        <v>60370042</v>
      </c>
      <c r="M17" s="254">
        <f t="shared" si="6"/>
        <v>16700021</v>
      </c>
      <c r="N17" s="255">
        <f>일출!J532</f>
        <v>-737500</v>
      </c>
      <c r="O17" s="255">
        <f>일출!K532</f>
        <v>17437521</v>
      </c>
      <c r="P17" s="254">
        <f t="shared" si="7"/>
        <v>55400042</v>
      </c>
      <c r="Q17" s="254">
        <f t="shared" si="8"/>
        <v>-4970000</v>
      </c>
      <c r="R17" s="420">
        <f t="shared" si="9"/>
        <v>-22.934910861415407</v>
      </c>
      <c r="S17" s="253">
        <f t="shared" si="10"/>
        <v>260000</v>
      </c>
      <c r="T17" s="253">
        <f t="shared" si="11"/>
        <v>-5230000</v>
      </c>
    </row>
    <row r="18" spans="2:20" s="220" customFormat="1" ht="38.25" customHeight="1">
      <c r="B18" s="250" t="s">
        <v>396</v>
      </c>
      <c r="C18" s="255"/>
      <c r="D18" s="254">
        <f t="shared" si="3"/>
        <v>0</v>
      </c>
      <c r="E18" s="255"/>
      <c r="F18" s="255"/>
      <c r="G18" s="254">
        <f t="shared" si="1"/>
        <v>0</v>
      </c>
      <c r="H18" s="255">
        <f>일출!F7</f>
        <v>1758076</v>
      </c>
      <c r="I18" s="254">
        <f t="shared" si="4"/>
        <v>861860</v>
      </c>
      <c r="J18" s="255">
        <f>일출!G7</f>
        <v>-120000</v>
      </c>
      <c r="K18" s="255">
        <f>일출!H7</f>
        <v>981860</v>
      </c>
      <c r="L18" s="254">
        <f t="shared" si="5"/>
        <v>2619936</v>
      </c>
      <c r="M18" s="254">
        <f t="shared" si="6"/>
        <v>1206060</v>
      </c>
      <c r="N18" s="255">
        <f>일출!J7</f>
        <v>-92000</v>
      </c>
      <c r="O18" s="255">
        <f>일출!K7</f>
        <v>1298060</v>
      </c>
      <c r="P18" s="254">
        <f t="shared" si="7"/>
        <v>2964136</v>
      </c>
      <c r="Q18" s="254">
        <f t="shared" si="8"/>
        <v>344200</v>
      </c>
      <c r="R18" s="420">
        <f t="shared" si="9"/>
        <v>39.936880699881648</v>
      </c>
      <c r="S18" s="253">
        <f t="shared" si="10"/>
        <v>28000</v>
      </c>
      <c r="T18" s="253">
        <f t="shared" si="11"/>
        <v>316200</v>
      </c>
    </row>
    <row r="19" spans="2:20" ht="18" customHeight="1">
      <c r="B19" s="192"/>
      <c r="C19" s="192"/>
      <c r="D19" s="192"/>
      <c r="E19" s="192"/>
      <c r="F19" s="192"/>
      <c r="G19" s="192"/>
      <c r="H19" s="192"/>
      <c r="I19" s="192"/>
      <c r="J19" s="192"/>
      <c r="K19" s="192"/>
      <c r="L19" s="192"/>
      <c r="M19" s="192"/>
    </row>
    <row r="20" spans="2:20" ht="20.25">
      <c r="B20" s="223" t="s">
        <v>385</v>
      </c>
      <c r="C20" s="188"/>
      <c r="D20" s="188"/>
      <c r="E20" s="188"/>
      <c r="F20" s="188"/>
      <c r="G20" s="188"/>
      <c r="H20" s="188"/>
      <c r="I20" s="188"/>
      <c r="J20" s="188"/>
      <c r="K20" s="188"/>
      <c r="L20" s="224"/>
      <c r="M20" s="224"/>
    </row>
    <row r="21" spans="2:20" ht="18.75">
      <c r="B21" s="191"/>
      <c r="C21" s="192"/>
      <c r="D21" s="192"/>
      <c r="E21" s="192"/>
      <c r="F21" s="192"/>
      <c r="G21" s="192"/>
      <c r="H21" s="192"/>
      <c r="I21" s="192"/>
      <c r="J21" s="192"/>
      <c r="K21" s="192"/>
      <c r="L21" s="194" t="s">
        <v>368</v>
      </c>
      <c r="M21" s="194"/>
    </row>
    <row r="22" spans="2:20" ht="20.25" customHeight="1">
      <c r="B22" s="833" t="s">
        <v>354</v>
      </c>
      <c r="C22" s="833" t="s">
        <v>355</v>
      </c>
      <c r="D22" s="833"/>
      <c r="E22" s="833"/>
      <c r="F22" s="833"/>
      <c r="G22" s="833"/>
      <c r="H22" s="833" t="s">
        <v>356</v>
      </c>
      <c r="I22" s="833"/>
      <c r="J22" s="833"/>
      <c r="K22" s="833"/>
      <c r="L22" s="833"/>
      <c r="M22" s="414"/>
    </row>
    <row r="23" spans="2:20" ht="20.25" customHeight="1">
      <c r="B23" s="833"/>
      <c r="C23" s="842" t="s">
        <v>397</v>
      </c>
      <c r="D23" s="834" t="s">
        <v>402</v>
      </c>
      <c r="E23" s="835"/>
      <c r="F23" s="836"/>
      <c r="G23" s="837" t="s">
        <v>403</v>
      </c>
      <c r="H23" s="842" t="s">
        <v>399</v>
      </c>
      <c r="I23" s="834" t="s">
        <v>402</v>
      </c>
      <c r="J23" s="835"/>
      <c r="K23" s="836"/>
      <c r="L23" s="837" t="s">
        <v>401</v>
      </c>
      <c r="M23" s="415"/>
    </row>
    <row r="24" spans="2:20" ht="31.5" customHeight="1">
      <c r="B24" s="833"/>
      <c r="C24" s="827"/>
      <c r="D24" s="248" t="s">
        <v>398</v>
      </c>
      <c r="E24" s="247" t="s">
        <v>404</v>
      </c>
      <c r="F24" s="247" t="s">
        <v>405</v>
      </c>
      <c r="G24" s="838"/>
      <c r="H24" s="827"/>
      <c r="I24" s="248" t="s">
        <v>400</v>
      </c>
      <c r="J24" s="247" t="s">
        <v>406</v>
      </c>
      <c r="K24" s="247" t="s">
        <v>407</v>
      </c>
      <c r="L24" s="838"/>
      <c r="M24" s="415"/>
    </row>
    <row r="25" spans="2:20" ht="36" customHeight="1">
      <c r="B25" s="249" t="s">
        <v>364</v>
      </c>
      <c r="C25" s="253">
        <f>SUM(C26:C27)</f>
        <v>0</v>
      </c>
      <c r="D25" s="254"/>
      <c r="E25" s="253">
        <f t="shared" ref="E25:G25" si="12">SUM(E26:E27)</f>
        <v>0</v>
      </c>
      <c r="F25" s="253">
        <f t="shared" si="12"/>
        <v>0</v>
      </c>
      <c r="G25" s="254">
        <f t="shared" si="12"/>
        <v>0</v>
      </c>
      <c r="H25" s="253">
        <f t="shared" ref="H25:J25" si="13">SUM(H26:H27)</f>
        <v>0</v>
      </c>
      <c r="I25" s="254"/>
      <c r="J25" s="253">
        <f t="shared" si="13"/>
        <v>0</v>
      </c>
      <c r="K25" s="253">
        <f>SUM(K26:K27)</f>
        <v>0</v>
      </c>
      <c r="L25" s="254">
        <f>SUM(L26:L27)</f>
        <v>0</v>
      </c>
      <c r="M25" s="416"/>
    </row>
    <row r="26" spans="2:20" ht="36" customHeight="1">
      <c r="B26" s="252" t="s">
        <v>371</v>
      </c>
      <c r="C26" s="255"/>
      <c r="D26" s="256"/>
      <c r="E26" s="255"/>
      <c r="F26" s="255"/>
      <c r="G26" s="256"/>
      <c r="H26" s="255"/>
      <c r="I26" s="256"/>
      <c r="J26" s="255"/>
      <c r="K26" s="255"/>
      <c r="L26" s="256">
        <f>C26+J26+K26</f>
        <v>0</v>
      </c>
      <c r="M26" s="417"/>
    </row>
    <row r="27" spans="2:20" ht="36" customHeight="1">
      <c r="B27" s="252" t="s">
        <v>372</v>
      </c>
      <c r="C27" s="255"/>
      <c r="D27" s="256"/>
      <c r="E27" s="255"/>
      <c r="F27" s="255"/>
      <c r="G27" s="256"/>
      <c r="H27" s="255"/>
      <c r="I27" s="256"/>
      <c r="J27" s="255"/>
      <c r="K27" s="255"/>
      <c r="L27" s="256">
        <f>C27+J27+K27</f>
        <v>0</v>
      </c>
      <c r="M27" s="417"/>
    </row>
    <row r="28" spans="2:20" ht="9" customHeight="1"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</row>
    <row r="29" spans="2:20" ht="20.25" hidden="1" customHeight="1"/>
    <row r="30" spans="2:20" ht="20.25" hidden="1" customHeight="1"/>
    <row r="31" spans="2:20" ht="20.25" hidden="1" customHeight="1"/>
    <row r="32" spans="2:20" ht="14.25" hidden="1">
      <c r="B32" s="226" t="s">
        <v>373</v>
      </c>
      <c r="C32" s="227" t="s">
        <v>374</v>
      </c>
      <c r="D32" s="264"/>
      <c r="E32" s="228" t="s">
        <v>375</v>
      </c>
      <c r="F32" s="229" t="s">
        <v>376</v>
      </c>
      <c r="G32" s="245"/>
      <c r="H32" s="245"/>
      <c r="I32" s="245"/>
      <c r="J32" s="230" t="s">
        <v>377</v>
      </c>
      <c r="K32" s="227" t="s">
        <v>378</v>
      </c>
    </row>
    <row r="33" spans="2:11" ht="14.25" hidden="1">
      <c r="B33" s="231" t="s">
        <v>379</v>
      </c>
      <c r="C33" s="232">
        <v>29578422</v>
      </c>
      <c r="D33" s="265"/>
      <c r="E33" s="233">
        <v>-6681</v>
      </c>
      <c r="F33" s="234"/>
      <c r="G33" s="237"/>
      <c r="H33" s="237"/>
      <c r="I33" s="237"/>
      <c r="J33" s="235"/>
      <c r="K33" s="236">
        <f>SUM(C33:J33)</f>
        <v>29571741</v>
      </c>
    </row>
    <row r="34" spans="2:11" ht="14.25" hidden="1">
      <c r="B34" s="231" t="s">
        <v>380</v>
      </c>
      <c r="C34" s="232">
        <v>2891343461</v>
      </c>
      <c r="D34" s="265"/>
      <c r="E34" s="233">
        <v>-301742224</v>
      </c>
      <c r="F34" s="234">
        <v>1351739885</v>
      </c>
      <c r="G34" s="237"/>
      <c r="H34" s="237"/>
      <c r="I34" s="237"/>
      <c r="J34" s="235"/>
      <c r="K34" s="236">
        <f t="shared" ref="K34:K43" si="14">SUM(C34:J34)</f>
        <v>3941341122</v>
      </c>
    </row>
    <row r="35" spans="2:11" ht="14.25" hidden="1">
      <c r="B35" s="231" t="s">
        <v>92</v>
      </c>
      <c r="C35" s="232">
        <v>199560720</v>
      </c>
      <c r="D35" s="265"/>
      <c r="E35" s="233">
        <v>-4516046</v>
      </c>
      <c r="F35" s="234">
        <v>378135000</v>
      </c>
      <c r="G35" s="237"/>
      <c r="H35" s="237"/>
      <c r="I35" s="237"/>
      <c r="J35" s="237">
        <v>-4761215</v>
      </c>
      <c r="K35" s="236">
        <f t="shared" si="14"/>
        <v>568418459</v>
      </c>
    </row>
    <row r="36" spans="2:11" ht="14.25" hidden="1">
      <c r="B36" s="231" t="s">
        <v>101</v>
      </c>
      <c r="C36" s="232">
        <v>1087256623</v>
      </c>
      <c r="D36" s="265"/>
      <c r="E36" s="233">
        <v>-12367081</v>
      </c>
      <c r="F36" s="234"/>
      <c r="G36" s="237"/>
      <c r="H36" s="237"/>
      <c r="I36" s="237"/>
      <c r="J36" s="235"/>
      <c r="K36" s="236">
        <f t="shared" si="14"/>
        <v>1074889542</v>
      </c>
    </row>
    <row r="37" spans="2:11" ht="14.25" hidden="1">
      <c r="B37" s="231" t="s">
        <v>227</v>
      </c>
      <c r="C37" s="232">
        <v>225697502</v>
      </c>
      <c r="D37" s="265"/>
      <c r="E37" s="233">
        <v>31705187</v>
      </c>
      <c r="F37" s="234">
        <v>44512000</v>
      </c>
      <c r="G37" s="237"/>
      <c r="H37" s="237"/>
      <c r="I37" s="237"/>
      <c r="J37" s="235"/>
      <c r="K37" s="236">
        <f t="shared" si="14"/>
        <v>301914689</v>
      </c>
    </row>
    <row r="38" spans="2:11" ht="14.25" hidden="1">
      <c r="B38" s="231" t="s">
        <v>113</v>
      </c>
      <c r="C38" s="232">
        <v>479489486</v>
      </c>
      <c r="D38" s="265"/>
      <c r="E38" s="233">
        <v>12586360</v>
      </c>
      <c r="F38" s="234"/>
      <c r="G38" s="237"/>
      <c r="H38" s="237"/>
      <c r="I38" s="237"/>
      <c r="J38" s="235"/>
      <c r="K38" s="236">
        <f t="shared" si="14"/>
        <v>492075846</v>
      </c>
    </row>
    <row r="39" spans="2:11" ht="14.25" hidden="1">
      <c r="B39" s="231" t="s">
        <v>132</v>
      </c>
      <c r="C39" s="232">
        <v>2876706315</v>
      </c>
      <c r="D39" s="265"/>
      <c r="E39" s="233">
        <v>67792337</v>
      </c>
      <c r="F39" s="234"/>
      <c r="G39" s="237"/>
      <c r="H39" s="237"/>
      <c r="I39" s="237"/>
      <c r="J39" s="235"/>
      <c r="K39" s="236">
        <f t="shared" si="14"/>
        <v>2944498652</v>
      </c>
    </row>
    <row r="40" spans="2:11" ht="14.25" hidden="1">
      <c r="B40" s="231" t="s">
        <v>170</v>
      </c>
      <c r="C40" s="232">
        <v>1184970444</v>
      </c>
      <c r="D40" s="265"/>
      <c r="E40" s="233">
        <v>20989907</v>
      </c>
      <c r="F40" s="234"/>
      <c r="G40" s="237"/>
      <c r="H40" s="237"/>
      <c r="I40" s="237"/>
      <c r="J40" s="235"/>
      <c r="K40" s="236">
        <f t="shared" si="14"/>
        <v>1205960351</v>
      </c>
    </row>
    <row r="41" spans="2:11" ht="14.25" hidden="1">
      <c r="B41" s="231" t="s">
        <v>186</v>
      </c>
      <c r="C41" s="232">
        <v>823150380</v>
      </c>
      <c r="D41" s="265"/>
      <c r="E41" s="233">
        <v>92836795</v>
      </c>
      <c r="F41" s="234">
        <v>15950000</v>
      </c>
      <c r="G41" s="237"/>
      <c r="H41" s="237"/>
      <c r="I41" s="237"/>
      <c r="J41" s="235"/>
      <c r="K41" s="236">
        <f t="shared" si="14"/>
        <v>931937175</v>
      </c>
    </row>
    <row r="42" spans="2:11" ht="14.25" hidden="1">
      <c r="B42" s="231" t="s">
        <v>201</v>
      </c>
      <c r="C42" s="232">
        <v>3979533449</v>
      </c>
      <c r="D42" s="265"/>
      <c r="E42" s="233">
        <v>396509102</v>
      </c>
      <c r="F42" s="234"/>
      <c r="G42" s="237"/>
      <c r="H42" s="237"/>
      <c r="I42" s="237"/>
      <c r="J42" s="235"/>
      <c r="K42" s="236">
        <f t="shared" si="14"/>
        <v>4376042551</v>
      </c>
    </row>
    <row r="43" spans="2:11" ht="14.25" hidden="1">
      <c r="B43" s="231" t="s">
        <v>381</v>
      </c>
      <c r="C43" s="233">
        <f>SUM(C33:C42)</f>
        <v>13777286802</v>
      </c>
      <c r="D43" s="233"/>
      <c r="E43" s="233">
        <f>SUM(E33:E42)</f>
        <v>303787656</v>
      </c>
      <c r="F43" s="233">
        <f>SUM(F33:F42)</f>
        <v>1790336885</v>
      </c>
      <c r="G43" s="238"/>
      <c r="H43" s="238"/>
      <c r="I43" s="238"/>
      <c r="J43" s="238">
        <f t="shared" ref="J43" si="15">SUM(J33:J42)</f>
        <v>-4761215</v>
      </c>
      <c r="K43" s="236">
        <f t="shared" si="14"/>
        <v>15866650128</v>
      </c>
    </row>
    <row r="44" spans="2:11" hidden="1"/>
    <row r="45" spans="2:11" hidden="1">
      <c r="B45" s="239" t="s">
        <v>382</v>
      </c>
      <c r="C45" s="240">
        <v>62833918</v>
      </c>
      <c r="D45" s="240"/>
    </row>
    <row r="46" spans="2:11" hidden="1"/>
    <row r="47" spans="2:11" hidden="1"/>
    <row r="48" spans="2:1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73" spans="1:13">
      <c r="A73" s="241"/>
      <c r="B73" s="241"/>
      <c r="C73" s="241"/>
      <c r="D73" s="241"/>
      <c r="E73" s="241"/>
      <c r="F73" s="241"/>
      <c r="G73" s="241"/>
      <c r="H73" s="241"/>
      <c r="I73" s="241"/>
      <c r="J73" s="241"/>
      <c r="K73" s="241"/>
      <c r="L73" s="241"/>
      <c r="M73" s="418"/>
    </row>
    <row r="183" spans="1:13" s="184" customFormat="1">
      <c r="A183" s="185"/>
      <c r="B183" s="185"/>
      <c r="C183" s="185"/>
      <c r="D183" s="185"/>
      <c r="E183" s="185"/>
      <c r="F183" s="185"/>
      <c r="G183" s="185"/>
      <c r="H183" s="185"/>
      <c r="I183" s="185"/>
      <c r="J183" s="185"/>
      <c r="K183" s="185"/>
      <c r="L183" s="185"/>
      <c r="M183" s="185"/>
    </row>
    <row r="313" spans="1:13" s="184" customFormat="1">
      <c r="A313" s="185"/>
      <c r="B313" s="185"/>
      <c r="C313" s="185"/>
      <c r="D313" s="185"/>
      <c r="E313" s="185"/>
      <c r="F313" s="185"/>
      <c r="G313" s="185"/>
      <c r="H313" s="185"/>
      <c r="I313" s="185"/>
      <c r="J313" s="185"/>
      <c r="K313" s="185"/>
      <c r="L313" s="185"/>
      <c r="M313" s="185"/>
    </row>
  </sheetData>
  <mergeCells count="22">
    <mergeCell ref="B1:T1"/>
    <mergeCell ref="P6:P7"/>
    <mergeCell ref="M6:O6"/>
    <mergeCell ref="B22:B24"/>
    <mergeCell ref="C5:G5"/>
    <mergeCell ref="C22:G22"/>
    <mergeCell ref="H22:L22"/>
    <mergeCell ref="C6:C7"/>
    <mergeCell ref="L6:L7"/>
    <mergeCell ref="C23:C24"/>
    <mergeCell ref="D23:F23"/>
    <mergeCell ref="G23:G24"/>
    <mergeCell ref="H23:H24"/>
    <mergeCell ref="I23:K23"/>
    <mergeCell ref="L23:L24"/>
    <mergeCell ref="H5:T5"/>
    <mergeCell ref="Q6:T6"/>
    <mergeCell ref="B5:B7"/>
    <mergeCell ref="D6:F6"/>
    <mergeCell ref="G6:G7"/>
    <mergeCell ref="H6:H7"/>
    <mergeCell ref="I6:K6"/>
  </mergeCells>
  <phoneticPr fontId="2" type="noConversion"/>
  <printOptions horizontalCentered="1"/>
  <pageMargins left="0.55118110236220474" right="0.51181102362204722" top="0.98425196850393704" bottom="0.78740157480314965" header="0.51181102362204722" footer="0.51181102362204722"/>
  <pageSetup paperSize="9" scale="72" orientation="landscape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showGridLines="0" view="pageBreakPreview" zoomScale="80" zoomScaleNormal="100" zoomScaleSheetLayoutView="80" workbookViewId="0">
      <pane xSplit="3" ySplit="5" topLeftCell="D6" activePane="bottomRight" state="frozen"/>
      <selection activeCell="B1" sqref="B1:K1"/>
      <selection pane="topRight" activeCell="B1" sqref="B1:K1"/>
      <selection pane="bottomLeft" activeCell="B1" sqref="B1:K1"/>
      <selection pane="bottomRight" sqref="A1:N1"/>
    </sheetView>
  </sheetViews>
  <sheetFormatPr defaultColWidth="8.75" defaultRowHeight="13.5"/>
  <cols>
    <col min="1" max="1" width="2.5" style="63" customWidth="1"/>
    <col min="2" max="2" width="3.5" style="63" customWidth="1"/>
    <col min="3" max="3" width="6.75" style="85" customWidth="1"/>
    <col min="4" max="4" width="16.625" style="63" hidden="1" customWidth="1"/>
    <col min="5" max="5" width="35.75" style="63" customWidth="1"/>
    <col min="6" max="6" width="10.25" style="63" customWidth="1"/>
    <col min="7" max="7" width="10.75" style="63" hidden="1" customWidth="1"/>
    <col min="8" max="8" width="11.125" style="63" hidden="1" customWidth="1"/>
    <col min="9" max="9" width="12.625" style="63" hidden="1" customWidth="1"/>
    <col min="10" max="11" width="12.5" style="63" customWidth="1"/>
    <col min="12" max="12" width="11.875" style="63" customWidth="1"/>
    <col min="13" max="13" width="7.875" style="63" hidden="1" customWidth="1"/>
    <col min="14" max="14" width="20.75" style="63" customWidth="1"/>
    <col min="15" max="15" width="4" style="63" hidden="1" customWidth="1"/>
    <col min="16" max="17" width="9.25" style="63" hidden="1" customWidth="1"/>
    <col min="18" max="18" width="6" style="85" hidden="1" customWidth="1"/>
    <col min="19" max="19" width="4" style="616" hidden="1" customWidth="1"/>
    <col min="20" max="20" width="8.75" style="63" hidden="1" customWidth="1"/>
    <col min="21" max="16384" width="8.75" style="63"/>
  </cols>
  <sheetData>
    <row r="1" spans="1:19" ht="26.25">
      <c r="A1" s="846" t="s">
        <v>1497</v>
      </c>
      <c r="B1" s="846"/>
      <c r="C1" s="846"/>
      <c r="D1" s="846"/>
      <c r="E1" s="846"/>
      <c r="F1" s="846"/>
      <c r="G1" s="846"/>
      <c r="H1" s="846"/>
      <c r="I1" s="846"/>
      <c r="J1" s="846"/>
      <c r="K1" s="846"/>
      <c r="L1" s="846"/>
      <c r="M1" s="846"/>
      <c r="N1" s="846"/>
    </row>
    <row r="2" spans="1:19" ht="16.5">
      <c r="A2" s="87" t="s">
        <v>412</v>
      </c>
      <c r="B2" s="87"/>
    </row>
    <row r="3" spans="1:19">
      <c r="H3" s="63">
        <f>SUM(G6:H6)</f>
        <v>1324409</v>
      </c>
      <c r="K3" s="63">
        <f>SUM(J6:K6)</f>
        <v>1797797</v>
      </c>
      <c r="N3" s="88" t="s">
        <v>334</v>
      </c>
      <c r="P3" s="85" t="str">
        <f>IF(P6=일출!Q6,"OK","ERR")</f>
        <v>OK</v>
      </c>
      <c r="Q3" s="63">
        <f>SUM(P6:Q6)</f>
        <v>1797797</v>
      </c>
      <c r="R3" s="85" t="str">
        <f>IF(H3=Q3,"ok","검토")</f>
        <v>검토</v>
      </c>
    </row>
    <row r="4" spans="1:19" ht="32.25" customHeight="1">
      <c r="A4" s="801" t="s">
        <v>335</v>
      </c>
      <c r="B4" s="801"/>
      <c r="C4" s="804" t="s">
        <v>336</v>
      </c>
      <c r="D4" s="801" t="s">
        <v>337</v>
      </c>
      <c r="E4" s="801" t="s">
        <v>338</v>
      </c>
      <c r="F4" s="804" t="s">
        <v>413</v>
      </c>
      <c r="G4" s="805" t="s">
        <v>1431</v>
      </c>
      <c r="H4" s="806"/>
      <c r="I4" s="804" t="s">
        <v>1432</v>
      </c>
      <c r="J4" s="805" t="s">
        <v>1433</v>
      </c>
      <c r="K4" s="806"/>
      <c r="L4" s="804" t="s">
        <v>1510</v>
      </c>
      <c r="M4" s="847" t="s">
        <v>339</v>
      </c>
      <c r="N4" s="801" t="s">
        <v>340</v>
      </c>
      <c r="O4" s="843" t="s">
        <v>341</v>
      </c>
      <c r="P4" s="845" t="s">
        <v>1454</v>
      </c>
      <c r="Q4" s="845"/>
      <c r="R4" s="845"/>
      <c r="S4" s="593"/>
    </row>
    <row r="5" spans="1:19" ht="15.75" customHeight="1">
      <c r="A5" s="801"/>
      <c r="B5" s="801"/>
      <c r="C5" s="804"/>
      <c r="D5" s="801"/>
      <c r="E5" s="801"/>
      <c r="F5" s="801"/>
      <c r="G5" s="90" t="s">
        <v>342</v>
      </c>
      <c r="H5" s="90" t="s">
        <v>415</v>
      </c>
      <c r="I5" s="801"/>
      <c r="J5" s="90" t="s">
        <v>342</v>
      </c>
      <c r="K5" s="90" t="s">
        <v>91</v>
      </c>
      <c r="L5" s="801"/>
      <c r="M5" s="848"/>
      <c r="N5" s="801"/>
      <c r="O5" s="844"/>
      <c r="P5" s="90" t="s">
        <v>343</v>
      </c>
      <c r="Q5" s="90" t="s">
        <v>344</v>
      </c>
      <c r="R5" s="90" t="s">
        <v>345</v>
      </c>
      <c r="S5" s="593"/>
    </row>
    <row r="6" spans="1:19" ht="31.5" customHeight="1">
      <c r="A6" s="92"/>
      <c r="B6" s="93" t="s">
        <v>346</v>
      </c>
      <c r="C6" s="94"/>
      <c r="D6" s="94"/>
      <c r="E6" s="94"/>
      <c r="F6" s="137">
        <f t="shared" ref="F6:L6" si="0">SUM(F7:F105)/3</f>
        <v>45180229</v>
      </c>
      <c r="G6" s="137">
        <f t="shared" si="0"/>
        <v>-1496131</v>
      </c>
      <c r="H6" s="137">
        <f t="shared" si="0"/>
        <v>2820540</v>
      </c>
      <c r="I6" s="137">
        <f t="shared" si="0"/>
        <v>46504638</v>
      </c>
      <c r="J6" s="137">
        <f t="shared" si="0"/>
        <v>-1496131</v>
      </c>
      <c r="K6" s="137">
        <f t="shared" si="0"/>
        <v>3293928</v>
      </c>
      <c r="L6" s="137">
        <f t="shared" si="0"/>
        <v>46978026</v>
      </c>
      <c r="M6" s="59"/>
      <c r="N6" s="312"/>
      <c r="O6" s="59"/>
      <c r="P6" s="137">
        <f>SUM(P7:P105)/3</f>
        <v>1684240</v>
      </c>
      <c r="Q6" s="137">
        <f>SUM(Q7:Q105)/3</f>
        <v>113557</v>
      </c>
      <c r="R6" s="59" t="str">
        <f t="shared" ref="R6:R49" si="1">IF((G6+H6)=(P6+Q6),"ok","검토")</f>
        <v>검토</v>
      </c>
      <c r="S6" s="595"/>
    </row>
    <row r="7" spans="1:19" ht="31.5" customHeight="1">
      <c r="A7" s="25" t="s">
        <v>416</v>
      </c>
      <c r="B7" s="26"/>
      <c r="C7" s="26"/>
      <c r="D7" s="26"/>
      <c r="E7" s="26"/>
      <c r="F7" s="27">
        <f>SUM(F8:F10)/2</f>
        <v>350133</v>
      </c>
      <c r="G7" s="27">
        <f t="shared" ref="G7:L7" si="2">SUM(G8:G10)/2</f>
        <v>-255093</v>
      </c>
      <c r="H7" s="27">
        <f t="shared" si="2"/>
        <v>0</v>
      </c>
      <c r="I7" s="27">
        <f t="shared" si="2"/>
        <v>95040</v>
      </c>
      <c r="J7" s="27">
        <f t="shared" si="2"/>
        <v>-255093</v>
      </c>
      <c r="K7" s="27">
        <f t="shared" si="2"/>
        <v>0</v>
      </c>
      <c r="L7" s="27">
        <f t="shared" si="2"/>
        <v>95040</v>
      </c>
      <c r="M7" s="27"/>
      <c r="N7" s="313"/>
      <c r="O7" s="27"/>
      <c r="P7" s="27">
        <f t="shared" ref="P7:Q7" si="3">SUM(P8:P10)/2</f>
        <v>-15840</v>
      </c>
      <c r="Q7" s="27">
        <f t="shared" si="3"/>
        <v>-239253</v>
      </c>
      <c r="R7" s="26" t="str">
        <f t="shared" si="1"/>
        <v>ok</v>
      </c>
      <c r="S7" s="623"/>
    </row>
    <row r="8" spans="1:19" ht="31.5" customHeight="1">
      <c r="A8" s="99"/>
      <c r="B8" s="29" t="s">
        <v>417</v>
      </c>
      <c r="C8" s="30"/>
      <c r="D8" s="31"/>
      <c r="E8" s="31"/>
      <c r="F8" s="32">
        <f>SUM(F9:F10)</f>
        <v>350133</v>
      </c>
      <c r="G8" s="32">
        <f t="shared" ref="G8:L8" si="4">SUM(G9:G10)</f>
        <v>-255093</v>
      </c>
      <c r="H8" s="32">
        <f t="shared" si="4"/>
        <v>0</v>
      </c>
      <c r="I8" s="32">
        <f t="shared" si="4"/>
        <v>95040</v>
      </c>
      <c r="J8" s="32">
        <f t="shared" si="4"/>
        <v>-255093</v>
      </c>
      <c r="K8" s="32">
        <f t="shared" si="4"/>
        <v>0</v>
      </c>
      <c r="L8" s="32">
        <f t="shared" si="4"/>
        <v>95040</v>
      </c>
      <c r="M8" s="32"/>
      <c r="N8" s="314"/>
      <c r="O8" s="32"/>
      <c r="P8" s="32">
        <f t="shared" ref="P8:Q8" si="5">SUM(P9:P10)</f>
        <v>-15840</v>
      </c>
      <c r="Q8" s="32">
        <f t="shared" si="5"/>
        <v>-239253</v>
      </c>
      <c r="R8" s="30" t="str">
        <f t="shared" si="1"/>
        <v>ok</v>
      </c>
      <c r="S8" s="624"/>
    </row>
    <row r="9" spans="1:19" ht="50.25" customHeight="1">
      <c r="A9" s="99"/>
      <c r="B9" s="99"/>
      <c r="C9" s="100">
        <v>35</v>
      </c>
      <c r="D9" s="111" t="s">
        <v>50</v>
      </c>
      <c r="E9" s="270" t="s">
        <v>51</v>
      </c>
      <c r="F9" s="95">
        <v>110880</v>
      </c>
      <c r="G9" s="95">
        <v>-15840</v>
      </c>
      <c r="H9" s="95"/>
      <c r="I9" s="102">
        <f>F9+G9+H9</f>
        <v>95040</v>
      </c>
      <c r="J9" s="103">
        <f>G9</f>
        <v>-15840</v>
      </c>
      <c r="K9" s="103">
        <f>H9</f>
        <v>0</v>
      </c>
      <c r="L9" s="102">
        <f>F9+J9+K9</f>
        <v>95040</v>
      </c>
      <c r="M9" s="104" t="str">
        <f>IF(G9-J9&lt;0,"동의필요","-")</f>
        <v>-</v>
      </c>
      <c r="N9" s="315" t="s">
        <v>1005</v>
      </c>
      <c r="O9" s="103" t="s">
        <v>200</v>
      </c>
      <c r="P9" s="103">
        <v>-15840</v>
      </c>
      <c r="Q9" s="103"/>
      <c r="R9" s="104" t="str">
        <f t="shared" si="1"/>
        <v>ok</v>
      </c>
      <c r="S9" s="625"/>
    </row>
    <row r="10" spans="1:19" ht="31.5" customHeight="1">
      <c r="A10" s="99"/>
      <c r="B10" s="99"/>
      <c r="C10" s="100">
        <v>35</v>
      </c>
      <c r="D10" s="111" t="s">
        <v>52</v>
      </c>
      <c r="E10" s="270" t="s">
        <v>418</v>
      </c>
      <c r="F10" s="95">
        <v>239253</v>
      </c>
      <c r="G10" s="95">
        <v>-239253</v>
      </c>
      <c r="H10" s="95"/>
      <c r="I10" s="102">
        <f>F10+G10+H10</f>
        <v>0</v>
      </c>
      <c r="J10" s="661">
        <f>G10</f>
        <v>-239253</v>
      </c>
      <c r="K10" s="661">
        <f>H10</f>
        <v>0</v>
      </c>
      <c r="L10" s="102">
        <f>F10+J10+K10</f>
        <v>0</v>
      </c>
      <c r="M10" s="104" t="str">
        <f>IF(G10-J10&lt;0,"동의필요","-")</f>
        <v>-</v>
      </c>
      <c r="N10" s="315" t="s">
        <v>419</v>
      </c>
      <c r="O10" s="103" t="s">
        <v>420</v>
      </c>
      <c r="P10" s="103"/>
      <c r="Q10" s="103">
        <v>-239253</v>
      </c>
      <c r="R10" s="104" t="str">
        <f t="shared" si="1"/>
        <v>ok</v>
      </c>
      <c r="S10" s="625"/>
    </row>
    <row r="11" spans="1:19" ht="31.5" customHeight="1">
      <c r="A11" s="25" t="s">
        <v>101</v>
      </c>
      <c r="B11" s="26"/>
      <c r="C11" s="26"/>
      <c r="D11" s="26"/>
      <c r="E11" s="26"/>
      <c r="F11" s="27">
        <f>SUM(F12:F16)/2</f>
        <v>2362900</v>
      </c>
      <c r="G11" s="27">
        <f t="shared" ref="G11:L11" si="6">SUM(G12:G16)/2</f>
        <v>-35000</v>
      </c>
      <c r="H11" s="27">
        <f t="shared" si="6"/>
        <v>884256</v>
      </c>
      <c r="I11" s="27">
        <f t="shared" si="6"/>
        <v>3212156</v>
      </c>
      <c r="J11" s="27">
        <f t="shared" si="6"/>
        <v>-35000</v>
      </c>
      <c r="K11" s="27">
        <f t="shared" si="6"/>
        <v>884256</v>
      </c>
      <c r="L11" s="27">
        <f t="shared" si="6"/>
        <v>3212156</v>
      </c>
      <c r="M11" s="27"/>
      <c r="N11" s="313"/>
      <c r="O11" s="27"/>
      <c r="P11" s="27">
        <f t="shared" ref="P11:Q11" si="7">SUM(P12:P16)/2</f>
        <v>768000</v>
      </c>
      <c r="Q11" s="27">
        <f t="shared" si="7"/>
        <v>81256</v>
      </c>
      <c r="R11" s="26" t="str">
        <f t="shared" si="1"/>
        <v>ok</v>
      </c>
      <c r="S11" s="623"/>
    </row>
    <row r="12" spans="1:19" ht="31.5" customHeight="1">
      <c r="A12" s="99"/>
      <c r="B12" s="29" t="s">
        <v>421</v>
      </c>
      <c r="C12" s="30"/>
      <c r="D12" s="31"/>
      <c r="E12" s="31"/>
      <c r="F12" s="32">
        <f>SUM(F13)</f>
        <v>814500</v>
      </c>
      <c r="G12" s="32">
        <f t="shared" ref="G12:L12" si="8">SUM(G13)</f>
        <v>0</v>
      </c>
      <c r="H12" s="32">
        <f t="shared" si="8"/>
        <v>768000</v>
      </c>
      <c r="I12" s="32">
        <f t="shared" si="8"/>
        <v>1582500</v>
      </c>
      <c r="J12" s="32">
        <f t="shared" si="8"/>
        <v>0</v>
      </c>
      <c r="K12" s="32">
        <f t="shared" si="8"/>
        <v>768000</v>
      </c>
      <c r="L12" s="32">
        <f t="shared" si="8"/>
        <v>1582500</v>
      </c>
      <c r="M12" s="32"/>
      <c r="N12" s="314"/>
      <c r="O12" s="32"/>
      <c r="P12" s="32">
        <f t="shared" ref="P12:Q12" si="9">SUM(P13)</f>
        <v>768000</v>
      </c>
      <c r="Q12" s="32">
        <f t="shared" si="9"/>
        <v>0</v>
      </c>
      <c r="R12" s="30" t="str">
        <f t="shared" si="1"/>
        <v>ok</v>
      </c>
      <c r="S12" s="624"/>
    </row>
    <row r="13" spans="1:19" ht="31.5" customHeight="1">
      <c r="A13" s="99"/>
      <c r="B13" s="99"/>
      <c r="C13" s="108">
        <v>401</v>
      </c>
      <c r="D13" s="109" t="s">
        <v>422</v>
      </c>
      <c r="E13" s="272" t="s">
        <v>423</v>
      </c>
      <c r="F13" s="110">
        <v>814500</v>
      </c>
      <c r="G13" s="110">
        <v>0</v>
      </c>
      <c r="H13" s="110">
        <v>768000</v>
      </c>
      <c r="I13" s="102">
        <f>F13+G13+H13</f>
        <v>1582500</v>
      </c>
      <c r="J13" s="661">
        <f>G13</f>
        <v>0</v>
      </c>
      <c r="K13" s="661">
        <f>H13</f>
        <v>768000</v>
      </c>
      <c r="L13" s="102">
        <f>F13+J13+K13</f>
        <v>1582500</v>
      </c>
      <c r="M13" s="104" t="str">
        <f>IF(G13-J13&lt;0,"동의필요","-")</f>
        <v>-</v>
      </c>
      <c r="N13" s="316" t="s">
        <v>424</v>
      </c>
      <c r="O13" s="273" t="s">
        <v>90</v>
      </c>
      <c r="P13" s="273">
        <v>768000</v>
      </c>
      <c r="Q13" s="273">
        <v>0</v>
      </c>
      <c r="R13" s="104" t="str">
        <f t="shared" si="1"/>
        <v>ok</v>
      </c>
      <c r="S13" s="625"/>
    </row>
    <row r="14" spans="1:19" ht="31.5" customHeight="1">
      <c r="A14" s="114"/>
      <c r="B14" s="29" t="s">
        <v>425</v>
      </c>
      <c r="C14" s="30"/>
      <c r="D14" s="31"/>
      <c r="E14" s="31"/>
      <c r="F14" s="32">
        <f>SUM(F15:F16)</f>
        <v>1548400</v>
      </c>
      <c r="G14" s="32">
        <f t="shared" ref="G14:L14" si="10">SUM(G15:G16)</f>
        <v>-35000</v>
      </c>
      <c r="H14" s="32">
        <f t="shared" si="10"/>
        <v>116256</v>
      </c>
      <c r="I14" s="32">
        <f t="shared" si="10"/>
        <v>1629656</v>
      </c>
      <c r="J14" s="32">
        <f t="shared" si="10"/>
        <v>-35000</v>
      </c>
      <c r="K14" s="32">
        <f t="shared" si="10"/>
        <v>116256</v>
      </c>
      <c r="L14" s="32">
        <f t="shared" si="10"/>
        <v>1629656</v>
      </c>
      <c r="M14" s="32"/>
      <c r="N14" s="314"/>
      <c r="O14" s="32"/>
      <c r="P14" s="32">
        <f t="shared" ref="P14:Q14" si="11">SUM(P15:P16)</f>
        <v>0</v>
      </c>
      <c r="Q14" s="32">
        <f t="shared" si="11"/>
        <v>81256</v>
      </c>
      <c r="R14" s="30" t="str">
        <f t="shared" si="1"/>
        <v>ok</v>
      </c>
      <c r="S14" s="624"/>
    </row>
    <row r="15" spans="1:19" ht="31.5" customHeight="1">
      <c r="A15" s="115"/>
      <c r="B15" s="114"/>
      <c r="C15" s="100">
        <v>427</v>
      </c>
      <c r="D15" s="101" t="s">
        <v>426</v>
      </c>
      <c r="E15" s="272" t="s">
        <v>427</v>
      </c>
      <c r="F15" s="95">
        <v>1548400</v>
      </c>
      <c r="G15" s="95">
        <v>-35000</v>
      </c>
      <c r="H15" s="95"/>
      <c r="I15" s="102">
        <f t="shared" ref="I15:I16" si="12">F15+G15+H15</f>
        <v>1513400</v>
      </c>
      <c r="J15" s="661">
        <f t="shared" ref="J15:J16" si="13">G15</f>
        <v>-35000</v>
      </c>
      <c r="K15" s="661">
        <f t="shared" ref="K15:K16" si="14">H15</f>
        <v>0</v>
      </c>
      <c r="L15" s="102">
        <f t="shared" ref="L15:L16" si="15">F15+J15+K15</f>
        <v>1513400</v>
      </c>
      <c r="M15" s="104" t="str">
        <f t="shared" ref="M15:M16" si="16">IF(G15-J15&lt;0,"동의필요","-")</f>
        <v>-</v>
      </c>
      <c r="N15" s="315" t="s">
        <v>428</v>
      </c>
      <c r="O15" s="103" t="s">
        <v>420</v>
      </c>
      <c r="P15" s="103"/>
      <c r="Q15" s="103">
        <v>-35000</v>
      </c>
      <c r="R15" s="104" t="str">
        <f t="shared" si="1"/>
        <v>ok</v>
      </c>
      <c r="S15" s="625"/>
    </row>
    <row r="16" spans="1:19" ht="43.5" customHeight="1">
      <c r="A16" s="115"/>
      <c r="B16" s="115"/>
      <c r="C16" s="100" t="s">
        <v>94</v>
      </c>
      <c r="D16" s="101" t="s">
        <v>426</v>
      </c>
      <c r="E16" s="101" t="s">
        <v>429</v>
      </c>
      <c r="F16" s="95"/>
      <c r="G16" s="95"/>
      <c r="H16" s="95">
        <v>116256</v>
      </c>
      <c r="I16" s="102">
        <f t="shared" si="12"/>
        <v>116256</v>
      </c>
      <c r="J16" s="661">
        <f t="shared" si="13"/>
        <v>0</v>
      </c>
      <c r="K16" s="661">
        <f t="shared" si="14"/>
        <v>116256</v>
      </c>
      <c r="L16" s="102">
        <f t="shared" si="15"/>
        <v>116256</v>
      </c>
      <c r="M16" s="104" t="str">
        <f t="shared" si="16"/>
        <v>-</v>
      </c>
      <c r="N16" s="315" t="s">
        <v>1006</v>
      </c>
      <c r="O16" s="103" t="s">
        <v>420</v>
      </c>
      <c r="P16" s="103"/>
      <c r="Q16" s="103">
        <v>116256</v>
      </c>
      <c r="R16" s="104" t="str">
        <f t="shared" si="1"/>
        <v>ok</v>
      </c>
      <c r="S16" s="625"/>
    </row>
    <row r="17" spans="1:19" s="372" customFormat="1" ht="31.5" customHeight="1">
      <c r="A17" s="425" t="s">
        <v>227</v>
      </c>
      <c r="B17" s="426"/>
      <c r="C17" s="26"/>
      <c r="D17" s="26"/>
      <c r="E17" s="26"/>
      <c r="F17" s="369">
        <f>SUM(F18:F20)/2</f>
        <v>0</v>
      </c>
      <c r="G17" s="369">
        <f t="shared" ref="G17:L17" si="17">SUM(G18:G20)/2</f>
        <v>0</v>
      </c>
      <c r="H17" s="369">
        <f t="shared" si="17"/>
        <v>0</v>
      </c>
      <c r="I17" s="369">
        <f t="shared" si="17"/>
        <v>0</v>
      </c>
      <c r="J17" s="369">
        <f t="shared" si="17"/>
        <v>0</v>
      </c>
      <c r="K17" s="369">
        <f t="shared" si="17"/>
        <v>473388</v>
      </c>
      <c r="L17" s="369">
        <f t="shared" si="17"/>
        <v>473388</v>
      </c>
      <c r="M17" s="369"/>
      <c r="N17" s="313"/>
      <c r="O17" s="369"/>
      <c r="P17" s="369">
        <f>SUM(P18:P20)/2</f>
        <v>470000</v>
      </c>
      <c r="Q17" s="369">
        <f t="shared" ref="Q17" si="18">SUM(Q18:Q20)/2</f>
        <v>3388</v>
      </c>
      <c r="R17" s="26" t="str">
        <f t="shared" ref="R17:R20" si="19">IF((G17+H17)=(P17+Q17),"ok","검토")</f>
        <v>검토</v>
      </c>
      <c r="S17" s="623"/>
    </row>
    <row r="18" spans="1:19" s="372" customFormat="1" ht="31.5" customHeight="1">
      <c r="A18" s="428"/>
      <c r="B18" s="427" t="s">
        <v>228</v>
      </c>
      <c r="C18" s="30"/>
      <c r="D18" s="31"/>
      <c r="E18" s="31"/>
      <c r="F18" s="370">
        <f>SUM(F19:F20)</f>
        <v>0</v>
      </c>
      <c r="G18" s="370">
        <f t="shared" ref="G18:L18" si="20">SUM(G19:G20)</f>
        <v>0</v>
      </c>
      <c r="H18" s="370">
        <f t="shared" si="20"/>
        <v>0</v>
      </c>
      <c r="I18" s="370">
        <f t="shared" si="20"/>
        <v>0</v>
      </c>
      <c r="J18" s="370">
        <f t="shared" si="20"/>
        <v>0</v>
      </c>
      <c r="K18" s="370">
        <f t="shared" si="20"/>
        <v>473388</v>
      </c>
      <c r="L18" s="370">
        <f t="shared" si="20"/>
        <v>473388</v>
      </c>
      <c r="M18" s="370"/>
      <c r="N18" s="314"/>
      <c r="O18" s="370"/>
      <c r="P18" s="370">
        <f>SUM(P19:P20)</f>
        <v>470000</v>
      </c>
      <c r="Q18" s="370">
        <f t="shared" ref="Q18" si="21">SUM(Q19:Q20)</f>
        <v>3388</v>
      </c>
      <c r="R18" s="30" t="str">
        <f t="shared" si="19"/>
        <v>검토</v>
      </c>
      <c r="S18" s="624"/>
    </row>
    <row r="19" spans="1:19" s="673" customFormat="1" ht="31.5" customHeight="1">
      <c r="A19" s="658"/>
      <c r="B19" s="658"/>
      <c r="C19" s="666" t="s">
        <v>94</v>
      </c>
      <c r="D19" s="667" t="s">
        <v>55</v>
      </c>
      <c r="E19" s="540" t="s">
        <v>1184</v>
      </c>
      <c r="F19" s="668"/>
      <c r="G19" s="668"/>
      <c r="H19" s="668"/>
      <c r="I19" s="665">
        <f>F19+G19+H19</f>
        <v>0</v>
      </c>
      <c r="J19" s="661"/>
      <c r="K19" s="661">
        <v>3388</v>
      </c>
      <c r="L19" s="665">
        <f>F19+J19+K19</f>
        <v>3388</v>
      </c>
      <c r="M19" s="648" t="str">
        <f>IF(G19-J19&lt;0,"동의필요","-")</f>
        <v>-</v>
      </c>
      <c r="N19" s="316" t="s">
        <v>1623</v>
      </c>
      <c r="O19" s="669" t="s">
        <v>1337</v>
      </c>
      <c r="P19" s="669"/>
      <c r="Q19" s="669">
        <f>L19</f>
        <v>3388</v>
      </c>
      <c r="R19" s="648" t="str">
        <f t="shared" si="19"/>
        <v>검토</v>
      </c>
      <c r="S19" s="625"/>
    </row>
    <row r="20" spans="1:19" s="673" customFormat="1" ht="31.5" customHeight="1">
      <c r="A20" s="658"/>
      <c r="B20" s="658"/>
      <c r="C20" s="666" t="s">
        <v>94</v>
      </c>
      <c r="D20" s="667" t="s">
        <v>60</v>
      </c>
      <c r="E20" s="540" t="s">
        <v>1185</v>
      </c>
      <c r="F20" s="668"/>
      <c r="G20" s="668"/>
      <c r="H20" s="668"/>
      <c r="I20" s="665">
        <f>F20+G20+H20</f>
        <v>0</v>
      </c>
      <c r="J20" s="661"/>
      <c r="K20" s="661">
        <v>470000</v>
      </c>
      <c r="L20" s="665">
        <f>F20+J20+K20</f>
        <v>470000</v>
      </c>
      <c r="M20" s="648" t="str">
        <f>IF(G20-J20&lt;0,"동의필요","-")</f>
        <v>-</v>
      </c>
      <c r="N20" s="316" t="s">
        <v>1624</v>
      </c>
      <c r="O20" s="669" t="s">
        <v>1338</v>
      </c>
      <c r="P20" s="669">
        <f>L20</f>
        <v>470000</v>
      </c>
      <c r="Q20" s="669"/>
      <c r="R20" s="648" t="str">
        <f t="shared" si="19"/>
        <v>검토</v>
      </c>
      <c r="S20" s="625"/>
    </row>
    <row r="21" spans="1:19" ht="31.5" customHeight="1">
      <c r="A21" s="25" t="s">
        <v>430</v>
      </c>
      <c r="B21" s="26"/>
      <c r="C21" s="26"/>
      <c r="D21" s="26"/>
      <c r="E21" s="26"/>
      <c r="F21" s="27">
        <f>SUM(F22:F34)/2</f>
        <v>4207342</v>
      </c>
      <c r="G21" s="27">
        <f t="shared" ref="G21:L21" si="22">SUM(G22:G34)/2</f>
        <v>-594638</v>
      </c>
      <c r="H21" s="27">
        <f t="shared" si="22"/>
        <v>1172304</v>
      </c>
      <c r="I21" s="27">
        <f t="shared" si="22"/>
        <v>4785008</v>
      </c>
      <c r="J21" s="27">
        <f t="shared" si="22"/>
        <v>-594638</v>
      </c>
      <c r="K21" s="27">
        <f t="shared" si="22"/>
        <v>1172304</v>
      </c>
      <c r="L21" s="27">
        <f t="shared" si="22"/>
        <v>4785008</v>
      </c>
      <c r="M21" s="27"/>
      <c r="N21" s="313"/>
      <c r="O21" s="27"/>
      <c r="P21" s="27">
        <f t="shared" ref="P21:Q21" si="23">SUM(P22:P34)/2</f>
        <v>309500</v>
      </c>
      <c r="Q21" s="27">
        <f t="shared" si="23"/>
        <v>268166</v>
      </c>
      <c r="R21" s="26" t="str">
        <f t="shared" si="1"/>
        <v>ok</v>
      </c>
      <c r="S21" s="623"/>
    </row>
    <row r="22" spans="1:19" ht="31.5" customHeight="1">
      <c r="A22" s="99"/>
      <c r="B22" s="29" t="s">
        <v>114</v>
      </c>
      <c r="C22" s="30"/>
      <c r="D22" s="31"/>
      <c r="E22" s="31"/>
      <c r="F22" s="32">
        <f>SUM(F23:F28)</f>
        <v>1107000</v>
      </c>
      <c r="G22" s="32">
        <f t="shared" ref="G22:L22" si="24">SUM(G23:G28)</f>
        <v>-328000</v>
      </c>
      <c r="H22" s="32">
        <f t="shared" si="24"/>
        <v>628500</v>
      </c>
      <c r="I22" s="32">
        <f t="shared" si="24"/>
        <v>1407500</v>
      </c>
      <c r="J22" s="32">
        <f t="shared" si="24"/>
        <v>-328000</v>
      </c>
      <c r="K22" s="32">
        <f t="shared" si="24"/>
        <v>628500</v>
      </c>
      <c r="L22" s="32">
        <f t="shared" si="24"/>
        <v>1407500</v>
      </c>
      <c r="M22" s="32"/>
      <c r="N22" s="314"/>
      <c r="O22" s="32"/>
      <c r="P22" s="32">
        <f t="shared" ref="P22:Q22" si="25">SUM(P23:P28)</f>
        <v>300500</v>
      </c>
      <c r="Q22" s="32">
        <f t="shared" si="25"/>
        <v>0</v>
      </c>
      <c r="R22" s="30" t="str">
        <f t="shared" si="1"/>
        <v>ok</v>
      </c>
      <c r="S22" s="624"/>
    </row>
    <row r="23" spans="1:19" ht="31.5" customHeight="1">
      <c r="A23" s="99"/>
      <c r="B23" s="99"/>
      <c r="C23" s="100" t="s">
        <v>431</v>
      </c>
      <c r="D23" s="101" t="s">
        <v>118</v>
      </c>
      <c r="E23" s="140" t="s">
        <v>432</v>
      </c>
      <c r="F23" s="95"/>
      <c r="G23" s="95"/>
      <c r="H23" s="95">
        <v>84000</v>
      </c>
      <c r="I23" s="102">
        <f t="shared" ref="I23:I28" si="26">F23+G23+H23</f>
        <v>84000</v>
      </c>
      <c r="J23" s="661">
        <f t="shared" ref="J23:J28" si="27">G23</f>
        <v>0</v>
      </c>
      <c r="K23" s="661">
        <f t="shared" ref="K23:K28" si="28">H23</f>
        <v>84000</v>
      </c>
      <c r="L23" s="102">
        <f t="shared" ref="L23:L28" si="29">F23+J23+K23</f>
        <v>84000</v>
      </c>
      <c r="M23" s="104" t="str">
        <f t="shared" ref="M23:M28" si="30">IF(G23-J23&lt;0,"동의필요","-")</f>
        <v>-</v>
      </c>
      <c r="N23" s="315" t="s">
        <v>433</v>
      </c>
      <c r="O23" s="128" t="s">
        <v>434</v>
      </c>
      <c r="P23" s="103">
        <v>84000</v>
      </c>
      <c r="Q23" s="103"/>
      <c r="R23" s="104" t="str">
        <f t="shared" si="1"/>
        <v>ok</v>
      </c>
      <c r="S23" s="625"/>
    </row>
    <row r="24" spans="1:19" ht="31.5" customHeight="1">
      <c r="A24" s="99"/>
      <c r="B24" s="99"/>
      <c r="C24" s="134">
        <v>483</v>
      </c>
      <c r="D24" s="135" t="s">
        <v>435</v>
      </c>
      <c r="E24" s="550" t="s">
        <v>1505</v>
      </c>
      <c r="F24" s="54">
        <v>250000</v>
      </c>
      <c r="G24" s="274">
        <v>-250000</v>
      </c>
      <c r="H24" s="274"/>
      <c r="I24" s="102">
        <f t="shared" si="26"/>
        <v>0</v>
      </c>
      <c r="J24" s="661">
        <f t="shared" si="27"/>
        <v>-250000</v>
      </c>
      <c r="K24" s="661">
        <f t="shared" si="28"/>
        <v>0</v>
      </c>
      <c r="L24" s="102">
        <f t="shared" si="29"/>
        <v>0</v>
      </c>
      <c r="M24" s="104" t="str">
        <f t="shared" si="30"/>
        <v>-</v>
      </c>
      <c r="N24" s="317" t="s">
        <v>1043</v>
      </c>
      <c r="O24" s="103" t="s">
        <v>90</v>
      </c>
      <c r="P24" s="103">
        <v>-250000</v>
      </c>
      <c r="Q24" s="103"/>
      <c r="R24" s="104" t="str">
        <f t="shared" si="1"/>
        <v>ok</v>
      </c>
      <c r="S24" s="625"/>
    </row>
    <row r="25" spans="1:19" ht="31.5" customHeight="1">
      <c r="A25" s="99"/>
      <c r="B25" s="99"/>
      <c r="C25" s="134">
        <v>486</v>
      </c>
      <c r="D25" s="135" t="s">
        <v>436</v>
      </c>
      <c r="E25" s="276" t="s">
        <v>437</v>
      </c>
      <c r="F25" s="54">
        <v>583000</v>
      </c>
      <c r="G25" s="274"/>
      <c r="H25" s="274">
        <v>419500</v>
      </c>
      <c r="I25" s="102">
        <f t="shared" si="26"/>
        <v>1002500</v>
      </c>
      <c r="J25" s="661">
        <f t="shared" si="27"/>
        <v>0</v>
      </c>
      <c r="K25" s="661">
        <f t="shared" si="28"/>
        <v>419500</v>
      </c>
      <c r="L25" s="102">
        <f t="shared" si="29"/>
        <v>1002500</v>
      </c>
      <c r="M25" s="104" t="str">
        <f t="shared" si="30"/>
        <v>-</v>
      </c>
      <c r="N25" s="317" t="s">
        <v>438</v>
      </c>
      <c r="O25" s="103" t="s">
        <v>90</v>
      </c>
      <c r="P25" s="103">
        <v>419500</v>
      </c>
      <c r="Q25" s="103"/>
      <c r="R25" s="104" t="str">
        <f t="shared" si="1"/>
        <v>ok</v>
      </c>
      <c r="S25" s="625"/>
    </row>
    <row r="26" spans="1:19" ht="31.5" customHeight="1">
      <c r="A26" s="99"/>
      <c r="B26" s="99"/>
      <c r="C26" s="141">
        <v>486</v>
      </c>
      <c r="D26" s="135" t="s">
        <v>436</v>
      </c>
      <c r="E26" s="276" t="s">
        <v>439</v>
      </c>
      <c r="F26" s="54">
        <v>200000</v>
      </c>
      <c r="G26" s="277">
        <v>-50000</v>
      </c>
      <c r="H26" s="54"/>
      <c r="I26" s="102">
        <f t="shared" si="26"/>
        <v>150000</v>
      </c>
      <c r="J26" s="661">
        <f t="shared" si="27"/>
        <v>-50000</v>
      </c>
      <c r="K26" s="661">
        <f t="shared" si="28"/>
        <v>0</v>
      </c>
      <c r="L26" s="102">
        <f t="shared" si="29"/>
        <v>150000</v>
      </c>
      <c r="M26" s="104" t="str">
        <f t="shared" si="30"/>
        <v>-</v>
      </c>
      <c r="N26" s="317" t="s">
        <v>440</v>
      </c>
      <c r="O26" s="103" t="s">
        <v>90</v>
      </c>
      <c r="P26" s="277">
        <v>-50000</v>
      </c>
      <c r="Q26" s="103"/>
      <c r="R26" s="104" t="str">
        <f t="shared" si="1"/>
        <v>ok</v>
      </c>
      <c r="S26" s="625"/>
    </row>
    <row r="27" spans="1:19" ht="31.5" customHeight="1">
      <c r="A27" s="99"/>
      <c r="B27" s="99"/>
      <c r="C27" s="141">
        <v>486</v>
      </c>
      <c r="D27" s="135" t="s">
        <v>436</v>
      </c>
      <c r="E27" s="276" t="s">
        <v>441</v>
      </c>
      <c r="F27" s="54">
        <v>74000</v>
      </c>
      <c r="G27" s="277">
        <v>-28000</v>
      </c>
      <c r="H27" s="274"/>
      <c r="I27" s="102">
        <f t="shared" si="26"/>
        <v>46000</v>
      </c>
      <c r="J27" s="661">
        <f t="shared" si="27"/>
        <v>-28000</v>
      </c>
      <c r="K27" s="661">
        <f t="shared" si="28"/>
        <v>0</v>
      </c>
      <c r="L27" s="102">
        <f t="shared" si="29"/>
        <v>46000</v>
      </c>
      <c r="M27" s="104" t="str">
        <f t="shared" si="30"/>
        <v>-</v>
      </c>
      <c r="N27" s="317" t="s">
        <v>442</v>
      </c>
      <c r="O27" s="103" t="s">
        <v>90</v>
      </c>
      <c r="P27" s="277">
        <v>-28000</v>
      </c>
      <c r="Q27" s="103"/>
      <c r="R27" s="104" t="str">
        <f t="shared" si="1"/>
        <v>ok</v>
      </c>
      <c r="S27" s="625"/>
    </row>
    <row r="28" spans="1:19" ht="31.5" customHeight="1">
      <c r="A28" s="99"/>
      <c r="B28" s="99"/>
      <c r="C28" s="141" t="s">
        <v>94</v>
      </c>
      <c r="D28" s="135" t="s">
        <v>443</v>
      </c>
      <c r="E28" s="276" t="s">
        <v>444</v>
      </c>
      <c r="F28" s="54"/>
      <c r="G28" s="277"/>
      <c r="H28" s="54">
        <v>125000</v>
      </c>
      <c r="I28" s="102">
        <f t="shared" si="26"/>
        <v>125000</v>
      </c>
      <c r="J28" s="661">
        <f t="shared" si="27"/>
        <v>0</v>
      </c>
      <c r="K28" s="661">
        <f t="shared" si="28"/>
        <v>125000</v>
      </c>
      <c r="L28" s="102">
        <f t="shared" si="29"/>
        <v>125000</v>
      </c>
      <c r="M28" s="104" t="str">
        <f t="shared" si="30"/>
        <v>-</v>
      </c>
      <c r="N28" s="317" t="s">
        <v>445</v>
      </c>
      <c r="O28" s="103" t="s">
        <v>90</v>
      </c>
      <c r="P28" s="54">
        <v>125000</v>
      </c>
      <c r="Q28" s="103"/>
      <c r="R28" s="104" t="str">
        <f t="shared" si="1"/>
        <v>ok</v>
      </c>
      <c r="S28" s="625"/>
    </row>
    <row r="29" spans="1:19" ht="31.5" customHeight="1">
      <c r="A29" s="99"/>
      <c r="B29" s="29" t="s">
        <v>125</v>
      </c>
      <c r="C29" s="30"/>
      <c r="D29" s="31"/>
      <c r="E29" s="31"/>
      <c r="F29" s="32">
        <f>SUM(F30:F32)</f>
        <v>2006922</v>
      </c>
      <c r="G29" s="32">
        <f t="shared" ref="G29:L29" si="31">SUM(G30:G32)</f>
        <v>-266638</v>
      </c>
      <c r="H29" s="32">
        <f t="shared" si="31"/>
        <v>534804</v>
      </c>
      <c r="I29" s="32">
        <f t="shared" si="31"/>
        <v>2275088</v>
      </c>
      <c r="J29" s="32">
        <f t="shared" si="31"/>
        <v>-266638</v>
      </c>
      <c r="K29" s="32">
        <f t="shared" si="31"/>
        <v>534804</v>
      </c>
      <c r="L29" s="32">
        <f t="shared" si="31"/>
        <v>2275088</v>
      </c>
      <c r="M29" s="32"/>
      <c r="N29" s="314"/>
      <c r="O29" s="32"/>
      <c r="P29" s="32">
        <f t="shared" ref="P29:Q29" si="32">SUM(P30:P32)</f>
        <v>0</v>
      </c>
      <c r="Q29" s="32">
        <f t="shared" si="32"/>
        <v>268166</v>
      </c>
      <c r="R29" s="30" t="str">
        <f t="shared" si="1"/>
        <v>ok</v>
      </c>
      <c r="S29" s="624"/>
    </row>
    <row r="30" spans="1:19" ht="31.5" customHeight="1">
      <c r="A30" s="99"/>
      <c r="B30" s="99"/>
      <c r="C30" s="100" t="s">
        <v>94</v>
      </c>
      <c r="D30" s="101" t="s">
        <v>126</v>
      </c>
      <c r="E30" s="140" t="s">
        <v>446</v>
      </c>
      <c r="F30" s="95"/>
      <c r="G30" s="95"/>
      <c r="H30" s="95">
        <v>349500</v>
      </c>
      <c r="I30" s="102">
        <f t="shared" ref="I30:I32" si="33">F30+G30+H30</f>
        <v>349500</v>
      </c>
      <c r="J30" s="661">
        <f t="shared" ref="J30:J32" si="34">G30</f>
        <v>0</v>
      </c>
      <c r="K30" s="661">
        <f t="shared" ref="K30:K32" si="35">H30</f>
        <v>349500</v>
      </c>
      <c r="L30" s="102">
        <f t="shared" ref="L30:L32" si="36">F30+J30+K30</f>
        <v>349500</v>
      </c>
      <c r="M30" s="104" t="str">
        <f t="shared" ref="M30:M32" si="37">IF(G30-J30&lt;0,"동의필요","-")</f>
        <v>-</v>
      </c>
      <c r="N30" s="315" t="s">
        <v>447</v>
      </c>
      <c r="O30" s="637" t="s">
        <v>1339</v>
      </c>
      <c r="P30" s="128"/>
      <c r="Q30" s="128">
        <f>K30</f>
        <v>349500</v>
      </c>
      <c r="R30" s="104" t="str">
        <f t="shared" si="1"/>
        <v>ok</v>
      </c>
      <c r="S30" s="625"/>
    </row>
    <row r="31" spans="1:19" ht="60.75" customHeight="1">
      <c r="A31" s="99"/>
      <c r="B31" s="99"/>
      <c r="C31" s="100">
        <v>545</v>
      </c>
      <c r="D31" s="101" t="s">
        <v>448</v>
      </c>
      <c r="E31" s="183" t="s">
        <v>449</v>
      </c>
      <c r="F31" s="95">
        <v>523237</v>
      </c>
      <c r="G31" s="95">
        <v>-266638</v>
      </c>
      <c r="H31" s="95"/>
      <c r="I31" s="102">
        <f t="shared" si="33"/>
        <v>256599</v>
      </c>
      <c r="J31" s="661">
        <f t="shared" si="34"/>
        <v>-266638</v>
      </c>
      <c r="K31" s="661">
        <f t="shared" si="35"/>
        <v>0</v>
      </c>
      <c r="L31" s="102">
        <f t="shared" si="36"/>
        <v>256599</v>
      </c>
      <c r="M31" s="104" t="str">
        <f t="shared" si="37"/>
        <v>-</v>
      </c>
      <c r="N31" s="315" t="s">
        <v>1007</v>
      </c>
      <c r="O31" s="103" t="s">
        <v>420</v>
      </c>
      <c r="P31" s="103"/>
      <c r="Q31" s="103">
        <v>-266638</v>
      </c>
      <c r="R31" s="104" t="str">
        <f t="shared" si="1"/>
        <v>ok</v>
      </c>
      <c r="S31" s="625"/>
    </row>
    <row r="32" spans="1:19" ht="62.25" customHeight="1">
      <c r="A32" s="99"/>
      <c r="B32" s="99"/>
      <c r="C32" s="100">
        <v>545</v>
      </c>
      <c r="D32" s="101" t="s">
        <v>448</v>
      </c>
      <c r="E32" s="183" t="s">
        <v>450</v>
      </c>
      <c r="F32" s="95">
        <v>1483685</v>
      </c>
      <c r="G32" s="95"/>
      <c r="H32" s="95">
        <v>185304</v>
      </c>
      <c r="I32" s="102">
        <f t="shared" si="33"/>
        <v>1668989</v>
      </c>
      <c r="J32" s="661">
        <f t="shared" si="34"/>
        <v>0</v>
      </c>
      <c r="K32" s="661">
        <f t="shared" si="35"/>
        <v>185304</v>
      </c>
      <c r="L32" s="102">
        <f t="shared" si="36"/>
        <v>1668989</v>
      </c>
      <c r="M32" s="104" t="str">
        <f t="shared" si="37"/>
        <v>-</v>
      </c>
      <c r="N32" s="315" t="s">
        <v>1008</v>
      </c>
      <c r="O32" s="103" t="s">
        <v>420</v>
      </c>
      <c r="P32" s="103"/>
      <c r="Q32" s="103">
        <v>185304</v>
      </c>
      <c r="R32" s="104" t="str">
        <f t="shared" si="1"/>
        <v>ok</v>
      </c>
      <c r="S32" s="625"/>
    </row>
    <row r="33" spans="1:20" ht="31.5" customHeight="1">
      <c r="A33" s="99"/>
      <c r="B33" s="29" t="s">
        <v>128</v>
      </c>
      <c r="C33" s="30"/>
      <c r="D33" s="31"/>
      <c r="E33" s="31"/>
      <c r="F33" s="32">
        <f>SUM(F34)</f>
        <v>1093420</v>
      </c>
      <c r="G33" s="32">
        <f t="shared" ref="G33:L33" si="38">SUM(G34)</f>
        <v>0</v>
      </c>
      <c r="H33" s="32">
        <f t="shared" si="38"/>
        <v>9000</v>
      </c>
      <c r="I33" s="32">
        <f t="shared" si="38"/>
        <v>1102420</v>
      </c>
      <c r="J33" s="32">
        <f t="shared" si="38"/>
        <v>0</v>
      </c>
      <c r="K33" s="32">
        <f t="shared" si="38"/>
        <v>9000</v>
      </c>
      <c r="L33" s="32">
        <f t="shared" si="38"/>
        <v>1102420</v>
      </c>
      <c r="M33" s="32"/>
      <c r="N33" s="314"/>
      <c r="O33" s="32"/>
      <c r="P33" s="32">
        <f t="shared" ref="P33:Q33" si="39">SUM(P34)</f>
        <v>9000</v>
      </c>
      <c r="Q33" s="32">
        <f t="shared" si="39"/>
        <v>0</v>
      </c>
      <c r="R33" s="30" t="str">
        <f t="shared" si="1"/>
        <v>ok</v>
      </c>
      <c r="S33" s="624"/>
    </row>
    <row r="34" spans="1:20" ht="31.5" customHeight="1">
      <c r="A34" s="99"/>
      <c r="B34" s="99"/>
      <c r="C34" s="100">
        <v>614</v>
      </c>
      <c r="D34" s="111" t="s">
        <v>129</v>
      </c>
      <c r="E34" s="270" t="s">
        <v>451</v>
      </c>
      <c r="F34" s="95">
        <v>1093420</v>
      </c>
      <c r="G34" s="95"/>
      <c r="H34" s="95">
        <v>9000</v>
      </c>
      <c r="I34" s="102">
        <f>F34+G34+H34</f>
        <v>1102420</v>
      </c>
      <c r="J34" s="661">
        <f>G34</f>
        <v>0</v>
      </c>
      <c r="K34" s="661">
        <f>H34</f>
        <v>9000</v>
      </c>
      <c r="L34" s="102">
        <f>F34+J34+K34</f>
        <v>1102420</v>
      </c>
      <c r="M34" s="104" t="str">
        <f>IF(G34-J34&lt;0,"동의필요","-")</f>
        <v>-</v>
      </c>
      <c r="N34" s="315" t="s">
        <v>452</v>
      </c>
      <c r="O34" s="103" t="s">
        <v>90</v>
      </c>
      <c r="P34" s="103">
        <v>9000</v>
      </c>
      <c r="Q34" s="103"/>
      <c r="R34" s="104" t="str">
        <f t="shared" si="1"/>
        <v>ok</v>
      </c>
      <c r="S34" s="625"/>
    </row>
    <row r="35" spans="1:20" ht="31.5" customHeight="1">
      <c r="A35" s="25" t="s">
        <v>132</v>
      </c>
      <c r="B35" s="26"/>
      <c r="C35" s="26"/>
      <c r="D35" s="26"/>
      <c r="E35" s="26"/>
      <c r="F35" s="27">
        <f>SUM(F36:F41)/2</f>
        <v>23653287</v>
      </c>
      <c r="G35" s="27">
        <f t="shared" ref="G35:L35" si="40">SUM(G36:G41)/2</f>
        <v>-611400</v>
      </c>
      <c r="H35" s="27">
        <f t="shared" si="40"/>
        <v>32980</v>
      </c>
      <c r="I35" s="27">
        <f t="shared" si="40"/>
        <v>23074867</v>
      </c>
      <c r="J35" s="27">
        <f t="shared" si="40"/>
        <v>-611400</v>
      </c>
      <c r="K35" s="27">
        <f t="shared" si="40"/>
        <v>32980</v>
      </c>
      <c r="L35" s="27">
        <f t="shared" si="40"/>
        <v>23074867</v>
      </c>
      <c r="M35" s="27"/>
      <c r="N35" s="313"/>
      <c r="O35" s="27"/>
      <c r="P35" s="27">
        <f t="shared" ref="P35:Q35" si="41">SUM(P36:P41)/2</f>
        <v>-578420</v>
      </c>
      <c r="Q35" s="27">
        <f t="shared" si="41"/>
        <v>0</v>
      </c>
      <c r="R35" s="26" t="str">
        <f t="shared" si="1"/>
        <v>ok</v>
      </c>
      <c r="S35" s="623"/>
    </row>
    <row r="36" spans="1:20" ht="31.5" customHeight="1">
      <c r="A36" s="114"/>
      <c r="B36" s="29" t="s">
        <v>133</v>
      </c>
      <c r="C36" s="30"/>
      <c r="D36" s="31"/>
      <c r="E36" s="31"/>
      <c r="F36" s="32">
        <f>SUM(F37:F38)</f>
        <v>23533087</v>
      </c>
      <c r="G36" s="32">
        <f t="shared" ref="G36:L36" si="42">SUM(G37:G38)</f>
        <v>-560000</v>
      </c>
      <c r="H36" s="32">
        <f t="shared" si="42"/>
        <v>31500</v>
      </c>
      <c r="I36" s="32">
        <f t="shared" si="42"/>
        <v>23004587</v>
      </c>
      <c r="J36" s="32">
        <f t="shared" si="42"/>
        <v>-560000</v>
      </c>
      <c r="K36" s="32">
        <f t="shared" si="42"/>
        <v>31500</v>
      </c>
      <c r="L36" s="32">
        <f t="shared" si="42"/>
        <v>23004587</v>
      </c>
      <c r="M36" s="32"/>
      <c r="N36" s="314"/>
      <c r="O36" s="32"/>
      <c r="P36" s="32">
        <f t="shared" ref="P36:Q36" si="43">SUM(P37:P38)</f>
        <v>-528500</v>
      </c>
      <c r="Q36" s="32">
        <f t="shared" si="43"/>
        <v>0</v>
      </c>
      <c r="R36" s="30" t="str">
        <f t="shared" si="1"/>
        <v>ok</v>
      </c>
      <c r="S36" s="624"/>
    </row>
    <row r="37" spans="1:20" ht="45.75" customHeight="1">
      <c r="A37" s="115"/>
      <c r="B37" s="114"/>
      <c r="C37" s="100">
        <v>699</v>
      </c>
      <c r="D37" s="101" t="s">
        <v>134</v>
      </c>
      <c r="E37" s="272" t="s">
        <v>453</v>
      </c>
      <c r="F37" s="95">
        <v>14578087</v>
      </c>
      <c r="G37" s="95"/>
      <c r="H37" s="95">
        <v>31500</v>
      </c>
      <c r="I37" s="102">
        <f t="shared" ref="I37:I41" si="44">F37+G37+H37</f>
        <v>14609587</v>
      </c>
      <c r="J37" s="661">
        <f t="shared" ref="J37:J38" si="45">G37</f>
        <v>0</v>
      </c>
      <c r="K37" s="661">
        <f t="shared" ref="K37:K38" si="46">H37</f>
        <v>31500</v>
      </c>
      <c r="L37" s="102">
        <f t="shared" ref="L37:L38" si="47">F37+J37+K37</f>
        <v>14609587</v>
      </c>
      <c r="M37" s="104" t="str">
        <f>IF(G37-J37&lt;0,"동의필요","-")</f>
        <v>-</v>
      </c>
      <c r="N37" s="315" t="s">
        <v>1009</v>
      </c>
      <c r="O37" s="103" t="s">
        <v>90</v>
      </c>
      <c r="P37" s="103">
        <v>31500</v>
      </c>
      <c r="Q37" s="103"/>
      <c r="R37" s="104" t="str">
        <f t="shared" si="1"/>
        <v>ok</v>
      </c>
      <c r="S37" s="625"/>
    </row>
    <row r="38" spans="1:20" ht="48.75" customHeight="1">
      <c r="A38" s="115"/>
      <c r="B38" s="115"/>
      <c r="C38" s="100">
        <v>703</v>
      </c>
      <c r="D38" s="101" t="s">
        <v>454</v>
      </c>
      <c r="E38" s="540" t="s">
        <v>1506</v>
      </c>
      <c r="F38" s="95">
        <v>8955000</v>
      </c>
      <c r="G38" s="95">
        <v>-560000</v>
      </c>
      <c r="H38" s="95"/>
      <c r="I38" s="102">
        <f t="shared" si="44"/>
        <v>8395000</v>
      </c>
      <c r="J38" s="661">
        <f t="shared" si="45"/>
        <v>-560000</v>
      </c>
      <c r="K38" s="661">
        <f t="shared" si="46"/>
        <v>0</v>
      </c>
      <c r="L38" s="102">
        <f t="shared" si="47"/>
        <v>8395000</v>
      </c>
      <c r="M38" s="104" t="str">
        <f>IF(G38-J38&lt;0,"동의필요","-")</f>
        <v>-</v>
      </c>
      <c r="N38" s="315" t="s">
        <v>1010</v>
      </c>
      <c r="O38" s="103" t="s">
        <v>90</v>
      </c>
      <c r="P38" s="103">
        <v>-560000</v>
      </c>
      <c r="Q38" s="103"/>
      <c r="R38" s="104" t="str">
        <f t="shared" si="1"/>
        <v>ok</v>
      </c>
      <c r="S38" s="625"/>
    </row>
    <row r="39" spans="1:20" ht="31.5" customHeight="1">
      <c r="A39" s="115"/>
      <c r="B39" s="29" t="s">
        <v>455</v>
      </c>
      <c r="C39" s="30"/>
      <c r="D39" s="31"/>
      <c r="E39" s="31"/>
      <c r="F39" s="32">
        <f>SUM(F40:F41)</f>
        <v>120200</v>
      </c>
      <c r="G39" s="32">
        <f t="shared" ref="G39:L39" si="48">SUM(G40:G41)</f>
        <v>-51400</v>
      </c>
      <c r="H39" s="32">
        <f t="shared" si="48"/>
        <v>1480</v>
      </c>
      <c r="I39" s="102">
        <f t="shared" si="44"/>
        <v>70280</v>
      </c>
      <c r="J39" s="32">
        <f t="shared" si="48"/>
        <v>-51400</v>
      </c>
      <c r="K39" s="32">
        <f t="shared" si="48"/>
        <v>1480</v>
      </c>
      <c r="L39" s="32">
        <f t="shared" si="48"/>
        <v>70280</v>
      </c>
      <c r="M39" s="32"/>
      <c r="N39" s="314"/>
      <c r="O39" s="32"/>
      <c r="P39" s="32">
        <f t="shared" ref="P39:Q39" si="49">SUM(P40:P41)</f>
        <v>-49920</v>
      </c>
      <c r="Q39" s="32">
        <f t="shared" si="49"/>
        <v>0</v>
      </c>
      <c r="R39" s="30" t="str">
        <f t="shared" si="1"/>
        <v>ok</v>
      </c>
      <c r="S39" s="624"/>
    </row>
    <row r="40" spans="1:20" ht="45.75" customHeight="1">
      <c r="A40" s="115"/>
      <c r="B40" s="114"/>
      <c r="C40" s="100">
        <v>827</v>
      </c>
      <c r="D40" s="101" t="s">
        <v>129</v>
      </c>
      <c r="E40" s="272" t="s">
        <v>456</v>
      </c>
      <c r="F40" s="95">
        <v>51400</v>
      </c>
      <c r="G40" s="95">
        <v>-51400</v>
      </c>
      <c r="H40" s="95"/>
      <c r="I40" s="102">
        <f t="shared" si="44"/>
        <v>0</v>
      </c>
      <c r="J40" s="661">
        <f t="shared" ref="J40:J41" si="50">G40</f>
        <v>-51400</v>
      </c>
      <c r="K40" s="661">
        <f t="shared" ref="K40:K41" si="51">H40</f>
        <v>0</v>
      </c>
      <c r="L40" s="102">
        <f t="shared" ref="L40:L41" si="52">F40+J40+K40</f>
        <v>0</v>
      </c>
      <c r="M40" s="104" t="str">
        <f t="shared" ref="M40:M41" si="53">IF(G40-J40&lt;0,"동의필요","-")</f>
        <v>-</v>
      </c>
      <c r="N40" s="318" t="s">
        <v>1011</v>
      </c>
      <c r="O40" s="103" t="s">
        <v>90</v>
      </c>
      <c r="P40" s="103">
        <v>-51400</v>
      </c>
      <c r="Q40" s="103"/>
      <c r="R40" s="104" t="str">
        <f t="shared" si="1"/>
        <v>ok</v>
      </c>
      <c r="S40" s="625"/>
    </row>
    <row r="41" spans="1:20" ht="45.75" customHeight="1">
      <c r="A41" s="116"/>
      <c r="B41" s="116"/>
      <c r="C41" s="100">
        <v>828</v>
      </c>
      <c r="D41" s="101" t="s">
        <v>129</v>
      </c>
      <c r="E41" s="272" t="s">
        <v>457</v>
      </c>
      <c r="F41" s="95">
        <v>68800</v>
      </c>
      <c r="G41" s="95"/>
      <c r="H41" s="95">
        <v>1480</v>
      </c>
      <c r="I41" s="102">
        <f t="shared" si="44"/>
        <v>70280</v>
      </c>
      <c r="J41" s="661">
        <f t="shared" si="50"/>
        <v>0</v>
      </c>
      <c r="K41" s="661">
        <f t="shared" si="51"/>
        <v>1480</v>
      </c>
      <c r="L41" s="102">
        <f t="shared" si="52"/>
        <v>70280</v>
      </c>
      <c r="M41" s="104" t="str">
        <f t="shared" si="53"/>
        <v>-</v>
      </c>
      <c r="N41" s="318" t="s">
        <v>1012</v>
      </c>
      <c r="O41" s="103" t="s">
        <v>434</v>
      </c>
      <c r="P41" s="103">
        <v>1480</v>
      </c>
      <c r="Q41" s="103"/>
      <c r="R41" s="104" t="str">
        <f t="shared" si="1"/>
        <v>ok</v>
      </c>
      <c r="S41" s="625"/>
    </row>
    <row r="42" spans="1:20" ht="31.5" customHeight="1">
      <c r="A42" s="25" t="s">
        <v>458</v>
      </c>
      <c r="B42" s="26"/>
      <c r="C42" s="26"/>
      <c r="D42" s="26"/>
      <c r="E42" s="26"/>
      <c r="F42" s="27">
        <f t="shared" ref="F42:L42" si="54">SUM(F43:F49)/2</f>
        <v>14606567</v>
      </c>
      <c r="G42" s="27">
        <f t="shared" si="54"/>
        <v>0</v>
      </c>
      <c r="H42" s="27">
        <f t="shared" si="54"/>
        <v>731000</v>
      </c>
      <c r="I42" s="27">
        <f t="shared" si="54"/>
        <v>15337567</v>
      </c>
      <c r="J42" s="27">
        <f t="shared" si="54"/>
        <v>0</v>
      </c>
      <c r="K42" s="27">
        <f t="shared" si="54"/>
        <v>731000</v>
      </c>
      <c r="L42" s="27">
        <f t="shared" si="54"/>
        <v>15337567</v>
      </c>
      <c r="M42" s="27"/>
      <c r="N42" s="313"/>
      <c r="O42" s="27"/>
      <c r="P42" s="27">
        <f>SUM(P43:P49)/2</f>
        <v>731000</v>
      </c>
      <c r="Q42" s="27">
        <f>SUM(Q43:Q49)/2</f>
        <v>0</v>
      </c>
      <c r="R42" s="26" t="str">
        <f t="shared" si="1"/>
        <v>ok</v>
      </c>
      <c r="S42" s="623"/>
    </row>
    <row r="43" spans="1:20" ht="31.5" customHeight="1">
      <c r="A43" s="99"/>
      <c r="B43" s="29" t="s">
        <v>202</v>
      </c>
      <c r="C43" s="30"/>
      <c r="D43" s="31"/>
      <c r="E43" s="31"/>
      <c r="F43" s="32">
        <f t="shared" ref="F43:L43" si="55">SUM(F44:F49)</f>
        <v>14606567</v>
      </c>
      <c r="G43" s="32">
        <f t="shared" si="55"/>
        <v>0</v>
      </c>
      <c r="H43" s="32">
        <f t="shared" si="55"/>
        <v>731000</v>
      </c>
      <c r="I43" s="32">
        <f t="shared" si="55"/>
        <v>15337567</v>
      </c>
      <c r="J43" s="32">
        <f t="shared" si="55"/>
        <v>0</v>
      </c>
      <c r="K43" s="32">
        <f t="shared" si="55"/>
        <v>731000</v>
      </c>
      <c r="L43" s="32">
        <f t="shared" si="55"/>
        <v>15337567</v>
      </c>
      <c r="M43" s="32"/>
      <c r="N43" s="314"/>
      <c r="O43" s="32"/>
      <c r="P43" s="32">
        <f>SUM(P44:P49)</f>
        <v>731000</v>
      </c>
      <c r="Q43" s="32">
        <f>SUM(Q44:Q49)</f>
        <v>0</v>
      </c>
      <c r="R43" s="30" t="str">
        <f t="shared" si="1"/>
        <v>ok</v>
      </c>
      <c r="S43" s="624"/>
    </row>
    <row r="44" spans="1:20" ht="31.5" customHeight="1">
      <c r="A44" s="99"/>
      <c r="B44" s="99"/>
      <c r="C44" s="100">
        <v>1095</v>
      </c>
      <c r="D44" s="279" t="s">
        <v>65</v>
      </c>
      <c r="E44" s="280" t="s">
        <v>459</v>
      </c>
      <c r="F44" s="95">
        <v>11117000</v>
      </c>
      <c r="G44" s="95"/>
      <c r="H44" s="95"/>
      <c r="I44" s="102">
        <f t="shared" ref="I44:I49" si="56">F44+G44+H44</f>
        <v>11117000</v>
      </c>
      <c r="J44" s="661">
        <f t="shared" ref="J44:J49" si="57">G44</f>
        <v>0</v>
      </c>
      <c r="K44" s="661">
        <f t="shared" ref="K44:K49" si="58">H44</f>
        <v>0</v>
      </c>
      <c r="L44" s="102">
        <f t="shared" ref="L44:L49" si="59">F44+J44+K44</f>
        <v>11117000</v>
      </c>
      <c r="M44" s="104" t="str">
        <f t="shared" ref="M44:M49" si="60">IF(G44-J44&lt;0,"동의필요","-")</f>
        <v>-</v>
      </c>
      <c r="N44" s="318"/>
      <c r="O44" s="103" t="s">
        <v>434</v>
      </c>
      <c r="P44" s="103"/>
      <c r="Q44" s="103"/>
      <c r="R44" s="104" t="str">
        <f t="shared" si="1"/>
        <v>ok</v>
      </c>
      <c r="S44" s="625"/>
    </row>
    <row r="45" spans="1:20" ht="31.5" customHeight="1">
      <c r="A45" s="99"/>
      <c r="B45" s="99"/>
      <c r="C45" s="100">
        <v>1095</v>
      </c>
      <c r="D45" s="279" t="s">
        <v>65</v>
      </c>
      <c r="E45" s="280" t="s">
        <v>460</v>
      </c>
      <c r="F45" s="95">
        <v>450542</v>
      </c>
      <c r="G45" s="95"/>
      <c r="H45" s="95"/>
      <c r="I45" s="102">
        <f t="shared" si="56"/>
        <v>450542</v>
      </c>
      <c r="J45" s="661">
        <f t="shared" si="57"/>
        <v>0</v>
      </c>
      <c r="K45" s="661">
        <f t="shared" si="58"/>
        <v>0</v>
      </c>
      <c r="L45" s="102">
        <f t="shared" si="59"/>
        <v>450542</v>
      </c>
      <c r="M45" s="104" t="str">
        <f t="shared" si="60"/>
        <v>-</v>
      </c>
      <c r="N45" s="318"/>
      <c r="O45" s="103" t="s">
        <v>434</v>
      </c>
      <c r="P45" s="103"/>
      <c r="Q45" s="103"/>
      <c r="R45" s="104" t="str">
        <f t="shared" si="1"/>
        <v>ok</v>
      </c>
      <c r="S45" s="625"/>
    </row>
    <row r="46" spans="1:20" ht="31.5" customHeight="1">
      <c r="A46" s="99"/>
      <c r="B46" s="99"/>
      <c r="C46" s="100">
        <v>1095</v>
      </c>
      <c r="D46" s="279" t="s">
        <v>65</v>
      </c>
      <c r="E46" s="280" t="s">
        <v>461</v>
      </c>
      <c r="F46" s="95">
        <v>26500</v>
      </c>
      <c r="G46" s="95"/>
      <c r="H46" s="95"/>
      <c r="I46" s="102">
        <f t="shared" si="56"/>
        <v>26500</v>
      </c>
      <c r="J46" s="661">
        <f t="shared" si="57"/>
        <v>0</v>
      </c>
      <c r="K46" s="661">
        <f t="shared" si="58"/>
        <v>0</v>
      </c>
      <c r="L46" s="102">
        <f t="shared" si="59"/>
        <v>26500</v>
      </c>
      <c r="M46" s="104" t="str">
        <f t="shared" si="60"/>
        <v>-</v>
      </c>
      <c r="N46" s="318"/>
      <c r="O46" s="103" t="s">
        <v>434</v>
      </c>
      <c r="P46" s="103"/>
      <c r="Q46" s="103"/>
      <c r="R46" s="104" t="str">
        <f t="shared" si="1"/>
        <v>ok</v>
      </c>
      <c r="S46" s="625"/>
    </row>
    <row r="47" spans="1:20" ht="31.5" customHeight="1">
      <c r="A47" s="99"/>
      <c r="B47" s="99"/>
      <c r="C47" s="100">
        <v>1095</v>
      </c>
      <c r="D47" s="279" t="s">
        <v>1033</v>
      </c>
      <c r="E47" s="140" t="s">
        <v>462</v>
      </c>
      <c r="F47" s="95">
        <v>208525</v>
      </c>
      <c r="G47" s="95"/>
      <c r="H47" s="95">
        <v>320000</v>
      </c>
      <c r="I47" s="102">
        <f>F47+G47+H47</f>
        <v>528525</v>
      </c>
      <c r="J47" s="661">
        <f t="shared" si="57"/>
        <v>0</v>
      </c>
      <c r="K47" s="661">
        <f t="shared" si="58"/>
        <v>320000</v>
      </c>
      <c r="L47" s="102">
        <f>F47+J47+K47</f>
        <v>528525</v>
      </c>
      <c r="M47" s="104" t="str">
        <f>IF(G47-J47&lt;0,"동의필요","-")</f>
        <v>-</v>
      </c>
      <c r="N47" s="318" t="s">
        <v>1044</v>
      </c>
      <c r="O47" s="103" t="s">
        <v>1032</v>
      </c>
      <c r="P47" s="103">
        <v>320000</v>
      </c>
      <c r="Q47" s="103"/>
      <c r="R47" s="104" t="str">
        <f>IF((G47+H47)=(P47+Q47),"ok","검토")</f>
        <v>ok</v>
      </c>
      <c r="S47" s="625"/>
      <c r="T47" s="350"/>
    </row>
    <row r="48" spans="1:20" ht="31.5" customHeight="1">
      <c r="A48" s="99"/>
      <c r="B48" s="99"/>
      <c r="C48" s="100">
        <v>1095</v>
      </c>
      <c r="D48" s="279" t="s">
        <v>65</v>
      </c>
      <c r="E48" s="281" t="s">
        <v>463</v>
      </c>
      <c r="F48" s="95">
        <v>44000</v>
      </c>
      <c r="G48" s="95"/>
      <c r="H48" s="95"/>
      <c r="I48" s="102">
        <f t="shared" ref="I48" si="61">F48+G48+H48</f>
        <v>44000</v>
      </c>
      <c r="J48" s="661">
        <f t="shared" si="57"/>
        <v>0</v>
      </c>
      <c r="K48" s="661">
        <f t="shared" si="58"/>
        <v>0</v>
      </c>
      <c r="L48" s="102">
        <f t="shared" ref="L48" si="62">F48+J48+K48</f>
        <v>44000</v>
      </c>
      <c r="M48" s="104" t="str">
        <f t="shared" ref="M48" si="63">IF(G48-J48&lt;0,"동의필요","-")</f>
        <v>-</v>
      </c>
      <c r="N48" s="318"/>
      <c r="O48" s="103" t="s">
        <v>434</v>
      </c>
      <c r="P48" s="103"/>
      <c r="Q48" s="103"/>
      <c r="R48" s="104" t="str">
        <f t="shared" ref="R48" si="64">IF((G48+H48)=(P48+Q48),"ok","검토")</f>
        <v>ok</v>
      </c>
      <c r="S48" s="625"/>
    </row>
    <row r="49" spans="1:19" ht="31.5" customHeight="1">
      <c r="A49" s="99"/>
      <c r="B49" s="99"/>
      <c r="C49" s="100">
        <v>1097</v>
      </c>
      <c r="D49" s="279" t="s">
        <v>212</v>
      </c>
      <c r="E49" s="272" t="s">
        <v>464</v>
      </c>
      <c r="F49" s="95">
        <v>2760000</v>
      </c>
      <c r="G49" s="95"/>
      <c r="H49" s="95">
        <v>411000</v>
      </c>
      <c r="I49" s="102">
        <f t="shared" si="56"/>
        <v>3171000</v>
      </c>
      <c r="J49" s="661">
        <f t="shared" si="57"/>
        <v>0</v>
      </c>
      <c r="K49" s="661">
        <f t="shared" si="58"/>
        <v>411000</v>
      </c>
      <c r="L49" s="102">
        <f t="shared" si="59"/>
        <v>3171000</v>
      </c>
      <c r="M49" s="104" t="str">
        <f t="shared" si="60"/>
        <v>-</v>
      </c>
      <c r="N49" s="315"/>
      <c r="O49" s="103" t="s">
        <v>434</v>
      </c>
      <c r="P49" s="103">
        <v>411000</v>
      </c>
      <c r="Q49" s="103"/>
      <c r="R49" s="104" t="str">
        <f t="shared" si="1"/>
        <v>ok</v>
      </c>
      <c r="S49" s="625"/>
    </row>
    <row r="50" spans="1:19" ht="31.5" customHeight="1"/>
  </sheetData>
  <autoFilter ref="A6:T49"/>
  <mergeCells count="14">
    <mergeCell ref="O4:O5"/>
    <mergeCell ref="P4:R4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8" orientation="portrait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8"/>
  <sheetViews>
    <sheetView showGridLines="0" view="pageBreakPreview" topLeftCell="B1" zoomScaleNormal="80" zoomScaleSheetLayoutView="100" workbookViewId="0">
      <pane ySplit="6" topLeftCell="A297" activePane="bottomLeft" state="frozen"/>
      <selection activeCell="B1" sqref="B1:K1"/>
      <selection pane="bottomLeft" sqref="A1:O1"/>
    </sheetView>
  </sheetViews>
  <sheetFormatPr defaultColWidth="8.75" defaultRowHeight="13.5"/>
  <cols>
    <col min="1" max="1" width="2.5" style="63" customWidth="1"/>
    <col min="2" max="2" width="3.5" style="63" customWidth="1"/>
    <col min="3" max="3" width="6.75" style="85" customWidth="1"/>
    <col min="4" max="4" width="11" style="63" customWidth="1"/>
    <col min="5" max="5" width="36.75" style="63" customWidth="1"/>
    <col min="6" max="6" width="12.25" style="63" customWidth="1"/>
    <col min="7" max="8" width="12" style="63" hidden="1" customWidth="1"/>
    <col min="9" max="9" width="13.125" style="63" hidden="1" customWidth="1"/>
    <col min="10" max="10" width="12.25" style="63" customWidth="1"/>
    <col min="11" max="11" width="10.75" style="63" customWidth="1"/>
    <col min="12" max="12" width="11.625" style="63" customWidth="1"/>
    <col min="13" max="13" width="10.625" style="63" hidden="1" customWidth="1"/>
    <col min="14" max="14" width="10.625" style="633" hidden="1" customWidth="1"/>
    <col min="15" max="15" width="20.875" style="63" customWidth="1"/>
    <col min="16" max="16" width="6.25" style="407" hidden="1" customWidth="1"/>
    <col min="17" max="17" width="9.25" style="63" hidden="1" customWidth="1"/>
    <col min="18" max="18" width="11.25" style="63" hidden="1" customWidth="1"/>
    <col min="19" max="19" width="6" style="85" hidden="1" customWidth="1"/>
    <col min="20" max="16384" width="8.75" style="63"/>
  </cols>
  <sheetData>
    <row r="1" spans="1:19" ht="26.25">
      <c r="A1" s="846" t="s">
        <v>1499</v>
      </c>
      <c r="B1" s="846"/>
      <c r="C1" s="846"/>
      <c r="D1" s="846"/>
      <c r="E1" s="846"/>
      <c r="F1" s="846"/>
      <c r="G1" s="846"/>
      <c r="H1" s="846"/>
      <c r="I1" s="846"/>
      <c r="J1" s="846"/>
      <c r="K1" s="846"/>
      <c r="L1" s="846"/>
      <c r="M1" s="846"/>
      <c r="N1" s="846"/>
      <c r="O1" s="846"/>
    </row>
    <row r="2" spans="1:19" ht="16.5">
      <c r="A2" s="87" t="s">
        <v>24</v>
      </c>
      <c r="B2" s="87"/>
    </row>
    <row r="3" spans="1:19" ht="17.25" customHeight="1">
      <c r="H3" s="63">
        <f>SUM(G6:H6)</f>
        <v>59347108</v>
      </c>
      <c r="J3" s="790">
        <f>일입!K3</f>
        <v>1797797</v>
      </c>
      <c r="K3" s="705">
        <f>J6+K6</f>
        <v>1797797</v>
      </c>
      <c r="L3" s="794">
        <f>일입!K3-일출!K3</f>
        <v>0</v>
      </c>
      <c r="M3" s="704">
        <f>K3-H3</f>
        <v>-57549311</v>
      </c>
      <c r="N3" s="748"/>
      <c r="O3" s="88" t="s">
        <v>19</v>
      </c>
      <c r="Q3" s="85" t="str">
        <f>IF(Q6=일입!P6,"OK","ERR")</f>
        <v>OK</v>
      </c>
      <c r="R3" s="63">
        <f>SUM(Q6:R6)</f>
        <v>85507919</v>
      </c>
      <c r="S3" s="85" t="str">
        <f>IF(H3=R3,"ok","검토")</f>
        <v>검토</v>
      </c>
    </row>
    <row r="4" spans="1:19" ht="36" customHeight="1">
      <c r="A4" s="801" t="s">
        <v>10</v>
      </c>
      <c r="B4" s="801"/>
      <c r="C4" s="804" t="s">
        <v>11</v>
      </c>
      <c r="D4" s="801" t="s">
        <v>9</v>
      </c>
      <c r="E4" s="801" t="s">
        <v>8</v>
      </c>
      <c r="F4" s="804" t="s">
        <v>413</v>
      </c>
      <c r="G4" s="805" t="s">
        <v>1431</v>
      </c>
      <c r="H4" s="806"/>
      <c r="I4" s="804" t="s">
        <v>1432</v>
      </c>
      <c r="J4" s="805" t="s">
        <v>1433</v>
      </c>
      <c r="K4" s="806"/>
      <c r="L4" s="804" t="s">
        <v>1434</v>
      </c>
      <c r="M4" s="852" t="s">
        <v>1472</v>
      </c>
      <c r="N4" s="847"/>
      <c r="O4" s="801" t="s">
        <v>12</v>
      </c>
      <c r="P4" s="853" t="s">
        <v>13</v>
      </c>
      <c r="Q4" s="845" t="s">
        <v>1454</v>
      </c>
      <c r="R4" s="845"/>
      <c r="S4" s="845"/>
    </row>
    <row r="5" spans="1:19" ht="20.25" customHeight="1">
      <c r="A5" s="801"/>
      <c r="B5" s="801"/>
      <c r="C5" s="804"/>
      <c r="D5" s="801"/>
      <c r="E5" s="801"/>
      <c r="F5" s="801"/>
      <c r="G5" s="684" t="s">
        <v>1</v>
      </c>
      <c r="H5" s="684" t="s">
        <v>415</v>
      </c>
      <c r="I5" s="801"/>
      <c r="J5" s="684" t="s">
        <v>1</v>
      </c>
      <c r="K5" s="684" t="s">
        <v>2</v>
      </c>
      <c r="L5" s="801"/>
      <c r="M5" s="852"/>
      <c r="N5" s="848"/>
      <c r="O5" s="801"/>
      <c r="P5" s="853"/>
      <c r="Q5" s="90" t="s">
        <v>6</v>
      </c>
      <c r="R5" s="90" t="s">
        <v>4</v>
      </c>
      <c r="S5" s="90" t="s">
        <v>7</v>
      </c>
    </row>
    <row r="6" spans="1:19" ht="31.5" customHeight="1">
      <c r="A6" s="92"/>
      <c r="B6" s="93" t="s">
        <v>5</v>
      </c>
      <c r="C6" s="94"/>
      <c r="D6" s="94"/>
      <c r="E6" s="59"/>
      <c r="F6" s="137">
        <f t="shared" ref="F6:M6" si="0">SUM(F7:F1574)/3</f>
        <v>3987267909</v>
      </c>
      <c r="G6" s="137">
        <f t="shared" si="0"/>
        <v>-38265694</v>
      </c>
      <c r="H6" s="137">
        <f t="shared" si="0"/>
        <v>97612802</v>
      </c>
      <c r="I6" s="137">
        <f t="shared" si="0"/>
        <v>4046615017</v>
      </c>
      <c r="J6" s="137">
        <f t="shared" si="0"/>
        <v>-146386988</v>
      </c>
      <c r="K6" s="137">
        <f t="shared" si="0"/>
        <v>148184785</v>
      </c>
      <c r="L6" s="639">
        <f t="shared" si="0"/>
        <v>3989065706</v>
      </c>
      <c r="M6" s="639">
        <f t="shared" si="0"/>
        <v>-57549311</v>
      </c>
      <c r="N6" s="632"/>
      <c r="O6" s="319"/>
      <c r="P6" s="59"/>
      <c r="Q6" s="621">
        <f>SUM(Q7:Q1574)/3</f>
        <v>1684240</v>
      </c>
      <c r="R6" s="137">
        <f>SUM(R7:R1574)/3</f>
        <v>83823679</v>
      </c>
      <c r="S6" s="59" t="str">
        <f t="shared" ref="S6:S84" si="1">IF((G6+H6)=(Q6+R6),"ok","검토")</f>
        <v>검토</v>
      </c>
    </row>
    <row r="7" spans="1:19" ht="31.5" customHeight="1">
      <c r="A7" s="25" t="s">
        <v>379</v>
      </c>
      <c r="B7" s="26"/>
      <c r="C7" s="26"/>
      <c r="D7" s="26"/>
      <c r="E7" s="26"/>
      <c r="F7" s="27">
        <f>SUM(F8:F29)/2</f>
        <v>1758076</v>
      </c>
      <c r="G7" s="27">
        <f t="shared" ref="G7:L7" si="2">SUM(G8:G29)/2</f>
        <v>-120000</v>
      </c>
      <c r="H7" s="27">
        <f t="shared" si="2"/>
        <v>981860</v>
      </c>
      <c r="I7" s="27">
        <f t="shared" si="2"/>
        <v>2619936</v>
      </c>
      <c r="J7" s="369">
        <f t="shared" ref="J7:K7" si="3">SUM(J8:J29)/2</f>
        <v>-92000</v>
      </c>
      <c r="K7" s="369">
        <f t="shared" si="3"/>
        <v>1298060</v>
      </c>
      <c r="L7" s="369">
        <f t="shared" si="2"/>
        <v>2964136</v>
      </c>
      <c r="M7" s="369">
        <f t="shared" ref="M7:M75" si="4">L7-I7</f>
        <v>344200</v>
      </c>
      <c r="N7" s="626"/>
      <c r="O7" s="320"/>
      <c r="P7" s="26"/>
      <c r="Q7" s="27">
        <f t="shared" ref="Q7:R7" si="5">SUM(Q8:Q29)/2</f>
        <v>0</v>
      </c>
      <c r="R7" s="27">
        <f t="shared" si="5"/>
        <v>1206060</v>
      </c>
      <c r="S7" s="26" t="str">
        <f t="shared" si="1"/>
        <v>검토</v>
      </c>
    </row>
    <row r="8" spans="1:19" ht="31.5" customHeight="1">
      <c r="A8" s="99"/>
      <c r="B8" s="612" t="s">
        <v>465</v>
      </c>
      <c r="C8" s="628"/>
      <c r="D8" s="31"/>
      <c r="E8" s="31"/>
      <c r="F8" s="32">
        <f>SUM(F9:F29)</f>
        <v>1758076</v>
      </c>
      <c r="G8" s="32">
        <f t="shared" ref="G8:L8" si="6">SUM(G9:G29)</f>
        <v>-120000</v>
      </c>
      <c r="H8" s="32">
        <f t="shared" si="6"/>
        <v>981860</v>
      </c>
      <c r="I8" s="32">
        <f t="shared" si="6"/>
        <v>2619936</v>
      </c>
      <c r="J8" s="370">
        <f t="shared" ref="J8:K8" si="7">SUM(J9:J29)</f>
        <v>-92000</v>
      </c>
      <c r="K8" s="370">
        <f t="shared" si="7"/>
        <v>1298060</v>
      </c>
      <c r="L8" s="370">
        <f t="shared" si="6"/>
        <v>2964136</v>
      </c>
      <c r="M8" s="370">
        <f t="shared" si="4"/>
        <v>344200</v>
      </c>
      <c r="N8" s="628"/>
      <c r="O8" s="321"/>
      <c r="P8" s="30"/>
      <c r="Q8" s="32">
        <f t="shared" ref="Q8:R8" si="8">SUM(Q9:Q29)</f>
        <v>0</v>
      </c>
      <c r="R8" s="32">
        <f t="shared" si="8"/>
        <v>1206060</v>
      </c>
      <c r="S8" s="30" t="str">
        <f t="shared" si="1"/>
        <v>검토</v>
      </c>
    </row>
    <row r="9" spans="1:19" ht="31.5" customHeight="1">
      <c r="A9" s="770"/>
      <c r="B9" s="770"/>
      <c r="C9" s="100">
        <v>9</v>
      </c>
      <c r="D9" s="101" t="s">
        <v>465</v>
      </c>
      <c r="E9" s="101" t="s">
        <v>466</v>
      </c>
      <c r="F9" s="95">
        <v>691435</v>
      </c>
      <c r="G9" s="95"/>
      <c r="H9" s="95">
        <v>517000</v>
      </c>
      <c r="I9" s="102">
        <f t="shared" ref="I9:I29" si="9">F9+G9+H9</f>
        <v>1208435</v>
      </c>
      <c r="J9" s="375"/>
      <c r="K9" s="375">
        <v>617000</v>
      </c>
      <c r="L9" s="376">
        <f>F9+J9+K9</f>
        <v>1308435</v>
      </c>
      <c r="M9" s="376">
        <f>L9-I9</f>
        <v>100000</v>
      </c>
      <c r="N9" s="749" t="str">
        <f t="shared" ref="N9:N29" si="10">IF(AND(((G9+H9)&lt;0),(J9+K9)&gt;(G9+H9)),"검토","-")</f>
        <v>-</v>
      </c>
      <c r="O9" s="367"/>
      <c r="P9" s="378" t="s">
        <v>97</v>
      </c>
      <c r="Q9" s="103"/>
      <c r="R9" s="103">
        <f>K9</f>
        <v>617000</v>
      </c>
      <c r="S9" s="104" t="str">
        <f t="shared" si="1"/>
        <v>검토</v>
      </c>
    </row>
    <row r="10" spans="1:19" s="509" customFormat="1" ht="31.5" customHeight="1">
      <c r="A10" s="771"/>
      <c r="B10" s="771"/>
      <c r="C10" s="683">
        <v>9</v>
      </c>
      <c r="D10" s="540" t="s">
        <v>465</v>
      </c>
      <c r="E10" s="540" t="s">
        <v>467</v>
      </c>
      <c r="F10" s="636">
        <v>98000</v>
      </c>
      <c r="G10" s="636"/>
      <c r="H10" s="636">
        <v>40000</v>
      </c>
      <c r="I10" s="665">
        <f t="shared" si="9"/>
        <v>138000</v>
      </c>
      <c r="J10" s="636"/>
      <c r="K10" s="636">
        <v>40000</v>
      </c>
      <c r="L10" s="665">
        <f>F10+J10+K10</f>
        <v>138000</v>
      </c>
      <c r="M10" s="636">
        <f t="shared" ref="M10:M20" si="11">L10-I10</f>
        <v>0</v>
      </c>
      <c r="N10" s="749" t="str">
        <f t="shared" si="10"/>
        <v>-</v>
      </c>
      <c r="O10" s="398"/>
      <c r="P10" s="635" t="s">
        <v>97</v>
      </c>
      <c r="Q10" s="637"/>
      <c r="R10" s="637">
        <f>K10</f>
        <v>40000</v>
      </c>
      <c r="S10" s="635" t="str">
        <f t="shared" si="1"/>
        <v>ok</v>
      </c>
    </row>
    <row r="11" spans="1:19" ht="31.5" customHeight="1">
      <c r="A11" s="771">
        <v>1</v>
      </c>
      <c r="B11" s="771"/>
      <c r="C11" s="683">
        <v>9</v>
      </c>
      <c r="D11" s="540" t="s">
        <v>465</v>
      </c>
      <c r="E11" s="540" t="s">
        <v>468</v>
      </c>
      <c r="F11" s="636">
        <v>138000</v>
      </c>
      <c r="G11" s="636">
        <v>-28000</v>
      </c>
      <c r="H11" s="636"/>
      <c r="I11" s="665">
        <f t="shared" si="9"/>
        <v>110000</v>
      </c>
      <c r="J11" s="636">
        <v>0</v>
      </c>
      <c r="K11" s="636"/>
      <c r="L11" s="665">
        <f t="shared" ref="L11:L22" si="12">F11+J11+K11</f>
        <v>138000</v>
      </c>
      <c r="M11" s="665">
        <f t="shared" si="11"/>
        <v>28000</v>
      </c>
      <c r="N11" s="749" t="str">
        <f t="shared" si="10"/>
        <v>검토</v>
      </c>
      <c r="O11" s="263" t="s">
        <v>469</v>
      </c>
      <c r="P11" s="378" t="s">
        <v>97</v>
      </c>
      <c r="Q11" s="103"/>
      <c r="R11" s="661">
        <f>K11</f>
        <v>0</v>
      </c>
      <c r="S11" s="104" t="str">
        <f t="shared" si="1"/>
        <v>검토</v>
      </c>
    </row>
    <row r="12" spans="1:19" ht="31.5" customHeight="1">
      <c r="A12" s="770"/>
      <c r="B12" s="770"/>
      <c r="C12" s="100">
        <v>12</v>
      </c>
      <c r="D12" s="101" t="s">
        <v>465</v>
      </c>
      <c r="E12" s="101" t="s">
        <v>470</v>
      </c>
      <c r="F12" s="95">
        <v>96000</v>
      </c>
      <c r="G12" s="95"/>
      <c r="H12" s="95">
        <v>10000</v>
      </c>
      <c r="I12" s="665">
        <f t="shared" si="9"/>
        <v>106000</v>
      </c>
      <c r="J12" s="375"/>
      <c r="K12" s="375">
        <v>20000</v>
      </c>
      <c r="L12" s="665">
        <f t="shared" si="12"/>
        <v>116000</v>
      </c>
      <c r="M12" s="665">
        <f t="shared" si="11"/>
        <v>10000</v>
      </c>
      <c r="N12" s="749" t="str">
        <f t="shared" si="10"/>
        <v>-</v>
      </c>
      <c r="O12" s="322"/>
      <c r="P12" s="378" t="s">
        <v>97</v>
      </c>
      <c r="Q12" s="103"/>
      <c r="R12" s="661">
        <f t="shared" ref="R12:R19" si="13">K12</f>
        <v>20000</v>
      </c>
      <c r="S12" s="104" t="str">
        <f t="shared" si="1"/>
        <v>검토</v>
      </c>
    </row>
    <row r="13" spans="1:19" ht="31.5" customHeight="1">
      <c r="A13" s="770"/>
      <c r="B13" s="770"/>
      <c r="C13" s="279">
        <v>12</v>
      </c>
      <c r="D13" s="101" t="s">
        <v>465</v>
      </c>
      <c r="E13" s="99" t="s">
        <v>471</v>
      </c>
      <c r="F13" s="95">
        <v>140000</v>
      </c>
      <c r="G13" s="95"/>
      <c r="H13" s="95">
        <v>20000</v>
      </c>
      <c r="I13" s="665">
        <f t="shared" si="9"/>
        <v>160000</v>
      </c>
      <c r="J13" s="375"/>
      <c r="K13" s="375">
        <v>20000</v>
      </c>
      <c r="L13" s="665">
        <f t="shared" si="12"/>
        <v>160000</v>
      </c>
      <c r="M13" s="665">
        <f t="shared" si="11"/>
        <v>0</v>
      </c>
      <c r="N13" s="749" t="str">
        <f t="shared" si="10"/>
        <v>-</v>
      </c>
      <c r="O13" s="323" t="s">
        <v>472</v>
      </c>
      <c r="P13" s="378" t="s">
        <v>97</v>
      </c>
      <c r="Q13" s="103"/>
      <c r="R13" s="661">
        <f t="shared" si="13"/>
        <v>20000</v>
      </c>
      <c r="S13" s="279" t="str">
        <f t="shared" si="1"/>
        <v>ok</v>
      </c>
    </row>
    <row r="14" spans="1:19" ht="31.5" customHeight="1">
      <c r="A14" s="770"/>
      <c r="B14" s="770"/>
      <c r="C14" s="100">
        <v>13</v>
      </c>
      <c r="D14" s="101" t="s">
        <v>465</v>
      </c>
      <c r="E14" s="101" t="s">
        <v>473</v>
      </c>
      <c r="F14" s="95">
        <v>90000</v>
      </c>
      <c r="G14" s="95"/>
      <c r="H14" s="95">
        <v>150000</v>
      </c>
      <c r="I14" s="102">
        <f t="shared" si="9"/>
        <v>240000</v>
      </c>
      <c r="J14" s="375"/>
      <c r="K14" s="375">
        <v>150000</v>
      </c>
      <c r="L14" s="665">
        <f t="shared" si="12"/>
        <v>240000</v>
      </c>
      <c r="M14" s="665">
        <f t="shared" si="11"/>
        <v>0</v>
      </c>
      <c r="N14" s="749" t="str">
        <f t="shared" si="10"/>
        <v>-</v>
      </c>
      <c r="O14" s="259" t="s">
        <v>474</v>
      </c>
      <c r="P14" s="378" t="s">
        <v>97</v>
      </c>
      <c r="Q14" s="103"/>
      <c r="R14" s="661">
        <f t="shared" si="13"/>
        <v>150000</v>
      </c>
      <c r="S14" s="104" t="str">
        <f t="shared" si="1"/>
        <v>ok</v>
      </c>
    </row>
    <row r="15" spans="1:19" ht="31.5" customHeight="1">
      <c r="A15" s="770"/>
      <c r="B15" s="770"/>
      <c r="C15" s="279">
        <v>14</v>
      </c>
      <c r="D15" s="101" t="s">
        <v>465</v>
      </c>
      <c r="E15" s="99" t="s">
        <v>475</v>
      </c>
      <c r="F15" s="95">
        <v>5000</v>
      </c>
      <c r="G15" s="95"/>
      <c r="H15" s="95">
        <v>2000</v>
      </c>
      <c r="I15" s="102">
        <f t="shared" si="9"/>
        <v>7000</v>
      </c>
      <c r="J15" s="375"/>
      <c r="K15" s="375">
        <v>2000</v>
      </c>
      <c r="L15" s="665">
        <f t="shared" si="12"/>
        <v>7000</v>
      </c>
      <c r="M15" s="665">
        <f t="shared" si="11"/>
        <v>0</v>
      </c>
      <c r="N15" s="749" t="str">
        <f t="shared" si="10"/>
        <v>-</v>
      </c>
      <c r="O15" s="323"/>
      <c r="P15" s="378" t="s">
        <v>97</v>
      </c>
      <c r="Q15" s="103"/>
      <c r="R15" s="661">
        <f t="shared" si="13"/>
        <v>2000</v>
      </c>
      <c r="S15" s="279" t="str">
        <f t="shared" si="1"/>
        <v>ok</v>
      </c>
    </row>
    <row r="16" spans="1:19" ht="31.5" customHeight="1">
      <c r="A16" s="770"/>
      <c r="B16" s="770"/>
      <c r="C16" s="279">
        <v>15</v>
      </c>
      <c r="D16" s="101" t="s">
        <v>465</v>
      </c>
      <c r="E16" s="99" t="s">
        <v>476</v>
      </c>
      <c r="F16" s="95">
        <v>40000</v>
      </c>
      <c r="G16" s="95"/>
      <c r="H16" s="95">
        <v>30000</v>
      </c>
      <c r="I16" s="102">
        <f t="shared" si="9"/>
        <v>70000</v>
      </c>
      <c r="J16" s="375"/>
      <c r="K16" s="375">
        <v>30000</v>
      </c>
      <c r="L16" s="665">
        <f t="shared" si="12"/>
        <v>70000</v>
      </c>
      <c r="M16" s="665">
        <f t="shared" si="11"/>
        <v>0</v>
      </c>
      <c r="N16" s="749" t="str">
        <f t="shared" si="10"/>
        <v>-</v>
      </c>
      <c r="O16" s="324"/>
      <c r="P16" s="378" t="s">
        <v>97</v>
      </c>
      <c r="Q16" s="103"/>
      <c r="R16" s="661">
        <f t="shared" si="13"/>
        <v>30000</v>
      </c>
      <c r="S16" s="279" t="str">
        <f t="shared" si="1"/>
        <v>ok</v>
      </c>
    </row>
    <row r="17" spans="1:19" ht="31.5" customHeight="1">
      <c r="A17" s="770"/>
      <c r="B17" s="770"/>
      <c r="C17" s="279">
        <v>19</v>
      </c>
      <c r="D17" s="101" t="s">
        <v>465</v>
      </c>
      <c r="E17" s="99" t="s">
        <v>477</v>
      </c>
      <c r="F17" s="95">
        <v>3021</v>
      </c>
      <c r="G17" s="95"/>
      <c r="H17" s="95">
        <v>1140</v>
      </c>
      <c r="I17" s="102">
        <f t="shared" si="9"/>
        <v>4161</v>
      </c>
      <c r="J17" s="375"/>
      <c r="K17" s="375">
        <v>1140</v>
      </c>
      <c r="L17" s="665">
        <f t="shared" si="12"/>
        <v>4161</v>
      </c>
      <c r="M17" s="665">
        <f t="shared" si="11"/>
        <v>0</v>
      </c>
      <c r="N17" s="749" t="str">
        <f t="shared" si="10"/>
        <v>-</v>
      </c>
      <c r="O17" s="323" t="s">
        <v>478</v>
      </c>
      <c r="P17" s="378" t="s">
        <v>97</v>
      </c>
      <c r="Q17" s="103"/>
      <c r="R17" s="661">
        <f t="shared" si="13"/>
        <v>1140</v>
      </c>
      <c r="S17" s="279" t="str">
        <f t="shared" si="1"/>
        <v>ok</v>
      </c>
    </row>
    <row r="18" spans="1:19" ht="31.5" customHeight="1">
      <c r="A18" s="770"/>
      <c r="B18" s="770"/>
      <c r="C18" s="279">
        <v>20</v>
      </c>
      <c r="D18" s="101" t="s">
        <v>465</v>
      </c>
      <c r="E18" s="99" t="s">
        <v>479</v>
      </c>
      <c r="F18" s="95">
        <v>16120</v>
      </c>
      <c r="G18" s="95"/>
      <c r="H18" s="95">
        <v>9920</v>
      </c>
      <c r="I18" s="102">
        <f t="shared" si="9"/>
        <v>26040</v>
      </c>
      <c r="J18" s="375"/>
      <c r="K18" s="375">
        <v>9920</v>
      </c>
      <c r="L18" s="665">
        <f t="shared" si="12"/>
        <v>26040</v>
      </c>
      <c r="M18" s="665">
        <f t="shared" si="11"/>
        <v>0</v>
      </c>
      <c r="N18" s="749" t="str">
        <f t="shared" si="10"/>
        <v>-</v>
      </c>
      <c r="O18" s="323" t="s">
        <v>480</v>
      </c>
      <c r="P18" s="378" t="s">
        <v>97</v>
      </c>
      <c r="Q18" s="103"/>
      <c r="R18" s="661">
        <f t="shared" si="13"/>
        <v>9920</v>
      </c>
      <c r="S18" s="279" t="str">
        <f t="shared" si="1"/>
        <v>ok</v>
      </c>
    </row>
    <row r="19" spans="1:19" ht="31.5" customHeight="1">
      <c r="A19" s="770"/>
      <c r="B19" s="770"/>
      <c r="C19" s="279">
        <v>20</v>
      </c>
      <c r="D19" s="101" t="s">
        <v>465</v>
      </c>
      <c r="E19" s="99" t="s">
        <v>481</v>
      </c>
      <c r="F19" s="95">
        <v>13700</v>
      </c>
      <c r="G19" s="95"/>
      <c r="H19" s="95">
        <v>10800</v>
      </c>
      <c r="I19" s="102">
        <f t="shared" si="9"/>
        <v>24500</v>
      </c>
      <c r="J19" s="375"/>
      <c r="K19" s="375">
        <v>10800</v>
      </c>
      <c r="L19" s="665">
        <f t="shared" si="12"/>
        <v>24500</v>
      </c>
      <c r="M19" s="665">
        <f t="shared" si="11"/>
        <v>0</v>
      </c>
      <c r="N19" s="749" t="str">
        <f t="shared" si="10"/>
        <v>-</v>
      </c>
      <c r="O19" s="323" t="s">
        <v>482</v>
      </c>
      <c r="P19" s="378" t="s">
        <v>97</v>
      </c>
      <c r="Q19" s="103"/>
      <c r="R19" s="661">
        <f t="shared" si="13"/>
        <v>10800</v>
      </c>
      <c r="S19" s="279" t="str">
        <f t="shared" si="1"/>
        <v>ok</v>
      </c>
    </row>
    <row r="20" spans="1:19" ht="31.5" customHeight="1">
      <c r="A20" s="770"/>
      <c r="B20" s="770"/>
      <c r="C20" s="279">
        <v>20</v>
      </c>
      <c r="D20" s="101" t="s">
        <v>465</v>
      </c>
      <c r="E20" s="99" t="s">
        <v>483</v>
      </c>
      <c r="F20" s="95">
        <v>252000</v>
      </c>
      <c r="G20" s="95">
        <v>-92000</v>
      </c>
      <c r="H20" s="95"/>
      <c r="I20" s="102">
        <f t="shared" si="9"/>
        <v>160000</v>
      </c>
      <c r="J20" s="375">
        <v>-92000</v>
      </c>
      <c r="K20" s="375"/>
      <c r="L20" s="665">
        <f t="shared" si="12"/>
        <v>160000</v>
      </c>
      <c r="M20" s="665">
        <f t="shared" si="11"/>
        <v>0</v>
      </c>
      <c r="N20" s="749" t="str">
        <f t="shared" si="10"/>
        <v>-</v>
      </c>
      <c r="O20" s="323" t="s">
        <v>484</v>
      </c>
      <c r="P20" s="378" t="s">
        <v>97</v>
      </c>
      <c r="Q20" s="103"/>
      <c r="R20" s="103">
        <f>J20</f>
        <v>-92000</v>
      </c>
      <c r="S20" s="279" t="str">
        <f t="shared" si="1"/>
        <v>ok</v>
      </c>
    </row>
    <row r="21" spans="1:19" ht="31.5" customHeight="1">
      <c r="A21" s="770"/>
      <c r="B21" s="770"/>
      <c r="C21" s="100" t="s">
        <v>94</v>
      </c>
      <c r="D21" s="101" t="s">
        <v>465</v>
      </c>
      <c r="E21" s="101" t="s">
        <v>485</v>
      </c>
      <c r="F21" s="95"/>
      <c r="G21" s="95"/>
      <c r="H21" s="95">
        <v>90000</v>
      </c>
      <c r="I21" s="376">
        <f t="shared" si="9"/>
        <v>90000</v>
      </c>
      <c r="J21" s="375"/>
      <c r="K21" s="375">
        <v>90000</v>
      </c>
      <c r="L21" s="665">
        <f t="shared" si="12"/>
        <v>90000</v>
      </c>
      <c r="M21" s="376">
        <f t="shared" ref="M21" si="14">L21-I21</f>
        <v>0</v>
      </c>
      <c r="N21" s="749" t="str">
        <f t="shared" si="10"/>
        <v>-</v>
      </c>
      <c r="O21" s="322" t="s">
        <v>486</v>
      </c>
      <c r="P21" s="378" t="s">
        <v>97</v>
      </c>
      <c r="Q21" s="103"/>
      <c r="R21" s="661">
        <f t="shared" ref="R21:R29" si="15">K21</f>
        <v>90000</v>
      </c>
      <c r="S21" s="104" t="str">
        <f t="shared" si="1"/>
        <v>ok</v>
      </c>
    </row>
    <row r="22" spans="1:19" ht="46.5" customHeight="1">
      <c r="A22" s="770"/>
      <c r="B22" s="770"/>
      <c r="C22" s="279" t="s">
        <v>94</v>
      </c>
      <c r="D22" s="101" t="s">
        <v>465</v>
      </c>
      <c r="E22" s="288" t="s">
        <v>1151</v>
      </c>
      <c r="F22" s="95"/>
      <c r="G22" s="95"/>
      <c r="H22" s="95">
        <v>35000</v>
      </c>
      <c r="I22" s="376">
        <f t="shared" si="9"/>
        <v>35000</v>
      </c>
      <c r="J22" s="375"/>
      <c r="K22" s="375">
        <v>35000</v>
      </c>
      <c r="L22" s="665">
        <f t="shared" si="12"/>
        <v>35000</v>
      </c>
      <c r="M22" s="665">
        <f>L22-I22</f>
        <v>0</v>
      </c>
      <c r="N22" s="749" t="str">
        <f t="shared" si="10"/>
        <v>-</v>
      </c>
      <c r="O22" s="323" t="s">
        <v>1182</v>
      </c>
      <c r="P22" s="378" t="s">
        <v>97</v>
      </c>
      <c r="Q22" s="103"/>
      <c r="R22" s="661">
        <f t="shared" si="15"/>
        <v>35000</v>
      </c>
      <c r="S22" s="279" t="str">
        <f t="shared" si="1"/>
        <v>ok</v>
      </c>
    </row>
    <row r="23" spans="1:19" s="673" customFormat="1" ht="31.5" customHeight="1">
      <c r="A23" s="770"/>
      <c r="B23" s="770"/>
      <c r="C23" s="644" t="s">
        <v>94</v>
      </c>
      <c r="D23" s="659" t="s">
        <v>465</v>
      </c>
      <c r="E23" s="659" t="s">
        <v>1279</v>
      </c>
      <c r="F23" s="657"/>
      <c r="G23" s="657"/>
      <c r="H23" s="657"/>
      <c r="I23" s="665">
        <f t="shared" si="9"/>
        <v>0</v>
      </c>
      <c r="J23" s="657"/>
      <c r="K23" s="657">
        <v>35000</v>
      </c>
      <c r="L23" s="665">
        <f t="shared" ref="L23:L29" si="16">F23+J23+K23</f>
        <v>35000</v>
      </c>
      <c r="M23" s="665">
        <f t="shared" ref="M23:M29" si="17">L23-I23</f>
        <v>35000</v>
      </c>
      <c r="N23" s="749" t="str">
        <f t="shared" si="10"/>
        <v>-</v>
      </c>
      <c r="O23" s="367"/>
      <c r="P23" s="648" t="s">
        <v>97</v>
      </c>
      <c r="Q23" s="661"/>
      <c r="R23" s="661">
        <f t="shared" si="15"/>
        <v>35000</v>
      </c>
      <c r="S23" s="648" t="str">
        <f t="shared" si="1"/>
        <v>검토</v>
      </c>
    </row>
    <row r="24" spans="1:19" s="673" customFormat="1" ht="31.5" customHeight="1">
      <c r="A24" s="770"/>
      <c r="B24" s="770"/>
      <c r="C24" s="644">
        <v>14</v>
      </c>
      <c r="D24" s="659" t="s">
        <v>465</v>
      </c>
      <c r="E24" s="659" t="s">
        <v>1280</v>
      </c>
      <c r="F24" s="657">
        <v>4800</v>
      </c>
      <c r="G24" s="657"/>
      <c r="H24" s="657"/>
      <c r="I24" s="665">
        <f t="shared" si="9"/>
        <v>4800</v>
      </c>
      <c r="J24" s="657"/>
      <c r="K24" s="657">
        <v>1200</v>
      </c>
      <c r="L24" s="665">
        <f t="shared" si="16"/>
        <v>6000</v>
      </c>
      <c r="M24" s="665">
        <f t="shared" si="17"/>
        <v>1200</v>
      </c>
      <c r="N24" s="749" t="str">
        <f t="shared" si="10"/>
        <v>-</v>
      </c>
      <c r="O24" s="367"/>
      <c r="P24" s="648" t="s">
        <v>97</v>
      </c>
      <c r="Q24" s="661"/>
      <c r="R24" s="661">
        <f t="shared" si="15"/>
        <v>1200</v>
      </c>
      <c r="S24" s="648" t="str">
        <f t="shared" si="1"/>
        <v>검토</v>
      </c>
    </row>
    <row r="25" spans="1:19" s="673" customFormat="1" ht="31.5" customHeight="1">
      <c r="A25" s="770"/>
      <c r="B25" s="770"/>
      <c r="C25" s="644">
        <v>15</v>
      </c>
      <c r="D25" s="659" t="s">
        <v>465</v>
      </c>
      <c r="E25" s="659" t="s">
        <v>1281</v>
      </c>
      <c r="F25" s="657">
        <v>160000</v>
      </c>
      <c r="G25" s="657"/>
      <c r="H25" s="657"/>
      <c r="I25" s="665">
        <f t="shared" si="9"/>
        <v>160000</v>
      </c>
      <c r="J25" s="657"/>
      <c r="K25" s="657">
        <v>160000</v>
      </c>
      <c r="L25" s="665">
        <f t="shared" si="16"/>
        <v>320000</v>
      </c>
      <c r="M25" s="665">
        <f t="shared" si="17"/>
        <v>160000</v>
      </c>
      <c r="N25" s="749" t="str">
        <f t="shared" si="10"/>
        <v>-</v>
      </c>
      <c r="O25" s="367"/>
      <c r="P25" s="648" t="s">
        <v>97</v>
      </c>
      <c r="Q25" s="661"/>
      <c r="R25" s="661">
        <f t="shared" si="15"/>
        <v>160000</v>
      </c>
      <c r="S25" s="648" t="str">
        <f t="shared" si="1"/>
        <v>검토</v>
      </c>
    </row>
    <row r="26" spans="1:19" ht="31.5" customHeight="1">
      <c r="A26" s="770"/>
      <c r="B26" s="770"/>
      <c r="C26" s="279" t="s">
        <v>94</v>
      </c>
      <c r="D26" s="101" t="s">
        <v>465</v>
      </c>
      <c r="E26" s="99" t="s">
        <v>487</v>
      </c>
      <c r="F26" s="95"/>
      <c r="G26" s="95"/>
      <c r="H26" s="95">
        <v>6000</v>
      </c>
      <c r="I26" s="376">
        <f t="shared" si="9"/>
        <v>6000</v>
      </c>
      <c r="J26" s="375"/>
      <c r="K26" s="375">
        <v>6000</v>
      </c>
      <c r="L26" s="665">
        <f t="shared" si="16"/>
        <v>6000</v>
      </c>
      <c r="M26" s="665">
        <f t="shared" si="17"/>
        <v>0</v>
      </c>
      <c r="N26" s="749" t="str">
        <f t="shared" si="10"/>
        <v>-</v>
      </c>
      <c r="O26" s="323" t="s">
        <v>488</v>
      </c>
      <c r="P26" s="378" t="s">
        <v>97</v>
      </c>
      <c r="Q26" s="103"/>
      <c r="R26" s="661">
        <f t="shared" si="15"/>
        <v>6000</v>
      </c>
      <c r="S26" s="279" t="str">
        <f t="shared" si="1"/>
        <v>ok</v>
      </c>
    </row>
    <row r="27" spans="1:19" ht="31.5" customHeight="1">
      <c r="A27" s="770"/>
      <c r="B27" s="770"/>
      <c r="C27" s="100" t="s">
        <v>94</v>
      </c>
      <c r="D27" s="101" t="s">
        <v>465</v>
      </c>
      <c r="E27" s="183" t="s">
        <v>489</v>
      </c>
      <c r="F27" s="95"/>
      <c r="G27" s="95"/>
      <c r="H27" s="95">
        <v>40000</v>
      </c>
      <c r="I27" s="102">
        <f t="shared" si="9"/>
        <v>40000</v>
      </c>
      <c r="J27" s="375"/>
      <c r="K27" s="375">
        <v>40000</v>
      </c>
      <c r="L27" s="665">
        <f t="shared" si="16"/>
        <v>40000</v>
      </c>
      <c r="M27" s="665">
        <f t="shared" si="17"/>
        <v>0</v>
      </c>
      <c r="N27" s="749" t="str">
        <f t="shared" si="10"/>
        <v>-</v>
      </c>
      <c r="O27" s="259" t="s">
        <v>490</v>
      </c>
      <c r="P27" s="378" t="s">
        <v>97</v>
      </c>
      <c r="Q27" s="103"/>
      <c r="R27" s="661">
        <f t="shared" si="15"/>
        <v>40000</v>
      </c>
      <c r="S27" s="104" t="str">
        <f t="shared" si="1"/>
        <v>ok</v>
      </c>
    </row>
    <row r="28" spans="1:19" s="656" customFormat="1" ht="31.5" customHeight="1">
      <c r="A28" s="770"/>
      <c r="B28" s="770"/>
      <c r="C28" s="662" t="s">
        <v>94</v>
      </c>
      <c r="D28" s="659" t="s">
        <v>465</v>
      </c>
      <c r="E28" s="658" t="s">
        <v>491</v>
      </c>
      <c r="F28" s="657"/>
      <c r="G28" s="657"/>
      <c r="H28" s="657">
        <v>20000</v>
      </c>
      <c r="I28" s="660">
        <f t="shared" ref="I28" si="18">F28+G28+H28</f>
        <v>20000</v>
      </c>
      <c r="J28" s="657"/>
      <c r="K28" s="657">
        <v>20000</v>
      </c>
      <c r="L28" s="665">
        <f t="shared" si="16"/>
        <v>20000</v>
      </c>
      <c r="M28" s="665">
        <f t="shared" si="17"/>
        <v>0</v>
      </c>
      <c r="N28" s="749" t="str">
        <f t="shared" si="10"/>
        <v>-</v>
      </c>
      <c r="O28" s="663" t="s">
        <v>492</v>
      </c>
      <c r="P28" s="653" t="s">
        <v>97</v>
      </c>
      <c r="Q28" s="661"/>
      <c r="R28" s="661">
        <f t="shared" si="15"/>
        <v>20000</v>
      </c>
      <c r="S28" s="662" t="str">
        <f t="shared" ref="S28" si="19">IF((G28+H28)=(Q28+R28),"ok","검토")</f>
        <v>ok</v>
      </c>
    </row>
    <row r="29" spans="1:19" s="673" customFormat="1" ht="31.5" customHeight="1">
      <c r="A29" s="770"/>
      <c r="B29" s="770"/>
      <c r="C29" s="644">
        <v>12</v>
      </c>
      <c r="D29" s="659" t="s">
        <v>465</v>
      </c>
      <c r="E29" s="659" t="s">
        <v>1301</v>
      </c>
      <c r="F29" s="657">
        <v>10000</v>
      </c>
      <c r="G29" s="657"/>
      <c r="H29" s="657"/>
      <c r="I29" s="665">
        <f t="shared" si="9"/>
        <v>10000</v>
      </c>
      <c r="J29" s="657"/>
      <c r="K29" s="657">
        <v>10000</v>
      </c>
      <c r="L29" s="665">
        <f t="shared" si="16"/>
        <v>20000</v>
      </c>
      <c r="M29" s="665">
        <f t="shared" si="17"/>
        <v>10000</v>
      </c>
      <c r="N29" s="749" t="str">
        <f t="shared" si="10"/>
        <v>-</v>
      </c>
      <c r="O29" s="367"/>
      <c r="P29" s="648" t="s">
        <v>97</v>
      </c>
      <c r="Q29" s="661"/>
      <c r="R29" s="661">
        <f t="shared" si="15"/>
        <v>10000</v>
      </c>
      <c r="S29" s="648" t="str">
        <f t="shared" si="1"/>
        <v>검토</v>
      </c>
    </row>
    <row r="30" spans="1:19" ht="31.5" customHeight="1">
      <c r="A30" s="445" t="s">
        <v>48</v>
      </c>
      <c r="B30" s="772"/>
      <c r="C30" s="26"/>
      <c r="D30" s="26"/>
      <c r="E30" s="26"/>
      <c r="F30" s="627">
        <f t="shared" ref="F30:I30" si="20">SUM(F31:F61)/2</f>
        <v>2332147076</v>
      </c>
      <c r="G30" s="627">
        <f t="shared" si="20"/>
        <v>-1055093</v>
      </c>
      <c r="H30" s="627">
        <f t="shared" si="20"/>
        <v>1265157</v>
      </c>
      <c r="I30" s="627">
        <f t="shared" si="20"/>
        <v>2332357140</v>
      </c>
      <c r="J30" s="369">
        <f>SUM(J31:J61)/2</f>
        <v>-110315093</v>
      </c>
      <c r="K30" s="627">
        <f t="shared" ref="K30:M30" si="21">SUM(K31:K61)/2</f>
        <v>51665157</v>
      </c>
      <c r="L30" s="627">
        <f t="shared" si="21"/>
        <v>2273497140</v>
      </c>
      <c r="M30" s="627">
        <f t="shared" si="21"/>
        <v>-58860000</v>
      </c>
      <c r="N30" s="626"/>
      <c r="O30" s="320"/>
      <c r="P30" s="26"/>
      <c r="Q30" s="627">
        <f t="shared" ref="Q30:R30" si="22">SUM(Q31:Q61)/2</f>
        <v>-15840</v>
      </c>
      <c r="R30" s="627">
        <f t="shared" si="22"/>
        <v>15909073</v>
      </c>
      <c r="S30" s="26" t="str">
        <f t="shared" si="1"/>
        <v>검토</v>
      </c>
    </row>
    <row r="31" spans="1:19" ht="31.5" customHeight="1">
      <c r="A31" s="770"/>
      <c r="B31" s="612" t="s">
        <v>493</v>
      </c>
      <c r="C31" s="628"/>
      <c r="D31" s="31"/>
      <c r="E31" s="31"/>
      <c r="F31" s="32">
        <f>SUM(F32:F41)</f>
        <v>256040</v>
      </c>
      <c r="G31" s="32">
        <f t="shared" ref="G31:I31" si="23">SUM(G32:G41)</f>
        <v>0</v>
      </c>
      <c r="H31" s="32">
        <f t="shared" si="23"/>
        <v>64757</v>
      </c>
      <c r="I31" s="32">
        <f t="shared" si="23"/>
        <v>320797</v>
      </c>
      <c r="J31" s="370">
        <f t="shared" ref="J31:K31" si="24">SUM(J32:J41)</f>
        <v>0</v>
      </c>
      <c r="K31" s="370">
        <f t="shared" si="24"/>
        <v>64757</v>
      </c>
      <c r="L31" s="370">
        <f t="shared" ref="L31:L75" si="25">F31+J31+K31</f>
        <v>320797</v>
      </c>
      <c r="M31" s="370">
        <f t="shared" si="4"/>
        <v>0</v>
      </c>
      <c r="N31" s="628"/>
      <c r="O31" s="321"/>
      <c r="P31" s="30"/>
      <c r="Q31" s="32">
        <f t="shared" ref="Q31:R31" si="26">SUM(Q32:Q41)</f>
        <v>0</v>
      </c>
      <c r="R31" s="32">
        <f t="shared" si="26"/>
        <v>64757</v>
      </c>
      <c r="S31" s="30" t="str">
        <f t="shared" si="1"/>
        <v>ok</v>
      </c>
    </row>
    <row r="32" spans="1:19" ht="63" customHeight="1">
      <c r="A32" s="770"/>
      <c r="B32" s="770"/>
      <c r="C32" s="100">
        <v>28</v>
      </c>
      <c r="D32" s="101" t="s">
        <v>494</v>
      </c>
      <c r="E32" s="183" t="s">
        <v>495</v>
      </c>
      <c r="F32" s="95">
        <v>10000</v>
      </c>
      <c r="G32" s="95"/>
      <c r="H32" s="95">
        <v>5000</v>
      </c>
      <c r="I32" s="376">
        <f t="shared" ref="I32:I41" si="27">F32+G32+H32</f>
        <v>15000</v>
      </c>
      <c r="J32" s="375"/>
      <c r="K32" s="375">
        <v>5000</v>
      </c>
      <c r="L32" s="376">
        <f>F32+J32+K32</f>
        <v>15000</v>
      </c>
      <c r="M32" s="376">
        <f>L32-I32</f>
        <v>0</v>
      </c>
      <c r="N32" s="749" t="str">
        <f t="shared" ref="N32:N41" si="28">IF(AND(((G32+H32)&lt;0),(J32+K32)&gt;(G32+H32)),"검토","-")</f>
        <v>-</v>
      </c>
      <c r="O32" s="323" t="s">
        <v>496</v>
      </c>
      <c r="P32" s="378" t="s">
        <v>97</v>
      </c>
      <c r="Q32" s="180"/>
      <c r="R32" s="661">
        <f t="shared" ref="R32:R41" si="29">K32</f>
        <v>5000</v>
      </c>
      <c r="S32" s="104" t="str">
        <f t="shared" si="1"/>
        <v>ok</v>
      </c>
    </row>
    <row r="33" spans="1:19" ht="46.5" customHeight="1">
      <c r="A33" s="770"/>
      <c r="B33" s="770"/>
      <c r="C33" s="100">
        <v>28</v>
      </c>
      <c r="D33" s="101" t="s">
        <v>494</v>
      </c>
      <c r="E33" s="183" t="s">
        <v>497</v>
      </c>
      <c r="F33" s="95">
        <v>131860</v>
      </c>
      <c r="G33" s="95"/>
      <c r="H33" s="95">
        <v>10000</v>
      </c>
      <c r="I33" s="376">
        <f t="shared" si="27"/>
        <v>141860</v>
      </c>
      <c r="J33" s="375"/>
      <c r="K33" s="375">
        <v>10000</v>
      </c>
      <c r="L33" s="665">
        <f t="shared" ref="L33:L40" si="30">F33+J33+K33</f>
        <v>141860</v>
      </c>
      <c r="M33" s="665">
        <f t="shared" ref="M33:M41" si="31">L33-I33</f>
        <v>0</v>
      </c>
      <c r="N33" s="749" t="str">
        <f t="shared" si="28"/>
        <v>-</v>
      </c>
      <c r="O33" s="323" t="s">
        <v>496</v>
      </c>
      <c r="P33" s="378" t="s">
        <v>97</v>
      </c>
      <c r="Q33" s="180"/>
      <c r="R33" s="661">
        <f t="shared" si="29"/>
        <v>10000</v>
      </c>
      <c r="S33" s="104" t="str">
        <f t="shared" si="1"/>
        <v>ok</v>
      </c>
    </row>
    <row r="34" spans="1:19" ht="31.5" customHeight="1">
      <c r="A34" s="770"/>
      <c r="B34" s="770"/>
      <c r="C34" s="100">
        <v>30</v>
      </c>
      <c r="D34" s="101" t="s">
        <v>498</v>
      </c>
      <c r="E34" s="101" t="s">
        <v>499</v>
      </c>
      <c r="F34" s="95">
        <v>12000</v>
      </c>
      <c r="G34" s="95"/>
      <c r="H34" s="95">
        <v>3000</v>
      </c>
      <c r="I34" s="376">
        <f t="shared" si="27"/>
        <v>15000</v>
      </c>
      <c r="J34" s="375"/>
      <c r="K34" s="375">
        <v>3000</v>
      </c>
      <c r="L34" s="665">
        <f t="shared" si="30"/>
        <v>15000</v>
      </c>
      <c r="M34" s="665">
        <f t="shared" si="31"/>
        <v>0</v>
      </c>
      <c r="N34" s="749" t="str">
        <f t="shared" si="28"/>
        <v>-</v>
      </c>
      <c r="O34" s="323" t="s">
        <v>496</v>
      </c>
      <c r="P34" s="378" t="s">
        <v>97</v>
      </c>
      <c r="Q34" s="180"/>
      <c r="R34" s="661">
        <f t="shared" si="29"/>
        <v>3000</v>
      </c>
      <c r="S34" s="104" t="str">
        <f t="shared" si="1"/>
        <v>ok</v>
      </c>
    </row>
    <row r="35" spans="1:19" ht="31.5" customHeight="1">
      <c r="A35" s="770"/>
      <c r="B35" s="770"/>
      <c r="C35" s="100">
        <v>30</v>
      </c>
      <c r="D35" s="101" t="s">
        <v>498</v>
      </c>
      <c r="E35" s="183" t="s">
        <v>500</v>
      </c>
      <c r="F35" s="95">
        <v>5000</v>
      </c>
      <c r="G35" s="95"/>
      <c r="H35" s="95">
        <v>10000</v>
      </c>
      <c r="I35" s="376">
        <f t="shared" si="27"/>
        <v>15000</v>
      </c>
      <c r="J35" s="375"/>
      <c r="K35" s="375">
        <v>10000</v>
      </c>
      <c r="L35" s="665">
        <f t="shared" si="30"/>
        <v>15000</v>
      </c>
      <c r="M35" s="665">
        <f t="shared" si="31"/>
        <v>0</v>
      </c>
      <c r="N35" s="749" t="str">
        <f t="shared" si="28"/>
        <v>-</v>
      </c>
      <c r="O35" s="323" t="s">
        <v>496</v>
      </c>
      <c r="P35" s="378" t="s">
        <v>97</v>
      </c>
      <c r="Q35" s="180"/>
      <c r="R35" s="661">
        <f t="shared" si="29"/>
        <v>10000</v>
      </c>
      <c r="S35" s="104" t="str">
        <f t="shared" si="1"/>
        <v>ok</v>
      </c>
    </row>
    <row r="36" spans="1:19" ht="31.5" customHeight="1">
      <c r="A36" s="770"/>
      <c r="B36" s="770"/>
      <c r="C36" s="100">
        <v>30</v>
      </c>
      <c r="D36" s="101" t="s">
        <v>498</v>
      </c>
      <c r="E36" s="183" t="s">
        <v>501</v>
      </c>
      <c r="F36" s="95">
        <v>6000</v>
      </c>
      <c r="G36" s="95"/>
      <c r="H36" s="95">
        <v>6000</v>
      </c>
      <c r="I36" s="376">
        <f t="shared" si="27"/>
        <v>12000</v>
      </c>
      <c r="J36" s="375"/>
      <c r="K36" s="375">
        <v>6000</v>
      </c>
      <c r="L36" s="665">
        <f t="shared" si="30"/>
        <v>12000</v>
      </c>
      <c r="M36" s="665">
        <f t="shared" si="31"/>
        <v>0</v>
      </c>
      <c r="N36" s="749" t="str">
        <f t="shared" si="28"/>
        <v>-</v>
      </c>
      <c r="O36" s="323" t="s">
        <v>496</v>
      </c>
      <c r="P36" s="378" t="s">
        <v>97</v>
      </c>
      <c r="Q36" s="180"/>
      <c r="R36" s="661">
        <f t="shared" si="29"/>
        <v>6000</v>
      </c>
      <c r="S36" s="104" t="str">
        <f t="shared" si="1"/>
        <v>ok</v>
      </c>
    </row>
    <row r="37" spans="1:19" ht="31.5" customHeight="1">
      <c r="A37" s="770"/>
      <c r="B37" s="770"/>
      <c r="C37" s="100">
        <v>30</v>
      </c>
      <c r="D37" s="101" t="s">
        <v>498</v>
      </c>
      <c r="E37" s="183" t="s">
        <v>502</v>
      </c>
      <c r="F37" s="95">
        <v>37980</v>
      </c>
      <c r="G37" s="95"/>
      <c r="H37" s="95">
        <v>1357</v>
      </c>
      <c r="I37" s="376">
        <f t="shared" si="27"/>
        <v>39337</v>
      </c>
      <c r="J37" s="375"/>
      <c r="K37" s="375">
        <v>1357</v>
      </c>
      <c r="L37" s="665">
        <f t="shared" si="30"/>
        <v>39337</v>
      </c>
      <c r="M37" s="665">
        <f t="shared" si="31"/>
        <v>0</v>
      </c>
      <c r="N37" s="749" t="str">
        <f t="shared" si="28"/>
        <v>-</v>
      </c>
      <c r="O37" s="323" t="s">
        <v>496</v>
      </c>
      <c r="P37" s="378" t="s">
        <v>97</v>
      </c>
      <c r="Q37" s="180"/>
      <c r="R37" s="661">
        <f t="shared" si="29"/>
        <v>1357</v>
      </c>
      <c r="S37" s="104" t="str">
        <f t="shared" si="1"/>
        <v>ok</v>
      </c>
    </row>
    <row r="38" spans="1:19" ht="31.5" customHeight="1">
      <c r="A38" s="770"/>
      <c r="B38" s="770"/>
      <c r="C38" s="100">
        <v>30</v>
      </c>
      <c r="D38" s="101" t="s">
        <v>498</v>
      </c>
      <c r="E38" s="183" t="s">
        <v>503</v>
      </c>
      <c r="F38" s="95">
        <v>5000</v>
      </c>
      <c r="G38" s="95"/>
      <c r="H38" s="95">
        <v>5000</v>
      </c>
      <c r="I38" s="376">
        <f t="shared" si="27"/>
        <v>10000</v>
      </c>
      <c r="J38" s="375"/>
      <c r="K38" s="375">
        <v>5000</v>
      </c>
      <c r="L38" s="665">
        <f t="shared" si="30"/>
        <v>10000</v>
      </c>
      <c r="M38" s="665">
        <f t="shared" si="31"/>
        <v>0</v>
      </c>
      <c r="N38" s="749" t="str">
        <f t="shared" si="28"/>
        <v>-</v>
      </c>
      <c r="O38" s="323" t="s">
        <v>496</v>
      </c>
      <c r="P38" s="378" t="s">
        <v>97</v>
      </c>
      <c r="Q38" s="180"/>
      <c r="R38" s="661">
        <f t="shared" si="29"/>
        <v>5000</v>
      </c>
      <c r="S38" s="104" t="str">
        <f t="shared" si="1"/>
        <v>ok</v>
      </c>
    </row>
    <row r="39" spans="1:19" ht="31.5" customHeight="1">
      <c r="A39" s="770"/>
      <c r="B39" s="770"/>
      <c r="C39" s="100">
        <v>30</v>
      </c>
      <c r="D39" s="101" t="s">
        <v>498</v>
      </c>
      <c r="E39" s="183" t="s">
        <v>504</v>
      </c>
      <c r="F39" s="95">
        <v>5000</v>
      </c>
      <c r="G39" s="95"/>
      <c r="H39" s="95">
        <v>10000</v>
      </c>
      <c r="I39" s="376">
        <f t="shared" si="27"/>
        <v>15000</v>
      </c>
      <c r="J39" s="375"/>
      <c r="K39" s="375">
        <v>10000</v>
      </c>
      <c r="L39" s="665">
        <f t="shared" si="30"/>
        <v>15000</v>
      </c>
      <c r="M39" s="665">
        <f t="shared" si="31"/>
        <v>0</v>
      </c>
      <c r="N39" s="749" t="str">
        <f t="shared" si="28"/>
        <v>-</v>
      </c>
      <c r="O39" s="323" t="s">
        <v>496</v>
      </c>
      <c r="P39" s="378" t="s">
        <v>97</v>
      </c>
      <c r="Q39" s="180"/>
      <c r="R39" s="661">
        <f t="shared" si="29"/>
        <v>10000</v>
      </c>
      <c r="S39" s="104" t="str">
        <f t="shared" si="1"/>
        <v>ok</v>
      </c>
    </row>
    <row r="40" spans="1:19" ht="31.5" customHeight="1">
      <c r="A40" s="770"/>
      <c r="B40" s="770"/>
      <c r="C40" s="100">
        <v>30</v>
      </c>
      <c r="D40" s="101" t="s">
        <v>498</v>
      </c>
      <c r="E40" s="183" t="s">
        <v>505</v>
      </c>
      <c r="F40" s="95">
        <v>4200</v>
      </c>
      <c r="G40" s="95"/>
      <c r="H40" s="95">
        <v>5400</v>
      </c>
      <c r="I40" s="376">
        <f t="shared" si="27"/>
        <v>9600</v>
      </c>
      <c r="J40" s="375"/>
      <c r="K40" s="375">
        <v>5400</v>
      </c>
      <c r="L40" s="665">
        <f t="shared" si="30"/>
        <v>9600</v>
      </c>
      <c r="M40" s="665">
        <f t="shared" si="31"/>
        <v>0</v>
      </c>
      <c r="N40" s="749" t="str">
        <f t="shared" si="28"/>
        <v>-</v>
      </c>
      <c r="O40" s="323" t="s">
        <v>496</v>
      </c>
      <c r="P40" s="378" t="s">
        <v>97</v>
      </c>
      <c r="Q40" s="111"/>
      <c r="R40" s="661">
        <f t="shared" si="29"/>
        <v>5400</v>
      </c>
      <c r="S40" s="104" t="str">
        <f t="shared" si="1"/>
        <v>ok</v>
      </c>
    </row>
    <row r="41" spans="1:19" ht="31.5" customHeight="1">
      <c r="A41" s="770"/>
      <c r="B41" s="770"/>
      <c r="C41" s="100">
        <v>31</v>
      </c>
      <c r="D41" s="101" t="s">
        <v>498</v>
      </c>
      <c r="E41" s="183" t="s">
        <v>506</v>
      </c>
      <c r="F41" s="95">
        <v>39000</v>
      </c>
      <c r="G41" s="95"/>
      <c r="H41" s="95">
        <v>9000</v>
      </c>
      <c r="I41" s="376">
        <f t="shared" si="27"/>
        <v>48000</v>
      </c>
      <c r="J41" s="375"/>
      <c r="K41" s="375">
        <v>9000</v>
      </c>
      <c r="L41" s="665">
        <f>F41+J41+K41</f>
        <v>48000</v>
      </c>
      <c r="M41" s="665">
        <f t="shared" si="31"/>
        <v>0</v>
      </c>
      <c r="N41" s="749" t="str">
        <f t="shared" si="28"/>
        <v>-</v>
      </c>
      <c r="O41" s="323" t="s">
        <v>496</v>
      </c>
      <c r="P41" s="378" t="s">
        <v>97</v>
      </c>
      <c r="Q41" s="111"/>
      <c r="R41" s="661">
        <f t="shared" si="29"/>
        <v>9000</v>
      </c>
      <c r="S41" s="104" t="str">
        <f t="shared" si="1"/>
        <v>ok</v>
      </c>
    </row>
    <row r="42" spans="1:19" ht="31.5" customHeight="1">
      <c r="A42" s="770"/>
      <c r="B42" s="612" t="s">
        <v>49</v>
      </c>
      <c r="C42" s="628"/>
      <c r="D42" s="31"/>
      <c r="E42" s="31"/>
      <c r="F42" s="32">
        <f t="shared" ref="F42:M42" si="32">SUM(F43:F55)</f>
        <v>2331434536</v>
      </c>
      <c r="G42" s="629">
        <f t="shared" si="32"/>
        <v>-1055093</v>
      </c>
      <c r="H42" s="629">
        <f t="shared" si="32"/>
        <v>1000000</v>
      </c>
      <c r="I42" s="629">
        <f t="shared" si="32"/>
        <v>2331379443</v>
      </c>
      <c r="J42" s="629">
        <f t="shared" si="32"/>
        <v>-110315093</v>
      </c>
      <c r="K42" s="629">
        <f t="shared" si="32"/>
        <v>51250000</v>
      </c>
      <c r="L42" s="629">
        <f t="shared" si="32"/>
        <v>2272369443</v>
      </c>
      <c r="M42" s="629">
        <f t="shared" si="32"/>
        <v>-59010000</v>
      </c>
      <c r="N42" s="628"/>
      <c r="O42" s="321"/>
      <c r="P42" s="30"/>
      <c r="Q42" s="629">
        <f>SUM(Q43:Q55)</f>
        <v>-15840</v>
      </c>
      <c r="R42" s="629">
        <f>SUM(R43:R55)</f>
        <v>410747</v>
      </c>
      <c r="S42" s="30" t="str">
        <f t="shared" si="1"/>
        <v>검토</v>
      </c>
    </row>
    <row r="43" spans="1:19" ht="53.25" customHeight="1">
      <c r="A43" s="770"/>
      <c r="B43" s="770"/>
      <c r="C43" s="100">
        <v>40</v>
      </c>
      <c r="D43" s="111" t="s">
        <v>507</v>
      </c>
      <c r="E43" s="111" t="s">
        <v>508</v>
      </c>
      <c r="F43" s="95">
        <v>9200000</v>
      </c>
      <c r="G43" s="95"/>
      <c r="H43" s="95">
        <v>1000000</v>
      </c>
      <c r="I43" s="102">
        <f t="shared" ref="I43:I57" si="33">F43+G43+H43</f>
        <v>10200000</v>
      </c>
      <c r="J43" s="375"/>
      <c r="K43" s="375">
        <f>1000000+200000</f>
        <v>1200000</v>
      </c>
      <c r="L43" s="665">
        <f>F43+J43+K43</f>
        <v>10400000</v>
      </c>
      <c r="M43" s="665">
        <f t="shared" ref="M43" si="34">L43-I43</f>
        <v>200000</v>
      </c>
      <c r="N43" s="749" t="str">
        <f t="shared" ref="N43:N44" si="35">IF(AND(((G43+H43)&lt;0),(J43+K43)&gt;(G43+H43)),"검토","-")</f>
        <v>-</v>
      </c>
      <c r="O43" s="263" t="s">
        <v>1302</v>
      </c>
      <c r="P43" s="378" t="s">
        <v>27</v>
      </c>
      <c r="Q43" s="180"/>
      <c r="R43" s="661">
        <f>K43</f>
        <v>1200000</v>
      </c>
      <c r="S43" s="104" t="str">
        <f t="shared" si="1"/>
        <v>검토</v>
      </c>
    </row>
    <row r="44" spans="1:19" ht="31.5" customHeight="1">
      <c r="A44" s="770"/>
      <c r="B44" s="770"/>
      <c r="C44" s="100">
        <v>57</v>
      </c>
      <c r="D44" s="111" t="s">
        <v>50</v>
      </c>
      <c r="E44" s="270" t="s">
        <v>509</v>
      </c>
      <c r="F44" s="95">
        <v>110880</v>
      </c>
      <c r="G44" s="95">
        <v>-15840</v>
      </c>
      <c r="H44" s="95"/>
      <c r="I44" s="102">
        <f t="shared" si="33"/>
        <v>95040</v>
      </c>
      <c r="J44" s="375">
        <v>-15840</v>
      </c>
      <c r="K44" s="375"/>
      <c r="L44" s="665">
        <f t="shared" ref="L44:L48" si="36">F44+J44+K44</f>
        <v>95040</v>
      </c>
      <c r="M44" s="665">
        <f t="shared" ref="M44:M48" si="37">L44-I44</f>
        <v>0</v>
      </c>
      <c r="N44" s="749" t="str">
        <f t="shared" si="35"/>
        <v>-</v>
      </c>
      <c r="O44" s="259" t="s">
        <v>510</v>
      </c>
      <c r="P44" s="378" t="s">
        <v>90</v>
      </c>
      <c r="Q44" s="180">
        <v>-15840</v>
      </c>
      <c r="R44" s="111"/>
      <c r="S44" s="104" t="str">
        <f t="shared" si="1"/>
        <v>ok</v>
      </c>
    </row>
    <row r="45" spans="1:19" s="673" customFormat="1" ht="31.5" customHeight="1">
      <c r="A45" s="770"/>
      <c r="B45" s="770"/>
      <c r="C45" s="662">
        <v>59</v>
      </c>
      <c r="D45" s="658" t="s">
        <v>50</v>
      </c>
      <c r="E45" s="288" t="s">
        <v>1562</v>
      </c>
      <c r="F45" s="658">
        <v>22080</v>
      </c>
      <c r="G45" s="658"/>
      <c r="H45" s="658"/>
      <c r="I45" s="665">
        <f t="shared" si="33"/>
        <v>22080</v>
      </c>
      <c r="J45" s="658"/>
      <c r="K45" s="641">
        <v>50000</v>
      </c>
      <c r="L45" s="665">
        <f t="shared" si="36"/>
        <v>72080</v>
      </c>
      <c r="M45" s="665">
        <f t="shared" si="37"/>
        <v>50000</v>
      </c>
      <c r="N45" s="749"/>
      <c r="O45" s="336"/>
      <c r="P45" s="653" t="s">
        <v>1223</v>
      </c>
      <c r="Q45" s="658"/>
      <c r="R45" s="661">
        <f>K45</f>
        <v>50000</v>
      </c>
      <c r="S45" s="648" t="str">
        <f t="shared" si="1"/>
        <v>검토</v>
      </c>
    </row>
    <row r="46" spans="1:19" ht="31.5" customHeight="1">
      <c r="A46" s="770"/>
      <c r="B46" s="770"/>
      <c r="C46" s="100">
        <v>63</v>
      </c>
      <c r="D46" s="111" t="s">
        <v>52</v>
      </c>
      <c r="E46" s="270" t="s">
        <v>511</v>
      </c>
      <c r="F46" s="95">
        <v>200000</v>
      </c>
      <c r="G46" s="95">
        <v>-200000</v>
      </c>
      <c r="H46" s="95"/>
      <c r="I46" s="102">
        <f t="shared" si="33"/>
        <v>0</v>
      </c>
      <c r="J46" s="375">
        <v>-200000</v>
      </c>
      <c r="K46" s="375"/>
      <c r="L46" s="665">
        <f t="shared" si="36"/>
        <v>0</v>
      </c>
      <c r="M46" s="665">
        <f t="shared" si="37"/>
        <v>0</v>
      </c>
      <c r="N46" s="749" t="str">
        <f t="shared" ref="N46:N50" si="38">IF(AND(((G46+H46)&lt;0),(J46+K46)&gt;(G46+H46)),"검토","-")</f>
        <v>-</v>
      </c>
      <c r="O46" s="259" t="s">
        <v>512</v>
      </c>
      <c r="P46" s="378" t="s">
        <v>231</v>
      </c>
      <c r="Q46" s="111"/>
      <c r="R46" s="661">
        <f t="shared" ref="R46:R48" si="39">J46</f>
        <v>-200000</v>
      </c>
      <c r="S46" s="104" t="str">
        <f t="shared" si="1"/>
        <v>ok</v>
      </c>
    </row>
    <row r="47" spans="1:19" ht="47.25" customHeight="1">
      <c r="A47" s="770"/>
      <c r="B47" s="770"/>
      <c r="C47" s="100">
        <v>65</v>
      </c>
      <c r="D47" s="111" t="s">
        <v>52</v>
      </c>
      <c r="E47" s="270" t="s">
        <v>513</v>
      </c>
      <c r="F47" s="95">
        <v>315497</v>
      </c>
      <c r="G47" s="95">
        <v>-239253</v>
      </c>
      <c r="H47" s="95"/>
      <c r="I47" s="102">
        <f t="shared" si="33"/>
        <v>76244</v>
      </c>
      <c r="J47" s="375">
        <v>-239253</v>
      </c>
      <c r="K47" s="375"/>
      <c r="L47" s="665">
        <f t="shared" si="36"/>
        <v>76244</v>
      </c>
      <c r="M47" s="665">
        <f t="shared" si="37"/>
        <v>0</v>
      </c>
      <c r="N47" s="749" t="str">
        <f t="shared" si="38"/>
        <v>-</v>
      </c>
      <c r="O47" s="259" t="s">
        <v>514</v>
      </c>
      <c r="P47" s="378" t="s">
        <v>231</v>
      </c>
      <c r="Q47" s="180"/>
      <c r="R47" s="661">
        <f t="shared" si="39"/>
        <v>-239253</v>
      </c>
      <c r="S47" s="104" t="str">
        <f t="shared" si="1"/>
        <v>ok</v>
      </c>
    </row>
    <row r="48" spans="1:19" ht="31.5" customHeight="1">
      <c r="A48" s="770"/>
      <c r="B48" s="770"/>
      <c r="C48" s="100">
        <v>68</v>
      </c>
      <c r="D48" s="111" t="s">
        <v>515</v>
      </c>
      <c r="E48" s="111" t="s">
        <v>516</v>
      </c>
      <c r="F48" s="95">
        <v>500000</v>
      </c>
      <c r="G48" s="95">
        <v>-100000</v>
      </c>
      <c r="H48" s="95"/>
      <c r="I48" s="102">
        <f t="shared" si="33"/>
        <v>400000</v>
      </c>
      <c r="J48" s="375">
        <v>-100000</v>
      </c>
      <c r="K48" s="375"/>
      <c r="L48" s="665">
        <f t="shared" si="36"/>
        <v>400000</v>
      </c>
      <c r="M48" s="665">
        <f t="shared" si="37"/>
        <v>0</v>
      </c>
      <c r="N48" s="749" t="str">
        <f t="shared" si="38"/>
        <v>-</v>
      </c>
      <c r="O48" s="259" t="s">
        <v>517</v>
      </c>
      <c r="P48" s="378" t="s">
        <v>231</v>
      </c>
      <c r="Q48" s="111"/>
      <c r="R48" s="661">
        <f t="shared" si="39"/>
        <v>-100000</v>
      </c>
      <c r="S48" s="104" t="str">
        <f t="shared" si="1"/>
        <v>ok</v>
      </c>
    </row>
    <row r="49" spans="1:19" s="673" customFormat="1" ht="87.75" customHeight="1">
      <c r="A49" s="770"/>
      <c r="B49" s="770">
        <v>0</v>
      </c>
      <c r="C49" s="662">
        <v>47</v>
      </c>
      <c r="D49" s="658" t="s">
        <v>1282</v>
      </c>
      <c r="E49" s="288" t="s">
        <v>1563</v>
      </c>
      <c r="F49" s="658">
        <v>287000</v>
      </c>
      <c r="G49" s="658"/>
      <c r="H49" s="658"/>
      <c r="I49" s="665">
        <f>F49+G49+H49</f>
        <v>287000</v>
      </c>
      <c r="J49" s="658"/>
      <c r="K49" s="641"/>
      <c r="L49" s="665">
        <f t="shared" ref="L49:L53" si="40">F49+J49+K49</f>
        <v>287000</v>
      </c>
      <c r="M49" s="665">
        <f t="shared" ref="M49:M53" si="41">L49-I49</f>
        <v>0</v>
      </c>
      <c r="N49" s="749" t="str">
        <f t="shared" si="38"/>
        <v>-</v>
      </c>
      <c r="O49" s="336" t="s">
        <v>1495</v>
      </c>
      <c r="P49" s="653" t="s">
        <v>1223</v>
      </c>
      <c r="Q49" s="658"/>
      <c r="R49" s="661"/>
      <c r="S49" s="648" t="str">
        <f>IF((G49+H49)=(Q49+R49),"ok","검토")</f>
        <v>ok</v>
      </c>
    </row>
    <row r="50" spans="1:19" s="673" customFormat="1" ht="31.5" customHeight="1">
      <c r="A50" s="770"/>
      <c r="B50" s="770"/>
      <c r="C50" s="662">
        <v>68</v>
      </c>
      <c r="D50" s="658" t="s">
        <v>515</v>
      </c>
      <c r="E50" s="288" t="s">
        <v>1564</v>
      </c>
      <c r="F50" s="658">
        <v>1747000</v>
      </c>
      <c r="G50" s="658">
        <v>-500000</v>
      </c>
      <c r="H50" s="658"/>
      <c r="I50" s="665">
        <f t="shared" ref="I50:I55" si="42">F50+G50+H50</f>
        <v>1247000</v>
      </c>
      <c r="J50" s="658">
        <v>-300000</v>
      </c>
      <c r="K50" s="641"/>
      <c r="L50" s="665">
        <f t="shared" si="40"/>
        <v>1447000</v>
      </c>
      <c r="M50" s="665">
        <f t="shared" si="41"/>
        <v>200000</v>
      </c>
      <c r="N50" s="749" t="str">
        <f t="shared" si="38"/>
        <v>검토</v>
      </c>
      <c r="O50" s="336" t="s">
        <v>518</v>
      </c>
      <c r="P50" s="653" t="s">
        <v>1223</v>
      </c>
      <c r="Q50" s="658"/>
      <c r="R50" s="661">
        <f>J50</f>
        <v>-300000</v>
      </c>
      <c r="S50" s="648" t="str">
        <f t="shared" si="1"/>
        <v>검토</v>
      </c>
    </row>
    <row r="51" spans="1:19" s="673" customFormat="1" ht="31.5" customHeight="1">
      <c r="A51" s="770"/>
      <c r="B51" s="770"/>
      <c r="C51" s="662" t="s">
        <v>1351</v>
      </c>
      <c r="D51" s="658" t="s">
        <v>1346</v>
      </c>
      <c r="E51" s="288" t="s">
        <v>1508</v>
      </c>
      <c r="F51" s="658">
        <v>1359031490</v>
      </c>
      <c r="G51" s="658"/>
      <c r="H51" s="658"/>
      <c r="I51" s="665">
        <f t="shared" si="42"/>
        <v>1359031490</v>
      </c>
      <c r="J51" s="658"/>
      <c r="K51" s="641">
        <v>37400000</v>
      </c>
      <c r="L51" s="665">
        <f t="shared" si="40"/>
        <v>1396431490</v>
      </c>
      <c r="M51" s="665">
        <f t="shared" si="41"/>
        <v>37400000</v>
      </c>
      <c r="N51" s="749" t="str">
        <f t="shared" ref="N51:N55" si="43">IF(AND(((G51+H51)&lt;0),(J51+K51)&gt;(G51+H51)),"검토","-")</f>
        <v>-</v>
      </c>
      <c r="O51" s="336"/>
      <c r="P51" s="653"/>
      <c r="Q51" s="658"/>
      <c r="R51" s="661"/>
      <c r="S51" s="648"/>
    </row>
    <row r="52" spans="1:19" s="673" customFormat="1" ht="31.5" customHeight="1">
      <c r="A52" s="770"/>
      <c r="B52" s="770"/>
      <c r="C52" s="662" t="s">
        <v>1351</v>
      </c>
      <c r="D52" s="658" t="s">
        <v>1346</v>
      </c>
      <c r="E52" s="288" t="s">
        <v>1565</v>
      </c>
      <c r="F52" s="658">
        <v>453010830</v>
      </c>
      <c r="G52" s="658"/>
      <c r="H52" s="658"/>
      <c r="I52" s="665">
        <f t="shared" si="42"/>
        <v>453010830</v>
      </c>
      <c r="J52" s="658"/>
      <c r="K52" s="641">
        <v>12600000</v>
      </c>
      <c r="L52" s="665">
        <f t="shared" si="40"/>
        <v>465610830</v>
      </c>
      <c r="M52" s="665">
        <f t="shared" si="41"/>
        <v>12600000</v>
      </c>
      <c r="N52" s="749" t="str">
        <f t="shared" si="43"/>
        <v>-</v>
      </c>
      <c r="O52" s="336"/>
      <c r="P52" s="653"/>
      <c r="Q52" s="658"/>
      <c r="R52" s="661"/>
      <c r="S52" s="648"/>
    </row>
    <row r="53" spans="1:19" s="673" customFormat="1" ht="31.5" customHeight="1">
      <c r="A53" s="770"/>
      <c r="B53" s="770"/>
      <c r="C53" s="662" t="s">
        <v>1351</v>
      </c>
      <c r="D53" s="658" t="s">
        <v>1346</v>
      </c>
      <c r="E53" s="288" t="s">
        <v>1507</v>
      </c>
      <c r="F53" s="658">
        <v>201338035</v>
      </c>
      <c r="G53" s="658"/>
      <c r="H53" s="658"/>
      <c r="I53" s="665">
        <f t="shared" si="42"/>
        <v>201338035</v>
      </c>
      <c r="J53" s="658">
        <v>-50000000</v>
      </c>
      <c r="K53" s="641"/>
      <c r="L53" s="665">
        <f t="shared" si="40"/>
        <v>151338035</v>
      </c>
      <c r="M53" s="665">
        <f t="shared" si="41"/>
        <v>-50000000</v>
      </c>
      <c r="N53" s="749" t="str">
        <f t="shared" si="43"/>
        <v>-</v>
      </c>
      <c r="O53" s="336"/>
      <c r="P53" s="653"/>
      <c r="Q53" s="658"/>
      <c r="R53" s="661"/>
      <c r="S53" s="648"/>
    </row>
    <row r="54" spans="1:19" s="673" customFormat="1" ht="31.5" customHeight="1">
      <c r="A54" s="770"/>
      <c r="B54" s="770"/>
      <c r="C54" s="662">
        <v>44</v>
      </c>
      <c r="D54" s="658" t="s">
        <v>1346</v>
      </c>
      <c r="E54" s="288" t="s">
        <v>1566</v>
      </c>
      <c r="F54" s="658">
        <v>179908000</v>
      </c>
      <c r="G54" s="658"/>
      <c r="H54" s="658"/>
      <c r="I54" s="665">
        <f t="shared" si="42"/>
        <v>179908000</v>
      </c>
      <c r="J54" s="658">
        <v>-50000000</v>
      </c>
      <c r="K54" s="641"/>
      <c r="L54" s="665">
        <f t="shared" ref="L54" si="44">F54+J54+K54</f>
        <v>129908000</v>
      </c>
      <c r="M54" s="665">
        <f t="shared" ref="M54" si="45">L54-I54</f>
        <v>-50000000</v>
      </c>
      <c r="N54" s="749" t="str">
        <f t="shared" si="43"/>
        <v>-</v>
      </c>
      <c r="O54" s="336"/>
      <c r="P54" s="653"/>
      <c r="Q54" s="658"/>
      <c r="R54" s="661"/>
      <c r="S54" s="648"/>
    </row>
    <row r="55" spans="1:19" s="673" customFormat="1" ht="31.5" customHeight="1">
      <c r="A55" s="770"/>
      <c r="B55" s="770"/>
      <c r="C55" s="662">
        <v>44</v>
      </c>
      <c r="D55" s="658" t="s">
        <v>1346</v>
      </c>
      <c r="E55" s="288" t="s">
        <v>1567</v>
      </c>
      <c r="F55" s="658">
        <v>125763724</v>
      </c>
      <c r="G55" s="658"/>
      <c r="H55" s="658"/>
      <c r="I55" s="665">
        <f t="shared" si="42"/>
        <v>125763724</v>
      </c>
      <c r="J55" s="658">
        <f>-10010000+40000+510000</f>
        <v>-9460000</v>
      </c>
      <c r="K55" s="641"/>
      <c r="L55" s="665">
        <f t="shared" ref="L55" si="46">F55+J55+K55</f>
        <v>116303724</v>
      </c>
      <c r="M55" s="665">
        <f t="shared" ref="M55" si="47">L55-I55</f>
        <v>-9460000</v>
      </c>
      <c r="N55" s="749" t="str">
        <f t="shared" si="43"/>
        <v>-</v>
      </c>
      <c r="O55" s="336" t="s">
        <v>1458</v>
      </c>
      <c r="P55" s="653"/>
      <c r="Q55" s="658"/>
      <c r="R55" s="661"/>
      <c r="S55" s="648"/>
    </row>
    <row r="56" spans="1:19" ht="31.5" customHeight="1">
      <c r="A56" s="770"/>
      <c r="B56" s="612" t="s">
        <v>519</v>
      </c>
      <c r="C56" s="628"/>
      <c r="D56" s="31"/>
      <c r="E56" s="31"/>
      <c r="F56" s="32">
        <f>SUM(F57:F59)</f>
        <v>356500</v>
      </c>
      <c r="G56" s="32">
        <f t="shared" ref="G56:I56" si="48">SUM(G57:G59)</f>
        <v>0</v>
      </c>
      <c r="H56" s="32">
        <f t="shared" si="48"/>
        <v>100400</v>
      </c>
      <c r="I56" s="32">
        <f t="shared" si="48"/>
        <v>456900</v>
      </c>
      <c r="J56" s="370">
        <f t="shared" ref="J56:K56" si="49">SUM(J57:J59)</f>
        <v>0</v>
      </c>
      <c r="K56" s="370">
        <f t="shared" si="49"/>
        <v>250400</v>
      </c>
      <c r="L56" s="370">
        <f t="shared" si="25"/>
        <v>606900</v>
      </c>
      <c r="M56" s="370">
        <f t="shared" si="4"/>
        <v>150000</v>
      </c>
      <c r="N56" s="628"/>
      <c r="O56" s="321"/>
      <c r="P56" s="30"/>
      <c r="Q56" s="32">
        <f t="shared" ref="Q56:R56" si="50">SUM(Q57:Q59)</f>
        <v>0</v>
      </c>
      <c r="R56" s="32">
        <f t="shared" si="50"/>
        <v>250400</v>
      </c>
      <c r="S56" s="30" t="str">
        <f t="shared" si="1"/>
        <v>검토</v>
      </c>
    </row>
    <row r="57" spans="1:19" ht="46.5" customHeight="1">
      <c r="A57" s="770"/>
      <c r="B57" s="770"/>
      <c r="C57" s="100">
        <v>90</v>
      </c>
      <c r="D57" s="111" t="s">
        <v>520</v>
      </c>
      <c r="E57" s="283" t="s">
        <v>521</v>
      </c>
      <c r="F57" s="95">
        <v>6000</v>
      </c>
      <c r="G57" s="95"/>
      <c r="H57" s="95">
        <v>28400</v>
      </c>
      <c r="I57" s="102">
        <f t="shared" si="33"/>
        <v>34400</v>
      </c>
      <c r="J57" s="375"/>
      <c r="K57" s="375">
        <v>28400</v>
      </c>
      <c r="L57" s="665">
        <f t="shared" si="25"/>
        <v>34400</v>
      </c>
      <c r="M57" s="665">
        <f t="shared" si="4"/>
        <v>0</v>
      </c>
      <c r="N57" s="749" t="str">
        <f t="shared" ref="N57:N59" si="51">IF(AND(((G57+H57)&lt;0),(J57+K57)&gt;(G57+H57)),"검토","-")</f>
        <v>-</v>
      </c>
      <c r="O57" s="259" t="s">
        <v>522</v>
      </c>
      <c r="P57" s="378" t="s">
        <v>97</v>
      </c>
      <c r="Q57" s="103"/>
      <c r="R57" s="661">
        <f t="shared" ref="R57:R59" si="52">K57</f>
        <v>28400</v>
      </c>
      <c r="S57" s="104" t="str">
        <f t="shared" si="1"/>
        <v>ok</v>
      </c>
    </row>
    <row r="58" spans="1:19" s="372" customFormat="1" ht="56.25" customHeight="1">
      <c r="A58" s="770"/>
      <c r="B58" s="770"/>
      <c r="C58" s="371">
        <v>90</v>
      </c>
      <c r="D58" s="111" t="s">
        <v>520</v>
      </c>
      <c r="E58" s="283" t="s">
        <v>523</v>
      </c>
      <c r="F58" s="375">
        <v>128000</v>
      </c>
      <c r="G58" s="375"/>
      <c r="H58" s="375">
        <v>72000</v>
      </c>
      <c r="I58" s="376">
        <f t="shared" ref="I58:I59" si="53">F58+G58+H58</f>
        <v>200000</v>
      </c>
      <c r="J58" s="375"/>
      <c r="K58" s="375">
        <v>72000</v>
      </c>
      <c r="L58" s="665">
        <f t="shared" si="25"/>
        <v>200000</v>
      </c>
      <c r="M58" s="665">
        <f t="shared" si="4"/>
        <v>0</v>
      </c>
      <c r="N58" s="749" t="str">
        <f t="shared" si="51"/>
        <v>-</v>
      </c>
      <c r="O58" s="413" t="s">
        <v>524</v>
      </c>
      <c r="P58" s="378" t="s">
        <v>97</v>
      </c>
      <c r="Q58" s="377"/>
      <c r="R58" s="661">
        <f t="shared" si="52"/>
        <v>72000</v>
      </c>
      <c r="S58" s="378" t="str">
        <f t="shared" si="1"/>
        <v>ok</v>
      </c>
    </row>
    <row r="59" spans="1:19" s="673" customFormat="1" ht="31.5" customHeight="1">
      <c r="A59" s="770"/>
      <c r="B59" s="770"/>
      <c r="C59" s="662">
        <v>50</v>
      </c>
      <c r="D59" s="658" t="s">
        <v>1159</v>
      </c>
      <c r="E59" s="288" t="s">
        <v>1568</v>
      </c>
      <c r="F59" s="658">
        <v>222500</v>
      </c>
      <c r="G59" s="658"/>
      <c r="H59" s="658"/>
      <c r="I59" s="665">
        <f t="shared" si="53"/>
        <v>222500</v>
      </c>
      <c r="J59" s="658"/>
      <c r="K59" s="641">
        <v>150000</v>
      </c>
      <c r="L59" s="665">
        <f t="shared" si="25"/>
        <v>372500</v>
      </c>
      <c r="M59" s="665">
        <f t="shared" si="4"/>
        <v>150000</v>
      </c>
      <c r="N59" s="749" t="str">
        <f t="shared" si="51"/>
        <v>-</v>
      </c>
      <c r="O59" s="336" t="s">
        <v>1303</v>
      </c>
      <c r="P59" s="653" t="s">
        <v>1535</v>
      </c>
      <c r="Q59" s="658"/>
      <c r="R59" s="661">
        <f t="shared" si="52"/>
        <v>150000</v>
      </c>
      <c r="S59" s="648" t="str">
        <f t="shared" si="1"/>
        <v>검토</v>
      </c>
    </row>
    <row r="60" spans="1:19" ht="31.5" customHeight="1">
      <c r="A60" s="770"/>
      <c r="B60" s="612" t="s">
        <v>525</v>
      </c>
      <c r="C60" s="628"/>
      <c r="D60" s="31"/>
      <c r="E60" s="31"/>
      <c r="F60" s="32">
        <f>SUM(F61:F61)</f>
        <v>100000</v>
      </c>
      <c r="G60" s="629">
        <f t="shared" ref="G60:M60" si="54">SUM(G61:G61)</f>
        <v>0</v>
      </c>
      <c r="H60" s="629">
        <f t="shared" si="54"/>
        <v>100000</v>
      </c>
      <c r="I60" s="629">
        <f t="shared" si="54"/>
        <v>200000</v>
      </c>
      <c r="J60" s="629">
        <f t="shared" si="54"/>
        <v>0</v>
      </c>
      <c r="K60" s="629">
        <f t="shared" si="54"/>
        <v>100000</v>
      </c>
      <c r="L60" s="629">
        <f t="shared" si="54"/>
        <v>200000</v>
      </c>
      <c r="M60" s="629">
        <f t="shared" si="54"/>
        <v>0</v>
      </c>
      <c r="N60" s="628"/>
      <c r="O60" s="321"/>
      <c r="P60" s="30"/>
      <c r="Q60" s="614">
        <f>SUM(Q61:Q128)</f>
        <v>0</v>
      </c>
      <c r="R60" s="614">
        <f>SUM(R61:R128)</f>
        <v>30266338</v>
      </c>
      <c r="S60" s="30" t="str">
        <f t="shared" si="1"/>
        <v>검토</v>
      </c>
    </row>
    <row r="61" spans="1:19" s="372" customFormat="1" ht="31.5" customHeight="1">
      <c r="A61" s="770"/>
      <c r="B61" s="770"/>
      <c r="C61" s="371">
        <v>102</v>
      </c>
      <c r="D61" s="379" t="s">
        <v>526</v>
      </c>
      <c r="E61" s="379" t="s">
        <v>527</v>
      </c>
      <c r="F61" s="375">
        <v>100000</v>
      </c>
      <c r="G61" s="375"/>
      <c r="H61" s="375">
        <v>100000</v>
      </c>
      <c r="I61" s="376">
        <f t="shared" ref="I61" si="55">F61+G61+H61</f>
        <v>200000</v>
      </c>
      <c r="J61" s="375"/>
      <c r="K61" s="375">
        <v>100000</v>
      </c>
      <c r="L61" s="665">
        <f t="shared" ref="L61" si="56">F61+J61+K61</f>
        <v>200000</v>
      </c>
      <c r="M61" s="665">
        <f t="shared" ref="M61" si="57">L61-I61</f>
        <v>0</v>
      </c>
      <c r="N61" s="749" t="str">
        <f t="shared" ref="N61" si="58">IF(AND(((G61+H61)&lt;0),(J61+K61)&gt;(G61+H61)),"검토","-")</f>
        <v>-</v>
      </c>
      <c r="O61" s="413" t="s">
        <v>528</v>
      </c>
      <c r="P61" s="378" t="s">
        <v>97</v>
      </c>
      <c r="Q61" s="377"/>
      <c r="R61" s="661">
        <f>K61</f>
        <v>100000</v>
      </c>
      <c r="S61" s="378" t="str">
        <f t="shared" si="1"/>
        <v>ok</v>
      </c>
    </row>
    <row r="62" spans="1:19" ht="31.5" customHeight="1">
      <c r="A62" s="445" t="s">
        <v>92</v>
      </c>
      <c r="B62" s="772"/>
      <c r="C62" s="26"/>
      <c r="D62" s="26"/>
      <c r="E62" s="26"/>
      <c r="F62" s="27">
        <f t="shared" ref="F62:K62" si="59">SUM(F63:F128)/2</f>
        <v>32726201</v>
      </c>
      <c r="G62" s="27">
        <f t="shared" si="59"/>
        <v>-2311000</v>
      </c>
      <c r="H62" s="27">
        <f t="shared" si="59"/>
        <v>14631446</v>
      </c>
      <c r="I62" s="27">
        <f t="shared" si="59"/>
        <v>45046647</v>
      </c>
      <c r="J62" s="369">
        <f t="shared" si="59"/>
        <v>-2331000</v>
      </c>
      <c r="K62" s="369">
        <f t="shared" si="59"/>
        <v>12386446</v>
      </c>
      <c r="L62" s="369">
        <f t="shared" si="25"/>
        <v>42781647</v>
      </c>
      <c r="M62" s="369">
        <f t="shared" si="4"/>
        <v>-2265000</v>
      </c>
      <c r="N62" s="626"/>
      <c r="O62" s="320"/>
      <c r="P62" s="26"/>
      <c r="Q62" s="27">
        <f>SUM(Q63:Q128)/2</f>
        <v>0</v>
      </c>
      <c r="R62" s="27">
        <f>SUM(R63:R128)/2</f>
        <v>10055446</v>
      </c>
      <c r="S62" s="26" t="str">
        <f t="shared" si="1"/>
        <v>검토</v>
      </c>
    </row>
    <row r="63" spans="1:19" ht="31.5" customHeight="1">
      <c r="A63" s="770"/>
      <c r="B63" s="612" t="s">
        <v>93</v>
      </c>
      <c r="C63" s="628"/>
      <c r="D63" s="31"/>
      <c r="E63" s="31"/>
      <c r="F63" s="32">
        <f t="shared" ref="F63:K63" si="60">SUM(F64:F120)</f>
        <v>31928201</v>
      </c>
      <c r="G63" s="32">
        <f t="shared" si="60"/>
        <v>-2311000</v>
      </c>
      <c r="H63" s="32">
        <f t="shared" si="60"/>
        <v>13737446</v>
      </c>
      <c r="I63" s="32">
        <f t="shared" si="60"/>
        <v>43354647</v>
      </c>
      <c r="J63" s="370">
        <f t="shared" si="60"/>
        <v>-2331000</v>
      </c>
      <c r="K63" s="370">
        <f t="shared" si="60"/>
        <v>11452446</v>
      </c>
      <c r="L63" s="370">
        <f t="shared" si="25"/>
        <v>41049647</v>
      </c>
      <c r="M63" s="370">
        <f t="shared" si="4"/>
        <v>-2305000</v>
      </c>
      <c r="N63" s="628"/>
      <c r="O63" s="321"/>
      <c r="P63" s="30"/>
      <c r="Q63" s="32">
        <f>SUM(Q64:Q120)</f>
        <v>0</v>
      </c>
      <c r="R63" s="32">
        <f>SUM(R64:R120)</f>
        <v>9121446</v>
      </c>
      <c r="S63" s="30" t="str">
        <f t="shared" si="1"/>
        <v>검토</v>
      </c>
    </row>
    <row r="64" spans="1:19" s="673" customFormat="1" ht="31.5" customHeight="1">
      <c r="A64" s="770"/>
      <c r="B64" s="770"/>
      <c r="C64" s="662">
        <v>124</v>
      </c>
      <c r="D64" s="658" t="s">
        <v>95</v>
      </c>
      <c r="E64" s="288" t="s">
        <v>1569</v>
      </c>
      <c r="F64" s="658">
        <v>1485000</v>
      </c>
      <c r="G64" s="658">
        <v>-200000</v>
      </c>
      <c r="H64" s="658"/>
      <c r="I64" s="665">
        <f t="shared" ref="I64:I119" si="61">F64+G64+H64</f>
        <v>1285000</v>
      </c>
      <c r="J64" s="658">
        <v>-200000</v>
      </c>
      <c r="K64" s="641"/>
      <c r="L64" s="665">
        <f t="shared" si="25"/>
        <v>1285000</v>
      </c>
      <c r="M64" s="665">
        <f t="shared" si="4"/>
        <v>0</v>
      </c>
      <c r="N64" s="749" t="str">
        <f t="shared" ref="N64:N120" si="62">IF(AND(((G64+H64)&lt;0),(J64+K64)&gt;(G64+H64)),"검토","-")</f>
        <v>-</v>
      </c>
      <c r="O64" s="336" t="s">
        <v>1304</v>
      </c>
      <c r="P64" s="653" t="s">
        <v>1223</v>
      </c>
      <c r="Q64" s="658"/>
      <c r="R64" s="661">
        <f>J64</f>
        <v>-200000</v>
      </c>
      <c r="S64" s="648" t="str">
        <f t="shared" si="1"/>
        <v>ok</v>
      </c>
    </row>
    <row r="65" spans="1:19" ht="31.5" customHeight="1">
      <c r="A65" s="770"/>
      <c r="B65" s="770"/>
      <c r="C65" s="107" t="s">
        <v>253</v>
      </c>
      <c r="D65" s="104" t="s">
        <v>95</v>
      </c>
      <c r="E65" s="183" t="s">
        <v>529</v>
      </c>
      <c r="F65" s="95"/>
      <c r="G65" s="95"/>
      <c r="H65" s="95">
        <v>400000</v>
      </c>
      <c r="I65" s="102">
        <f t="shared" si="61"/>
        <v>400000</v>
      </c>
      <c r="J65" s="375"/>
      <c r="K65" s="375">
        <v>400000</v>
      </c>
      <c r="L65" s="665">
        <f t="shared" si="25"/>
        <v>400000</v>
      </c>
      <c r="M65" s="665">
        <f t="shared" si="4"/>
        <v>0</v>
      </c>
      <c r="N65" s="749" t="str">
        <f t="shared" si="62"/>
        <v>-</v>
      </c>
      <c r="O65" s="322" t="s">
        <v>530</v>
      </c>
      <c r="P65" s="378" t="s">
        <v>97</v>
      </c>
      <c r="Q65" s="103"/>
      <c r="R65" s="661">
        <f t="shared" ref="R65:R74" si="63">K65</f>
        <v>400000</v>
      </c>
      <c r="S65" s="104" t="str">
        <f t="shared" si="1"/>
        <v>ok</v>
      </c>
    </row>
    <row r="66" spans="1:19" ht="31.5" customHeight="1">
      <c r="A66" s="770"/>
      <c r="B66" s="770"/>
      <c r="C66" s="100">
        <v>124</v>
      </c>
      <c r="D66" s="104" t="s">
        <v>95</v>
      </c>
      <c r="E66" s="101" t="s">
        <v>531</v>
      </c>
      <c r="F66" s="95">
        <v>150000</v>
      </c>
      <c r="G66" s="95"/>
      <c r="H66" s="95">
        <v>90000</v>
      </c>
      <c r="I66" s="102">
        <f t="shared" si="61"/>
        <v>240000</v>
      </c>
      <c r="J66" s="375"/>
      <c r="K66" s="375">
        <v>90000</v>
      </c>
      <c r="L66" s="665">
        <f t="shared" si="25"/>
        <v>240000</v>
      </c>
      <c r="M66" s="665">
        <f t="shared" si="4"/>
        <v>0</v>
      </c>
      <c r="N66" s="749" t="str">
        <f t="shared" si="62"/>
        <v>-</v>
      </c>
      <c r="O66" s="322"/>
      <c r="P66" s="378" t="s">
        <v>97</v>
      </c>
      <c r="Q66" s="103"/>
      <c r="R66" s="661">
        <f t="shared" si="63"/>
        <v>90000</v>
      </c>
      <c r="S66" s="104" t="str">
        <f t="shared" si="1"/>
        <v>ok</v>
      </c>
    </row>
    <row r="67" spans="1:19" ht="31.5" customHeight="1">
      <c r="A67" s="770"/>
      <c r="B67" s="770"/>
      <c r="C67" s="100">
        <v>125</v>
      </c>
      <c r="D67" s="104" t="s">
        <v>95</v>
      </c>
      <c r="E67" s="183" t="s">
        <v>532</v>
      </c>
      <c r="F67" s="95">
        <v>50000</v>
      </c>
      <c r="G67" s="95"/>
      <c r="H67" s="95">
        <v>150000</v>
      </c>
      <c r="I67" s="102">
        <f t="shared" si="61"/>
        <v>200000</v>
      </c>
      <c r="J67" s="375"/>
      <c r="K67" s="375">
        <v>150000</v>
      </c>
      <c r="L67" s="665">
        <f t="shared" si="25"/>
        <v>200000</v>
      </c>
      <c r="M67" s="665">
        <f t="shared" si="4"/>
        <v>0</v>
      </c>
      <c r="N67" s="749" t="str">
        <f t="shared" si="62"/>
        <v>-</v>
      </c>
      <c r="O67" s="322" t="s">
        <v>1013</v>
      </c>
      <c r="P67" s="378" t="s">
        <v>97</v>
      </c>
      <c r="Q67" s="103"/>
      <c r="R67" s="661">
        <f t="shared" si="63"/>
        <v>150000</v>
      </c>
      <c r="S67" s="104" t="str">
        <f t="shared" si="1"/>
        <v>ok</v>
      </c>
    </row>
    <row r="68" spans="1:19" s="673" customFormat="1" ht="31.5" customHeight="1">
      <c r="A68" s="770">
        <v>1</v>
      </c>
      <c r="B68" s="770"/>
      <c r="C68" s="662">
        <v>126</v>
      </c>
      <c r="D68" s="658" t="s">
        <v>95</v>
      </c>
      <c r="E68" s="288" t="s">
        <v>1570</v>
      </c>
      <c r="F68" s="658">
        <v>1300000</v>
      </c>
      <c r="G68" s="658"/>
      <c r="H68" s="658">
        <v>200000</v>
      </c>
      <c r="I68" s="665">
        <f t="shared" si="61"/>
        <v>1500000</v>
      </c>
      <c r="J68" s="658"/>
      <c r="K68" s="641">
        <v>400000</v>
      </c>
      <c r="L68" s="665">
        <f t="shared" si="25"/>
        <v>1700000</v>
      </c>
      <c r="M68" s="665">
        <f t="shared" si="4"/>
        <v>200000</v>
      </c>
      <c r="N68" s="749" t="str">
        <f t="shared" si="62"/>
        <v>-</v>
      </c>
      <c r="O68" s="336" t="s">
        <v>1473</v>
      </c>
      <c r="P68" s="653" t="s">
        <v>1223</v>
      </c>
      <c r="Q68" s="658"/>
      <c r="R68" s="661">
        <f t="shared" si="63"/>
        <v>400000</v>
      </c>
      <c r="S68" s="648" t="str">
        <f t="shared" si="1"/>
        <v>검토</v>
      </c>
    </row>
    <row r="69" spans="1:19" ht="31.5" customHeight="1">
      <c r="A69" s="770"/>
      <c r="B69" s="770"/>
      <c r="C69" s="100">
        <v>127</v>
      </c>
      <c r="D69" s="104" t="s">
        <v>95</v>
      </c>
      <c r="E69" s="183" t="s">
        <v>533</v>
      </c>
      <c r="F69" s="95">
        <v>200000</v>
      </c>
      <c r="G69" s="95"/>
      <c r="H69" s="95">
        <v>42000</v>
      </c>
      <c r="I69" s="102">
        <f t="shared" si="61"/>
        <v>242000</v>
      </c>
      <c r="J69" s="375"/>
      <c r="K69" s="375">
        <v>42000</v>
      </c>
      <c r="L69" s="665">
        <f t="shared" si="25"/>
        <v>242000</v>
      </c>
      <c r="M69" s="665">
        <f t="shared" si="4"/>
        <v>0</v>
      </c>
      <c r="N69" s="749" t="str">
        <f t="shared" si="62"/>
        <v>-</v>
      </c>
      <c r="O69" s="322" t="s">
        <v>534</v>
      </c>
      <c r="P69" s="378" t="s">
        <v>97</v>
      </c>
      <c r="Q69" s="103"/>
      <c r="R69" s="661">
        <f t="shared" si="63"/>
        <v>42000</v>
      </c>
      <c r="S69" s="104" t="str">
        <f t="shared" si="1"/>
        <v>ok</v>
      </c>
    </row>
    <row r="70" spans="1:19" ht="31.5" customHeight="1">
      <c r="A70" s="770"/>
      <c r="B70" s="770"/>
      <c r="C70" s="100">
        <v>128</v>
      </c>
      <c r="D70" s="104" t="s">
        <v>95</v>
      </c>
      <c r="E70" s="183" t="s">
        <v>535</v>
      </c>
      <c r="F70" s="95">
        <v>50000</v>
      </c>
      <c r="G70" s="95"/>
      <c r="H70" s="95">
        <v>50000</v>
      </c>
      <c r="I70" s="102">
        <f t="shared" si="61"/>
        <v>100000</v>
      </c>
      <c r="J70" s="375"/>
      <c r="K70" s="375">
        <v>50000</v>
      </c>
      <c r="L70" s="665">
        <f t="shared" si="25"/>
        <v>100000</v>
      </c>
      <c r="M70" s="665">
        <f t="shared" si="4"/>
        <v>0</v>
      </c>
      <c r="N70" s="749" t="str">
        <f t="shared" si="62"/>
        <v>-</v>
      </c>
      <c r="O70" s="322" t="s">
        <v>536</v>
      </c>
      <c r="P70" s="378" t="s">
        <v>97</v>
      </c>
      <c r="Q70" s="103"/>
      <c r="R70" s="661">
        <f t="shared" si="63"/>
        <v>50000</v>
      </c>
      <c r="S70" s="104" t="str">
        <f t="shared" si="1"/>
        <v>ok</v>
      </c>
    </row>
    <row r="71" spans="1:19" ht="31.5" customHeight="1">
      <c r="A71" s="770"/>
      <c r="B71" s="770"/>
      <c r="C71" s="100">
        <v>128</v>
      </c>
      <c r="D71" s="104" t="s">
        <v>95</v>
      </c>
      <c r="E71" s="183" t="s">
        <v>537</v>
      </c>
      <c r="F71" s="95">
        <v>50000</v>
      </c>
      <c r="G71" s="95"/>
      <c r="H71" s="95">
        <v>20000</v>
      </c>
      <c r="I71" s="102">
        <f t="shared" si="61"/>
        <v>70000</v>
      </c>
      <c r="J71" s="375"/>
      <c r="K71" s="375">
        <v>20000</v>
      </c>
      <c r="L71" s="665">
        <f t="shared" si="25"/>
        <v>70000</v>
      </c>
      <c r="M71" s="665">
        <f t="shared" si="4"/>
        <v>0</v>
      </c>
      <c r="N71" s="749" t="str">
        <f t="shared" si="62"/>
        <v>-</v>
      </c>
      <c r="O71" s="322" t="s">
        <v>538</v>
      </c>
      <c r="P71" s="378" t="s">
        <v>97</v>
      </c>
      <c r="Q71" s="103"/>
      <c r="R71" s="661">
        <f t="shared" si="63"/>
        <v>20000</v>
      </c>
      <c r="S71" s="104" t="str">
        <f t="shared" si="1"/>
        <v>ok</v>
      </c>
    </row>
    <row r="72" spans="1:19" ht="31.5" customHeight="1">
      <c r="A72" s="770"/>
      <c r="B72" s="770"/>
      <c r="C72" s="107" t="s">
        <v>253</v>
      </c>
      <c r="D72" s="104" t="s">
        <v>95</v>
      </c>
      <c r="E72" s="140" t="s">
        <v>1037</v>
      </c>
      <c r="F72" s="95"/>
      <c r="G72" s="95"/>
      <c r="H72" s="95">
        <v>200000</v>
      </c>
      <c r="I72" s="102">
        <f t="shared" si="61"/>
        <v>200000</v>
      </c>
      <c r="J72" s="375"/>
      <c r="K72" s="375">
        <v>200000</v>
      </c>
      <c r="L72" s="665">
        <f t="shared" si="25"/>
        <v>200000</v>
      </c>
      <c r="M72" s="665">
        <f t="shared" si="4"/>
        <v>0</v>
      </c>
      <c r="N72" s="749" t="str">
        <f t="shared" si="62"/>
        <v>-</v>
      </c>
      <c r="O72" s="322" t="s">
        <v>1038</v>
      </c>
      <c r="P72" s="378" t="s">
        <v>97</v>
      </c>
      <c r="Q72" s="103"/>
      <c r="R72" s="661">
        <f t="shared" si="63"/>
        <v>200000</v>
      </c>
      <c r="S72" s="104" t="str">
        <f t="shared" si="1"/>
        <v>ok</v>
      </c>
    </row>
    <row r="73" spans="1:19" ht="31.5" customHeight="1">
      <c r="A73" s="770"/>
      <c r="B73" s="770"/>
      <c r="C73" s="107" t="s">
        <v>253</v>
      </c>
      <c r="D73" s="104" t="s">
        <v>95</v>
      </c>
      <c r="E73" s="183" t="s">
        <v>539</v>
      </c>
      <c r="F73" s="95"/>
      <c r="G73" s="95"/>
      <c r="H73" s="95">
        <v>30000</v>
      </c>
      <c r="I73" s="102">
        <f t="shared" si="61"/>
        <v>30000</v>
      </c>
      <c r="J73" s="375"/>
      <c r="K73" s="375">
        <v>30000</v>
      </c>
      <c r="L73" s="665">
        <f t="shared" si="25"/>
        <v>30000</v>
      </c>
      <c r="M73" s="665">
        <f t="shared" si="4"/>
        <v>0</v>
      </c>
      <c r="N73" s="749" t="str">
        <f t="shared" si="62"/>
        <v>-</v>
      </c>
      <c r="O73" s="322" t="s">
        <v>540</v>
      </c>
      <c r="P73" s="378" t="s">
        <v>97</v>
      </c>
      <c r="Q73" s="103"/>
      <c r="R73" s="661">
        <f t="shared" si="63"/>
        <v>30000</v>
      </c>
      <c r="S73" s="104" t="str">
        <f t="shared" si="1"/>
        <v>ok</v>
      </c>
    </row>
    <row r="74" spans="1:19" ht="31.5" customHeight="1">
      <c r="A74" s="770"/>
      <c r="B74" s="770"/>
      <c r="C74" s="100">
        <v>128</v>
      </c>
      <c r="D74" s="104" t="s">
        <v>95</v>
      </c>
      <c r="E74" s="183" t="s">
        <v>541</v>
      </c>
      <c r="F74" s="95">
        <v>30000</v>
      </c>
      <c r="G74" s="95"/>
      <c r="H74" s="95">
        <v>20000</v>
      </c>
      <c r="I74" s="102">
        <f t="shared" si="61"/>
        <v>50000</v>
      </c>
      <c r="J74" s="375"/>
      <c r="K74" s="375">
        <v>20000</v>
      </c>
      <c r="L74" s="665">
        <f t="shared" si="25"/>
        <v>50000</v>
      </c>
      <c r="M74" s="665">
        <f t="shared" si="4"/>
        <v>0</v>
      </c>
      <c r="N74" s="749" t="str">
        <f t="shared" si="62"/>
        <v>-</v>
      </c>
      <c r="O74" s="322"/>
      <c r="P74" s="378" t="s">
        <v>97</v>
      </c>
      <c r="Q74" s="103"/>
      <c r="R74" s="661">
        <f t="shared" si="63"/>
        <v>20000</v>
      </c>
      <c r="S74" s="104" t="str">
        <f t="shared" si="1"/>
        <v>ok</v>
      </c>
    </row>
    <row r="75" spans="1:19" ht="31.5" customHeight="1">
      <c r="A75" s="770"/>
      <c r="B75" s="770"/>
      <c r="C75" s="100">
        <v>130</v>
      </c>
      <c r="D75" s="104" t="s">
        <v>542</v>
      </c>
      <c r="E75" s="111" t="s">
        <v>543</v>
      </c>
      <c r="F75" s="95">
        <v>3636000</v>
      </c>
      <c r="G75" s="95">
        <v>-200000</v>
      </c>
      <c r="H75" s="95"/>
      <c r="I75" s="102">
        <f t="shared" si="61"/>
        <v>3436000</v>
      </c>
      <c r="J75" s="375">
        <v>-200000</v>
      </c>
      <c r="K75" s="375"/>
      <c r="L75" s="665">
        <f t="shared" si="25"/>
        <v>3436000</v>
      </c>
      <c r="M75" s="665">
        <f t="shared" si="4"/>
        <v>0</v>
      </c>
      <c r="N75" s="749" t="str">
        <f t="shared" si="62"/>
        <v>-</v>
      </c>
      <c r="O75" s="322"/>
      <c r="P75" s="378" t="s">
        <v>97</v>
      </c>
      <c r="Q75" s="103"/>
      <c r="R75" s="661">
        <f>J75</f>
        <v>-200000</v>
      </c>
      <c r="S75" s="104" t="str">
        <f t="shared" si="1"/>
        <v>ok</v>
      </c>
    </row>
    <row r="76" spans="1:19" ht="31.5" customHeight="1">
      <c r="A76" s="770"/>
      <c r="B76" s="770"/>
      <c r="C76" s="100">
        <v>131</v>
      </c>
      <c r="D76" s="104" t="s">
        <v>542</v>
      </c>
      <c r="E76" s="183" t="s">
        <v>544</v>
      </c>
      <c r="F76" s="95">
        <v>11000</v>
      </c>
      <c r="G76" s="95"/>
      <c r="H76" s="95">
        <v>5500</v>
      </c>
      <c r="I76" s="102">
        <f t="shared" si="61"/>
        <v>16500</v>
      </c>
      <c r="J76" s="375"/>
      <c r="K76" s="375">
        <v>5500</v>
      </c>
      <c r="L76" s="665">
        <f t="shared" ref="L76:L120" si="64">F76+J76+K76</f>
        <v>16500</v>
      </c>
      <c r="M76" s="665">
        <f t="shared" ref="M76:M120" si="65">L76-I76</f>
        <v>0</v>
      </c>
      <c r="N76" s="749" t="str">
        <f t="shared" si="62"/>
        <v>-</v>
      </c>
      <c r="O76" s="322" t="s">
        <v>545</v>
      </c>
      <c r="P76" s="378" t="s">
        <v>97</v>
      </c>
      <c r="Q76" s="103"/>
      <c r="R76" s="661">
        <f t="shared" ref="R76:R80" si="66">K76</f>
        <v>5500</v>
      </c>
      <c r="S76" s="104" t="str">
        <f t="shared" si="1"/>
        <v>ok</v>
      </c>
    </row>
    <row r="77" spans="1:19" ht="31.5" customHeight="1">
      <c r="A77" s="770"/>
      <c r="B77" s="770"/>
      <c r="C77" s="100">
        <v>131</v>
      </c>
      <c r="D77" s="104" t="s">
        <v>542</v>
      </c>
      <c r="E77" s="183" t="s">
        <v>546</v>
      </c>
      <c r="F77" s="95">
        <v>300000</v>
      </c>
      <c r="G77" s="95"/>
      <c r="H77" s="361">
        <v>100000</v>
      </c>
      <c r="I77" s="102">
        <f t="shared" si="61"/>
        <v>400000</v>
      </c>
      <c r="J77" s="375"/>
      <c r="K77" s="361">
        <v>100000</v>
      </c>
      <c r="L77" s="665">
        <f t="shared" si="64"/>
        <v>400000</v>
      </c>
      <c r="M77" s="665">
        <f t="shared" si="65"/>
        <v>0</v>
      </c>
      <c r="N77" s="749" t="str">
        <f t="shared" si="62"/>
        <v>-</v>
      </c>
      <c r="O77" s="398" t="s">
        <v>1039</v>
      </c>
      <c r="P77" s="378" t="s">
        <v>97</v>
      </c>
      <c r="Q77" s="103"/>
      <c r="R77" s="661">
        <f t="shared" si="66"/>
        <v>100000</v>
      </c>
      <c r="S77" s="104" t="str">
        <f t="shared" si="1"/>
        <v>ok</v>
      </c>
    </row>
    <row r="78" spans="1:19" s="372" customFormat="1" ht="31.5" customHeight="1">
      <c r="A78" s="770"/>
      <c r="B78" s="770"/>
      <c r="C78" s="371" t="s">
        <v>1036</v>
      </c>
      <c r="D78" s="378" t="s">
        <v>542</v>
      </c>
      <c r="E78" s="183" t="s">
        <v>1056</v>
      </c>
      <c r="F78" s="375"/>
      <c r="G78" s="375"/>
      <c r="H78" s="361">
        <v>67000</v>
      </c>
      <c r="I78" s="376">
        <f t="shared" ref="I78" si="67">F78+G78+H78</f>
        <v>67000</v>
      </c>
      <c r="J78" s="375"/>
      <c r="K78" s="361">
        <v>67000</v>
      </c>
      <c r="L78" s="665">
        <f t="shared" si="64"/>
        <v>67000</v>
      </c>
      <c r="M78" s="665">
        <f t="shared" si="65"/>
        <v>0</v>
      </c>
      <c r="N78" s="749" t="str">
        <f t="shared" si="62"/>
        <v>-</v>
      </c>
      <c r="O78" s="398" t="s">
        <v>1040</v>
      </c>
      <c r="P78" s="378" t="s">
        <v>97</v>
      </c>
      <c r="Q78" s="377"/>
      <c r="R78" s="661">
        <f t="shared" si="66"/>
        <v>67000</v>
      </c>
      <c r="S78" s="378" t="str">
        <f t="shared" si="1"/>
        <v>ok</v>
      </c>
    </row>
    <row r="79" spans="1:19" ht="31.5" customHeight="1">
      <c r="A79" s="770"/>
      <c r="B79" s="770"/>
      <c r="C79" s="100">
        <v>131</v>
      </c>
      <c r="D79" s="104" t="s">
        <v>542</v>
      </c>
      <c r="E79" s="101" t="s">
        <v>547</v>
      </c>
      <c r="F79" s="95">
        <v>2389000</v>
      </c>
      <c r="G79" s="95"/>
      <c r="H79" s="95">
        <v>500000</v>
      </c>
      <c r="I79" s="102">
        <f t="shared" si="61"/>
        <v>2889000</v>
      </c>
      <c r="J79" s="375"/>
      <c r="K79" s="375">
        <v>500000</v>
      </c>
      <c r="L79" s="665">
        <f t="shared" si="64"/>
        <v>2889000</v>
      </c>
      <c r="M79" s="665">
        <f t="shared" si="65"/>
        <v>0</v>
      </c>
      <c r="N79" s="749" t="str">
        <f t="shared" si="62"/>
        <v>-</v>
      </c>
      <c r="O79" s="322"/>
      <c r="P79" s="378" t="s">
        <v>97</v>
      </c>
      <c r="Q79" s="103"/>
      <c r="R79" s="661">
        <f t="shared" si="66"/>
        <v>500000</v>
      </c>
      <c r="S79" s="104" t="str">
        <f t="shared" si="1"/>
        <v>ok</v>
      </c>
    </row>
    <row r="80" spans="1:19" s="673" customFormat="1" ht="54" customHeight="1">
      <c r="A80" s="770"/>
      <c r="B80" s="770"/>
      <c r="C80" s="662">
        <v>132</v>
      </c>
      <c r="D80" s="658" t="s">
        <v>542</v>
      </c>
      <c r="E80" s="288" t="s">
        <v>1571</v>
      </c>
      <c r="F80" s="658">
        <v>33000</v>
      </c>
      <c r="G80" s="658"/>
      <c r="H80" s="658"/>
      <c r="I80" s="665">
        <f t="shared" ref="I80" si="68">F80+G80+H80</f>
        <v>33000</v>
      </c>
      <c r="J80" s="658"/>
      <c r="K80" s="641">
        <v>20000</v>
      </c>
      <c r="L80" s="665">
        <f t="shared" si="64"/>
        <v>53000</v>
      </c>
      <c r="M80" s="665">
        <f t="shared" si="65"/>
        <v>20000</v>
      </c>
      <c r="N80" s="749" t="str">
        <f t="shared" si="62"/>
        <v>-</v>
      </c>
      <c r="O80" s="336" t="s">
        <v>1468</v>
      </c>
      <c r="P80" s="653" t="s">
        <v>1223</v>
      </c>
      <c r="Q80" s="658"/>
      <c r="R80" s="661">
        <f t="shared" si="66"/>
        <v>20000</v>
      </c>
      <c r="S80" s="648" t="str">
        <f t="shared" ref="S80" si="69">IF((G80+H80)=(Q80+R80),"ok","검토")</f>
        <v>검토</v>
      </c>
    </row>
    <row r="81" spans="1:19" s="673" customFormat="1" ht="68.25" customHeight="1">
      <c r="A81" s="770"/>
      <c r="B81" s="770"/>
      <c r="C81" s="662">
        <v>132</v>
      </c>
      <c r="D81" s="658" t="s">
        <v>542</v>
      </c>
      <c r="E81" s="288" t="s">
        <v>1572</v>
      </c>
      <c r="F81" s="658">
        <v>20000</v>
      </c>
      <c r="G81" s="658"/>
      <c r="H81" s="658"/>
      <c r="I81" s="665">
        <f t="shared" ref="I81" si="70">F81+G81+H81</f>
        <v>20000</v>
      </c>
      <c r="J81" s="658">
        <v>-20000</v>
      </c>
      <c r="K81" s="641"/>
      <c r="L81" s="665">
        <f t="shared" si="64"/>
        <v>0</v>
      </c>
      <c r="M81" s="665">
        <f t="shared" si="65"/>
        <v>-20000</v>
      </c>
      <c r="N81" s="749" t="str">
        <f t="shared" si="62"/>
        <v>-</v>
      </c>
      <c r="O81" s="336" t="s">
        <v>1468</v>
      </c>
      <c r="P81" s="653" t="s">
        <v>1223</v>
      </c>
      <c r="Q81" s="658"/>
      <c r="R81" s="661">
        <f t="shared" ref="R81:R82" si="71">J81</f>
        <v>-20000</v>
      </c>
      <c r="S81" s="648" t="str">
        <f t="shared" ref="S81" si="72">IF((G81+H81)=(Q81+R81),"ok","검토")</f>
        <v>검토</v>
      </c>
    </row>
    <row r="82" spans="1:19" ht="31.5" customHeight="1">
      <c r="A82" s="770"/>
      <c r="B82" s="770"/>
      <c r="C82" s="100">
        <v>134</v>
      </c>
      <c r="D82" s="104" t="s">
        <v>98</v>
      </c>
      <c r="E82" s="101" t="s">
        <v>548</v>
      </c>
      <c r="F82" s="95">
        <v>111000</v>
      </c>
      <c r="G82" s="95">
        <v>-11000</v>
      </c>
      <c r="H82" s="95"/>
      <c r="I82" s="102">
        <f t="shared" si="61"/>
        <v>100000</v>
      </c>
      <c r="J82" s="375">
        <v>-11000</v>
      </c>
      <c r="K82" s="375"/>
      <c r="L82" s="665">
        <f t="shared" si="64"/>
        <v>100000</v>
      </c>
      <c r="M82" s="665">
        <f t="shared" si="65"/>
        <v>0</v>
      </c>
      <c r="N82" s="749" t="str">
        <f t="shared" si="62"/>
        <v>-</v>
      </c>
      <c r="O82" s="322"/>
      <c r="P82" s="378" t="s">
        <v>97</v>
      </c>
      <c r="Q82" s="103"/>
      <c r="R82" s="661">
        <f t="shared" si="71"/>
        <v>-11000</v>
      </c>
      <c r="S82" s="104" t="str">
        <f t="shared" si="1"/>
        <v>ok</v>
      </c>
    </row>
    <row r="83" spans="1:19" ht="31.5" customHeight="1">
      <c r="A83" s="770"/>
      <c r="B83" s="770"/>
      <c r="C83" s="100">
        <v>136</v>
      </c>
      <c r="D83" s="104" t="s">
        <v>98</v>
      </c>
      <c r="E83" s="111" t="s">
        <v>549</v>
      </c>
      <c r="F83" s="95">
        <v>400000</v>
      </c>
      <c r="G83" s="95"/>
      <c r="H83" s="95">
        <v>200000</v>
      </c>
      <c r="I83" s="376">
        <f t="shared" si="61"/>
        <v>600000</v>
      </c>
      <c r="J83" s="375"/>
      <c r="K83" s="375">
        <v>200000</v>
      </c>
      <c r="L83" s="665">
        <f t="shared" si="64"/>
        <v>600000</v>
      </c>
      <c r="M83" s="665">
        <f t="shared" si="65"/>
        <v>0</v>
      </c>
      <c r="N83" s="749" t="str">
        <f t="shared" si="62"/>
        <v>-</v>
      </c>
      <c r="O83" s="322" t="s">
        <v>550</v>
      </c>
      <c r="P83" s="378" t="s">
        <v>97</v>
      </c>
      <c r="Q83" s="103"/>
      <c r="R83" s="661">
        <f t="shared" ref="R83:R85" si="73">K83</f>
        <v>200000</v>
      </c>
      <c r="S83" s="104" t="str">
        <f t="shared" si="1"/>
        <v>ok</v>
      </c>
    </row>
    <row r="84" spans="1:19" ht="31.5" customHeight="1">
      <c r="A84" s="770"/>
      <c r="B84" s="770"/>
      <c r="C84" s="100">
        <v>137</v>
      </c>
      <c r="D84" s="104" t="s">
        <v>98</v>
      </c>
      <c r="E84" s="111" t="s">
        <v>551</v>
      </c>
      <c r="F84" s="95">
        <v>14904</v>
      </c>
      <c r="G84" s="95"/>
      <c r="H84" s="95">
        <v>11000</v>
      </c>
      <c r="I84" s="376">
        <f t="shared" si="61"/>
        <v>25904</v>
      </c>
      <c r="J84" s="375"/>
      <c r="K84" s="375">
        <v>11000</v>
      </c>
      <c r="L84" s="665">
        <f t="shared" si="64"/>
        <v>25904</v>
      </c>
      <c r="M84" s="665">
        <f t="shared" si="65"/>
        <v>0</v>
      </c>
      <c r="N84" s="749" t="str">
        <f t="shared" si="62"/>
        <v>-</v>
      </c>
      <c r="O84" s="322"/>
      <c r="P84" s="378" t="s">
        <v>97</v>
      </c>
      <c r="Q84" s="103"/>
      <c r="R84" s="661">
        <f t="shared" si="73"/>
        <v>11000</v>
      </c>
      <c r="S84" s="104" t="str">
        <f t="shared" si="1"/>
        <v>ok</v>
      </c>
    </row>
    <row r="85" spans="1:19" ht="31.5" customHeight="1">
      <c r="A85" s="770"/>
      <c r="B85" s="770"/>
      <c r="C85" s="100" t="s">
        <v>94</v>
      </c>
      <c r="D85" s="104" t="s">
        <v>98</v>
      </c>
      <c r="E85" s="270" t="s">
        <v>552</v>
      </c>
      <c r="F85" s="95"/>
      <c r="G85" s="95"/>
      <c r="H85" s="95">
        <v>100000</v>
      </c>
      <c r="I85" s="376">
        <f t="shared" si="61"/>
        <v>100000</v>
      </c>
      <c r="J85" s="375"/>
      <c r="K85" s="375">
        <v>100000</v>
      </c>
      <c r="L85" s="665">
        <f t="shared" si="64"/>
        <v>100000</v>
      </c>
      <c r="M85" s="665">
        <f t="shared" si="65"/>
        <v>0</v>
      </c>
      <c r="N85" s="749" t="str">
        <f t="shared" si="62"/>
        <v>-</v>
      </c>
      <c r="O85" s="322"/>
      <c r="P85" s="378" t="s">
        <v>97</v>
      </c>
      <c r="Q85" s="103"/>
      <c r="R85" s="661">
        <f t="shared" si="73"/>
        <v>100000</v>
      </c>
      <c r="S85" s="104" t="str">
        <f t="shared" ref="S85:S151" si="74">IF((G85+H85)=(Q85+R85),"ok","검토")</f>
        <v>ok</v>
      </c>
    </row>
    <row r="86" spans="1:19" s="673" customFormat="1" ht="31.5" customHeight="1">
      <c r="A86" s="770"/>
      <c r="B86" s="770"/>
      <c r="C86" s="662" t="s">
        <v>94</v>
      </c>
      <c r="D86" s="658" t="s">
        <v>1289</v>
      </c>
      <c r="E86" s="288" t="s">
        <v>1573</v>
      </c>
      <c r="F86" s="658"/>
      <c r="G86" s="658"/>
      <c r="H86" s="658"/>
      <c r="I86" s="665">
        <f t="shared" si="61"/>
        <v>0</v>
      </c>
      <c r="J86" s="658"/>
      <c r="K86" s="641">
        <v>5000</v>
      </c>
      <c r="L86" s="665">
        <f t="shared" si="64"/>
        <v>5000</v>
      </c>
      <c r="M86" s="665">
        <f t="shared" si="65"/>
        <v>5000</v>
      </c>
      <c r="N86" s="749" t="str">
        <f t="shared" si="62"/>
        <v>-</v>
      </c>
      <c r="O86" s="336"/>
      <c r="P86" s="653" t="s">
        <v>1223</v>
      </c>
      <c r="Q86" s="658"/>
      <c r="R86" s="661">
        <f>K86</f>
        <v>5000</v>
      </c>
      <c r="S86" s="648" t="str">
        <f t="shared" si="74"/>
        <v>검토</v>
      </c>
    </row>
    <row r="87" spans="1:19" ht="31.5" customHeight="1">
      <c r="A87" s="770"/>
      <c r="B87" s="770"/>
      <c r="C87" s="100">
        <v>139</v>
      </c>
      <c r="D87" s="104" t="s">
        <v>553</v>
      </c>
      <c r="E87" s="270" t="s">
        <v>554</v>
      </c>
      <c r="F87" s="95">
        <v>70000</v>
      </c>
      <c r="G87" s="95"/>
      <c r="H87" s="95">
        <v>230000</v>
      </c>
      <c r="I87" s="376">
        <f t="shared" si="61"/>
        <v>300000</v>
      </c>
      <c r="J87" s="375"/>
      <c r="K87" s="375">
        <v>230000</v>
      </c>
      <c r="L87" s="665">
        <f t="shared" si="64"/>
        <v>300000</v>
      </c>
      <c r="M87" s="665">
        <f t="shared" si="65"/>
        <v>0</v>
      </c>
      <c r="N87" s="749" t="str">
        <f t="shared" si="62"/>
        <v>-</v>
      </c>
      <c r="O87" s="322" t="s">
        <v>550</v>
      </c>
      <c r="P87" s="378" t="s">
        <v>97</v>
      </c>
      <c r="Q87" s="103"/>
      <c r="R87" s="661">
        <f>K87</f>
        <v>230000</v>
      </c>
      <c r="S87" s="104" t="str">
        <f t="shared" si="74"/>
        <v>ok</v>
      </c>
    </row>
    <row r="88" spans="1:19" ht="31.5" customHeight="1">
      <c r="A88" s="770"/>
      <c r="B88" s="770"/>
      <c r="C88" s="100">
        <v>139</v>
      </c>
      <c r="D88" s="104" t="s">
        <v>553</v>
      </c>
      <c r="E88" s="272" t="s">
        <v>555</v>
      </c>
      <c r="F88" s="95">
        <v>900000</v>
      </c>
      <c r="G88" s="95">
        <v>-100000</v>
      </c>
      <c r="H88" s="95"/>
      <c r="I88" s="376">
        <f t="shared" si="61"/>
        <v>800000</v>
      </c>
      <c r="J88" s="375">
        <v>-100000</v>
      </c>
      <c r="K88" s="375"/>
      <c r="L88" s="665">
        <f t="shared" si="64"/>
        <v>800000</v>
      </c>
      <c r="M88" s="665">
        <f t="shared" si="65"/>
        <v>0</v>
      </c>
      <c r="N88" s="749" t="str">
        <f t="shared" si="62"/>
        <v>-</v>
      </c>
      <c r="O88" s="322"/>
      <c r="P88" s="378" t="s">
        <v>97</v>
      </c>
      <c r="Q88" s="103"/>
      <c r="R88" s="661">
        <f>J88</f>
        <v>-100000</v>
      </c>
      <c r="S88" s="104" t="str">
        <f t="shared" si="74"/>
        <v>ok</v>
      </c>
    </row>
    <row r="89" spans="1:19" ht="31.5" customHeight="1">
      <c r="A89" s="770"/>
      <c r="B89" s="770"/>
      <c r="C89" s="100">
        <v>139</v>
      </c>
      <c r="D89" s="104" t="s">
        <v>553</v>
      </c>
      <c r="E89" s="283" t="s">
        <v>556</v>
      </c>
      <c r="F89" s="95">
        <v>770000</v>
      </c>
      <c r="G89" s="95"/>
      <c r="H89" s="95">
        <v>200000</v>
      </c>
      <c r="I89" s="102">
        <f t="shared" si="61"/>
        <v>970000</v>
      </c>
      <c r="J89" s="375"/>
      <c r="K89" s="375">
        <v>200000</v>
      </c>
      <c r="L89" s="665">
        <f t="shared" si="64"/>
        <v>970000</v>
      </c>
      <c r="M89" s="665">
        <f t="shared" si="65"/>
        <v>0</v>
      </c>
      <c r="N89" s="749" t="str">
        <f t="shared" si="62"/>
        <v>-</v>
      </c>
      <c r="O89" s="322" t="s">
        <v>557</v>
      </c>
      <c r="P89" s="378" t="s">
        <v>97</v>
      </c>
      <c r="Q89" s="103"/>
      <c r="R89" s="661">
        <f t="shared" ref="R89:R95" si="75">K89</f>
        <v>200000</v>
      </c>
      <c r="S89" s="104" t="str">
        <f t="shared" si="74"/>
        <v>ok</v>
      </c>
    </row>
    <row r="90" spans="1:19" ht="31.5" customHeight="1">
      <c r="A90" s="770"/>
      <c r="B90" s="770"/>
      <c r="C90" s="100">
        <v>140</v>
      </c>
      <c r="D90" s="104" t="s">
        <v>553</v>
      </c>
      <c r="E90" s="272" t="s">
        <v>558</v>
      </c>
      <c r="F90" s="95">
        <v>400000</v>
      </c>
      <c r="G90" s="95"/>
      <c r="H90" s="95">
        <v>100000</v>
      </c>
      <c r="I90" s="102">
        <f t="shared" si="61"/>
        <v>500000</v>
      </c>
      <c r="J90" s="375"/>
      <c r="K90" s="375">
        <v>100000</v>
      </c>
      <c r="L90" s="665">
        <f t="shared" si="64"/>
        <v>500000</v>
      </c>
      <c r="M90" s="665">
        <f t="shared" si="65"/>
        <v>0</v>
      </c>
      <c r="N90" s="749" t="str">
        <f t="shared" si="62"/>
        <v>-</v>
      </c>
      <c r="O90" s="322" t="s">
        <v>550</v>
      </c>
      <c r="P90" s="378" t="s">
        <v>97</v>
      </c>
      <c r="Q90" s="103"/>
      <c r="R90" s="661">
        <f t="shared" si="75"/>
        <v>100000</v>
      </c>
      <c r="S90" s="104" t="str">
        <f t="shared" si="74"/>
        <v>ok</v>
      </c>
    </row>
    <row r="91" spans="1:19" ht="31.5" customHeight="1">
      <c r="A91" s="770"/>
      <c r="B91" s="770"/>
      <c r="C91" s="100">
        <v>142</v>
      </c>
      <c r="D91" s="104" t="s">
        <v>553</v>
      </c>
      <c r="E91" s="270" t="s">
        <v>559</v>
      </c>
      <c r="F91" s="95">
        <v>160000</v>
      </c>
      <c r="G91" s="95"/>
      <c r="H91" s="95">
        <v>40000</v>
      </c>
      <c r="I91" s="102">
        <f t="shared" si="61"/>
        <v>200000</v>
      </c>
      <c r="J91" s="375"/>
      <c r="K91" s="375">
        <v>40000</v>
      </c>
      <c r="L91" s="665">
        <f t="shared" si="64"/>
        <v>200000</v>
      </c>
      <c r="M91" s="665">
        <f t="shared" si="65"/>
        <v>0</v>
      </c>
      <c r="N91" s="749" t="str">
        <f t="shared" si="62"/>
        <v>-</v>
      </c>
      <c r="O91" s="322"/>
      <c r="P91" s="378" t="s">
        <v>97</v>
      </c>
      <c r="Q91" s="103"/>
      <c r="R91" s="661">
        <f t="shared" si="75"/>
        <v>40000</v>
      </c>
      <c r="S91" s="104" t="str">
        <f t="shared" si="74"/>
        <v>ok</v>
      </c>
    </row>
    <row r="92" spans="1:19" ht="31.5" customHeight="1">
      <c r="A92" s="770"/>
      <c r="B92" s="770"/>
      <c r="C92" s="100">
        <v>142</v>
      </c>
      <c r="D92" s="104" t="s">
        <v>553</v>
      </c>
      <c r="E92" s="270" t="s">
        <v>560</v>
      </c>
      <c r="F92" s="95">
        <v>5240000</v>
      </c>
      <c r="G92" s="95"/>
      <c r="H92" s="95">
        <v>2000000</v>
      </c>
      <c r="I92" s="102">
        <f t="shared" si="61"/>
        <v>7240000</v>
      </c>
      <c r="J92" s="375"/>
      <c r="K92" s="375">
        <v>1500000</v>
      </c>
      <c r="L92" s="665">
        <f t="shared" si="64"/>
        <v>6740000</v>
      </c>
      <c r="M92" s="665">
        <f t="shared" si="65"/>
        <v>-500000</v>
      </c>
      <c r="N92" s="749" t="str">
        <f t="shared" si="62"/>
        <v>-</v>
      </c>
      <c r="O92" s="322" t="s">
        <v>561</v>
      </c>
      <c r="P92" s="378" t="s">
        <v>97</v>
      </c>
      <c r="Q92" s="103"/>
      <c r="R92" s="661">
        <f t="shared" si="75"/>
        <v>1500000</v>
      </c>
      <c r="S92" s="104" t="str">
        <f t="shared" si="74"/>
        <v>검토</v>
      </c>
    </row>
    <row r="93" spans="1:19" s="673" customFormat="1" ht="31.5" customHeight="1">
      <c r="A93" s="770"/>
      <c r="B93" s="770"/>
      <c r="C93" s="662">
        <v>143</v>
      </c>
      <c r="D93" s="658" t="s">
        <v>553</v>
      </c>
      <c r="E93" s="288" t="s">
        <v>1574</v>
      </c>
      <c r="F93" s="658">
        <v>200000</v>
      </c>
      <c r="G93" s="658"/>
      <c r="H93" s="658">
        <v>100000</v>
      </c>
      <c r="I93" s="665">
        <f t="shared" ref="I93" si="76">F93+G93+H93</f>
        <v>300000</v>
      </c>
      <c r="J93" s="658"/>
      <c r="K93" s="641">
        <v>100000</v>
      </c>
      <c r="L93" s="665">
        <f t="shared" si="64"/>
        <v>300000</v>
      </c>
      <c r="M93" s="665">
        <f t="shared" si="65"/>
        <v>0</v>
      </c>
      <c r="N93" s="749" t="str">
        <f t="shared" si="62"/>
        <v>-</v>
      </c>
      <c r="O93" s="336" t="s">
        <v>1226</v>
      </c>
      <c r="P93" s="653" t="s">
        <v>1223</v>
      </c>
      <c r="Q93" s="658"/>
      <c r="R93" s="661">
        <f t="shared" si="75"/>
        <v>100000</v>
      </c>
      <c r="S93" s="648" t="str">
        <f t="shared" si="74"/>
        <v>ok</v>
      </c>
    </row>
    <row r="94" spans="1:19" ht="31.5" customHeight="1">
      <c r="A94" s="770"/>
      <c r="B94" s="770"/>
      <c r="C94" s="100">
        <v>143</v>
      </c>
      <c r="D94" s="104" t="s">
        <v>553</v>
      </c>
      <c r="E94" s="270" t="s">
        <v>562</v>
      </c>
      <c r="F94" s="95">
        <v>100000</v>
      </c>
      <c r="G94" s="95"/>
      <c r="H94" s="95">
        <v>100000</v>
      </c>
      <c r="I94" s="102">
        <f t="shared" si="61"/>
        <v>200000</v>
      </c>
      <c r="J94" s="375"/>
      <c r="K94" s="375">
        <v>100000</v>
      </c>
      <c r="L94" s="665">
        <f t="shared" si="64"/>
        <v>200000</v>
      </c>
      <c r="M94" s="665">
        <f t="shared" si="65"/>
        <v>0</v>
      </c>
      <c r="N94" s="749" t="str">
        <f t="shared" si="62"/>
        <v>-</v>
      </c>
      <c r="O94" s="322" t="s">
        <v>550</v>
      </c>
      <c r="P94" s="378" t="s">
        <v>97</v>
      </c>
      <c r="Q94" s="103"/>
      <c r="R94" s="661">
        <f t="shared" si="75"/>
        <v>100000</v>
      </c>
      <c r="S94" s="104" t="str">
        <f t="shared" si="74"/>
        <v>ok</v>
      </c>
    </row>
    <row r="95" spans="1:19" ht="31.5" customHeight="1">
      <c r="A95" s="770"/>
      <c r="B95" s="770"/>
      <c r="C95" s="100">
        <v>144</v>
      </c>
      <c r="D95" s="104" t="s">
        <v>553</v>
      </c>
      <c r="E95" s="270" t="s">
        <v>563</v>
      </c>
      <c r="F95" s="95">
        <v>2570000</v>
      </c>
      <c r="G95" s="95"/>
      <c r="H95" s="95">
        <v>2000000</v>
      </c>
      <c r="I95" s="102">
        <f t="shared" si="61"/>
        <v>4570000</v>
      </c>
      <c r="J95" s="375"/>
      <c r="K95" s="375">
        <v>1500000</v>
      </c>
      <c r="L95" s="665">
        <f t="shared" si="64"/>
        <v>4070000</v>
      </c>
      <c r="M95" s="665">
        <f t="shared" si="65"/>
        <v>-500000</v>
      </c>
      <c r="N95" s="749" t="str">
        <f t="shared" si="62"/>
        <v>-</v>
      </c>
      <c r="O95" s="322" t="s">
        <v>564</v>
      </c>
      <c r="P95" s="378" t="s">
        <v>97</v>
      </c>
      <c r="Q95" s="103"/>
      <c r="R95" s="661">
        <f t="shared" si="75"/>
        <v>1500000</v>
      </c>
      <c r="S95" s="104" t="str">
        <f t="shared" si="74"/>
        <v>검토</v>
      </c>
    </row>
    <row r="96" spans="1:19" ht="31.5" customHeight="1">
      <c r="A96" s="770"/>
      <c r="B96" s="770"/>
      <c r="C96" s="100">
        <v>144</v>
      </c>
      <c r="D96" s="104" t="s">
        <v>553</v>
      </c>
      <c r="E96" s="270" t="s">
        <v>565</v>
      </c>
      <c r="F96" s="95">
        <v>1300000</v>
      </c>
      <c r="G96" s="95">
        <v>-500000</v>
      </c>
      <c r="H96" s="95"/>
      <c r="I96" s="102">
        <f t="shared" si="61"/>
        <v>800000</v>
      </c>
      <c r="J96" s="375">
        <v>-500000</v>
      </c>
      <c r="K96" s="375"/>
      <c r="L96" s="665">
        <f t="shared" si="64"/>
        <v>800000</v>
      </c>
      <c r="M96" s="665">
        <f t="shared" si="65"/>
        <v>0</v>
      </c>
      <c r="N96" s="749" t="str">
        <f t="shared" si="62"/>
        <v>-</v>
      </c>
      <c r="O96" s="322"/>
      <c r="P96" s="378" t="s">
        <v>97</v>
      </c>
      <c r="Q96" s="103"/>
      <c r="R96" s="661">
        <f>J96</f>
        <v>-500000</v>
      </c>
      <c r="S96" s="104" t="str">
        <f t="shared" si="74"/>
        <v>ok</v>
      </c>
    </row>
    <row r="97" spans="1:19" ht="31.5" customHeight="1">
      <c r="A97" s="770"/>
      <c r="B97" s="770"/>
      <c r="C97" s="100" t="s">
        <v>94</v>
      </c>
      <c r="D97" s="104" t="s">
        <v>553</v>
      </c>
      <c r="E97" s="270" t="s">
        <v>566</v>
      </c>
      <c r="F97" s="95"/>
      <c r="G97" s="95"/>
      <c r="H97" s="95">
        <v>150000</v>
      </c>
      <c r="I97" s="102">
        <f t="shared" si="61"/>
        <v>150000</v>
      </c>
      <c r="J97" s="375"/>
      <c r="K97" s="375">
        <v>150000</v>
      </c>
      <c r="L97" s="665">
        <f t="shared" si="64"/>
        <v>150000</v>
      </c>
      <c r="M97" s="665">
        <f t="shared" si="65"/>
        <v>0</v>
      </c>
      <c r="N97" s="749" t="str">
        <f t="shared" si="62"/>
        <v>-</v>
      </c>
      <c r="O97" s="322"/>
      <c r="P97" s="378" t="s">
        <v>97</v>
      </c>
      <c r="Q97" s="103"/>
      <c r="R97" s="661">
        <f t="shared" ref="R97:R105" si="77">K97</f>
        <v>150000</v>
      </c>
      <c r="S97" s="104" t="str">
        <f t="shared" si="74"/>
        <v>ok</v>
      </c>
    </row>
    <row r="98" spans="1:19" ht="31.5" customHeight="1">
      <c r="A98" s="770"/>
      <c r="B98" s="770"/>
      <c r="C98" s="100" t="s">
        <v>94</v>
      </c>
      <c r="D98" s="104" t="s">
        <v>553</v>
      </c>
      <c r="E98" s="270" t="s">
        <v>567</v>
      </c>
      <c r="F98" s="95"/>
      <c r="G98" s="95"/>
      <c r="H98" s="95">
        <v>200000</v>
      </c>
      <c r="I98" s="376">
        <f t="shared" si="61"/>
        <v>200000</v>
      </c>
      <c r="J98" s="375"/>
      <c r="K98" s="375">
        <v>200000</v>
      </c>
      <c r="L98" s="665">
        <f t="shared" si="64"/>
        <v>200000</v>
      </c>
      <c r="M98" s="665">
        <f t="shared" si="65"/>
        <v>0</v>
      </c>
      <c r="N98" s="749" t="str">
        <f t="shared" si="62"/>
        <v>-</v>
      </c>
      <c r="O98" s="399" t="s">
        <v>1045</v>
      </c>
      <c r="P98" s="378" t="s">
        <v>97</v>
      </c>
      <c r="Q98" s="103"/>
      <c r="R98" s="661">
        <f t="shared" si="77"/>
        <v>200000</v>
      </c>
      <c r="S98" s="104" t="str">
        <f t="shared" si="74"/>
        <v>ok</v>
      </c>
    </row>
    <row r="99" spans="1:19" s="673" customFormat="1" ht="31.5" customHeight="1">
      <c r="A99" s="770"/>
      <c r="B99" s="770"/>
      <c r="C99" s="662" t="s">
        <v>94</v>
      </c>
      <c r="D99" s="658" t="s">
        <v>553</v>
      </c>
      <c r="E99" s="288" t="s">
        <v>1575</v>
      </c>
      <c r="F99" s="658"/>
      <c r="G99" s="658"/>
      <c r="H99" s="658"/>
      <c r="I99" s="665">
        <f t="shared" si="61"/>
        <v>0</v>
      </c>
      <c r="J99" s="658"/>
      <c r="K99" s="641">
        <v>100000</v>
      </c>
      <c r="L99" s="665">
        <f t="shared" si="64"/>
        <v>100000</v>
      </c>
      <c r="M99" s="665">
        <f t="shared" si="65"/>
        <v>100000</v>
      </c>
      <c r="N99" s="749" t="str">
        <f t="shared" si="62"/>
        <v>-</v>
      </c>
      <c r="O99" s="336"/>
      <c r="P99" s="653" t="s">
        <v>1223</v>
      </c>
      <c r="Q99" s="658"/>
      <c r="R99" s="661">
        <f t="shared" si="77"/>
        <v>100000</v>
      </c>
      <c r="S99" s="648" t="str">
        <f t="shared" si="74"/>
        <v>검토</v>
      </c>
    </row>
    <row r="100" spans="1:19" s="673" customFormat="1" ht="31.5" customHeight="1">
      <c r="A100" s="770"/>
      <c r="B100" s="770"/>
      <c r="C100" s="662">
        <v>141</v>
      </c>
      <c r="D100" s="658" t="s">
        <v>553</v>
      </c>
      <c r="E100" s="288" t="s">
        <v>1576</v>
      </c>
      <c r="F100" s="658">
        <v>90000</v>
      </c>
      <c r="G100" s="658"/>
      <c r="H100" s="658"/>
      <c r="I100" s="665">
        <f t="shared" si="61"/>
        <v>90000</v>
      </c>
      <c r="J100" s="658"/>
      <c r="K100" s="641">
        <v>90000</v>
      </c>
      <c r="L100" s="665">
        <f t="shared" si="64"/>
        <v>180000</v>
      </c>
      <c r="M100" s="665">
        <f t="shared" si="65"/>
        <v>90000</v>
      </c>
      <c r="N100" s="749" t="str">
        <f t="shared" si="62"/>
        <v>-</v>
      </c>
      <c r="O100" s="336"/>
      <c r="P100" s="653" t="s">
        <v>1223</v>
      </c>
      <c r="Q100" s="658"/>
      <c r="R100" s="661">
        <f t="shared" si="77"/>
        <v>90000</v>
      </c>
      <c r="S100" s="648" t="str">
        <f t="shared" si="74"/>
        <v>검토</v>
      </c>
    </row>
    <row r="101" spans="1:19" ht="31.5" customHeight="1">
      <c r="A101" s="770"/>
      <c r="B101" s="770"/>
      <c r="C101" s="100">
        <v>146</v>
      </c>
      <c r="D101" s="104" t="s">
        <v>568</v>
      </c>
      <c r="E101" s="270" t="s">
        <v>569</v>
      </c>
      <c r="F101" s="95">
        <v>1680000</v>
      </c>
      <c r="G101" s="95"/>
      <c r="H101" s="95">
        <v>220000</v>
      </c>
      <c r="I101" s="376">
        <f t="shared" si="61"/>
        <v>1900000</v>
      </c>
      <c r="J101" s="375"/>
      <c r="K101" s="375">
        <v>220000</v>
      </c>
      <c r="L101" s="665">
        <f t="shared" si="64"/>
        <v>1900000</v>
      </c>
      <c r="M101" s="665">
        <f t="shared" si="65"/>
        <v>0</v>
      </c>
      <c r="N101" s="749" t="str">
        <f t="shared" si="62"/>
        <v>-</v>
      </c>
      <c r="O101" s="322" t="s">
        <v>550</v>
      </c>
      <c r="P101" s="378" t="s">
        <v>97</v>
      </c>
      <c r="Q101" s="103"/>
      <c r="R101" s="661">
        <f t="shared" si="77"/>
        <v>220000</v>
      </c>
      <c r="S101" s="104" t="str">
        <f t="shared" si="74"/>
        <v>ok</v>
      </c>
    </row>
    <row r="102" spans="1:19" ht="31.5" customHeight="1">
      <c r="A102" s="770"/>
      <c r="B102" s="770"/>
      <c r="C102" s="100">
        <v>147</v>
      </c>
      <c r="D102" s="104" t="s">
        <v>568</v>
      </c>
      <c r="E102" s="270" t="s">
        <v>570</v>
      </c>
      <c r="F102" s="95">
        <v>1000000</v>
      </c>
      <c r="G102" s="95"/>
      <c r="H102" s="95">
        <v>150000</v>
      </c>
      <c r="I102" s="376">
        <f t="shared" si="61"/>
        <v>1150000</v>
      </c>
      <c r="J102" s="375"/>
      <c r="K102" s="375">
        <v>150000</v>
      </c>
      <c r="L102" s="665">
        <f t="shared" si="64"/>
        <v>1150000</v>
      </c>
      <c r="M102" s="665">
        <f t="shared" si="65"/>
        <v>0</v>
      </c>
      <c r="N102" s="749" t="str">
        <f t="shared" si="62"/>
        <v>-</v>
      </c>
      <c r="O102" s="322" t="s">
        <v>550</v>
      </c>
      <c r="P102" s="378" t="s">
        <v>97</v>
      </c>
      <c r="Q102" s="103"/>
      <c r="R102" s="661">
        <f t="shared" si="77"/>
        <v>150000</v>
      </c>
      <c r="S102" s="104" t="str">
        <f t="shared" si="74"/>
        <v>ok</v>
      </c>
    </row>
    <row r="103" spans="1:19" ht="31.5" customHeight="1">
      <c r="A103" s="770"/>
      <c r="B103" s="770"/>
      <c r="C103" s="100">
        <v>147</v>
      </c>
      <c r="D103" s="104" t="s">
        <v>568</v>
      </c>
      <c r="E103" s="270" t="s">
        <v>571</v>
      </c>
      <c r="F103" s="95">
        <v>50000</v>
      </c>
      <c r="G103" s="95"/>
      <c r="H103" s="95">
        <v>150000</v>
      </c>
      <c r="I103" s="102">
        <f t="shared" si="61"/>
        <v>200000</v>
      </c>
      <c r="J103" s="375"/>
      <c r="K103" s="375">
        <v>150000</v>
      </c>
      <c r="L103" s="665">
        <f t="shared" si="64"/>
        <v>200000</v>
      </c>
      <c r="M103" s="665">
        <f t="shared" si="65"/>
        <v>0</v>
      </c>
      <c r="N103" s="749" t="str">
        <f t="shared" si="62"/>
        <v>-</v>
      </c>
      <c r="O103" s="322" t="s">
        <v>550</v>
      </c>
      <c r="P103" s="378" t="s">
        <v>97</v>
      </c>
      <c r="Q103" s="103"/>
      <c r="R103" s="661">
        <f t="shared" si="77"/>
        <v>150000</v>
      </c>
      <c r="S103" s="104" t="str">
        <f t="shared" si="74"/>
        <v>ok</v>
      </c>
    </row>
    <row r="104" spans="1:19" ht="31.5" customHeight="1">
      <c r="A104" s="770"/>
      <c r="B104" s="770"/>
      <c r="C104" s="100">
        <v>148</v>
      </c>
      <c r="D104" s="104" t="s">
        <v>568</v>
      </c>
      <c r="E104" s="283" t="s">
        <v>572</v>
      </c>
      <c r="F104" s="95">
        <v>40000</v>
      </c>
      <c r="G104" s="95"/>
      <c r="H104" s="95">
        <v>10000</v>
      </c>
      <c r="I104" s="102">
        <f t="shared" si="61"/>
        <v>50000</v>
      </c>
      <c r="J104" s="375"/>
      <c r="K104" s="375">
        <v>10000</v>
      </c>
      <c r="L104" s="665">
        <f t="shared" si="64"/>
        <v>50000</v>
      </c>
      <c r="M104" s="665">
        <f t="shared" si="65"/>
        <v>0</v>
      </c>
      <c r="N104" s="749" t="str">
        <f t="shared" si="62"/>
        <v>-</v>
      </c>
      <c r="O104" s="322"/>
      <c r="P104" s="378" t="s">
        <v>97</v>
      </c>
      <c r="Q104" s="103"/>
      <c r="R104" s="661">
        <f t="shared" si="77"/>
        <v>10000</v>
      </c>
      <c r="S104" s="104" t="str">
        <f t="shared" si="74"/>
        <v>ok</v>
      </c>
    </row>
    <row r="105" spans="1:19" ht="47.25" customHeight="1">
      <c r="A105" s="770"/>
      <c r="B105" s="770"/>
      <c r="C105" s="100" t="s">
        <v>94</v>
      </c>
      <c r="D105" s="104" t="s">
        <v>573</v>
      </c>
      <c r="E105" s="270" t="s">
        <v>574</v>
      </c>
      <c r="F105" s="95"/>
      <c r="G105" s="95"/>
      <c r="H105" s="95">
        <v>200000</v>
      </c>
      <c r="I105" s="102">
        <f t="shared" si="61"/>
        <v>200000</v>
      </c>
      <c r="J105" s="375"/>
      <c r="K105" s="375">
        <v>200000</v>
      </c>
      <c r="L105" s="665">
        <f t="shared" si="64"/>
        <v>200000</v>
      </c>
      <c r="M105" s="665">
        <f t="shared" si="65"/>
        <v>0</v>
      </c>
      <c r="N105" s="749" t="str">
        <f t="shared" si="62"/>
        <v>-</v>
      </c>
      <c r="O105" s="322" t="s">
        <v>575</v>
      </c>
      <c r="P105" s="378" t="s">
        <v>97</v>
      </c>
      <c r="Q105" s="103"/>
      <c r="R105" s="661">
        <f t="shared" si="77"/>
        <v>200000</v>
      </c>
      <c r="S105" s="104" t="str">
        <f t="shared" si="74"/>
        <v>ok</v>
      </c>
    </row>
    <row r="106" spans="1:19" ht="31.5" customHeight="1">
      <c r="A106" s="770"/>
      <c r="B106" s="770"/>
      <c r="C106" s="100">
        <v>155</v>
      </c>
      <c r="D106" s="104" t="s">
        <v>576</v>
      </c>
      <c r="E106" s="283" t="s">
        <v>577</v>
      </c>
      <c r="F106" s="95">
        <v>1000000</v>
      </c>
      <c r="G106" s="95">
        <v>-200000</v>
      </c>
      <c r="H106" s="95"/>
      <c r="I106" s="102">
        <f t="shared" si="61"/>
        <v>800000</v>
      </c>
      <c r="J106" s="375">
        <v>-200000</v>
      </c>
      <c r="K106" s="375"/>
      <c r="L106" s="665">
        <f t="shared" si="64"/>
        <v>800000</v>
      </c>
      <c r="M106" s="665">
        <f t="shared" si="65"/>
        <v>0</v>
      </c>
      <c r="N106" s="749" t="str">
        <f t="shared" si="62"/>
        <v>-</v>
      </c>
      <c r="O106" s="322" t="s">
        <v>578</v>
      </c>
      <c r="P106" s="378" t="s">
        <v>97</v>
      </c>
      <c r="Q106" s="103"/>
      <c r="R106" s="661">
        <f>J106</f>
        <v>-200000</v>
      </c>
      <c r="S106" s="104" t="str">
        <f t="shared" si="74"/>
        <v>ok</v>
      </c>
    </row>
    <row r="107" spans="1:19" ht="31.5" customHeight="1">
      <c r="A107" s="770"/>
      <c r="B107" s="770"/>
      <c r="C107" s="100">
        <v>155</v>
      </c>
      <c r="D107" s="104" t="s">
        <v>576</v>
      </c>
      <c r="E107" s="270" t="s">
        <v>579</v>
      </c>
      <c r="F107" s="95">
        <v>300000</v>
      </c>
      <c r="G107" s="95"/>
      <c r="H107" s="95">
        <v>200000</v>
      </c>
      <c r="I107" s="102">
        <f t="shared" si="61"/>
        <v>500000</v>
      </c>
      <c r="J107" s="375"/>
      <c r="K107" s="375">
        <f>200000-200000</f>
        <v>0</v>
      </c>
      <c r="L107" s="665">
        <f t="shared" si="64"/>
        <v>300000</v>
      </c>
      <c r="M107" s="665">
        <f t="shared" si="65"/>
        <v>-200000</v>
      </c>
      <c r="N107" s="749" t="str">
        <f t="shared" si="62"/>
        <v>-</v>
      </c>
      <c r="O107" s="322"/>
      <c r="P107" s="378" t="s">
        <v>97</v>
      </c>
      <c r="Q107" s="103"/>
      <c r="R107" s="661">
        <f>K107</f>
        <v>0</v>
      </c>
      <c r="S107" s="104" t="str">
        <f t="shared" si="74"/>
        <v>검토</v>
      </c>
    </row>
    <row r="108" spans="1:19" ht="31.5" customHeight="1">
      <c r="A108" s="770"/>
      <c r="B108" s="770"/>
      <c r="C108" s="100">
        <v>155</v>
      </c>
      <c r="D108" s="104" t="s">
        <v>576</v>
      </c>
      <c r="E108" s="270" t="s">
        <v>580</v>
      </c>
      <c r="F108" s="95">
        <v>2508800</v>
      </c>
      <c r="G108" s="95"/>
      <c r="H108" s="95">
        <v>4000000</v>
      </c>
      <c r="I108" s="102">
        <f t="shared" si="61"/>
        <v>6508800</v>
      </c>
      <c r="J108" s="375"/>
      <c r="K108" s="375">
        <f>4000000-1000000</f>
        <v>3000000</v>
      </c>
      <c r="L108" s="665">
        <f t="shared" si="64"/>
        <v>5508800</v>
      </c>
      <c r="M108" s="665">
        <f t="shared" si="65"/>
        <v>-1000000</v>
      </c>
      <c r="N108" s="749" t="str">
        <f t="shared" si="62"/>
        <v>-</v>
      </c>
      <c r="O108" s="322" t="s">
        <v>581</v>
      </c>
      <c r="P108" s="378" t="s">
        <v>97</v>
      </c>
      <c r="Q108" s="103"/>
      <c r="R108" s="661">
        <f t="shared" ref="R108:R110" si="78">K108</f>
        <v>3000000</v>
      </c>
      <c r="S108" s="104" t="str">
        <f t="shared" si="74"/>
        <v>검토</v>
      </c>
    </row>
    <row r="109" spans="1:19" ht="31.5" customHeight="1">
      <c r="A109" s="770"/>
      <c r="B109" s="770"/>
      <c r="C109" s="100" t="s">
        <v>94</v>
      </c>
      <c r="D109" s="104" t="s">
        <v>576</v>
      </c>
      <c r="E109" s="270" t="s">
        <v>582</v>
      </c>
      <c r="F109" s="95"/>
      <c r="G109" s="95"/>
      <c r="H109" s="95">
        <v>200000</v>
      </c>
      <c r="I109" s="102">
        <f t="shared" si="61"/>
        <v>200000</v>
      </c>
      <c r="J109" s="375"/>
      <c r="K109" s="375">
        <v>200000</v>
      </c>
      <c r="L109" s="665">
        <f t="shared" si="64"/>
        <v>200000</v>
      </c>
      <c r="M109" s="665">
        <f t="shared" si="65"/>
        <v>0</v>
      </c>
      <c r="N109" s="749" t="str">
        <f t="shared" si="62"/>
        <v>-</v>
      </c>
      <c r="O109" s="322" t="s">
        <v>583</v>
      </c>
      <c r="P109" s="378" t="s">
        <v>97</v>
      </c>
      <c r="Q109" s="103"/>
      <c r="R109" s="661">
        <f t="shared" si="78"/>
        <v>200000</v>
      </c>
      <c r="S109" s="104" t="str">
        <f t="shared" si="74"/>
        <v>ok</v>
      </c>
    </row>
    <row r="110" spans="1:19" ht="31.5" customHeight="1">
      <c r="A110" s="770"/>
      <c r="B110" s="770"/>
      <c r="C110" s="100" t="s">
        <v>94</v>
      </c>
      <c r="D110" s="104" t="s">
        <v>576</v>
      </c>
      <c r="E110" s="270" t="s">
        <v>584</v>
      </c>
      <c r="F110" s="95"/>
      <c r="G110" s="95"/>
      <c r="H110" s="95">
        <v>150000</v>
      </c>
      <c r="I110" s="102">
        <f t="shared" si="61"/>
        <v>150000</v>
      </c>
      <c r="J110" s="375"/>
      <c r="K110" s="375">
        <v>150000</v>
      </c>
      <c r="L110" s="665">
        <f t="shared" si="64"/>
        <v>150000</v>
      </c>
      <c r="M110" s="665">
        <f t="shared" si="65"/>
        <v>0</v>
      </c>
      <c r="N110" s="749" t="str">
        <f t="shared" si="62"/>
        <v>-</v>
      </c>
      <c r="O110" s="322"/>
      <c r="P110" s="378" t="s">
        <v>97</v>
      </c>
      <c r="Q110" s="103"/>
      <c r="R110" s="661">
        <f t="shared" si="78"/>
        <v>150000</v>
      </c>
      <c r="S110" s="104" t="str">
        <f t="shared" si="74"/>
        <v>ok</v>
      </c>
    </row>
    <row r="111" spans="1:19" ht="31.5" customHeight="1">
      <c r="A111" s="770"/>
      <c r="B111" s="770"/>
      <c r="C111" s="100">
        <v>161</v>
      </c>
      <c r="D111" s="104" t="s">
        <v>585</v>
      </c>
      <c r="E111" s="270" t="s">
        <v>586</v>
      </c>
      <c r="F111" s="95">
        <v>100000</v>
      </c>
      <c r="G111" s="95"/>
      <c r="H111" s="95">
        <v>500000</v>
      </c>
      <c r="I111" s="102">
        <f t="shared" si="61"/>
        <v>600000</v>
      </c>
      <c r="J111" s="375"/>
      <c r="K111" s="375">
        <v>0</v>
      </c>
      <c r="L111" s="665">
        <f t="shared" si="64"/>
        <v>100000</v>
      </c>
      <c r="M111" s="665">
        <f t="shared" si="65"/>
        <v>-500000</v>
      </c>
      <c r="N111" s="749" t="str">
        <f t="shared" si="62"/>
        <v>-</v>
      </c>
      <c r="O111" s="322"/>
      <c r="P111" s="378" t="s">
        <v>97</v>
      </c>
      <c r="Q111" s="103"/>
      <c r="R111" s="661">
        <f>K111</f>
        <v>0</v>
      </c>
      <c r="S111" s="104" t="str">
        <f t="shared" si="74"/>
        <v>검토</v>
      </c>
    </row>
    <row r="112" spans="1:19" ht="31.5" customHeight="1">
      <c r="A112" s="770"/>
      <c r="B112" s="770"/>
      <c r="C112" s="100">
        <v>162</v>
      </c>
      <c r="D112" s="104" t="s">
        <v>585</v>
      </c>
      <c r="E112" s="282" t="s">
        <v>587</v>
      </c>
      <c r="F112" s="95">
        <v>640000</v>
      </c>
      <c r="G112" s="95"/>
      <c r="H112" s="95">
        <v>100000</v>
      </c>
      <c r="I112" s="102">
        <f t="shared" si="61"/>
        <v>740000</v>
      </c>
      <c r="J112" s="375"/>
      <c r="K112" s="375">
        <v>100000</v>
      </c>
      <c r="L112" s="665">
        <f t="shared" si="64"/>
        <v>740000</v>
      </c>
      <c r="M112" s="665">
        <f t="shared" si="65"/>
        <v>0</v>
      </c>
      <c r="N112" s="749" t="str">
        <f t="shared" si="62"/>
        <v>-</v>
      </c>
      <c r="O112" s="322" t="s">
        <v>588</v>
      </c>
      <c r="P112" s="378" t="s">
        <v>97</v>
      </c>
      <c r="Q112" s="103"/>
      <c r="R112" s="661">
        <f t="shared" ref="R112:R113" si="79">K112</f>
        <v>100000</v>
      </c>
      <c r="S112" s="104" t="str">
        <f t="shared" si="74"/>
        <v>ok</v>
      </c>
    </row>
    <row r="113" spans="1:19" ht="31.5" customHeight="1">
      <c r="A113" s="770"/>
      <c r="B113" s="770"/>
      <c r="C113" s="107" t="s">
        <v>253</v>
      </c>
      <c r="D113" s="104" t="s">
        <v>585</v>
      </c>
      <c r="E113" s="282" t="s">
        <v>589</v>
      </c>
      <c r="F113" s="95"/>
      <c r="G113" s="95"/>
      <c r="H113" s="95">
        <v>300000</v>
      </c>
      <c r="I113" s="102">
        <f t="shared" si="61"/>
        <v>300000</v>
      </c>
      <c r="J113" s="375"/>
      <c r="K113" s="375">
        <v>300000</v>
      </c>
      <c r="L113" s="665">
        <f t="shared" si="64"/>
        <v>300000</v>
      </c>
      <c r="M113" s="665">
        <f t="shared" si="65"/>
        <v>0</v>
      </c>
      <c r="N113" s="749" t="str">
        <f t="shared" si="62"/>
        <v>-</v>
      </c>
      <c r="O113" s="322" t="s">
        <v>590</v>
      </c>
      <c r="P113" s="378" t="s">
        <v>97</v>
      </c>
      <c r="Q113" s="103"/>
      <c r="R113" s="661">
        <f t="shared" si="79"/>
        <v>300000</v>
      </c>
      <c r="S113" s="104" t="str">
        <f t="shared" si="74"/>
        <v>ok</v>
      </c>
    </row>
    <row r="114" spans="1:19" s="673" customFormat="1" ht="31.5" customHeight="1">
      <c r="A114" s="770"/>
      <c r="B114" s="770">
        <v>0</v>
      </c>
      <c r="C114" s="662">
        <v>162</v>
      </c>
      <c r="D114" s="658" t="s">
        <v>585</v>
      </c>
      <c r="E114" s="288" t="s">
        <v>1577</v>
      </c>
      <c r="F114" s="658">
        <v>1650000</v>
      </c>
      <c r="G114" s="658">
        <v>-1100000</v>
      </c>
      <c r="H114" s="658"/>
      <c r="I114" s="665">
        <f t="shared" si="61"/>
        <v>550000</v>
      </c>
      <c r="J114" s="658">
        <f>G114</f>
        <v>-1100000</v>
      </c>
      <c r="K114" s="641"/>
      <c r="L114" s="665">
        <f t="shared" si="64"/>
        <v>550000</v>
      </c>
      <c r="M114" s="665">
        <f t="shared" si="65"/>
        <v>0</v>
      </c>
      <c r="N114" s="749" t="str">
        <f t="shared" si="62"/>
        <v>-</v>
      </c>
      <c r="O114" s="336"/>
      <c r="P114" s="653" t="s">
        <v>1223</v>
      </c>
      <c r="Q114" s="658"/>
      <c r="R114" s="661">
        <f>J114</f>
        <v>-1100000</v>
      </c>
      <c r="S114" s="648" t="str">
        <f t="shared" si="74"/>
        <v>ok</v>
      </c>
    </row>
    <row r="115" spans="1:19" ht="31.5" customHeight="1">
      <c r="A115" s="770"/>
      <c r="B115" s="770"/>
      <c r="C115" s="100">
        <v>164</v>
      </c>
      <c r="D115" s="104" t="s">
        <v>591</v>
      </c>
      <c r="E115" s="282" t="s">
        <v>592</v>
      </c>
      <c r="F115" s="95">
        <v>37077</v>
      </c>
      <c r="G115" s="95"/>
      <c r="H115" s="95">
        <v>16095</v>
      </c>
      <c r="I115" s="102">
        <f t="shared" si="61"/>
        <v>53172</v>
      </c>
      <c r="J115" s="375"/>
      <c r="K115" s="375">
        <v>16095</v>
      </c>
      <c r="L115" s="665">
        <f t="shared" si="64"/>
        <v>53172</v>
      </c>
      <c r="M115" s="665">
        <f t="shared" si="65"/>
        <v>0</v>
      </c>
      <c r="N115" s="749" t="str">
        <f t="shared" si="62"/>
        <v>-</v>
      </c>
      <c r="O115" s="322" t="s">
        <v>593</v>
      </c>
      <c r="P115" s="378" t="s">
        <v>97</v>
      </c>
      <c r="Q115" s="103"/>
      <c r="R115" s="661">
        <f t="shared" ref="R115:R120" si="80">K115</f>
        <v>16095</v>
      </c>
      <c r="S115" s="104" t="str">
        <f t="shared" si="74"/>
        <v>ok</v>
      </c>
    </row>
    <row r="116" spans="1:19" ht="31.5" customHeight="1">
      <c r="A116" s="770"/>
      <c r="B116" s="770"/>
      <c r="C116" s="100">
        <v>164</v>
      </c>
      <c r="D116" s="104" t="s">
        <v>591</v>
      </c>
      <c r="E116" s="282" t="s">
        <v>594</v>
      </c>
      <c r="F116" s="95">
        <v>74100</v>
      </c>
      <c r="G116" s="95"/>
      <c r="H116" s="95">
        <v>18000</v>
      </c>
      <c r="I116" s="102">
        <f t="shared" si="61"/>
        <v>92100</v>
      </c>
      <c r="J116" s="375"/>
      <c r="K116" s="375">
        <v>18000</v>
      </c>
      <c r="L116" s="665">
        <f t="shared" si="64"/>
        <v>92100</v>
      </c>
      <c r="M116" s="665">
        <f t="shared" si="65"/>
        <v>0</v>
      </c>
      <c r="N116" s="749" t="str">
        <f t="shared" si="62"/>
        <v>-</v>
      </c>
      <c r="O116" s="322" t="s">
        <v>595</v>
      </c>
      <c r="P116" s="378" t="s">
        <v>97</v>
      </c>
      <c r="Q116" s="103"/>
      <c r="R116" s="661">
        <f t="shared" si="80"/>
        <v>18000</v>
      </c>
      <c r="S116" s="104" t="str">
        <f t="shared" si="74"/>
        <v>ok</v>
      </c>
    </row>
    <row r="117" spans="1:19" ht="31.5" customHeight="1">
      <c r="A117" s="770"/>
      <c r="B117" s="770"/>
      <c r="C117" s="100">
        <v>164</v>
      </c>
      <c r="D117" s="104" t="s">
        <v>591</v>
      </c>
      <c r="E117" s="282" t="s">
        <v>596</v>
      </c>
      <c r="F117" s="95">
        <v>271000</v>
      </c>
      <c r="G117" s="95"/>
      <c r="H117" s="95">
        <v>133000</v>
      </c>
      <c r="I117" s="102">
        <f t="shared" si="61"/>
        <v>404000</v>
      </c>
      <c r="J117" s="375"/>
      <c r="K117" s="375">
        <v>133000</v>
      </c>
      <c r="L117" s="665">
        <f t="shared" si="64"/>
        <v>404000</v>
      </c>
      <c r="M117" s="665">
        <f t="shared" si="65"/>
        <v>0</v>
      </c>
      <c r="N117" s="749" t="str">
        <f t="shared" si="62"/>
        <v>-</v>
      </c>
      <c r="O117" s="322" t="s">
        <v>597</v>
      </c>
      <c r="P117" s="378" t="s">
        <v>97</v>
      </c>
      <c r="Q117" s="103"/>
      <c r="R117" s="661">
        <f t="shared" si="80"/>
        <v>133000</v>
      </c>
      <c r="S117" s="104" t="str">
        <f t="shared" si="74"/>
        <v>ok</v>
      </c>
    </row>
    <row r="118" spans="1:19" ht="31.5" customHeight="1">
      <c r="A118" s="770"/>
      <c r="B118" s="770"/>
      <c r="C118" s="100">
        <v>165</v>
      </c>
      <c r="D118" s="104" t="s">
        <v>591</v>
      </c>
      <c r="E118" s="282" t="s">
        <v>598</v>
      </c>
      <c r="F118" s="95">
        <v>294120</v>
      </c>
      <c r="G118" s="95"/>
      <c r="H118" s="95">
        <v>34251</v>
      </c>
      <c r="I118" s="102">
        <f t="shared" si="61"/>
        <v>328371</v>
      </c>
      <c r="J118" s="375"/>
      <c r="K118" s="375">
        <v>34251</v>
      </c>
      <c r="L118" s="665">
        <f t="shared" si="64"/>
        <v>328371</v>
      </c>
      <c r="M118" s="665">
        <f t="shared" si="65"/>
        <v>0</v>
      </c>
      <c r="N118" s="749" t="str">
        <f t="shared" si="62"/>
        <v>-</v>
      </c>
      <c r="O118" s="322" t="s">
        <v>599</v>
      </c>
      <c r="P118" s="378" t="s">
        <v>97</v>
      </c>
      <c r="Q118" s="103"/>
      <c r="R118" s="661">
        <f t="shared" si="80"/>
        <v>34251</v>
      </c>
      <c r="S118" s="104" t="str">
        <f t="shared" si="74"/>
        <v>ok</v>
      </c>
    </row>
    <row r="119" spans="1:19" ht="31.5" customHeight="1">
      <c r="A119" s="770"/>
      <c r="B119" s="770"/>
      <c r="C119" s="100">
        <v>165</v>
      </c>
      <c r="D119" s="104" t="s">
        <v>591</v>
      </c>
      <c r="E119" s="282" t="s">
        <v>600</v>
      </c>
      <c r="F119" s="95">
        <v>100000</v>
      </c>
      <c r="G119" s="95"/>
      <c r="H119" s="95">
        <v>24000</v>
      </c>
      <c r="I119" s="102">
        <f t="shared" si="61"/>
        <v>124000</v>
      </c>
      <c r="J119" s="375"/>
      <c r="K119" s="375">
        <v>24000</v>
      </c>
      <c r="L119" s="665">
        <f t="shared" si="64"/>
        <v>124000</v>
      </c>
      <c r="M119" s="665">
        <f t="shared" si="65"/>
        <v>0</v>
      </c>
      <c r="N119" s="749" t="str">
        <f t="shared" si="62"/>
        <v>-</v>
      </c>
      <c r="O119" s="322" t="s">
        <v>601</v>
      </c>
      <c r="P119" s="378" t="s">
        <v>97</v>
      </c>
      <c r="Q119" s="103"/>
      <c r="R119" s="661">
        <f t="shared" si="80"/>
        <v>24000</v>
      </c>
      <c r="S119" s="104" t="str">
        <f t="shared" si="74"/>
        <v>ok</v>
      </c>
    </row>
    <row r="120" spans="1:19" s="587" customFormat="1" ht="31.5" customHeight="1">
      <c r="A120" s="770"/>
      <c r="B120" s="770"/>
      <c r="C120" s="371">
        <v>165</v>
      </c>
      <c r="D120" s="591" t="s">
        <v>591</v>
      </c>
      <c r="E120" s="282" t="s">
        <v>602</v>
      </c>
      <c r="F120" s="588">
        <v>153200</v>
      </c>
      <c r="G120" s="588"/>
      <c r="H120" s="588">
        <v>26600</v>
      </c>
      <c r="I120" s="589">
        <f t="shared" ref="I120" si="81">F120+G120+H120</f>
        <v>179800</v>
      </c>
      <c r="J120" s="588"/>
      <c r="K120" s="588">
        <v>26600</v>
      </c>
      <c r="L120" s="665">
        <f t="shared" si="64"/>
        <v>179800</v>
      </c>
      <c r="M120" s="665">
        <f t="shared" si="65"/>
        <v>0</v>
      </c>
      <c r="N120" s="749" t="str">
        <f t="shared" si="62"/>
        <v>-</v>
      </c>
      <c r="O120" s="367" t="s">
        <v>603</v>
      </c>
      <c r="P120" s="591" t="s">
        <v>97</v>
      </c>
      <c r="Q120" s="590"/>
      <c r="R120" s="661">
        <f t="shared" si="80"/>
        <v>26600</v>
      </c>
      <c r="S120" s="591" t="str">
        <f t="shared" si="74"/>
        <v>ok</v>
      </c>
    </row>
    <row r="121" spans="1:19" ht="31.5" customHeight="1">
      <c r="A121" s="770"/>
      <c r="B121" s="612" t="s">
        <v>525</v>
      </c>
      <c r="C121" s="628"/>
      <c r="D121" s="31"/>
      <c r="E121" s="31"/>
      <c r="F121" s="32">
        <f t="shared" ref="F121:K121" si="82">SUM(F122:F128)</f>
        <v>798000</v>
      </c>
      <c r="G121" s="32">
        <f t="shared" si="82"/>
        <v>0</v>
      </c>
      <c r="H121" s="32">
        <f t="shared" si="82"/>
        <v>894000</v>
      </c>
      <c r="I121" s="32">
        <f t="shared" si="82"/>
        <v>1692000</v>
      </c>
      <c r="J121" s="370">
        <f t="shared" si="82"/>
        <v>0</v>
      </c>
      <c r="K121" s="370">
        <f t="shared" si="82"/>
        <v>934000</v>
      </c>
      <c r="L121" s="370">
        <f t="shared" ref="L121:L148" si="83">F121+J121+K121</f>
        <v>1732000</v>
      </c>
      <c r="M121" s="370">
        <f t="shared" ref="M121:M148" si="84">L121-I121</f>
        <v>40000</v>
      </c>
      <c r="N121" s="628"/>
      <c r="O121" s="321"/>
      <c r="P121" s="30"/>
      <c r="Q121" s="32">
        <f>SUM(Q122:Q128)</f>
        <v>0</v>
      </c>
      <c r="R121" s="32">
        <f>SUM(R122:R128)</f>
        <v>934000</v>
      </c>
      <c r="S121" s="30" t="str">
        <f t="shared" si="74"/>
        <v>검토</v>
      </c>
    </row>
    <row r="122" spans="1:19" ht="31.5" customHeight="1">
      <c r="A122" s="770"/>
      <c r="B122" s="770"/>
      <c r="C122" s="100">
        <v>172</v>
      </c>
      <c r="D122" s="104" t="s">
        <v>604</v>
      </c>
      <c r="E122" s="183" t="s">
        <v>605</v>
      </c>
      <c r="F122" s="95">
        <v>9000</v>
      </c>
      <c r="G122" s="95"/>
      <c r="H122" s="95">
        <v>3000</v>
      </c>
      <c r="I122" s="102">
        <f t="shared" ref="I122:I126" si="85">F122+G122+H122</f>
        <v>12000</v>
      </c>
      <c r="J122" s="375"/>
      <c r="K122" s="375">
        <v>3000</v>
      </c>
      <c r="L122" s="665">
        <f t="shared" si="83"/>
        <v>12000</v>
      </c>
      <c r="M122" s="665">
        <f t="shared" si="84"/>
        <v>0</v>
      </c>
      <c r="N122" s="749" t="str">
        <f t="shared" ref="N122:N128" si="86">IF(AND(((G122+H122)&lt;0),(J122+K122)&gt;(G122+H122)),"검토","-")</f>
        <v>-</v>
      </c>
      <c r="O122" s="259" t="s">
        <v>550</v>
      </c>
      <c r="P122" s="378" t="s">
        <v>97</v>
      </c>
      <c r="Q122" s="103"/>
      <c r="R122" s="661">
        <f t="shared" ref="R122:R127" si="87">K122</f>
        <v>3000</v>
      </c>
      <c r="S122" s="104" t="str">
        <f t="shared" si="74"/>
        <v>ok</v>
      </c>
    </row>
    <row r="123" spans="1:19" ht="31.5" customHeight="1">
      <c r="A123" s="770"/>
      <c r="B123" s="770"/>
      <c r="C123" s="100">
        <v>172</v>
      </c>
      <c r="D123" s="104" t="s">
        <v>604</v>
      </c>
      <c r="E123" s="183" t="s">
        <v>606</v>
      </c>
      <c r="F123" s="95">
        <v>109000</v>
      </c>
      <c r="G123" s="95"/>
      <c r="H123" s="95">
        <v>191000</v>
      </c>
      <c r="I123" s="102">
        <f t="shared" si="85"/>
        <v>300000</v>
      </c>
      <c r="J123" s="375"/>
      <c r="K123" s="375">
        <v>191000</v>
      </c>
      <c r="L123" s="665">
        <f t="shared" si="83"/>
        <v>300000</v>
      </c>
      <c r="M123" s="665">
        <f t="shared" si="84"/>
        <v>0</v>
      </c>
      <c r="N123" s="749" t="str">
        <f t="shared" si="86"/>
        <v>-</v>
      </c>
      <c r="O123" s="259" t="s">
        <v>550</v>
      </c>
      <c r="P123" s="378" t="s">
        <v>97</v>
      </c>
      <c r="Q123" s="103"/>
      <c r="R123" s="661">
        <f t="shared" si="87"/>
        <v>191000</v>
      </c>
      <c r="S123" s="104" t="str">
        <f t="shared" si="74"/>
        <v>ok</v>
      </c>
    </row>
    <row r="124" spans="1:19" ht="31.5" customHeight="1">
      <c r="A124" s="770"/>
      <c r="B124" s="770"/>
      <c r="C124" s="107" t="s">
        <v>253</v>
      </c>
      <c r="D124" s="104" t="s">
        <v>604</v>
      </c>
      <c r="E124" s="183" t="s">
        <v>607</v>
      </c>
      <c r="F124" s="95"/>
      <c r="G124" s="95"/>
      <c r="H124" s="95">
        <v>200000</v>
      </c>
      <c r="I124" s="102">
        <f t="shared" si="85"/>
        <v>200000</v>
      </c>
      <c r="J124" s="375"/>
      <c r="K124" s="375">
        <v>200000</v>
      </c>
      <c r="L124" s="665">
        <f t="shared" si="83"/>
        <v>200000</v>
      </c>
      <c r="M124" s="665">
        <f t="shared" si="84"/>
        <v>0</v>
      </c>
      <c r="N124" s="749" t="str">
        <f t="shared" si="86"/>
        <v>-</v>
      </c>
      <c r="O124" s="259" t="s">
        <v>608</v>
      </c>
      <c r="P124" s="378" t="s">
        <v>97</v>
      </c>
      <c r="Q124" s="103"/>
      <c r="R124" s="661">
        <f t="shared" si="87"/>
        <v>200000</v>
      </c>
      <c r="S124" s="104" t="str">
        <f t="shared" si="74"/>
        <v>ok</v>
      </c>
    </row>
    <row r="125" spans="1:19" ht="31.5" customHeight="1">
      <c r="A125" s="770"/>
      <c r="B125" s="770"/>
      <c r="C125" s="100">
        <v>173</v>
      </c>
      <c r="D125" s="104" t="s">
        <v>604</v>
      </c>
      <c r="E125" s="183" t="s">
        <v>609</v>
      </c>
      <c r="F125" s="95">
        <v>200000</v>
      </c>
      <c r="G125" s="95"/>
      <c r="H125" s="95">
        <v>100000</v>
      </c>
      <c r="I125" s="102">
        <f t="shared" si="85"/>
        <v>300000</v>
      </c>
      <c r="J125" s="375"/>
      <c r="K125" s="375">
        <v>100000</v>
      </c>
      <c r="L125" s="665">
        <f t="shared" si="83"/>
        <v>300000</v>
      </c>
      <c r="M125" s="665">
        <f t="shared" si="84"/>
        <v>0</v>
      </c>
      <c r="N125" s="749" t="str">
        <f t="shared" si="86"/>
        <v>-</v>
      </c>
      <c r="O125" s="259" t="s">
        <v>610</v>
      </c>
      <c r="P125" s="378" t="s">
        <v>97</v>
      </c>
      <c r="Q125" s="103"/>
      <c r="R125" s="661">
        <f t="shared" si="87"/>
        <v>100000</v>
      </c>
      <c r="S125" s="104" t="str">
        <f t="shared" si="74"/>
        <v>ok</v>
      </c>
    </row>
    <row r="126" spans="1:19" ht="31.5" customHeight="1">
      <c r="A126" s="770"/>
      <c r="B126" s="770"/>
      <c r="C126" s="100">
        <v>173</v>
      </c>
      <c r="D126" s="104" t="s">
        <v>604</v>
      </c>
      <c r="E126" s="183" t="s">
        <v>611</v>
      </c>
      <c r="F126" s="95">
        <v>100000</v>
      </c>
      <c r="G126" s="95"/>
      <c r="H126" s="95">
        <v>200000</v>
      </c>
      <c r="I126" s="102">
        <f t="shared" si="85"/>
        <v>300000</v>
      </c>
      <c r="J126" s="375"/>
      <c r="K126" s="375">
        <v>200000</v>
      </c>
      <c r="L126" s="665">
        <f t="shared" si="83"/>
        <v>300000</v>
      </c>
      <c r="M126" s="665">
        <f t="shared" si="84"/>
        <v>0</v>
      </c>
      <c r="N126" s="749" t="str">
        <f t="shared" si="86"/>
        <v>-</v>
      </c>
      <c r="O126" s="259" t="s">
        <v>612</v>
      </c>
      <c r="P126" s="378" t="s">
        <v>97</v>
      </c>
      <c r="Q126" s="103"/>
      <c r="R126" s="661">
        <f t="shared" si="87"/>
        <v>200000</v>
      </c>
      <c r="S126" s="104" t="str">
        <f t="shared" si="74"/>
        <v>ok</v>
      </c>
    </row>
    <row r="127" spans="1:19" ht="31.5" customHeight="1">
      <c r="A127" s="770"/>
      <c r="B127" s="770"/>
      <c r="C127" s="100">
        <v>173</v>
      </c>
      <c r="D127" s="104" t="s">
        <v>604</v>
      </c>
      <c r="E127" s="101" t="s">
        <v>613</v>
      </c>
      <c r="F127" s="95">
        <v>250000</v>
      </c>
      <c r="G127" s="95"/>
      <c r="H127" s="95">
        <v>200000</v>
      </c>
      <c r="I127" s="102">
        <f>F127+G127+H127</f>
        <v>450000</v>
      </c>
      <c r="J127" s="375"/>
      <c r="K127" s="375">
        <v>200000</v>
      </c>
      <c r="L127" s="665">
        <f t="shared" si="83"/>
        <v>450000</v>
      </c>
      <c r="M127" s="665">
        <f t="shared" si="84"/>
        <v>0</v>
      </c>
      <c r="N127" s="749" t="str">
        <f t="shared" si="86"/>
        <v>-</v>
      </c>
      <c r="O127" s="259" t="s">
        <v>614</v>
      </c>
      <c r="P127" s="378" t="s">
        <v>97</v>
      </c>
      <c r="Q127" s="103"/>
      <c r="R127" s="661">
        <f t="shared" si="87"/>
        <v>200000</v>
      </c>
      <c r="S127" s="104" t="str">
        <f>IF((G127+H127)=(Q127+R127),"ok","검토")</f>
        <v>ok</v>
      </c>
    </row>
    <row r="128" spans="1:19" s="673" customFormat="1" ht="31.5" customHeight="1">
      <c r="A128" s="770"/>
      <c r="B128" s="770"/>
      <c r="C128" s="662">
        <v>172</v>
      </c>
      <c r="D128" s="658" t="s">
        <v>1285</v>
      </c>
      <c r="E128" s="288" t="s">
        <v>1578</v>
      </c>
      <c r="F128" s="658">
        <v>130000</v>
      </c>
      <c r="G128" s="658"/>
      <c r="H128" s="658"/>
      <c r="I128" s="665">
        <f>F128+G128+H128</f>
        <v>130000</v>
      </c>
      <c r="J128" s="658"/>
      <c r="K128" s="641">
        <v>40000</v>
      </c>
      <c r="L128" s="665">
        <f t="shared" ref="L128" si="88">F128+J128+K128</f>
        <v>170000</v>
      </c>
      <c r="M128" s="665">
        <f t="shared" ref="M128" si="89">L128-I128</f>
        <v>40000</v>
      </c>
      <c r="N128" s="749" t="str">
        <f t="shared" si="86"/>
        <v>-</v>
      </c>
      <c r="O128" s="336"/>
      <c r="P128" s="653" t="s">
        <v>1223</v>
      </c>
      <c r="Q128" s="658"/>
      <c r="R128" s="661">
        <f>K128</f>
        <v>40000</v>
      </c>
      <c r="S128" s="648" t="str">
        <f>IF((G128+H128)=(Q128+R128),"ok","검토")</f>
        <v>검토</v>
      </c>
    </row>
    <row r="129" spans="1:19" ht="31.5" customHeight="1">
      <c r="A129" s="445" t="s">
        <v>101</v>
      </c>
      <c r="B129" s="772"/>
      <c r="C129" s="26"/>
      <c r="D129" s="26"/>
      <c r="E129" s="26"/>
      <c r="F129" s="27">
        <f t="shared" ref="F129:I129" si="90">SUM(F130:F297)/2</f>
        <v>18129543</v>
      </c>
      <c r="G129" s="27">
        <f t="shared" si="90"/>
        <v>-1107040</v>
      </c>
      <c r="H129" s="27">
        <f t="shared" si="90"/>
        <v>9589722</v>
      </c>
      <c r="I129" s="27">
        <f t="shared" si="90"/>
        <v>26612225</v>
      </c>
      <c r="J129" s="369">
        <f t="shared" ref="J129:K129" si="91">SUM(J130:J297)/2</f>
        <v>-121900</v>
      </c>
      <c r="K129" s="369">
        <f t="shared" si="91"/>
        <v>10641222</v>
      </c>
      <c r="L129" s="369">
        <f t="shared" si="83"/>
        <v>28648865</v>
      </c>
      <c r="M129" s="369">
        <f t="shared" si="84"/>
        <v>2036640</v>
      </c>
      <c r="N129" s="626"/>
      <c r="O129" s="257"/>
      <c r="P129" s="26"/>
      <c r="Q129" s="27">
        <f>SUM(Q130:Q297)/2</f>
        <v>768000</v>
      </c>
      <c r="R129" s="27">
        <f>SUM(R130:R297)/2</f>
        <v>9751322</v>
      </c>
      <c r="S129" s="26" t="str">
        <f t="shared" si="74"/>
        <v>검토</v>
      </c>
    </row>
    <row r="130" spans="1:19" ht="31.5" customHeight="1">
      <c r="A130" s="770"/>
      <c r="B130" s="612" t="s">
        <v>615</v>
      </c>
      <c r="C130" s="628"/>
      <c r="D130" s="31"/>
      <c r="E130" s="31"/>
      <c r="F130" s="32">
        <f t="shared" ref="F130:K130" si="92">SUM(F131:F147)</f>
        <v>2435650</v>
      </c>
      <c r="G130" s="32">
        <f t="shared" si="92"/>
        <v>-985140</v>
      </c>
      <c r="H130" s="32">
        <f t="shared" si="92"/>
        <v>822000</v>
      </c>
      <c r="I130" s="32">
        <f t="shared" si="92"/>
        <v>2272510</v>
      </c>
      <c r="J130" s="370">
        <f t="shared" si="92"/>
        <v>0</v>
      </c>
      <c r="K130" s="370">
        <f t="shared" si="92"/>
        <v>135000</v>
      </c>
      <c r="L130" s="370">
        <f t="shared" si="83"/>
        <v>2570650</v>
      </c>
      <c r="M130" s="370">
        <f t="shared" si="84"/>
        <v>298140</v>
      </c>
      <c r="N130" s="628"/>
      <c r="O130" s="258"/>
      <c r="P130" s="30"/>
      <c r="Q130" s="32">
        <f>SUM(Q131:Q147)</f>
        <v>0</v>
      </c>
      <c r="R130" s="32">
        <f>SUM(R131:R147)</f>
        <v>135000</v>
      </c>
      <c r="S130" s="30" t="str">
        <f t="shared" si="74"/>
        <v>검토</v>
      </c>
    </row>
    <row r="131" spans="1:19" ht="31.5" customHeight="1">
      <c r="A131" s="770"/>
      <c r="B131" s="770"/>
      <c r="C131" s="108">
        <v>187</v>
      </c>
      <c r="D131" s="109" t="s">
        <v>129</v>
      </c>
      <c r="E131" s="284" t="s">
        <v>616</v>
      </c>
      <c r="F131" s="110">
        <v>1240</v>
      </c>
      <c r="G131" s="110"/>
      <c r="H131" s="110">
        <v>2000</v>
      </c>
      <c r="I131" s="102">
        <f t="shared" ref="I131:I141" si="93">F131+G131+H131</f>
        <v>3240</v>
      </c>
      <c r="J131" s="363"/>
      <c r="K131" s="363">
        <v>2000</v>
      </c>
      <c r="L131" s="665">
        <f t="shared" si="83"/>
        <v>3240</v>
      </c>
      <c r="M131" s="665">
        <f t="shared" si="84"/>
        <v>0</v>
      </c>
      <c r="N131" s="749" t="str">
        <f t="shared" ref="N131:N147" si="94">IF(AND(((G131+H131)&lt;0),(J131+K131)&gt;(G131+H131)),"검토","-")</f>
        <v>-</v>
      </c>
      <c r="O131" s="325" t="s">
        <v>617</v>
      </c>
      <c r="P131" s="365" t="s">
        <v>231</v>
      </c>
      <c r="Q131" s="273"/>
      <c r="R131" s="661">
        <f t="shared" ref="R131:R143" si="95">K131</f>
        <v>2000</v>
      </c>
      <c r="S131" s="285" t="str">
        <f t="shared" si="74"/>
        <v>ok</v>
      </c>
    </row>
    <row r="132" spans="1:19" s="673" customFormat="1" ht="66" customHeight="1">
      <c r="A132" s="770"/>
      <c r="B132" s="770"/>
      <c r="C132" s="662">
        <v>194</v>
      </c>
      <c r="D132" s="658" t="s">
        <v>618</v>
      </c>
      <c r="E132" s="288" t="s">
        <v>1579</v>
      </c>
      <c r="F132" s="658">
        <v>1235270</v>
      </c>
      <c r="G132" s="658"/>
      <c r="H132" s="658">
        <v>120000</v>
      </c>
      <c r="I132" s="665">
        <f t="shared" ref="I132" si="96">F132+G132+H132</f>
        <v>1355270</v>
      </c>
      <c r="J132" s="658"/>
      <c r="K132" s="641">
        <v>120000</v>
      </c>
      <c r="L132" s="665">
        <f t="shared" si="83"/>
        <v>1355270</v>
      </c>
      <c r="M132" s="665">
        <f t="shared" si="84"/>
        <v>0</v>
      </c>
      <c r="N132" s="749" t="str">
        <f t="shared" si="94"/>
        <v>-</v>
      </c>
      <c r="O132" s="336" t="s">
        <v>1046</v>
      </c>
      <c r="P132" s="653" t="s">
        <v>1223</v>
      </c>
      <c r="Q132" s="658"/>
      <c r="R132" s="661">
        <f t="shared" si="95"/>
        <v>120000</v>
      </c>
      <c r="S132" s="648" t="str">
        <f t="shared" si="74"/>
        <v>ok</v>
      </c>
    </row>
    <row r="133" spans="1:19" ht="56.25" customHeight="1">
      <c r="A133" s="770"/>
      <c r="B133" s="770"/>
      <c r="C133" s="108">
        <v>196</v>
      </c>
      <c r="D133" s="109" t="s">
        <v>618</v>
      </c>
      <c r="E133" s="284" t="s">
        <v>619</v>
      </c>
      <c r="F133" s="110">
        <v>55140</v>
      </c>
      <c r="G133" s="110">
        <v>-55140</v>
      </c>
      <c r="H133" s="110"/>
      <c r="I133" s="102">
        <f t="shared" si="93"/>
        <v>0</v>
      </c>
      <c r="J133" s="363">
        <f>-55140+55140</f>
        <v>0</v>
      </c>
      <c r="K133" s="363"/>
      <c r="L133" s="665">
        <f t="shared" si="83"/>
        <v>55140</v>
      </c>
      <c r="M133" s="665">
        <f t="shared" si="84"/>
        <v>55140</v>
      </c>
      <c r="N133" s="749" t="str">
        <f t="shared" si="94"/>
        <v>검토</v>
      </c>
      <c r="O133" s="326"/>
      <c r="P133" s="365" t="s">
        <v>231</v>
      </c>
      <c r="Q133" s="273"/>
      <c r="R133" s="669">
        <f t="shared" si="95"/>
        <v>0</v>
      </c>
      <c r="S133" s="285" t="str">
        <f t="shared" si="74"/>
        <v>검토</v>
      </c>
    </row>
    <row r="134" spans="1:19" ht="47.25" customHeight="1">
      <c r="A134" s="770"/>
      <c r="B134" s="770"/>
      <c r="C134" s="108">
        <v>196</v>
      </c>
      <c r="D134" s="109" t="s">
        <v>618</v>
      </c>
      <c r="E134" s="284" t="s">
        <v>620</v>
      </c>
      <c r="F134" s="110">
        <v>930000</v>
      </c>
      <c r="G134" s="110">
        <v>-930000</v>
      </c>
      <c r="H134" s="110"/>
      <c r="I134" s="102">
        <f t="shared" si="93"/>
        <v>0</v>
      </c>
      <c r="J134" s="363">
        <f>-930000+930000</f>
        <v>0</v>
      </c>
      <c r="K134" s="363"/>
      <c r="L134" s="665">
        <f t="shared" si="83"/>
        <v>930000</v>
      </c>
      <c r="M134" s="665">
        <f t="shared" si="84"/>
        <v>930000</v>
      </c>
      <c r="N134" s="749" t="str">
        <f t="shared" si="94"/>
        <v>검토</v>
      </c>
      <c r="O134" s="326"/>
      <c r="P134" s="365" t="s">
        <v>231</v>
      </c>
      <c r="Q134" s="273"/>
      <c r="R134" s="669">
        <f t="shared" si="95"/>
        <v>0</v>
      </c>
      <c r="S134" s="285" t="str">
        <f t="shared" si="74"/>
        <v>검토</v>
      </c>
    </row>
    <row r="135" spans="1:19" ht="31.5" customHeight="1">
      <c r="A135" s="770"/>
      <c r="B135" s="770"/>
      <c r="C135" s="108" t="s">
        <v>94</v>
      </c>
      <c r="D135" s="109" t="s">
        <v>618</v>
      </c>
      <c r="E135" s="109" t="s">
        <v>621</v>
      </c>
      <c r="F135" s="110"/>
      <c r="G135" s="110"/>
      <c r="H135" s="110">
        <v>190000</v>
      </c>
      <c r="I135" s="102">
        <f t="shared" si="93"/>
        <v>190000</v>
      </c>
      <c r="J135" s="363"/>
      <c r="K135" s="363">
        <f>190000-190000</f>
        <v>0</v>
      </c>
      <c r="L135" s="665">
        <f t="shared" si="83"/>
        <v>0</v>
      </c>
      <c r="M135" s="665">
        <f t="shared" si="84"/>
        <v>-190000</v>
      </c>
      <c r="N135" s="749" t="str">
        <f t="shared" si="94"/>
        <v>-</v>
      </c>
      <c r="O135" s="326"/>
      <c r="P135" s="365" t="s">
        <v>231</v>
      </c>
      <c r="Q135" s="273"/>
      <c r="R135" s="669">
        <f t="shared" si="95"/>
        <v>0</v>
      </c>
      <c r="S135" s="285" t="str">
        <f t="shared" si="74"/>
        <v>검토</v>
      </c>
    </row>
    <row r="136" spans="1:19" ht="31.5" customHeight="1">
      <c r="A136" s="770"/>
      <c r="B136" s="770"/>
      <c r="C136" s="108" t="s">
        <v>94</v>
      </c>
      <c r="D136" s="109" t="s">
        <v>618</v>
      </c>
      <c r="E136" s="138" t="s">
        <v>622</v>
      </c>
      <c r="F136" s="110"/>
      <c r="G136" s="110"/>
      <c r="H136" s="110">
        <v>70000</v>
      </c>
      <c r="I136" s="102">
        <f t="shared" si="93"/>
        <v>70000</v>
      </c>
      <c r="J136" s="363"/>
      <c r="K136" s="363">
        <v>0</v>
      </c>
      <c r="L136" s="665">
        <f t="shared" si="83"/>
        <v>0</v>
      </c>
      <c r="M136" s="665">
        <f t="shared" si="84"/>
        <v>-70000</v>
      </c>
      <c r="N136" s="749" t="str">
        <f t="shared" si="94"/>
        <v>-</v>
      </c>
      <c r="O136" s="326"/>
      <c r="P136" s="365" t="s">
        <v>231</v>
      </c>
      <c r="Q136" s="273"/>
      <c r="R136" s="669">
        <f t="shared" si="95"/>
        <v>0</v>
      </c>
      <c r="S136" s="285" t="str">
        <f t="shared" si="74"/>
        <v>검토</v>
      </c>
    </row>
    <row r="137" spans="1:19" ht="31.5" customHeight="1">
      <c r="A137" s="770"/>
      <c r="B137" s="770"/>
      <c r="C137" s="108" t="s">
        <v>94</v>
      </c>
      <c r="D137" s="109" t="s">
        <v>618</v>
      </c>
      <c r="E137" s="109" t="s">
        <v>623</v>
      </c>
      <c r="F137" s="110"/>
      <c r="G137" s="110"/>
      <c r="H137" s="110">
        <v>50000</v>
      </c>
      <c r="I137" s="102">
        <f t="shared" si="93"/>
        <v>50000</v>
      </c>
      <c r="J137" s="363"/>
      <c r="K137" s="363">
        <v>0</v>
      </c>
      <c r="L137" s="665">
        <f t="shared" si="83"/>
        <v>0</v>
      </c>
      <c r="M137" s="665">
        <f t="shared" si="84"/>
        <v>-50000</v>
      </c>
      <c r="N137" s="749" t="str">
        <f t="shared" si="94"/>
        <v>-</v>
      </c>
      <c r="O137" s="326"/>
      <c r="P137" s="365" t="s">
        <v>231</v>
      </c>
      <c r="Q137" s="273"/>
      <c r="R137" s="669">
        <f t="shared" si="95"/>
        <v>0</v>
      </c>
      <c r="S137" s="285" t="str">
        <f t="shared" si="74"/>
        <v>검토</v>
      </c>
    </row>
    <row r="138" spans="1:19" ht="31.5" customHeight="1">
      <c r="A138" s="770"/>
      <c r="B138" s="770"/>
      <c r="C138" s="108" t="s">
        <v>94</v>
      </c>
      <c r="D138" s="109" t="s">
        <v>618</v>
      </c>
      <c r="E138" s="109" t="s">
        <v>624</v>
      </c>
      <c r="F138" s="110"/>
      <c r="G138" s="110"/>
      <c r="H138" s="110">
        <v>60000</v>
      </c>
      <c r="I138" s="102">
        <f t="shared" si="93"/>
        <v>60000</v>
      </c>
      <c r="J138" s="363"/>
      <c r="K138" s="363">
        <v>0</v>
      </c>
      <c r="L138" s="665">
        <f t="shared" si="83"/>
        <v>0</v>
      </c>
      <c r="M138" s="665">
        <f t="shared" si="84"/>
        <v>-60000</v>
      </c>
      <c r="N138" s="749" t="str">
        <f t="shared" si="94"/>
        <v>-</v>
      </c>
      <c r="O138" s="326"/>
      <c r="P138" s="365" t="s">
        <v>231</v>
      </c>
      <c r="Q138" s="273"/>
      <c r="R138" s="669">
        <f t="shared" si="95"/>
        <v>0</v>
      </c>
      <c r="S138" s="285" t="str">
        <f t="shared" si="74"/>
        <v>검토</v>
      </c>
    </row>
    <row r="139" spans="1:19" ht="31.5" customHeight="1">
      <c r="A139" s="770"/>
      <c r="B139" s="770"/>
      <c r="C139" s="108" t="s">
        <v>94</v>
      </c>
      <c r="D139" s="109" t="s">
        <v>618</v>
      </c>
      <c r="E139" s="138" t="s">
        <v>625</v>
      </c>
      <c r="F139" s="110"/>
      <c r="G139" s="110"/>
      <c r="H139" s="110">
        <v>30000</v>
      </c>
      <c r="I139" s="102">
        <f t="shared" si="93"/>
        <v>30000</v>
      </c>
      <c r="J139" s="363"/>
      <c r="K139" s="363">
        <v>0</v>
      </c>
      <c r="L139" s="665">
        <f t="shared" si="83"/>
        <v>0</v>
      </c>
      <c r="M139" s="665">
        <f t="shared" si="84"/>
        <v>-30000</v>
      </c>
      <c r="N139" s="749" t="str">
        <f t="shared" si="94"/>
        <v>-</v>
      </c>
      <c r="O139" s="326"/>
      <c r="P139" s="365" t="s">
        <v>231</v>
      </c>
      <c r="Q139" s="273"/>
      <c r="R139" s="669">
        <f t="shared" si="95"/>
        <v>0</v>
      </c>
      <c r="S139" s="285" t="str">
        <f t="shared" si="74"/>
        <v>검토</v>
      </c>
    </row>
    <row r="140" spans="1:19" ht="31.5" customHeight="1">
      <c r="A140" s="770"/>
      <c r="B140" s="770"/>
      <c r="C140" s="108" t="s">
        <v>94</v>
      </c>
      <c r="D140" s="109" t="s">
        <v>618</v>
      </c>
      <c r="E140" s="109" t="s">
        <v>626</v>
      </c>
      <c r="F140" s="110"/>
      <c r="G140" s="110"/>
      <c r="H140" s="110">
        <v>150000</v>
      </c>
      <c r="I140" s="102">
        <f t="shared" si="93"/>
        <v>150000</v>
      </c>
      <c r="J140" s="363"/>
      <c r="K140" s="363">
        <v>0</v>
      </c>
      <c r="L140" s="665">
        <f t="shared" si="83"/>
        <v>0</v>
      </c>
      <c r="M140" s="665">
        <f t="shared" si="84"/>
        <v>-150000</v>
      </c>
      <c r="N140" s="749" t="str">
        <f t="shared" si="94"/>
        <v>-</v>
      </c>
      <c r="O140" s="326"/>
      <c r="P140" s="365" t="s">
        <v>231</v>
      </c>
      <c r="Q140" s="273"/>
      <c r="R140" s="669">
        <f t="shared" si="95"/>
        <v>0</v>
      </c>
      <c r="S140" s="285" t="str">
        <f t="shared" si="74"/>
        <v>검토</v>
      </c>
    </row>
    <row r="141" spans="1:19" ht="31.5" customHeight="1">
      <c r="A141" s="770"/>
      <c r="B141" s="770"/>
      <c r="C141" s="108" t="s">
        <v>94</v>
      </c>
      <c r="D141" s="109" t="s">
        <v>618</v>
      </c>
      <c r="E141" s="109" t="s">
        <v>627</v>
      </c>
      <c r="F141" s="110"/>
      <c r="G141" s="110"/>
      <c r="H141" s="110">
        <v>50000</v>
      </c>
      <c r="I141" s="102">
        <f t="shared" si="93"/>
        <v>50000</v>
      </c>
      <c r="J141" s="363"/>
      <c r="K141" s="363">
        <v>0</v>
      </c>
      <c r="L141" s="665">
        <f t="shared" si="83"/>
        <v>0</v>
      </c>
      <c r="M141" s="665">
        <f t="shared" si="84"/>
        <v>-50000</v>
      </c>
      <c r="N141" s="749" t="str">
        <f t="shared" si="94"/>
        <v>-</v>
      </c>
      <c r="O141" s="326"/>
      <c r="P141" s="365" t="s">
        <v>231</v>
      </c>
      <c r="Q141" s="273"/>
      <c r="R141" s="669">
        <f t="shared" si="95"/>
        <v>0</v>
      </c>
      <c r="S141" s="285" t="str">
        <f t="shared" si="74"/>
        <v>검토</v>
      </c>
    </row>
    <row r="142" spans="1:19" s="583" customFormat="1" ht="31.5" customHeight="1">
      <c r="A142" s="770"/>
      <c r="B142" s="770"/>
      <c r="C142" s="368" t="s">
        <v>94</v>
      </c>
      <c r="D142" s="362" t="s">
        <v>618</v>
      </c>
      <c r="E142" s="362" t="s">
        <v>628</v>
      </c>
      <c r="F142" s="363"/>
      <c r="G142" s="363"/>
      <c r="H142" s="363">
        <v>50000</v>
      </c>
      <c r="I142" s="584">
        <f t="shared" ref="I142:I143" si="97">F142+G142+H142</f>
        <v>50000</v>
      </c>
      <c r="J142" s="363"/>
      <c r="K142" s="363">
        <v>0</v>
      </c>
      <c r="L142" s="665">
        <f t="shared" si="83"/>
        <v>0</v>
      </c>
      <c r="M142" s="665">
        <f t="shared" si="84"/>
        <v>-50000</v>
      </c>
      <c r="N142" s="749" t="str">
        <f t="shared" si="94"/>
        <v>-</v>
      </c>
      <c r="O142" s="326"/>
      <c r="P142" s="365" t="s">
        <v>27</v>
      </c>
      <c r="Q142" s="364"/>
      <c r="R142" s="669">
        <f t="shared" si="95"/>
        <v>0</v>
      </c>
      <c r="S142" s="365" t="str">
        <f t="shared" si="74"/>
        <v>검토</v>
      </c>
    </row>
    <row r="143" spans="1:19" s="673" customFormat="1" ht="31.5" customHeight="1">
      <c r="A143" s="770"/>
      <c r="B143" s="770"/>
      <c r="C143" s="662" t="s">
        <v>94</v>
      </c>
      <c r="D143" s="658" t="s">
        <v>618</v>
      </c>
      <c r="E143" s="288" t="s">
        <v>1580</v>
      </c>
      <c r="F143" s="658"/>
      <c r="G143" s="658"/>
      <c r="H143" s="658">
        <v>50000</v>
      </c>
      <c r="I143" s="665">
        <f t="shared" si="97"/>
        <v>50000</v>
      </c>
      <c r="J143" s="658"/>
      <c r="K143" s="641">
        <v>0</v>
      </c>
      <c r="L143" s="665">
        <f t="shared" si="83"/>
        <v>0</v>
      </c>
      <c r="M143" s="665">
        <f t="shared" si="84"/>
        <v>-50000</v>
      </c>
      <c r="N143" s="749" t="str">
        <f t="shared" si="94"/>
        <v>-</v>
      </c>
      <c r="O143" s="336"/>
      <c r="P143" s="653" t="s">
        <v>1223</v>
      </c>
      <c r="Q143" s="658"/>
      <c r="R143" s="661">
        <f t="shared" si="95"/>
        <v>0</v>
      </c>
      <c r="S143" s="648" t="str">
        <f t="shared" si="74"/>
        <v>검토</v>
      </c>
    </row>
    <row r="144" spans="1:19" s="673" customFormat="1" ht="65.25" customHeight="1">
      <c r="A144" s="770"/>
      <c r="B144" s="770"/>
      <c r="C144" s="662">
        <v>188</v>
      </c>
      <c r="D144" s="658" t="s">
        <v>1438</v>
      </c>
      <c r="E144" s="288" t="s">
        <v>1581</v>
      </c>
      <c r="F144" s="658">
        <v>42000</v>
      </c>
      <c r="G144" s="658"/>
      <c r="H144" s="658"/>
      <c r="I144" s="665">
        <f>F144+G144+H144</f>
        <v>42000</v>
      </c>
      <c r="J144" s="658"/>
      <c r="K144" s="641"/>
      <c r="L144" s="665">
        <f t="shared" si="83"/>
        <v>42000</v>
      </c>
      <c r="M144" s="665">
        <f t="shared" si="84"/>
        <v>0</v>
      </c>
      <c r="N144" s="749" t="str">
        <f t="shared" si="94"/>
        <v>-</v>
      </c>
      <c r="O144" s="336" t="s">
        <v>1224</v>
      </c>
      <c r="P144" s="653" t="s">
        <v>1223</v>
      </c>
      <c r="Q144" s="658"/>
      <c r="R144" s="661"/>
      <c r="S144" s="648" t="str">
        <f>IF((G144+H144)=(Q144+R144),"ok","검토")</f>
        <v>ok</v>
      </c>
    </row>
    <row r="145" spans="1:19" s="673" customFormat="1" ht="82.5" customHeight="1">
      <c r="A145" s="770"/>
      <c r="B145" s="770"/>
      <c r="C145" s="662">
        <v>188</v>
      </c>
      <c r="D145" s="658" t="s">
        <v>1438</v>
      </c>
      <c r="E145" s="288" t="s">
        <v>1582</v>
      </c>
      <c r="F145" s="658">
        <v>42000</v>
      </c>
      <c r="G145" s="658"/>
      <c r="H145" s="658"/>
      <c r="I145" s="665">
        <f>F145+G145+H145</f>
        <v>42000</v>
      </c>
      <c r="J145" s="658"/>
      <c r="K145" s="641"/>
      <c r="L145" s="665">
        <f t="shared" si="83"/>
        <v>42000</v>
      </c>
      <c r="M145" s="665">
        <f t="shared" si="84"/>
        <v>0</v>
      </c>
      <c r="N145" s="749" t="str">
        <f t="shared" si="94"/>
        <v>-</v>
      </c>
      <c r="O145" s="336" t="s">
        <v>1225</v>
      </c>
      <c r="P145" s="653" t="s">
        <v>1223</v>
      </c>
      <c r="Q145" s="658"/>
      <c r="R145" s="661"/>
      <c r="S145" s="648" t="str">
        <f>IF((G145+H145)=(Q145+R145),"ok","검토")</f>
        <v>ok</v>
      </c>
    </row>
    <row r="146" spans="1:19" s="509" customFormat="1" ht="41.25" customHeight="1">
      <c r="A146" s="771">
        <v>1</v>
      </c>
      <c r="B146" s="771"/>
      <c r="C146" s="666">
        <v>187</v>
      </c>
      <c r="D146" s="667" t="s">
        <v>1438</v>
      </c>
      <c r="E146" s="667" t="s">
        <v>1439</v>
      </c>
      <c r="F146" s="636">
        <v>120000</v>
      </c>
      <c r="G146" s="636"/>
      <c r="H146" s="636"/>
      <c r="I146" s="665">
        <f t="shared" ref="I146:I147" si="98">F146+G146+H146</f>
        <v>120000</v>
      </c>
      <c r="J146" s="636"/>
      <c r="K146" s="636">
        <v>3000</v>
      </c>
      <c r="L146" s="665">
        <f t="shared" si="83"/>
        <v>123000</v>
      </c>
      <c r="M146" s="665">
        <f t="shared" si="84"/>
        <v>3000</v>
      </c>
      <c r="N146" s="749" t="str">
        <f t="shared" si="94"/>
        <v>-</v>
      </c>
      <c r="O146" s="398"/>
      <c r="P146" s="635" t="s">
        <v>1344</v>
      </c>
      <c r="Q146" s="637"/>
      <c r="R146" s="637">
        <f>K146</f>
        <v>3000</v>
      </c>
      <c r="S146" s="429" t="str">
        <f t="shared" ref="S146:S147" si="99">IF((G146+H146)=(Q146+R146),"ok","검토")</f>
        <v>검토</v>
      </c>
    </row>
    <row r="147" spans="1:19" s="673" customFormat="1" ht="31.5" customHeight="1">
      <c r="A147" s="770">
        <v>1</v>
      </c>
      <c r="B147" s="770"/>
      <c r="C147" s="662">
        <v>187</v>
      </c>
      <c r="D147" s="658" t="s">
        <v>1438</v>
      </c>
      <c r="E147" s="288" t="s">
        <v>1583</v>
      </c>
      <c r="F147" s="658">
        <v>10000</v>
      </c>
      <c r="G147" s="658"/>
      <c r="H147" s="658"/>
      <c r="I147" s="665">
        <f t="shared" si="98"/>
        <v>10000</v>
      </c>
      <c r="J147" s="658"/>
      <c r="K147" s="641">
        <v>10000</v>
      </c>
      <c r="L147" s="665">
        <f t="shared" si="83"/>
        <v>20000</v>
      </c>
      <c r="M147" s="665">
        <f t="shared" si="84"/>
        <v>10000</v>
      </c>
      <c r="N147" s="749" t="str">
        <f t="shared" si="94"/>
        <v>-</v>
      </c>
      <c r="O147" s="336"/>
      <c r="P147" s="653" t="s">
        <v>1223</v>
      </c>
      <c r="Q147" s="658"/>
      <c r="R147" s="661">
        <f>K147</f>
        <v>10000</v>
      </c>
      <c r="S147" s="648" t="str">
        <f t="shared" si="99"/>
        <v>검토</v>
      </c>
    </row>
    <row r="148" spans="1:19" ht="31.5" customHeight="1">
      <c r="A148" s="770"/>
      <c r="B148" s="612" t="s">
        <v>629</v>
      </c>
      <c r="C148" s="628"/>
      <c r="D148" s="31"/>
      <c r="E148" s="31"/>
      <c r="F148" s="32">
        <f>SUM(F149:F235)</f>
        <v>9360082</v>
      </c>
      <c r="G148" s="32">
        <f t="shared" ref="G148:I148" si="100">SUM(G149:G235)</f>
        <v>0</v>
      </c>
      <c r="H148" s="32">
        <f t="shared" si="100"/>
        <v>5285867</v>
      </c>
      <c r="I148" s="32">
        <f t="shared" si="100"/>
        <v>14645949</v>
      </c>
      <c r="J148" s="370">
        <f t="shared" ref="J148:K148" si="101">SUM(J149:J235)</f>
        <v>0</v>
      </c>
      <c r="K148" s="370">
        <f t="shared" si="101"/>
        <v>6339867</v>
      </c>
      <c r="L148" s="370">
        <f t="shared" si="83"/>
        <v>15699949</v>
      </c>
      <c r="M148" s="370">
        <f t="shared" si="84"/>
        <v>1054000</v>
      </c>
      <c r="N148" s="628"/>
      <c r="O148" s="258"/>
      <c r="P148" s="30"/>
      <c r="Q148" s="32">
        <f t="shared" ref="Q148:R148" si="102">SUM(Q149:Q235)</f>
        <v>0</v>
      </c>
      <c r="R148" s="32">
        <f t="shared" si="102"/>
        <v>6339867</v>
      </c>
      <c r="S148" s="30" t="str">
        <f t="shared" si="74"/>
        <v>검토</v>
      </c>
    </row>
    <row r="149" spans="1:19" ht="31.5" customHeight="1">
      <c r="A149" s="773"/>
      <c r="B149" s="773"/>
      <c r="C149" s="108">
        <v>230</v>
      </c>
      <c r="D149" s="109" t="s">
        <v>630</v>
      </c>
      <c r="E149" s="540" t="s">
        <v>631</v>
      </c>
      <c r="F149" s="110">
        <v>282432</v>
      </c>
      <c r="G149" s="110"/>
      <c r="H149" s="110">
        <v>144320</v>
      </c>
      <c r="I149" s="102">
        <f t="shared" ref="I149:I215" si="103">F149+G149+H149</f>
        <v>426752</v>
      </c>
      <c r="J149" s="363"/>
      <c r="K149" s="363">
        <v>144320</v>
      </c>
      <c r="L149" s="665">
        <f t="shared" ref="L149:L212" si="104">F149+J149+K149</f>
        <v>426752</v>
      </c>
      <c r="M149" s="665">
        <f t="shared" ref="M149:M212" si="105">L149-I149</f>
        <v>0</v>
      </c>
      <c r="N149" s="749" t="str">
        <f t="shared" ref="N149:N212" si="106">IF(AND(((G149+H149)&lt;0),(J149+K149)&gt;(G149+H149)),"검토","-")</f>
        <v>-</v>
      </c>
      <c r="O149" s="326" t="s">
        <v>632</v>
      </c>
      <c r="P149" s="365" t="s">
        <v>231</v>
      </c>
      <c r="Q149" s="273"/>
      <c r="R149" s="661">
        <f t="shared" ref="R149:R154" si="107">K149</f>
        <v>144320</v>
      </c>
      <c r="S149" s="285" t="str">
        <f t="shared" si="74"/>
        <v>ok</v>
      </c>
    </row>
    <row r="150" spans="1:19" ht="31.5" customHeight="1">
      <c r="A150" s="773"/>
      <c r="B150" s="773"/>
      <c r="C150" s="108">
        <v>232</v>
      </c>
      <c r="D150" s="109" t="s">
        <v>630</v>
      </c>
      <c r="E150" s="109" t="s">
        <v>633</v>
      </c>
      <c r="F150" s="110">
        <v>948480</v>
      </c>
      <c r="G150" s="110"/>
      <c r="H150" s="110">
        <v>1000000</v>
      </c>
      <c r="I150" s="102">
        <f t="shared" si="103"/>
        <v>1948480</v>
      </c>
      <c r="J150" s="363"/>
      <c r="K150" s="363">
        <v>1000000</v>
      </c>
      <c r="L150" s="665">
        <f t="shared" si="104"/>
        <v>1948480</v>
      </c>
      <c r="M150" s="665">
        <f t="shared" si="105"/>
        <v>0</v>
      </c>
      <c r="N150" s="749" t="str">
        <f t="shared" si="106"/>
        <v>-</v>
      </c>
      <c r="O150" s="326" t="s">
        <v>634</v>
      </c>
      <c r="P150" s="365" t="s">
        <v>231</v>
      </c>
      <c r="Q150" s="273"/>
      <c r="R150" s="661">
        <f t="shared" si="107"/>
        <v>1000000</v>
      </c>
      <c r="S150" s="285" t="str">
        <f t="shared" si="74"/>
        <v>ok</v>
      </c>
    </row>
    <row r="151" spans="1:19" ht="31.5" customHeight="1">
      <c r="A151" s="773"/>
      <c r="B151" s="773"/>
      <c r="C151" s="108">
        <v>233</v>
      </c>
      <c r="D151" s="109" t="s">
        <v>630</v>
      </c>
      <c r="E151" s="109" t="s">
        <v>635</v>
      </c>
      <c r="F151" s="110">
        <v>198000</v>
      </c>
      <c r="G151" s="110"/>
      <c r="H151" s="110">
        <v>418000</v>
      </c>
      <c r="I151" s="102">
        <f t="shared" si="103"/>
        <v>616000</v>
      </c>
      <c r="J151" s="363"/>
      <c r="K151" s="363">
        <v>418000</v>
      </c>
      <c r="L151" s="665">
        <f t="shared" si="104"/>
        <v>616000</v>
      </c>
      <c r="M151" s="665">
        <f t="shared" si="105"/>
        <v>0</v>
      </c>
      <c r="N151" s="749" t="str">
        <f t="shared" si="106"/>
        <v>-</v>
      </c>
      <c r="O151" s="326" t="s">
        <v>636</v>
      </c>
      <c r="P151" s="365" t="s">
        <v>231</v>
      </c>
      <c r="Q151" s="273"/>
      <c r="R151" s="661">
        <f t="shared" si="107"/>
        <v>418000</v>
      </c>
      <c r="S151" s="285" t="str">
        <f t="shared" si="74"/>
        <v>ok</v>
      </c>
    </row>
    <row r="152" spans="1:19" ht="31.5" customHeight="1">
      <c r="A152" s="773"/>
      <c r="B152" s="773"/>
      <c r="C152" s="108">
        <v>233</v>
      </c>
      <c r="D152" s="109" t="s">
        <v>630</v>
      </c>
      <c r="E152" s="109" t="s">
        <v>637</v>
      </c>
      <c r="F152" s="110">
        <v>323370</v>
      </c>
      <c r="G152" s="110"/>
      <c r="H152" s="110">
        <v>1015670</v>
      </c>
      <c r="I152" s="102">
        <f t="shared" si="103"/>
        <v>1339040</v>
      </c>
      <c r="J152" s="363"/>
      <c r="K152" s="363">
        <v>1015670</v>
      </c>
      <c r="L152" s="665">
        <f t="shared" si="104"/>
        <v>1339040</v>
      </c>
      <c r="M152" s="665">
        <f t="shared" si="105"/>
        <v>0</v>
      </c>
      <c r="N152" s="749" t="str">
        <f t="shared" si="106"/>
        <v>-</v>
      </c>
      <c r="O152" s="326" t="s">
        <v>638</v>
      </c>
      <c r="P152" s="365" t="s">
        <v>231</v>
      </c>
      <c r="Q152" s="273"/>
      <c r="R152" s="661">
        <f t="shared" si="107"/>
        <v>1015670</v>
      </c>
      <c r="S152" s="285" t="str">
        <f t="shared" ref="S152:S216" si="108">IF((G152+H152)=(Q152+R152),"ok","검토")</f>
        <v>ok</v>
      </c>
    </row>
    <row r="153" spans="1:19" ht="31.5" customHeight="1">
      <c r="A153" s="773"/>
      <c r="B153" s="773"/>
      <c r="C153" s="108">
        <v>233</v>
      </c>
      <c r="D153" s="109" t="s">
        <v>630</v>
      </c>
      <c r="E153" s="109" t="s">
        <v>639</v>
      </c>
      <c r="F153" s="110">
        <v>256000</v>
      </c>
      <c r="G153" s="110"/>
      <c r="H153" s="110">
        <v>144000</v>
      </c>
      <c r="I153" s="102">
        <f t="shared" si="103"/>
        <v>400000</v>
      </c>
      <c r="J153" s="363"/>
      <c r="K153" s="363">
        <v>144000</v>
      </c>
      <c r="L153" s="665">
        <f t="shared" si="104"/>
        <v>400000</v>
      </c>
      <c r="M153" s="665">
        <f t="shared" si="105"/>
        <v>0</v>
      </c>
      <c r="N153" s="749" t="str">
        <f t="shared" si="106"/>
        <v>-</v>
      </c>
      <c r="O153" s="326" t="s">
        <v>640</v>
      </c>
      <c r="P153" s="365" t="s">
        <v>231</v>
      </c>
      <c r="Q153" s="273"/>
      <c r="R153" s="661">
        <f t="shared" si="107"/>
        <v>144000</v>
      </c>
      <c r="S153" s="285" t="str">
        <f t="shared" si="108"/>
        <v>ok</v>
      </c>
    </row>
    <row r="154" spans="1:19" ht="31.5" customHeight="1">
      <c r="A154" s="773"/>
      <c r="B154" s="773"/>
      <c r="C154" s="108">
        <v>234</v>
      </c>
      <c r="D154" s="109" t="s">
        <v>630</v>
      </c>
      <c r="E154" s="109" t="s">
        <v>641</v>
      </c>
      <c r="F154" s="110">
        <v>20800</v>
      </c>
      <c r="G154" s="110"/>
      <c r="H154" s="110">
        <v>11700</v>
      </c>
      <c r="I154" s="102">
        <f t="shared" si="103"/>
        <v>32500</v>
      </c>
      <c r="J154" s="363"/>
      <c r="K154" s="363">
        <v>11700</v>
      </c>
      <c r="L154" s="665">
        <f t="shared" si="104"/>
        <v>32500</v>
      </c>
      <c r="M154" s="665">
        <f t="shared" si="105"/>
        <v>0</v>
      </c>
      <c r="N154" s="749" t="str">
        <f t="shared" si="106"/>
        <v>-</v>
      </c>
      <c r="O154" s="326" t="s">
        <v>640</v>
      </c>
      <c r="P154" s="365" t="s">
        <v>231</v>
      </c>
      <c r="Q154" s="273"/>
      <c r="R154" s="661">
        <f t="shared" si="107"/>
        <v>11700</v>
      </c>
      <c r="S154" s="285" t="str">
        <f t="shared" si="108"/>
        <v>ok</v>
      </c>
    </row>
    <row r="155" spans="1:19" s="673" customFormat="1" ht="31.5" customHeight="1">
      <c r="A155" s="770"/>
      <c r="B155" s="770"/>
      <c r="C155" s="662">
        <v>234</v>
      </c>
      <c r="D155" s="658" t="s">
        <v>1166</v>
      </c>
      <c r="E155" s="288" t="s">
        <v>1167</v>
      </c>
      <c r="F155" s="658">
        <v>1800000</v>
      </c>
      <c r="G155" s="658"/>
      <c r="H155" s="658"/>
      <c r="I155" s="665">
        <f t="shared" si="103"/>
        <v>1800000</v>
      </c>
      <c r="J155" s="658"/>
      <c r="K155" s="641">
        <v>300000</v>
      </c>
      <c r="L155" s="665">
        <f t="shared" si="104"/>
        <v>2100000</v>
      </c>
      <c r="M155" s="665">
        <f t="shared" si="105"/>
        <v>300000</v>
      </c>
      <c r="N155" s="749" t="str">
        <f t="shared" si="106"/>
        <v>-</v>
      </c>
      <c r="O155" s="336" t="s">
        <v>1168</v>
      </c>
      <c r="P155" s="653" t="s">
        <v>1223</v>
      </c>
      <c r="Q155" s="658"/>
      <c r="R155" s="661">
        <f>K155</f>
        <v>300000</v>
      </c>
      <c r="S155" s="648" t="str">
        <f t="shared" si="108"/>
        <v>검토</v>
      </c>
    </row>
    <row r="156" spans="1:19" ht="31.5" customHeight="1">
      <c r="A156" s="773"/>
      <c r="B156" s="773"/>
      <c r="C156" s="108">
        <v>248</v>
      </c>
      <c r="D156" s="109" t="s">
        <v>642</v>
      </c>
      <c r="E156" s="109" t="s">
        <v>643</v>
      </c>
      <c r="F156" s="110">
        <v>5000000</v>
      </c>
      <c r="G156" s="110"/>
      <c r="H156" s="110">
        <v>730000</v>
      </c>
      <c r="I156" s="102">
        <f t="shared" si="103"/>
        <v>5730000</v>
      </c>
      <c r="J156" s="363"/>
      <c r="K156" s="363">
        <v>730000</v>
      </c>
      <c r="L156" s="665">
        <f t="shared" si="104"/>
        <v>5730000</v>
      </c>
      <c r="M156" s="665">
        <f t="shared" si="105"/>
        <v>0</v>
      </c>
      <c r="N156" s="749" t="str">
        <f t="shared" si="106"/>
        <v>-</v>
      </c>
      <c r="O156" s="326" t="s">
        <v>644</v>
      </c>
      <c r="P156" s="365" t="s">
        <v>231</v>
      </c>
      <c r="Q156" s="273"/>
      <c r="R156" s="661">
        <f t="shared" ref="R156:R167" si="109">K156</f>
        <v>730000</v>
      </c>
      <c r="S156" s="285" t="str">
        <f t="shared" si="108"/>
        <v>ok</v>
      </c>
    </row>
    <row r="157" spans="1:19" ht="31.5" customHeight="1">
      <c r="A157" s="773"/>
      <c r="B157" s="773"/>
      <c r="C157" s="108">
        <v>230</v>
      </c>
      <c r="D157" s="109" t="s">
        <v>630</v>
      </c>
      <c r="E157" s="109" t="s">
        <v>645</v>
      </c>
      <c r="F157" s="110">
        <v>17500</v>
      </c>
      <c r="G157" s="110"/>
      <c r="H157" s="110">
        <v>10000</v>
      </c>
      <c r="I157" s="102">
        <f t="shared" si="103"/>
        <v>27500</v>
      </c>
      <c r="J157" s="363"/>
      <c r="K157" s="363">
        <v>10000</v>
      </c>
      <c r="L157" s="665">
        <f t="shared" si="104"/>
        <v>27500</v>
      </c>
      <c r="M157" s="665">
        <f t="shared" si="105"/>
        <v>0</v>
      </c>
      <c r="N157" s="749" t="str">
        <f t="shared" si="106"/>
        <v>-</v>
      </c>
      <c r="O157" s="326" t="s">
        <v>646</v>
      </c>
      <c r="P157" s="365" t="s">
        <v>647</v>
      </c>
      <c r="Q157" s="273"/>
      <c r="R157" s="661">
        <f t="shared" si="109"/>
        <v>10000</v>
      </c>
      <c r="S157" s="285" t="str">
        <f t="shared" si="108"/>
        <v>ok</v>
      </c>
    </row>
    <row r="158" spans="1:19" ht="31.5" customHeight="1">
      <c r="A158" s="773"/>
      <c r="B158" s="773"/>
      <c r="C158" s="108">
        <v>264</v>
      </c>
      <c r="D158" s="109" t="s">
        <v>648</v>
      </c>
      <c r="E158" s="109" t="s">
        <v>649</v>
      </c>
      <c r="F158" s="110">
        <v>3500</v>
      </c>
      <c r="G158" s="110"/>
      <c r="H158" s="110">
        <v>2500</v>
      </c>
      <c r="I158" s="102">
        <f t="shared" si="103"/>
        <v>6000</v>
      </c>
      <c r="J158" s="363"/>
      <c r="K158" s="363">
        <v>1000</v>
      </c>
      <c r="L158" s="665">
        <f t="shared" si="104"/>
        <v>4500</v>
      </c>
      <c r="M158" s="665">
        <f t="shared" si="105"/>
        <v>-1500</v>
      </c>
      <c r="N158" s="749" t="str">
        <f t="shared" si="106"/>
        <v>-</v>
      </c>
      <c r="O158" s="326" t="s">
        <v>650</v>
      </c>
      <c r="P158" s="365" t="s">
        <v>647</v>
      </c>
      <c r="Q158" s="273"/>
      <c r="R158" s="661">
        <f t="shared" si="109"/>
        <v>1000</v>
      </c>
      <c r="S158" s="285" t="str">
        <f t="shared" si="108"/>
        <v>검토</v>
      </c>
    </row>
    <row r="159" spans="1:19" ht="31.5" customHeight="1">
      <c r="A159" s="773"/>
      <c r="B159" s="773"/>
      <c r="C159" s="108">
        <v>264</v>
      </c>
      <c r="D159" s="109" t="s">
        <v>648</v>
      </c>
      <c r="E159" s="109" t="s">
        <v>651</v>
      </c>
      <c r="F159" s="110">
        <v>88500</v>
      </c>
      <c r="G159" s="110"/>
      <c r="H159" s="110">
        <v>3221</v>
      </c>
      <c r="I159" s="102">
        <f t="shared" si="103"/>
        <v>91721</v>
      </c>
      <c r="J159" s="363"/>
      <c r="K159" s="363">
        <v>3221</v>
      </c>
      <c r="L159" s="665">
        <f t="shared" si="104"/>
        <v>91721</v>
      </c>
      <c r="M159" s="665">
        <f t="shared" si="105"/>
        <v>0</v>
      </c>
      <c r="N159" s="749" t="str">
        <f t="shared" si="106"/>
        <v>-</v>
      </c>
      <c r="O159" s="326" t="s">
        <v>650</v>
      </c>
      <c r="P159" s="365" t="s">
        <v>647</v>
      </c>
      <c r="Q159" s="273"/>
      <c r="R159" s="661">
        <f t="shared" si="109"/>
        <v>3221</v>
      </c>
      <c r="S159" s="285" t="str">
        <f t="shared" si="108"/>
        <v>ok</v>
      </c>
    </row>
    <row r="160" spans="1:19" ht="31.5" customHeight="1">
      <c r="A160" s="773"/>
      <c r="B160" s="773"/>
      <c r="C160" s="108">
        <v>268</v>
      </c>
      <c r="D160" s="109" t="s">
        <v>652</v>
      </c>
      <c r="E160" s="109" t="s">
        <v>649</v>
      </c>
      <c r="F160" s="110">
        <v>3500</v>
      </c>
      <c r="G160" s="110"/>
      <c r="H160" s="110">
        <v>2500</v>
      </c>
      <c r="I160" s="102">
        <f t="shared" si="103"/>
        <v>6000</v>
      </c>
      <c r="J160" s="363"/>
      <c r="K160" s="363">
        <v>1000</v>
      </c>
      <c r="L160" s="665">
        <f t="shared" si="104"/>
        <v>4500</v>
      </c>
      <c r="M160" s="665">
        <f t="shared" si="105"/>
        <v>-1500</v>
      </c>
      <c r="N160" s="749" t="str">
        <f t="shared" si="106"/>
        <v>-</v>
      </c>
      <c r="O160" s="326" t="s">
        <v>650</v>
      </c>
      <c r="P160" s="365" t="s">
        <v>647</v>
      </c>
      <c r="Q160" s="273"/>
      <c r="R160" s="661">
        <f t="shared" si="109"/>
        <v>1000</v>
      </c>
      <c r="S160" s="285" t="str">
        <f t="shared" si="108"/>
        <v>검토</v>
      </c>
    </row>
    <row r="161" spans="1:19" ht="31.5" customHeight="1">
      <c r="A161" s="773"/>
      <c r="B161" s="773"/>
      <c r="C161" s="108">
        <v>268</v>
      </c>
      <c r="D161" s="109" t="s">
        <v>652</v>
      </c>
      <c r="E161" s="109" t="s">
        <v>651</v>
      </c>
      <c r="F161" s="110">
        <v>15500</v>
      </c>
      <c r="G161" s="110"/>
      <c r="H161" s="110">
        <v>7430</v>
      </c>
      <c r="I161" s="102">
        <f t="shared" si="103"/>
        <v>22930</v>
      </c>
      <c r="J161" s="363"/>
      <c r="K161" s="363">
        <v>7430</v>
      </c>
      <c r="L161" s="665">
        <f t="shared" si="104"/>
        <v>22930</v>
      </c>
      <c r="M161" s="665">
        <f t="shared" si="105"/>
        <v>0</v>
      </c>
      <c r="N161" s="749" t="str">
        <f t="shared" si="106"/>
        <v>-</v>
      </c>
      <c r="O161" s="326" t="s">
        <v>650</v>
      </c>
      <c r="P161" s="365" t="s">
        <v>647</v>
      </c>
      <c r="Q161" s="273"/>
      <c r="R161" s="661">
        <f t="shared" si="109"/>
        <v>7430</v>
      </c>
      <c r="S161" s="285" t="str">
        <f t="shared" si="108"/>
        <v>ok</v>
      </c>
    </row>
    <row r="162" spans="1:19" ht="31.5" customHeight="1">
      <c r="A162" s="773"/>
      <c r="B162" s="773"/>
      <c r="C162" s="108">
        <v>272</v>
      </c>
      <c r="D162" s="109" t="s">
        <v>653</v>
      </c>
      <c r="E162" s="109" t="s">
        <v>649</v>
      </c>
      <c r="F162" s="110">
        <v>3500</v>
      </c>
      <c r="G162" s="110"/>
      <c r="H162" s="110">
        <v>2500</v>
      </c>
      <c r="I162" s="102">
        <f t="shared" si="103"/>
        <v>6000</v>
      </c>
      <c r="J162" s="363"/>
      <c r="K162" s="363">
        <v>1000</v>
      </c>
      <c r="L162" s="665">
        <f t="shared" si="104"/>
        <v>4500</v>
      </c>
      <c r="M162" s="665">
        <f t="shared" si="105"/>
        <v>-1500</v>
      </c>
      <c r="N162" s="749" t="str">
        <f t="shared" si="106"/>
        <v>-</v>
      </c>
      <c r="O162" s="326" t="s">
        <v>650</v>
      </c>
      <c r="P162" s="365" t="s">
        <v>647</v>
      </c>
      <c r="Q162" s="273"/>
      <c r="R162" s="661">
        <f t="shared" si="109"/>
        <v>1000</v>
      </c>
      <c r="S162" s="285" t="str">
        <f t="shared" si="108"/>
        <v>검토</v>
      </c>
    </row>
    <row r="163" spans="1:19" ht="31.5" customHeight="1">
      <c r="A163" s="773"/>
      <c r="B163" s="773"/>
      <c r="C163" s="108">
        <v>272</v>
      </c>
      <c r="D163" s="109" t="s">
        <v>653</v>
      </c>
      <c r="E163" s="109" t="s">
        <v>651</v>
      </c>
      <c r="F163" s="110">
        <v>15500</v>
      </c>
      <c r="G163" s="110"/>
      <c r="H163" s="110">
        <v>7430</v>
      </c>
      <c r="I163" s="102">
        <f t="shared" si="103"/>
        <v>22930</v>
      </c>
      <c r="J163" s="363"/>
      <c r="K163" s="363">
        <v>7430</v>
      </c>
      <c r="L163" s="665">
        <f t="shared" si="104"/>
        <v>22930</v>
      </c>
      <c r="M163" s="665">
        <f t="shared" si="105"/>
        <v>0</v>
      </c>
      <c r="N163" s="749" t="str">
        <f t="shared" si="106"/>
        <v>-</v>
      </c>
      <c r="O163" s="326" t="s">
        <v>650</v>
      </c>
      <c r="P163" s="365" t="s">
        <v>647</v>
      </c>
      <c r="Q163" s="273"/>
      <c r="R163" s="661">
        <f t="shared" si="109"/>
        <v>7430</v>
      </c>
      <c r="S163" s="285" t="str">
        <f t="shared" si="108"/>
        <v>ok</v>
      </c>
    </row>
    <row r="164" spans="1:19" ht="31.5" customHeight="1">
      <c r="A164" s="773"/>
      <c r="B164" s="773"/>
      <c r="C164" s="108">
        <v>276</v>
      </c>
      <c r="D164" s="109" t="s">
        <v>654</v>
      </c>
      <c r="E164" s="109" t="s">
        <v>649</v>
      </c>
      <c r="F164" s="110">
        <v>3500</v>
      </c>
      <c r="G164" s="110"/>
      <c r="H164" s="110">
        <v>2500</v>
      </c>
      <c r="I164" s="102">
        <f t="shared" si="103"/>
        <v>6000</v>
      </c>
      <c r="J164" s="363"/>
      <c r="K164" s="363">
        <v>1000</v>
      </c>
      <c r="L164" s="665">
        <f t="shared" si="104"/>
        <v>4500</v>
      </c>
      <c r="M164" s="665">
        <f t="shared" si="105"/>
        <v>-1500</v>
      </c>
      <c r="N164" s="749" t="str">
        <f t="shared" si="106"/>
        <v>-</v>
      </c>
      <c r="O164" s="326" t="s">
        <v>650</v>
      </c>
      <c r="P164" s="365" t="s">
        <v>647</v>
      </c>
      <c r="Q164" s="273"/>
      <c r="R164" s="661">
        <f t="shared" si="109"/>
        <v>1000</v>
      </c>
      <c r="S164" s="285" t="str">
        <f t="shared" si="108"/>
        <v>검토</v>
      </c>
    </row>
    <row r="165" spans="1:19" ht="31.5" customHeight="1">
      <c r="A165" s="773"/>
      <c r="B165" s="773"/>
      <c r="C165" s="108">
        <v>276</v>
      </c>
      <c r="D165" s="109" t="s">
        <v>654</v>
      </c>
      <c r="E165" s="109" t="s">
        <v>651</v>
      </c>
      <c r="F165" s="110">
        <v>15500</v>
      </c>
      <c r="G165" s="110"/>
      <c r="H165" s="110">
        <v>7430</v>
      </c>
      <c r="I165" s="102">
        <f t="shared" si="103"/>
        <v>22930</v>
      </c>
      <c r="J165" s="363"/>
      <c r="K165" s="363">
        <v>7430</v>
      </c>
      <c r="L165" s="665">
        <f t="shared" si="104"/>
        <v>22930</v>
      </c>
      <c r="M165" s="665">
        <f t="shared" si="105"/>
        <v>0</v>
      </c>
      <c r="N165" s="749" t="str">
        <f t="shared" si="106"/>
        <v>-</v>
      </c>
      <c r="O165" s="326" t="s">
        <v>650</v>
      </c>
      <c r="P165" s="365" t="s">
        <v>647</v>
      </c>
      <c r="Q165" s="273"/>
      <c r="R165" s="661">
        <f t="shared" si="109"/>
        <v>7430</v>
      </c>
      <c r="S165" s="285" t="str">
        <f t="shared" si="108"/>
        <v>ok</v>
      </c>
    </row>
    <row r="166" spans="1:19" ht="31.5" customHeight="1">
      <c r="A166" s="773"/>
      <c r="B166" s="773"/>
      <c r="C166" s="108">
        <v>280</v>
      </c>
      <c r="D166" s="109" t="s">
        <v>655</v>
      </c>
      <c r="E166" s="109" t="s">
        <v>649</v>
      </c>
      <c r="F166" s="110">
        <v>3500</v>
      </c>
      <c r="G166" s="110"/>
      <c r="H166" s="110">
        <v>2500</v>
      </c>
      <c r="I166" s="102">
        <f t="shared" si="103"/>
        <v>6000</v>
      </c>
      <c r="J166" s="363"/>
      <c r="K166" s="363">
        <v>1000</v>
      </c>
      <c r="L166" s="665">
        <f t="shared" si="104"/>
        <v>4500</v>
      </c>
      <c r="M166" s="665">
        <f t="shared" si="105"/>
        <v>-1500</v>
      </c>
      <c r="N166" s="749" t="str">
        <f t="shared" si="106"/>
        <v>-</v>
      </c>
      <c r="O166" s="326" t="s">
        <v>650</v>
      </c>
      <c r="P166" s="365" t="s">
        <v>647</v>
      </c>
      <c r="Q166" s="273"/>
      <c r="R166" s="661">
        <f t="shared" si="109"/>
        <v>1000</v>
      </c>
      <c r="S166" s="285" t="str">
        <f t="shared" si="108"/>
        <v>검토</v>
      </c>
    </row>
    <row r="167" spans="1:19" ht="31.5" customHeight="1">
      <c r="A167" s="773"/>
      <c r="B167" s="773"/>
      <c r="C167" s="108">
        <v>280</v>
      </c>
      <c r="D167" s="109" t="s">
        <v>655</v>
      </c>
      <c r="E167" s="109" t="s">
        <v>651</v>
      </c>
      <c r="F167" s="110">
        <v>15500</v>
      </c>
      <c r="G167" s="110"/>
      <c r="H167" s="110">
        <v>7430</v>
      </c>
      <c r="I167" s="102">
        <f t="shared" si="103"/>
        <v>22930</v>
      </c>
      <c r="J167" s="363"/>
      <c r="K167" s="363">
        <v>7430</v>
      </c>
      <c r="L167" s="665">
        <f t="shared" si="104"/>
        <v>22930</v>
      </c>
      <c r="M167" s="665">
        <f t="shared" si="105"/>
        <v>0</v>
      </c>
      <c r="N167" s="749" t="str">
        <f t="shared" si="106"/>
        <v>-</v>
      </c>
      <c r="O167" s="326" t="s">
        <v>650</v>
      </c>
      <c r="P167" s="365" t="s">
        <v>647</v>
      </c>
      <c r="Q167" s="273"/>
      <c r="R167" s="661">
        <f t="shared" si="109"/>
        <v>7430</v>
      </c>
      <c r="S167" s="285" t="str">
        <f t="shared" si="108"/>
        <v>ok</v>
      </c>
    </row>
    <row r="168" spans="1:19" s="673" customFormat="1" ht="31.5" customHeight="1">
      <c r="A168" s="773">
        <v>1</v>
      </c>
      <c r="B168" s="773"/>
      <c r="C168" s="666" t="s">
        <v>1342</v>
      </c>
      <c r="D168" s="667" t="s">
        <v>1449</v>
      </c>
      <c r="E168" s="667" t="s">
        <v>1450</v>
      </c>
      <c r="F168" s="668"/>
      <c r="G168" s="668"/>
      <c r="H168" s="668"/>
      <c r="I168" s="665">
        <f t="shared" si="103"/>
        <v>0</v>
      </c>
      <c r="J168" s="668"/>
      <c r="K168" s="668">
        <v>35500</v>
      </c>
      <c r="L168" s="665">
        <f t="shared" si="104"/>
        <v>35500</v>
      </c>
      <c r="M168" s="665">
        <f t="shared" si="105"/>
        <v>35500</v>
      </c>
      <c r="N168" s="749" t="str">
        <f t="shared" si="106"/>
        <v>-</v>
      </c>
      <c r="O168" s="326"/>
      <c r="P168" s="652" t="s">
        <v>1344</v>
      </c>
      <c r="Q168" s="669"/>
      <c r="R168" s="669">
        <f>K168</f>
        <v>35500</v>
      </c>
      <c r="S168" s="652"/>
    </row>
    <row r="169" spans="1:19" ht="31.5" customHeight="1">
      <c r="A169" s="773"/>
      <c r="B169" s="773"/>
      <c r="C169" s="108">
        <v>284</v>
      </c>
      <c r="D169" s="109" t="s">
        <v>656</v>
      </c>
      <c r="E169" s="109" t="s">
        <v>649</v>
      </c>
      <c r="F169" s="110">
        <v>3500</v>
      </c>
      <c r="G169" s="110"/>
      <c r="H169" s="110">
        <v>2500</v>
      </c>
      <c r="I169" s="102">
        <f t="shared" si="103"/>
        <v>6000</v>
      </c>
      <c r="J169" s="363"/>
      <c r="K169" s="363">
        <v>1000</v>
      </c>
      <c r="L169" s="665">
        <f t="shared" si="104"/>
        <v>4500</v>
      </c>
      <c r="M169" s="665">
        <f t="shared" si="105"/>
        <v>-1500</v>
      </c>
      <c r="N169" s="749" t="str">
        <f t="shared" si="106"/>
        <v>-</v>
      </c>
      <c r="O169" s="326" t="s">
        <v>650</v>
      </c>
      <c r="P169" s="365" t="s">
        <v>647</v>
      </c>
      <c r="Q169" s="273"/>
      <c r="R169" s="661">
        <f t="shared" ref="R169:R184" si="110">K169</f>
        <v>1000</v>
      </c>
      <c r="S169" s="285" t="str">
        <f t="shared" si="108"/>
        <v>검토</v>
      </c>
    </row>
    <row r="170" spans="1:19" ht="31.5" customHeight="1">
      <c r="A170" s="773"/>
      <c r="B170" s="773"/>
      <c r="C170" s="108">
        <v>284</v>
      </c>
      <c r="D170" s="109" t="s">
        <v>656</v>
      </c>
      <c r="E170" s="109" t="s">
        <v>651</v>
      </c>
      <c r="F170" s="110">
        <v>15500</v>
      </c>
      <c r="G170" s="110"/>
      <c r="H170" s="110">
        <v>7430</v>
      </c>
      <c r="I170" s="102">
        <f t="shared" si="103"/>
        <v>22930</v>
      </c>
      <c r="J170" s="363"/>
      <c r="K170" s="363">
        <v>7430</v>
      </c>
      <c r="L170" s="665">
        <f t="shared" si="104"/>
        <v>22930</v>
      </c>
      <c r="M170" s="665">
        <f t="shared" si="105"/>
        <v>0</v>
      </c>
      <c r="N170" s="749" t="str">
        <f t="shared" si="106"/>
        <v>-</v>
      </c>
      <c r="O170" s="326" t="s">
        <v>650</v>
      </c>
      <c r="P170" s="365" t="s">
        <v>647</v>
      </c>
      <c r="Q170" s="273"/>
      <c r="R170" s="661">
        <f t="shared" si="110"/>
        <v>7430</v>
      </c>
      <c r="S170" s="285" t="str">
        <f t="shared" si="108"/>
        <v>ok</v>
      </c>
    </row>
    <row r="171" spans="1:19" ht="31.5" customHeight="1">
      <c r="A171" s="773"/>
      <c r="B171" s="773"/>
      <c r="C171" s="108">
        <v>288</v>
      </c>
      <c r="D171" s="109" t="s">
        <v>657</v>
      </c>
      <c r="E171" s="109" t="s">
        <v>649</v>
      </c>
      <c r="F171" s="110">
        <v>3500</v>
      </c>
      <c r="G171" s="110"/>
      <c r="H171" s="110">
        <v>2500</v>
      </c>
      <c r="I171" s="102">
        <f t="shared" si="103"/>
        <v>6000</v>
      </c>
      <c r="J171" s="363"/>
      <c r="K171" s="363">
        <v>1000</v>
      </c>
      <c r="L171" s="665">
        <f t="shared" si="104"/>
        <v>4500</v>
      </c>
      <c r="M171" s="665">
        <f t="shared" si="105"/>
        <v>-1500</v>
      </c>
      <c r="N171" s="749" t="str">
        <f t="shared" si="106"/>
        <v>-</v>
      </c>
      <c r="O171" s="326" t="s">
        <v>650</v>
      </c>
      <c r="P171" s="365" t="s">
        <v>647</v>
      </c>
      <c r="Q171" s="273"/>
      <c r="R171" s="661">
        <f t="shared" si="110"/>
        <v>1000</v>
      </c>
      <c r="S171" s="285" t="str">
        <f t="shared" si="108"/>
        <v>검토</v>
      </c>
    </row>
    <row r="172" spans="1:19" ht="31.5" customHeight="1">
      <c r="A172" s="773"/>
      <c r="B172" s="773"/>
      <c r="C172" s="108">
        <v>288</v>
      </c>
      <c r="D172" s="109" t="s">
        <v>657</v>
      </c>
      <c r="E172" s="109" t="s">
        <v>651</v>
      </c>
      <c r="F172" s="110">
        <v>15500</v>
      </c>
      <c r="G172" s="110"/>
      <c r="H172" s="110">
        <v>7430</v>
      </c>
      <c r="I172" s="102">
        <f t="shared" si="103"/>
        <v>22930</v>
      </c>
      <c r="J172" s="363"/>
      <c r="K172" s="363">
        <v>7430</v>
      </c>
      <c r="L172" s="665">
        <f t="shared" si="104"/>
        <v>22930</v>
      </c>
      <c r="M172" s="665">
        <f t="shared" si="105"/>
        <v>0</v>
      </c>
      <c r="N172" s="749" t="str">
        <f t="shared" si="106"/>
        <v>-</v>
      </c>
      <c r="O172" s="326" t="s">
        <v>650</v>
      </c>
      <c r="P172" s="365" t="s">
        <v>647</v>
      </c>
      <c r="Q172" s="273"/>
      <c r="R172" s="661">
        <f t="shared" si="110"/>
        <v>7430</v>
      </c>
      <c r="S172" s="285" t="str">
        <f t="shared" si="108"/>
        <v>ok</v>
      </c>
    </row>
    <row r="173" spans="1:19" ht="31.5" customHeight="1">
      <c r="A173" s="773"/>
      <c r="B173" s="773"/>
      <c r="C173" s="108">
        <v>292</v>
      </c>
      <c r="D173" s="109" t="s">
        <v>658</v>
      </c>
      <c r="E173" s="109" t="s">
        <v>649</v>
      </c>
      <c r="F173" s="110">
        <v>3500</v>
      </c>
      <c r="G173" s="110"/>
      <c r="H173" s="110">
        <v>2500</v>
      </c>
      <c r="I173" s="102">
        <f t="shared" si="103"/>
        <v>6000</v>
      </c>
      <c r="J173" s="363"/>
      <c r="K173" s="363">
        <v>1000</v>
      </c>
      <c r="L173" s="665">
        <f t="shared" si="104"/>
        <v>4500</v>
      </c>
      <c r="M173" s="665">
        <f t="shared" si="105"/>
        <v>-1500</v>
      </c>
      <c r="N173" s="749" t="str">
        <f t="shared" si="106"/>
        <v>-</v>
      </c>
      <c r="O173" s="326" t="s">
        <v>650</v>
      </c>
      <c r="P173" s="365" t="s">
        <v>647</v>
      </c>
      <c r="Q173" s="273"/>
      <c r="R173" s="661">
        <f t="shared" si="110"/>
        <v>1000</v>
      </c>
      <c r="S173" s="285" t="str">
        <f t="shared" si="108"/>
        <v>검토</v>
      </c>
    </row>
    <row r="174" spans="1:19" ht="31.5" customHeight="1">
      <c r="A174" s="773"/>
      <c r="B174" s="773"/>
      <c r="C174" s="108">
        <v>292</v>
      </c>
      <c r="D174" s="109" t="s">
        <v>658</v>
      </c>
      <c r="E174" s="109" t="s">
        <v>651</v>
      </c>
      <c r="F174" s="110">
        <v>15500</v>
      </c>
      <c r="G174" s="110"/>
      <c r="H174" s="110">
        <v>7430</v>
      </c>
      <c r="I174" s="102">
        <f t="shared" si="103"/>
        <v>22930</v>
      </c>
      <c r="J174" s="363"/>
      <c r="K174" s="363">
        <v>7430</v>
      </c>
      <c r="L174" s="665">
        <f t="shared" si="104"/>
        <v>22930</v>
      </c>
      <c r="M174" s="665">
        <f t="shared" si="105"/>
        <v>0</v>
      </c>
      <c r="N174" s="749" t="str">
        <f t="shared" si="106"/>
        <v>-</v>
      </c>
      <c r="O174" s="326" t="s">
        <v>650</v>
      </c>
      <c r="P174" s="365" t="s">
        <v>647</v>
      </c>
      <c r="Q174" s="273"/>
      <c r="R174" s="661">
        <f t="shared" si="110"/>
        <v>7430</v>
      </c>
      <c r="S174" s="285" t="str">
        <f t="shared" si="108"/>
        <v>ok</v>
      </c>
    </row>
    <row r="175" spans="1:19" ht="31.5" customHeight="1">
      <c r="A175" s="773"/>
      <c r="B175" s="773"/>
      <c r="C175" s="108">
        <v>296</v>
      </c>
      <c r="D175" s="109" t="s">
        <v>659</v>
      </c>
      <c r="E175" s="109" t="s">
        <v>649</v>
      </c>
      <c r="F175" s="110">
        <v>3500</v>
      </c>
      <c r="G175" s="110"/>
      <c r="H175" s="110">
        <v>2500</v>
      </c>
      <c r="I175" s="102">
        <f t="shared" si="103"/>
        <v>6000</v>
      </c>
      <c r="J175" s="363"/>
      <c r="K175" s="363">
        <v>1000</v>
      </c>
      <c r="L175" s="665">
        <f t="shared" si="104"/>
        <v>4500</v>
      </c>
      <c r="M175" s="665">
        <f t="shared" si="105"/>
        <v>-1500</v>
      </c>
      <c r="N175" s="749" t="str">
        <f t="shared" si="106"/>
        <v>-</v>
      </c>
      <c r="O175" s="326" t="s">
        <v>650</v>
      </c>
      <c r="P175" s="365" t="s">
        <v>647</v>
      </c>
      <c r="Q175" s="273"/>
      <c r="R175" s="661">
        <f t="shared" si="110"/>
        <v>1000</v>
      </c>
      <c r="S175" s="285" t="str">
        <f t="shared" si="108"/>
        <v>검토</v>
      </c>
    </row>
    <row r="176" spans="1:19" ht="31.5" customHeight="1">
      <c r="A176" s="773"/>
      <c r="B176" s="773"/>
      <c r="C176" s="108">
        <v>296</v>
      </c>
      <c r="D176" s="109" t="s">
        <v>659</v>
      </c>
      <c r="E176" s="109" t="s">
        <v>651</v>
      </c>
      <c r="F176" s="110">
        <v>15500</v>
      </c>
      <c r="G176" s="110"/>
      <c r="H176" s="110">
        <v>7430</v>
      </c>
      <c r="I176" s="102">
        <f t="shared" si="103"/>
        <v>22930</v>
      </c>
      <c r="J176" s="363"/>
      <c r="K176" s="363">
        <v>7430</v>
      </c>
      <c r="L176" s="665">
        <f t="shared" si="104"/>
        <v>22930</v>
      </c>
      <c r="M176" s="665">
        <f t="shared" si="105"/>
        <v>0</v>
      </c>
      <c r="N176" s="749" t="str">
        <f t="shared" si="106"/>
        <v>-</v>
      </c>
      <c r="O176" s="326" t="s">
        <v>650</v>
      </c>
      <c r="P176" s="365" t="s">
        <v>647</v>
      </c>
      <c r="Q176" s="273"/>
      <c r="R176" s="661">
        <f t="shared" si="110"/>
        <v>7430</v>
      </c>
      <c r="S176" s="285" t="str">
        <f t="shared" si="108"/>
        <v>ok</v>
      </c>
    </row>
    <row r="177" spans="1:19" ht="31.5" customHeight="1">
      <c r="A177" s="773"/>
      <c r="B177" s="773"/>
      <c r="C177" s="108">
        <v>300</v>
      </c>
      <c r="D177" s="109" t="s">
        <v>660</v>
      </c>
      <c r="E177" s="109" t="s">
        <v>649</v>
      </c>
      <c r="F177" s="110">
        <v>3500</v>
      </c>
      <c r="G177" s="110"/>
      <c r="H177" s="110">
        <v>2500</v>
      </c>
      <c r="I177" s="102">
        <f t="shared" si="103"/>
        <v>6000</v>
      </c>
      <c r="J177" s="363"/>
      <c r="K177" s="363">
        <v>1000</v>
      </c>
      <c r="L177" s="665">
        <f t="shared" si="104"/>
        <v>4500</v>
      </c>
      <c r="M177" s="665">
        <f t="shared" si="105"/>
        <v>-1500</v>
      </c>
      <c r="N177" s="749" t="str">
        <f t="shared" si="106"/>
        <v>-</v>
      </c>
      <c r="O177" s="326" t="s">
        <v>650</v>
      </c>
      <c r="P177" s="365" t="s">
        <v>647</v>
      </c>
      <c r="Q177" s="273"/>
      <c r="R177" s="661">
        <f t="shared" si="110"/>
        <v>1000</v>
      </c>
      <c r="S177" s="285" t="str">
        <f t="shared" si="108"/>
        <v>검토</v>
      </c>
    </row>
    <row r="178" spans="1:19" ht="31.5" customHeight="1">
      <c r="A178" s="773"/>
      <c r="B178" s="773"/>
      <c r="C178" s="108">
        <v>300</v>
      </c>
      <c r="D178" s="109" t="s">
        <v>660</v>
      </c>
      <c r="E178" s="109" t="s">
        <v>651</v>
      </c>
      <c r="F178" s="110">
        <v>15500</v>
      </c>
      <c r="G178" s="110"/>
      <c r="H178" s="110">
        <v>7430</v>
      </c>
      <c r="I178" s="102">
        <f t="shared" si="103"/>
        <v>22930</v>
      </c>
      <c r="J178" s="363"/>
      <c r="K178" s="363">
        <v>7430</v>
      </c>
      <c r="L178" s="665">
        <f t="shared" si="104"/>
        <v>22930</v>
      </c>
      <c r="M178" s="665">
        <f t="shared" si="105"/>
        <v>0</v>
      </c>
      <c r="N178" s="749" t="str">
        <f t="shared" si="106"/>
        <v>-</v>
      </c>
      <c r="O178" s="326" t="s">
        <v>650</v>
      </c>
      <c r="P178" s="365" t="s">
        <v>647</v>
      </c>
      <c r="Q178" s="273"/>
      <c r="R178" s="661">
        <f t="shared" si="110"/>
        <v>7430</v>
      </c>
      <c r="S178" s="285" t="str">
        <f t="shared" si="108"/>
        <v>ok</v>
      </c>
    </row>
    <row r="179" spans="1:19" ht="31.5" customHeight="1">
      <c r="A179" s="773"/>
      <c r="B179" s="773"/>
      <c r="C179" s="108">
        <v>304</v>
      </c>
      <c r="D179" s="109" t="s">
        <v>661</v>
      </c>
      <c r="E179" s="109" t="s">
        <v>649</v>
      </c>
      <c r="F179" s="110">
        <v>3500</v>
      </c>
      <c r="G179" s="110"/>
      <c r="H179" s="110">
        <v>2500</v>
      </c>
      <c r="I179" s="102">
        <f t="shared" si="103"/>
        <v>6000</v>
      </c>
      <c r="J179" s="363"/>
      <c r="K179" s="363">
        <v>1000</v>
      </c>
      <c r="L179" s="665">
        <f t="shared" si="104"/>
        <v>4500</v>
      </c>
      <c r="M179" s="665">
        <f t="shared" si="105"/>
        <v>-1500</v>
      </c>
      <c r="N179" s="749" t="str">
        <f t="shared" si="106"/>
        <v>-</v>
      </c>
      <c r="O179" s="326" t="s">
        <v>650</v>
      </c>
      <c r="P179" s="365" t="s">
        <v>647</v>
      </c>
      <c r="Q179" s="273"/>
      <c r="R179" s="661">
        <f t="shared" si="110"/>
        <v>1000</v>
      </c>
      <c r="S179" s="285" t="str">
        <f t="shared" si="108"/>
        <v>검토</v>
      </c>
    </row>
    <row r="180" spans="1:19" ht="31.5" customHeight="1">
      <c r="A180" s="773"/>
      <c r="B180" s="773"/>
      <c r="C180" s="108">
        <v>304</v>
      </c>
      <c r="D180" s="109" t="s">
        <v>661</v>
      </c>
      <c r="E180" s="109" t="s">
        <v>651</v>
      </c>
      <c r="F180" s="110">
        <v>15500</v>
      </c>
      <c r="G180" s="110"/>
      <c r="H180" s="110">
        <v>7430</v>
      </c>
      <c r="I180" s="102">
        <f t="shared" si="103"/>
        <v>22930</v>
      </c>
      <c r="J180" s="363"/>
      <c r="K180" s="363">
        <v>7430</v>
      </c>
      <c r="L180" s="665">
        <f t="shared" si="104"/>
        <v>22930</v>
      </c>
      <c r="M180" s="665">
        <f t="shared" si="105"/>
        <v>0</v>
      </c>
      <c r="N180" s="749" t="str">
        <f t="shared" si="106"/>
        <v>-</v>
      </c>
      <c r="O180" s="326" t="s">
        <v>650</v>
      </c>
      <c r="P180" s="365" t="s">
        <v>647</v>
      </c>
      <c r="Q180" s="273"/>
      <c r="R180" s="661">
        <f t="shared" si="110"/>
        <v>7430</v>
      </c>
      <c r="S180" s="285" t="str">
        <f t="shared" si="108"/>
        <v>ok</v>
      </c>
    </row>
    <row r="181" spans="1:19" ht="31.5" customHeight="1">
      <c r="A181" s="773"/>
      <c r="B181" s="773"/>
      <c r="C181" s="108">
        <v>308</v>
      </c>
      <c r="D181" s="109" t="s">
        <v>662</v>
      </c>
      <c r="E181" s="109" t="s">
        <v>649</v>
      </c>
      <c r="F181" s="110">
        <v>3500</v>
      </c>
      <c r="G181" s="110"/>
      <c r="H181" s="110">
        <v>2500</v>
      </c>
      <c r="I181" s="102">
        <f t="shared" si="103"/>
        <v>6000</v>
      </c>
      <c r="J181" s="363"/>
      <c r="K181" s="363">
        <v>1000</v>
      </c>
      <c r="L181" s="665">
        <f t="shared" si="104"/>
        <v>4500</v>
      </c>
      <c r="M181" s="665">
        <f t="shared" si="105"/>
        <v>-1500</v>
      </c>
      <c r="N181" s="749" t="str">
        <f t="shared" si="106"/>
        <v>-</v>
      </c>
      <c r="O181" s="326" t="s">
        <v>650</v>
      </c>
      <c r="P181" s="365" t="s">
        <v>647</v>
      </c>
      <c r="Q181" s="273"/>
      <c r="R181" s="661">
        <f t="shared" si="110"/>
        <v>1000</v>
      </c>
      <c r="S181" s="285" t="str">
        <f t="shared" si="108"/>
        <v>검토</v>
      </c>
    </row>
    <row r="182" spans="1:19" ht="31.5" customHeight="1">
      <c r="A182" s="773"/>
      <c r="B182" s="773"/>
      <c r="C182" s="108">
        <v>308</v>
      </c>
      <c r="D182" s="109" t="s">
        <v>662</v>
      </c>
      <c r="E182" s="109" t="s">
        <v>651</v>
      </c>
      <c r="F182" s="110">
        <v>15500</v>
      </c>
      <c r="G182" s="110"/>
      <c r="H182" s="110">
        <v>7430</v>
      </c>
      <c r="I182" s="376">
        <f t="shared" si="103"/>
        <v>22930</v>
      </c>
      <c r="J182" s="363"/>
      <c r="K182" s="363">
        <v>7430</v>
      </c>
      <c r="L182" s="665">
        <f t="shared" si="104"/>
        <v>22930</v>
      </c>
      <c r="M182" s="665">
        <f t="shared" si="105"/>
        <v>0</v>
      </c>
      <c r="N182" s="749" t="str">
        <f t="shared" si="106"/>
        <v>-</v>
      </c>
      <c r="O182" s="326" t="s">
        <v>650</v>
      </c>
      <c r="P182" s="365" t="s">
        <v>647</v>
      </c>
      <c r="Q182" s="273"/>
      <c r="R182" s="661">
        <f t="shared" si="110"/>
        <v>7430</v>
      </c>
      <c r="S182" s="285" t="str">
        <f t="shared" si="108"/>
        <v>ok</v>
      </c>
    </row>
    <row r="183" spans="1:19" ht="31.5" customHeight="1">
      <c r="A183" s="773"/>
      <c r="B183" s="773"/>
      <c r="C183" s="108">
        <v>312</v>
      </c>
      <c r="D183" s="109" t="s">
        <v>663</v>
      </c>
      <c r="E183" s="109" t="s">
        <v>649</v>
      </c>
      <c r="F183" s="110">
        <v>3500</v>
      </c>
      <c r="G183" s="110"/>
      <c r="H183" s="110">
        <v>2500</v>
      </c>
      <c r="I183" s="376">
        <f t="shared" si="103"/>
        <v>6000</v>
      </c>
      <c r="J183" s="363"/>
      <c r="K183" s="363">
        <v>1000</v>
      </c>
      <c r="L183" s="665">
        <f t="shared" si="104"/>
        <v>4500</v>
      </c>
      <c r="M183" s="665">
        <f t="shared" si="105"/>
        <v>-1500</v>
      </c>
      <c r="N183" s="749" t="str">
        <f t="shared" si="106"/>
        <v>-</v>
      </c>
      <c r="O183" s="326" t="s">
        <v>650</v>
      </c>
      <c r="P183" s="365" t="s">
        <v>647</v>
      </c>
      <c r="Q183" s="273"/>
      <c r="R183" s="661">
        <f t="shared" si="110"/>
        <v>1000</v>
      </c>
      <c r="S183" s="285" t="str">
        <f t="shared" si="108"/>
        <v>검토</v>
      </c>
    </row>
    <row r="184" spans="1:19" ht="31.5" customHeight="1">
      <c r="A184" s="773"/>
      <c r="B184" s="773"/>
      <c r="C184" s="108">
        <v>312</v>
      </c>
      <c r="D184" s="109" t="s">
        <v>663</v>
      </c>
      <c r="E184" s="109" t="s">
        <v>651</v>
      </c>
      <c r="F184" s="110">
        <v>15500</v>
      </c>
      <c r="G184" s="110"/>
      <c r="H184" s="110">
        <v>7430</v>
      </c>
      <c r="I184" s="376">
        <f t="shared" si="103"/>
        <v>22930</v>
      </c>
      <c r="J184" s="363"/>
      <c r="K184" s="363">
        <v>7430</v>
      </c>
      <c r="L184" s="665">
        <f t="shared" si="104"/>
        <v>22930</v>
      </c>
      <c r="M184" s="665">
        <f t="shared" si="105"/>
        <v>0</v>
      </c>
      <c r="N184" s="749" t="str">
        <f t="shared" si="106"/>
        <v>-</v>
      </c>
      <c r="O184" s="326" t="s">
        <v>650</v>
      </c>
      <c r="P184" s="365" t="s">
        <v>647</v>
      </c>
      <c r="Q184" s="273"/>
      <c r="R184" s="661">
        <f t="shared" si="110"/>
        <v>7430</v>
      </c>
      <c r="S184" s="285" t="str">
        <f t="shared" si="108"/>
        <v>ok</v>
      </c>
    </row>
    <row r="185" spans="1:19" s="673" customFormat="1" ht="31.5" customHeight="1">
      <c r="A185" s="770"/>
      <c r="B185" s="770"/>
      <c r="C185" s="662" t="s">
        <v>1150</v>
      </c>
      <c r="D185" s="658" t="s">
        <v>1162</v>
      </c>
      <c r="E185" s="288" t="s">
        <v>1584</v>
      </c>
      <c r="F185" s="658"/>
      <c r="G185" s="658"/>
      <c r="H185" s="658"/>
      <c r="I185" s="665">
        <f t="shared" si="103"/>
        <v>0</v>
      </c>
      <c r="J185" s="658"/>
      <c r="K185" s="641">
        <v>153000</v>
      </c>
      <c r="L185" s="665">
        <f t="shared" si="104"/>
        <v>153000</v>
      </c>
      <c r="M185" s="665">
        <f t="shared" si="105"/>
        <v>153000</v>
      </c>
      <c r="N185" s="749" t="str">
        <f t="shared" si="106"/>
        <v>-</v>
      </c>
      <c r="O185" s="336"/>
      <c r="P185" s="653" t="s">
        <v>1223</v>
      </c>
      <c r="Q185" s="658"/>
      <c r="R185" s="661">
        <f>K185</f>
        <v>153000</v>
      </c>
      <c r="S185" s="648" t="str">
        <f t="shared" si="108"/>
        <v>검토</v>
      </c>
    </row>
    <row r="186" spans="1:19" ht="31.5" customHeight="1">
      <c r="A186" s="773"/>
      <c r="B186" s="773"/>
      <c r="C186" s="108">
        <v>316</v>
      </c>
      <c r="D186" s="109" t="s">
        <v>664</v>
      </c>
      <c r="E186" s="109" t="s">
        <v>649</v>
      </c>
      <c r="F186" s="110">
        <v>3500</v>
      </c>
      <c r="G186" s="110"/>
      <c r="H186" s="110">
        <v>2500</v>
      </c>
      <c r="I186" s="102">
        <f t="shared" si="103"/>
        <v>6000</v>
      </c>
      <c r="J186" s="363"/>
      <c r="K186" s="363">
        <v>1000</v>
      </c>
      <c r="L186" s="665">
        <f t="shared" si="104"/>
        <v>4500</v>
      </c>
      <c r="M186" s="665">
        <f t="shared" si="105"/>
        <v>-1500</v>
      </c>
      <c r="N186" s="749" t="str">
        <f t="shared" si="106"/>
        <v>-</v>
      </c>
      <c r="O186" s="326" t="s">
        <v>650</v>
      </c>
      <c r="P186" s="365" t="s">
        <v>647</v>
      </c>
      <c r="Q186" s="273"/>
      <c r="R186" s="661">
        <f t="shared" ref="R186:R235" si="111">K186</f>
        <v>1000</v>
      </c>
      <c r="S186" s="285" t="str">
        <f t="shared" si="108"/>
        <v>검토</v>
      </c>
    </row>
    <row r="187" spans="1:19" ht="31.5" customHeight="1">
      <c r="A187" s="773"/>
      <c r="B187" s="773"/>
      <c r="C187" s="108">
        <v>316</v>
      </c>
      <c r="D187" s="109" t="s">
        <v>664</v>
      </c>
      <c r="E187" s="109" t="s">
        <v>651</v>
      </c>
      <c r="F187" s="110">
        <v>15500</v>
      </c>
      <c r="G187" s="110"/>
      <c r="H187" s="110">
        <v>7430</v>
      </c>
      <c r="I187" s="102">
        <f t="shared" si="103"/>
        <v>22930</v>
      </c>
      <c r="J187" s="363"/>
      <c r="K187" s="363">
        <v>7430</v>
      </c>
      <c r="L187" s="665">
        <f t="shared" si="104"/>
        <v>22930</v>
      </c>
      <c r="M187" s="665">
        <f t="shared" si="105"/>
        <v>0</v>
      </c>
      <c r="N187" s="749" t="str">
        <f t="shared" si="106"/>
        <v>-</v>
      </c>
      <c r="O187" s="326" t="s">
        <v>650</v>
      </c>
      <c r="P187" s="365" t="s">
        <v>647</v>
      </c>
      <c r="Q187" s="273"/>
      <c r="R187" s="661">
        <f t="shared" si="111"/>
        <v>7430</v>
      </c>
      <c r="S187" s="285" t="str">
        <f t="shared" si="108"/>
        <v>ok</v>
      </c>
    </row>
    <row r="188" spans="1:19" ht="31.5" customHeight="1">
      <c r="A188" s="773"/>
      <c r="B188" s="773"/>
      <c r="C188" s="108">
        <v>320</v>
      </c>
      <c r="D188" s="109" t="s">
        <v>665</v>
      </c>
      <c r="E188" s="109" t="s">
        <v>649</v>
      </c>
      <c r="F188" s="110">
        <v>3500</v>
      </c>
      <c r="G188" s="110"/>
      <c r="H188" s="110">
        <v>2500</v>
      </c>
      <c r="I188" s="102">
        <f t="shared" si="103"/>
        <v>6000</v>
      </c>
      <c r="J188" s="363"/>
      <c r="K188" s="363">
        <v>1000</v>
      </c>
      <c r="L188" s="665">
        <f t="shared" si="104"/>
        <v>4500</v>
      </c>
      <c r="M188" s="665">
        <f t="shared" si="105"/>
        <v>-1500</v>
      </c>
      <c r="N188" s="749" t="str">
        <f t="shared" si="106"/>
        <v>-</v>
      </c>
      <c r="O188" s="326" t="s">
        <v>650</v>
      </c>
      <c r="P188" s="365" t="s">
        <v>647</v>
      </c>
      <c r="Q188" s="273"/>
      <c r="R188" s="661">
        <f t="shared" si="111"/>
        <v>1000</v>
      </c>
      <c r="S188" s="285" t="str">
        <f t="shared" si="108"/>
        <v>검토</v>
      </c>
    </row>
    <row r="189" spans="1:19" ht="31.5" customHeight="1">
      <c r="A189" s="773"/>
      <c r="B189" s="773"/>
      <c r="C189" s="108">
        <v>320</v>
      </c>
      <c r="D189" s="109" t="s">
        <v>665</v>
      </c>
      <c r="E189" s="109" t="s">
        <v>651</v>
      </c>
      <c r="F189" s="110">
        <v>15500</v>
      </c>
      <c r="G189" s="110"/>
      <c r="H189" s="110">
        <v>7430</v>
      </c>
      <c r="I189" s="102">
        <f t="shared" si="103"/>
        <v>22930</v>
      </c>
      <c r="J189" s="363"/>
      <c r="K189" s="363">
        <v>7430</v>
      </c>
      <c r="L189" s="665">
        <f t="shared" si="104"/>
        <v>22930</v>
      </c>
      <c r="M189" s="665">
        <f t="shared" si="105"/>
        <v>0</v>
      </c>
      <c r="N189" s="749" t="str">
        <f t="shared" si="106"/>
        <v>-</v>
      </c>
      <c r="O189" s="326" t="s">
        <v>650</v>
      </c>
      <c r="P189" s="365" t="s">
        <v>647</v>
      </c>
      <c r="Q189" s="273"/>
      <c r="R189" s="661">
        <f t="shared" si="111"/>
        <v>7430</v>
      </c>
      <c r="S189" s="285" t="str">
        <f t="shared" si="108"/>
        <v>ok</v>
      </c>
    </row>
    <row r="190" spans="1:19" ht="31.5" customHeight="1">
      <c r="A190" s="773"/>
      <c r="B190" s="773"/>
      <c r="C190" s="108">
        <v>323</v>
      </c>
      <c r="D190" s="109" t="s">
        <v>666</v>
      </c>
      <c r="E190" s="109" t="s">
        <v>649</v>
      </c>
      <c r="F190" s="110">
        <v>3500</v>
      </c>
      <c r="G190" s="110"/>
      <c r="H190" s="110">
        <v>2500</v>
      </c>
      <c r="I190" s="102">
        <f t="shared" si="103"/>
        <v>6000</v>
      </c>
      <c r="J190" s="363"/>
      <c r="K190" s="363">
        <v>1000</v>
      </c>
      <c r="L190" s="665">
        <f t="shared" si="104"/>
        <v>4500</v>
      </c>
      <c r="M190" s="665">
        <f t="shared" si="105"/>
        <v>-1500</v>
      </c>
      <c r="N190" s="749" t="str">
        <f t="shared" si="106"/>
        <v>-</v>
      </c>
      <c r="O190" s="326" t="s">
        <v>650</v>
      </c>
      <c r="P190" s="365" t="s">
        <v>647</v>
      </c>
      <c r="Q190" s="273"/>
      <c r="R190" s="661">
        <f t="shared" si="111"/>
        <v>1000</v>
      </c>
      <c r="S190" s="285" t="str">
        <f t="shared" si="108"/>
        <v>검토</v>
      </c>
    </row>
    <row r="191" spans="1:19" ht="31.5" customHeight="1">
      <c r="A191" s="773"/>
      <c r="B191" s="773"/>
      <c r="C191" s="108">
        <v>323</v>
      </c>
      <c r="D191" s="109" t="s">
        <v>666</v>
      </c>
      <c r="E191" s="109" t="s">
        <v>651</v>
      </c>
      <c r="F191" s="110">
        <v>15500</v>
      </c>
      <c r="G191" s="110"/>
      <c r="H191" s="110">
        <v>7430</v>
      </c>
      <c r="I191" s="102">
        <f t="shared" si="103"/>
        <v>22930</v>
      </c>
      <c r="J191" s="363"/>
      <c r="K191" s="363">
        <v>7430</v>
      </c>
      <c r="L191" s="665">
        <f t="shared" si="104"/>
        <v>22930</v>
      </c>
      <c r="M191" s="665">
        <f t="shared" si="105"/>
        <v>0</v>
      </c>
      <c r="N191" s="749" t="str">
        <f t="shared" si="106"/>
        <v>-</v>
      </c>
      <c r="O191" s="326" t="s">
        <v>650</v>
      </c>
      <c r="P191" s="365" t="s">
        <v>647</v>
      </c>
      <c r="Q191" s="273"/>
      <c r="R191" s="661">
        <f t="shared" si="111"/>
        <v>7430</v>
      </c>
      <c r="S191" s="285" t="str">
        <f t="shared" si="108"/>
        <v>ok</v>
      </c>
    </row>
    <row r="192" spans="1:19" ht="31.5" customHeight="1">
      <c r="A192" s="773"/>
      <c r="B192" s="773"/>
      <c r="C192" s="108">
        <v>327</v>
      </c>
      <c r="D192" s="109" t="s">
        <v>667</v>
      </c>
      <c r="E192" s="109" t="s">
        <v>649</v>
      </c>
      <c r="F192" s="110">
        <v>3500</v>
      </c>
      <c r="G192" s="110"/>
      <c r="H192" s="110">
        <v>2500</v>
      </c>
      <c r="I192" s="102">
        <f t="shared" si="103"/>
        <v>6000</v>
      </c>
      <c r="J192" s="363"/>
      <c r="K192" s="363">
        <v>1000</v>
      </c>
      <c r="L192" s="665">
        <f t="shared" si="104"/>
        <v>4500</v>
      </c>
      <c r="M192" s="665">
        <f t="shared" si="105"/>
        <v>-1500</v>
      </c>
      <c r="N192" s="749" t="str">
        <f t="shared" si="106"/>
        <v>-</v>
      </c>
      <c r="O192" s="326" t="s">
        <v>650</v>
      </c>
      <c r="P192" s="365" t="s">
        <v>647</v>
      </c>
      <c r="Q192" s="273"/>
      <c r="R192" s="661">
        <f t="shared" si="111"/>
        <v>1000</v>
      </c>
      <c r="S192" s="285" t="str">
        <f t="shared" si="108"/>
        <v>검토</v>
      </c>
    </row>
    <row r="193" spans="1:19" ht="31.5" customHeight="1">
      <c r="A193" s="773"/>
      <c r="B193" s="773"/>
      <c r="C193" s="108">
        <v>327</v>
      </c>
      <c r="D193" s="109" t="s">
        <v>667</v>
      </c>
      <c r="E193" s="109" t="s">
        <v>651</v>
      </c>
      <c r="F193" s="110">
        <v>15500</v>
      </c>
      <c r="G193" s="110"/>
      <c r="H193" s="110">
        <v>7430</v>
      </c>
      <c r="I193" s="102">
        <f t="shared" si="103"/>
        <v>22930</v>
      </c>
      <c r="J193" s="363"/>
      <c r="K193" s="363">
        <v>7430</v>
      </c>
      <c r="L193" s="665">
        <f t="shared" si="104"/>
        <v>22930</v>
      </c>
      <c r="M193" s="665">
        <f t="shared" si="105"/>
        <v>0</v>
      </c>
      <c r="N193" s="749" t="str">
        <f t="shared" si="106"/>
        <v>-</v>
      </c>
      <c r="O193" s="326" t="s">
        <v>650</v>
      </c>
      <c r="P193" s="365" t="s">
        <v>647</v>
      </c>
      <c r="Q193" s="273"/>
      <c r="R193" s="661">
        <f t="shared" si="111"/>
        <v>7430</v>
      </c>
      <c r="S193" s="285" t="str">
        <f t="shared" si="108"/>
        <v>ok</v>
      </c>
    </row>
    <row r="194" spans="1:19" ht="31.5" customHeight="1">
      <c r="A194" s="773"/>
      <c r="B194" s="773"/>
      <c r="C194" s="108">
        <v>330</v>
      </c>
      <c r="D194" s="109" t="s">
        <v>668</v>
      </c>
      <c r="E194" s="109" t="s">
        <v>649</v>
      </c>
      <c r="F194" s="110">
        <v>3500</v>
      </c>
      <c r="G194" s="110"/>
      <c r="H194" s="110">
        <v>2500</v>
      </c>
      <c r="I194" s="102">
        <f t="shared" si="103"/>
        <v>6000</v>
      </c>
      <c r="J194" s="363"/>
      <c r="K194" s="363">
        <v>1000</v>
      </c>
      <c r="L194" s="665">
        <f t="shared" si="104"/>
        <v>4500</v>
      </c>
      <c r="M194" s="665">
        <f t="shared" si="105"/>
        <v>-1500</v>
      </c>
      <c r="N194" s="749" t="str">
        <f t="shared" si="106"/>
        <v>-</v>
      </c>
      <c r="O194" s="326" t="s">
        <v>650</v>
      </c>
      <c r="P194" s="365" t="s">
        <v>647</v>
      </c>
      <c r="Q194" s="273"/>
      <c r="R194" s="661">
        <f t="shared" si="111"/>
        <v>1000</v>
      </c>
      <c r="S194" s="285" t="str">
        <f t="shared" si="108"/>
        <v>검토</v>
      </c>
    </row>
    <row r="195" spans="1:19" ht="31.5" customHeight="1">
      <c r="A195" s="773"/>
      <c r="B195" s="773"/>
      <c r="C195" s="108">
        <v>330</v>
      </c>
      <c r="D195" s="109" t="s">
        <v>668</v>
      </c>
      <c r="E195" s="109" t="s">
        <v>651</v>
      </c>
      <c r="F195" s="110">
        <v>15500</v>
      </c>
      <c r="G195" s="110"/>
      <c r="H195" s="110">
        <v>7430</v>
      </c>
      <c r="I195" s="102">
        <f t="shared" si="103"/>
        <v>22930</v>
      </c>
      <c r="J195" s="363"/>
      <c r="K195" s="363">
        <v>7430</v>
      </c>
      <c r="L195" s="665">
        <f t="shared" si="104"/>
        <v>22930</v>
      </c>
      <c r="M195" s="665">
        <f t="shared" si="105"/>
        <v>0</v>
      </c>
      <c r="N195" s="749" t="str">
        <f t="shared" si="106"/>
        <v>-</v>
      </c>
      <c r="O195" s="326" t="s">
        <v>650</v>
      </c>
      <c r="P195" s="365" t="s">
        <v>647</v>
      </c>
      <c r="Q195" s="273"/>
      <c r="R195" s="661">
        <f t="shared" si="111"/>
        <v>7430</v>
      </c>
      <c r="S195" s="285" t="str">
        <f t="shared" si="108"/>
        <v>ok</v>
      </c>
    </row>
    <row r="196" spans="1:19" ht="31.5" customHeight="1">
      <c r="A196" s="773"/>
      <c r="B196" s="773"/>
      <c r="C196" s="108">
        <v>334</v>
      </c>
      <c r="D196" s="109" t="s">
        <v>669</v>
      </c>
      <c r="E196" s="109" t="s">
        <v>649</v>
      </c>
      <c r="F196" s="110">
        <v>3500</v>
      </c>
      <c r="G196" s="110"/>
      <c r="H196" s="110">
        <v>2500</v>
      </c>
      <c r="I196" s="102">
        <f t="shared" si="103"/>
        <v>6000</v>
      </c>
      <c r="J196" s="363"/>
      <c r="K196" s="363">
        <v>1000</v>
      </c>
      <c r="L196" s="665">
        <f t="shared" si="104"/>
        <v>4500</v>
      </c>
      <c r="M196" s="665">
        <f t="shared" si="105"/>
        <v>-1500</v>
      </c>
      <c r="N196" s="749" t="str">
        <f t="shared" si="106"/>
        <v>-</v>
      </c>
      <c r="O196" s="326" t="s">
        <v>650</v>
      </c>
      <c r="P196" s="365" t="s">
        <v>647</v>
      </c>
      <c r="Q196" s="273"/>
      <c r="R196" s="661">
        <f t="shared" si="111"/>
        <v>1000</v>
      </c>
      <c r="S196" s="285" t="str">
        <f t="shared" si="108"/>
        <v>검토</v>
      </c>
    </row>
    <row r="197" spans="1:19" ht="31.5" customHeight="1">
      <c r="A197" s="773"/>
      <c r="B197" s="773"/>
      <c r="C197" s="108">
        <v>334</v>
      </c>
      <c r="D197" s="109" t="s">
        <v>669</v>
      </c>
      <c r="E197" s="109" t="s">
        <v>651</v>
      </c>
      <c r="F197" s="110">
        <v>15500</v>
      </c>
      <c r="G197" s="110"/>
      <c r="H197" s="110">
        <v>7430</v>
      </c>
      <c r="I197" s="102">
        <f t="shared" si="103"/>
        <v>22930</v>
      </c>
      <c r="J197" s="363"/>
      <c r="K197" s="363">
        <v>7430</v>
      </c>
      <c r="L197" s="665">
        <f t="shared" si="104"/>
        <v>22930</v>
      </c>
      <c r="M197" s="665">
        <f t="shared" si="105"/>
        <v>0</v>
      </c>
      <c r="N197" s="749" t="str">
        <f t="shared" si="106"/>
        <v>-</v>
      </c>
      <c r="O197" s="326" t="s">
        <v>650</v>
      </c>
      <c r="P197" s="365" t="s">
        <v>647</v>
      </c>
      <c r="Q197" s="273"/>
      <c r="R197" s="661">
        <f t="shared" si="111"/>
        <v>7430</v>
      </c>
      <c r="S197" s="285" t="str">
        <f t="shared" si="108"/>
        <v>ok</v>
      </c>
    </row>
    <row r="198" spans="1:19" ht="31.5" customHeight="1">
      <c r="A198" s="773"/>
      <c r="B198" s="773"/>
      <c r="C198" s="108">
        <v>334</v>
      </c>
      <c r="D198" s="109" t="s">
        <v>669</v>
      </c>
      <c r="E198" s="109" t="s">
        <v>670</v>
      </c>
      <c r="F198" s="110">
        <v>3500</v>
      </c>
      <c r="G198" s="110"/>
      <c r="H198" s="110">
        <v>13000</v>
      </c>
      <c r="I198" s="102">
        <f t="shared" si="103"/>
        <v>16500</v>
      </c>
      <c r="J198" s="363"/>
      <c r="K198" s="363">
        <v>13000</v>
      </c>
      <c r="L198" s="665">
        <f t="shared" si="104"/>
        <v>16500</v>
      </c>
      <c r="M198" s="665">
        <f t="shared" si="105"/>
        <v>0</v>
      </c>
      <c r="N198" s="749" t="str">
        <f t="shared" si="106"/>
        <v>-</v>
      </c>
      <c r="O198" s="326" t="s">
        <v>671</v>
      </c>
      <c r="P198" s="365" t="s">
        <v>647</v>
      </c>
      <c r="Q198" s="273"/>
      <c r="R198" s="661">
        <f t="shared" si="111"/>
        <v>13000</v>
      </c>
      <c r="S198" s="285" t="str">
        <f t="shared" si="108"/>
        <v>ok</v>
      </c>
    </row>
    <row r="199" spans="1:19" ht="31.5" customHeight="1">
      <c r="A199" s="773"/>
      <c r="B199" s="773"/>
      <c r="C199" s="108">
        <v>338</v>
      </c>
      <c r="D199" s="109" t="s">
        <v>672</v>
      </c>
      <c r="E199" s="109" t="s">
        <v>649</v>
      </c>
      <c r="F199" s="110">
        <v>3500</v>
      </c>
      <c r="G199" s="110"/>
      <c r="H199" s="110">
        <v>2500</v>
      </c>
      <c r="I199" s="102">
        <f t="shared" si="103"/>
        <v>6000</v>
      </c>
      <c r="J199" s="363"/>
      <c r="K199" s="363">
        <v>1000</v>
      </c>
      <c r="L199" s="665">
        <f t="shared" si="104"/>
        <v>4500</v>
      </c>
      <c r="M199" s="665">
        <f t="shared" si="105"/>
        <v>-1500</v>
      </c>
      <c r="N199" s="749" t="str">
        <f t="shared" si="106"/>
        <v>-</v>
      </c>
      <c r="O199" s="326" t="s">
        <v>650</v>
      </c>
      <c r="P199" s="365" t="s">
        <v>647</v>
      </c>
      <c r="Q199" s="273"/>
      <c r="R199" s="661">
        <f t="shared" si="111"/>
        <v>1000</v>
      </c>
      <c r="S199" s="285" t="str">
        <f t="shared" si="108"/>
        <v>검토</v>
      </c>
    </row>
    <row r="200" spans="1:19" ht="31.5" customHeight="1">
      <c r="A200" s="773"/>
      <c r="B200" s="773"/>
      <c r="C200" s="108">
        <v>338</v>
      </c>
      <c r="D200" s="109" t="s">
        <v>672</v>
      </c>
      <c r="E200" s="109" t="s">
        <v>651</v>
      </c>
      <c r="F200" s="110">
        <v>15500</v>
      </c>
      <c r="G200" s="110"/>
      <c r="H200" s="110">
        <v>7430</v>
      </c>
      <c r="I200" s="102">
        <f t="shared" si="103"/>
        <v>22930</v>
      </c>
      <c r="J200" s="363"/>
      <c r="K200" s="363">
        <v>7430</v>
      </c>
      <c r="L200" s="665">
        <f t="shared" si="104"/>
        <v>22930</v>
      </c>
      <c r="M200" s="665">
        <f t="shared" si="105"/>
        <v>0</v>
      </c>
      <c r="N200" s="749" t="str">
        <f t="shared" si="106"/>
        <v>-</v>
      </c>
      <c r="O200" s="326" t="s">
        <v>650</v>
      </c>
      <c r="P200" s="365" t="s">
        <v>647</v>
      </c>
      <c r="Q200" s="273"/>
      <c r="R200" s="661">
        <f t="shared" si="111"/>
        <v>7430</v>
      </c>
      <c r="S200" s="285" t="str">
        <f t="shared" si="108"/>
        <v>ok</v>
      </c>
    </row>
    <row r="201" spans="1:19" ht="31.5" customHeight="1">
      <c r="A201" s="773"/>
      <c r="B201" s="773"/>
      <c r="C201" s="108">
        <v>342</v>
      </c>
      <c r="D201" s="109" t="s">
        <v>673</v>
      </c>
      <c r="E201" s="109" t="s">
        <v>649</v>
      </c>
      <c r="F201" s="110">
        <v>3500</v>
      </c>
      <c r="G201" s="110"/>
      <c r="H201" s="110">
        <v>2500</v>
      </c>
      <c r="I201" s="102">
        <f t="shared" si="103"/>
        <v>6000</v>
      </c>
      <c r="J201" s="363"/>
      <c r="K201" s="363">
        <v>1000</v>
      </c>
      <c r="L201" s="665">
        <f t="shared" si="104"/>
        <v>4500</v>
      </c>
      <c r="M201" s="665">
        <f t="shared" si="105"/>
        <v>-1500</v>
      </c>
      <c r="N201" s="749" t="str">
        <f t="shared" si="106"/>
        <v>-</v>
      </c>
      <c r="O201" s="326" t="s">
        <v>650</v>
      </c>
      <c r="P201" s="365" t="s">
        <v>647</v>
      </c>
      <c r="Q201" s="273"/>
      <c r="R201" s="661">
        <f t="shared" si="111"/>
        <v>1000</v>
      </c>
      <c r="S201" s="285" t="str">
        <f t="shared" si="108"/>
        <v>검토</v>
      </c>
    </row>
    <row r="202" spans="1:19" ht="31.5" customHeight="1">
      <c r="A202" s="773"/>
      <c r="B202" s="773"/>
      <c r="C202" s="108">
        <v>342</v>
      </c>
      <c r="D202" s="109" t="s">
        <v>673</v>
      </c>
      <c r="E202" s="109" t="s">
        <v>651</v>
      </c>
      <c r="F202" s="110">
        <v>15500</v>
      </c>
      <c r="G202" s="110"/>
      <c r="H202" s="110">
        <v>7430</v>
      </c>
      <c r="I202" s="102">
        <f t="shared" si="103"/>
        <v>22930</v>
      </c>
      <c r="J202" s="363"/>
      <c r="K202" s="363">
        <v>7430</v>
      </c>
      <c r="L202" s="665">
        <f t="shared" si="104"/>
        <v>22930</v>
      </c>
      <c r="M202" s="665">
        <f t="shared" si="105"/>
        <v>0</v>
      </c>
      <c r="N202" s="749" t="str">
        <f t="shared" si="106"/>
        <v>-</v>
      </c>
      <c r="O202" s="326" t="s">
        <v>650</v>
      </c>
      <c r="P202" s="365" t="s">
        <v>647</v>
      </c>
      <c r="Q202" s="273"/>
      <c r="R202" s="661">
        <f t="shared" si="111"/>
        <v>7430</v>
      </c>
      <c r="S202" s="285" t="str">
        <f t="shared" si="108"/>
        <v>ok</v>
      </c>
    </row>
    <row r="203" spans="1:19" ht="31.5" customHeight="1">
      <c r="A203" s="773"/>
      <c r="B203" s="773"/>
      <c r="C203" s="108">
        <v>346</v>
      </c>
      <c r="D203" s="109" t="s">
        <v>674</v>
      </c>
      <c r="E203" s="109" t="s">
        <v>649</v>
      </c>
      <c r="F203" s="110">
        <v>3500</v>
      </c>
      <c r="G203" s="110"/>
      <c r="H203" s="110">
        <v>2500</v>
      </c>
      <c r="I203" s="102">
        <f t="shared" si="103"/>
        <v>6000</v>
      </c>
      <c r="J203" s="363"/>
      <c r="K203" s="363">
        <v>1000</v>
      </c>
      <c r="L203" s="665">
        <f t="shared" si="104"/>
        <v>4500</v>
      </c>
      <c r="M203" s="665">
        <f t="shared" si="105"/>
        <v>-1500</v>
      </c>
      <c r="N203" s="749" t="str">
        <f t="shared" si="106"/>
        <v>-</v>
      </c>
      <c r="O203" s="326" t="s">
        <v>650</v>
      </c>
      <c r="P203" s="365" t="s">
        <v>647</v>
      </c>
      <c r="Q203" s="273"/>
      <c r="R203" s="661">
        <f t="shared" si="111"/>
        <v>1000</v>
      </c>
      <c r="S203" s="285" t="str">
        <f t="shared" si="108"/>
        <v>검토</v>
      </c>
    </row>
    <row r="204" spans="1:19" ht="31.5" customHeight="1">
      <c r="A204" s="773"/>
      <c r="B204" s="773"/>
      <c r="C204" s="108">
        <v>346</v>
      </c>
      <c r="D204" s="109" t="s">
        <v>674</v>
      </c>
      <c r="E204" s="109" t="s">
        <v>651</v>
      </c>
      <c r="F204" s="110">
        <v>15500</v>
      </c>
      <c r="G204" s="110"/>
      <c r="H204" s="110">
        <v>7430</v>
      </c>
      <c r="I204" s="102">
        <f t="shared" si="103"/>
        <v>22930</v>
      </c>
      <c r="J204" s="363"/>
      <c r="K204" s="363">
        <v>7430</v>
      </c>
      <c r="L204" s="665">
        <f t="shared" si="104"/>
        <v>22930</v>
      </c>
      <c r="M204" s="665">
        <f t="shared" si="105"/>
        <v>0</v>
      </c>
      <c r="N204" s="749" t="str">
        <f t="shared" si="106"/>
        <v>-</v>
      </c>
      <c r="O204" s="326" t="s">
        <v>650</v>
      </c>
      <c r="P204" s="365" t="s">
        <v>647</v>
      </c>
      <c r="Q204" s="273"/>
      <c r="R204" s="661">
        <f t="shared" si="111"/>
        <v>7430</v>
      </c>
      <c r="S204" s="285" t="str">
        <f t="shared" si="108"/>
        <v>ok</v>
      </c>
    </row>
    <row r="205" spans="1:19" ht="31.5" customHeight="1">
      <c r="A205" s="773"/>
      <c r="B205" s="773"/>
      <c r="C205" s="108">
        <v>350</v>
      </c>
      <c r="D205" s="109" t="s">
        <v>675</v>
      </c>
      <c r="E205" s="109" t="s">
        <v>649</v>
      </c>
      <c r="F205" s="110">
        <v>3500</v>
      </c>
      <c r="G205" s="110"/>
      <c r="H205" s="110">
        <v>2500</v>
      </c>
      <c r="I205" s="102">
        <f t="shared" si="103"/>
        <v>6000</v>
      </c>
      <c r="J205" s="363"/>
      <c r="K205" s="363">
        <v>1000</v>
      </c>
      <c r="L205" s="665">
        <f t="shared" si="104"/>
        <v>4500</v>
      </c>
      <c r="M205" s="665">
        <f t="shared" si="105"/>
        <v>-1500</v>
      </c>
      <c r="N205" s="749" t="str">
        <f t="shared" si="106"/>
        <v>-</v>
      </c>
      <c r="O205" s="326" t="s">
        <v>650</v>
      </c>
      <c r="P205" s="365" t="s">
        <v>647</v>
      </c>
      <c r="Q205" s="273"/>
      <c r="R205" s="661">
        <f t="shared" si="111"/>
        <v>1000</v>
      </c>
      <c r="S205" s="285" t="str">
        <f t="shared" si="108"/>
        <v>검토</v>
      </c>
    </row>
    <row r="206" spans="1:19" ht="31.5" customHeight="1">
      <c r="A206" s="773"/>
      <c r="B206" s="773"/>
      <c r="C206" s="108">
        <v>350</v>
      </c>
      <c r="D206" s="109" t="s">
        <v>675</v>
      </c>
      <c r="E206" s="109" t="s">
        <v>651</v>
      </c>
      <c r="F206" s="110">
        <v>15500</v>
      </c>
      <c r="G206" s="110"/>
      <c r="H206" s="110">
        <v>7430</v>
      </c>
      <c r="I206" s="102">
        <f t="shared" si="103"/>
        <v>22930</v>
      </c>
      <c r="J206" s="363"/>
      <c r="K206" s="363">
        <v>7430</v>
      </c>
      <c r="L206" s="665">
        <f t="shared" si="104"/>
        <v>22930</v>
      </c>
      <c r="M206" s="665">
        <f t="shared" si="105"/>
        <v>0</v>
      </c>
      <c r="N206" s="749" t="str">
        <f t="shared" si="106"/>
        <v>-</v>
      </c>
      <c r="O206" s="326" t="s">
        <v>650</v>
      </c>
      <c r="P206" s="365" t="s">
        <v>647</v>
      </c>
      <c r="Q206" s="273"/>
      <c r="R206" s="661">
        <f t="shared" si="111"/>
        <v>7430</v>
      </c>
      <c r="S206" s="285" t="str">
        <f t="shared" si="108"/>
        <v>ok</v>
      </c>
    </row>
    <row r="207" spans="1:19" ht="31.5" customHeight="1">
      <c r="A207" s="773"/>
      <c r="B207" s="773"/>
      <c r="C207" s="108" t="s">
        <v>94</v>
      </c>
      <c r="D207" s="109" t="s">
        <v>630</v>
      </c>
      <c r="E207" s="109" t="s">
        <v>676</v>
      </c>
      <c r="F207" s="110"/>
      <c r="G207" s="110"/>
      <c r="H207" s="110">
        <v>30000</v>
      </c>
      <c r="I207" s="102">
        <f t="shared" si="103"/>
        <v>30000</v>
      </c>
      <c r="J207" s="363"/>
      <c r="K207" s="363">
        <v>30000</v>
      </c>
      <c r="L207" s="665">
        <f t="shared" si="104"/>
        <v>30000</v>
      </c>
      <c r="M207" s="665">
        <f t="shared" si="105"/>
        <v>0</v>
      </c>
      <c r="N207" s="749" t="str">
        <f t="shared" si="106"/>
        <v>-</v>
      </c>
      <c r="O207" s="326" t="s">
        <v>677</v>
      </c>
      <c r="P207" s="365" t="s">
        <v>647</v>
      </c>
      <c r="Q207" s="273"/>
      <c r="R207" s="661">
        <f t="shared" si="111"/>
        <v>30000</v>
      </c>
      <c r="S207" s="285" t="str">
        <f t="shared" si="108"/>
        <v>ok</v>
      </c>
    </row>
    <row r="208" spans="1:19" ht="31.5" customHeight="1">
      <c r="A208" s="773"/>
      <c r="B208" s="773"/>
      <c r="C208" s="108" t="s">
        <v>94</v>
      </c>
      <c r="D208" s="109" t="s">
        <v>678</v>
      </c>
      <c r="E208" s="109" t="s">
        <v>679</v>
      </c>
      <c r="F208" s="110"/>
      <c r="G208" s="110"/>
      <c r="H208" s="110">
        <v>882996</v>
      </c>
      <c r="I208" s="102">
        <f t="shared" si="103"/>
        <v>882996</v>
      </c>
      <c r="J208" s="363"/>
      <c r="K208" s="363">
        <v>882996</v>
      </c>
      <c r="L208" s="665">
        <f t="shared" si="104"/>
        <v>882996</v>
      </c>
      <c r="M208" s="665">
        <f t="shared" si="105"/>
        <v>0</v>
      </c>
      <c r="N208" s="749" t="str">
        <f t="shared" si="106"/>
        <v>-</v>
      </c>
      <c r="O208" s="326" t="s">
        <v>680</v>
      </c>
      <c r="P208" s="365" t="s">
        <v>647</v>
      </c>
      <c r="Q208" s="273"/>
      <c r="R208" s="661">
        <f t="shared" si="111"/>
        <v>882996</v>
      </c>
      <c r="S208" s="285" t="str">
        <f t="shared" si="108"/>
        <v>ok</v>
      </c>
    </row>
    <row r="209" spans="1:19" ht="31.5" customHeight="1">
      <c r="A209" s="773"/>
      <c r="B209" s="773"/>
      <c r="C209" s="108" t="s">
        <v>94</v>
      </c>
      <c r="D209" s="109" t="s">
        <v>648</v>
      </c>
      <c r="E209" s="109" t="s">
        <v>681</v>
      </c>
      <c r="F209" s="110"/>
      <c r="G209" s="110"/>
      <c r="H209" s="110">
        <v>16000</v>
      </c>
      <c r="I209" s="102">
        <f t="shared" si="103"/>
        <v>16000</v>
      </c>
      <c r="J209" s="363"/>
      <c r="K209" s="363">
        <v>16000</v>
      </c>
      <c r="L209" s="665">
        <f t="shared" si="104"/>
        <v>16000</v>
      </c>
      <c r="M209" s="665">
        <f t="shared" si="105"/>
        <v>0</v>
      </c>
      <c r="N209" s="749" t="str">
        <f t="shared" si="106"/>
        <v>-</v>
      </c>
      <c r="O209" s="326" t="s">
        <v>671</v>
      </c>
      <c r="P209" s="365" t="s">
        <v>647</v>
      </c>
      <c r="Q209" s="273"/>
      <c r="R209" s="661">
        <f t="shared" si="111"/>
        <v>16000</v>
      </c>
      <c r="S209" s="285" t="str">
        <f t="shared" si="108"/>
        <v>ok</v>
      </c>
    </row>
    <row r="210" spans="1:19" ht="31.5" customHeight="1">
      <c r="A210" s="773"/>
      <c r="B210" s="773"/>
      <c r="C210" s="108" t="s">
        <v>94</v>
      </c>
      <c r="D210" s="109" t="s">
        <v>652</v>
      </c>
      <c r="E210" s="109" t="s">
        <v>681</v>
      </c>
      <c r="F210" s="110"/>
      <c r="G210" s="110"/>
      <c r="H210" s="110">
        <v>8000</v>
      </c>
      <c r="I210" s="102">
        <f t="shared" si="103"/>
        <v>8000</v>
      </c>
      <c r="J210" s="363"/>
      <c r="K210" s="363">
        <v>8000</v>
      </c>
      <c r="L210" s="665">
        <f t="shared" si="104"/>
        <v>8000</v>
      </c>
      <c r="M210" s="665">
        <f t="shared" si="105"/>
        <v>0</v>
      </c>
      <c r="N210" s="749" t="str">
        <f t="shared" si="106"/>
        <v>-</v>
      </c>
      <c r="O210" s="326" t="s">
        <v>671</v>
      </c>
      <c r="P210" s="365" t="s">
        <v>647</v>
      </c>
      <c r="Q210" s="273"/>
      <c r="R210" s="661">
        <f t="shared" si="111"/>
        <v>8000</v>
      </c>
      <c r="S210" s="285" t="str">
        <f t="shared" si="108"/>
        <v>ok</v>
      </c>
    </row>
    <row r="211" spans="1:19" ht="31.5" customHeight="1">
      <c r="A211" s="773"/>
      <c r="B211" s="773"/>
      <c r="C211" s="108" t="s">
        <v>94</v>
      </c>
      <c r="D211" s="109" t="s">
        <v>653</v>
      </c>
      <c r="E211" s="109" t="s">
        <v>681</v>
      </c>
      <c r="F211" s="110"/>
      <c r="G211" s="110"/>
      <c r="H211" s="110">
        <v>8000</v>
      </c>
      <c r="I211" s="102">
        <f t="shared" si="103"/>
        <v>8000</v>
      </c>
      <c r="J211" s="363"/>
      <c r="K211" s="363">
        <v>8000</v>
      </c>
      <c r="L211" s="665">
        <f t="shared" si="104"/>
        <v>8000</v>
      </c>
      <c r="M211" s="665">
        <f t="shared" si="105"/>
        <v>0</v>
      </c>
      <c r="N211" s="749" t="str">
        <f t="shared" si="106"/>
        <v>-</v>
      </c>
      <c r="O211" s="326" t="s">
        <v>671</v>
      </c>
      <c r="P211" s="365" t="s">
        <v>647</v>
      </c>
      <c r="Q211" s="273"/>
      <c r="R211" s="661">
        <f t="shared" si="111"/>
        <v>8000</v>
      </c>
      <c r="S211" s="285" t="str">
        <f t="shared" si="108"/>
        <v>ok</v>
      </c>
    </row>
    <row r="212" spans="1:19" ht="31.5" customHeight="1">
      <c r="A212" s="773"/>
      <c r="B212" s="773"/>
      <c r="C212" s="108" t="s">
        <v>94</v>
      </c>
      <c r="D212" s="109" t="s">
        <v>654</v>
      </c>
      <c r="E212" s="109" t="s">
        <v>681</v>
      </c>
      <c r="F212" s="110"/>
      <c r="G212" s="110"/>
      <c r="H212" s="110">
        <v>14000</v>
      </c>
      <c r="I212" s="102">
        <f t="shared" si="103"/>
        <v>14000</v>
      </c>
      <c r="J212" s="363"/>
      <c r="K212" s="363">
        <v>14000</v>
      </c>
      <c r="L212" s="665">
        <f t="shared" si="104"/>
        <v>14000</v>
      </c>
      <c r="M212" s="665">
        <f t="shared" si="105"/>
        <v>0</v>
      </c>
      <c r="N212" s="749" t="str">
        <f t="shared" si="106"/>
        <v>-</v>
      </c>
      <c r="O212" s="326" t="s">
        <v>671</v>
      </c>
      <c r="P212" s="365" t="s">
        <v>647</v>
      </c>
      <c r="Q212" s="273"/>
      <c r="R212" s="661">
        <f t="shared" si="111"/>
        <v>14000</v>
      </c>
      <c r="S212" s="285" t="str">
        <f t="shared" si="108"/>
        <v>ok</v>
      </c>
    </row>
    <row r="213" spans="1:19" ht="31.5" customHeight="1">
      <c r="A213" s="773"/>
      <c r="B213" s="773"/>
      <c r="C213" s="108" t="s">
        <v>94</v>
      </c>
      <c r="D213" s="109" t="s">
        <v>654</v>
      </c>
      <c r="E213" s="109" t="s">
        <v>682</v>
      </c>
      <c r="F213" s="110"/>
      <c r="G213" s="110"/>
      <c r="H213" s="110">
        <v>200000</v>
      </c>
      <c r="I213" s="102">
        <f t="shared" si="103"/>
        <v>200000</v>
      </c>
      <c r="J213" s="363"/>
      <c r="K213" s="363">
        <v>500000</v>
      </c>
      <c r="L213" s="665">
        <f t="shared" ref="L213:L235" si="112">F213+J213+K213</f>
        <v>500000</v>
      </c>
      <c r="M213" s="665">
        <f t="shared" ref="M213:M235" si="113">L213-I213</f>
        <v>300000</v>
      </c>
      <c r="N213" s="749" t="str">
        <f t="shared" ref="N213:N235" si="114">IF(AND(((G213+H213)&lt;0),(J213+K213)&gt;(G213+H213)),"검토","-")</f>
        <v>-</v>
      </c>
      <c r="O213" s="326" t="s">
        <v>671</v>
      </c>
      <c r="P213" s="365" t="s">
        <v>647</v>
      </c>
      <c r="Q213" s="273"/>
      <c r="R213" s="661">
        <f t="shared" si="111"/>
        <v>500000</v>
      </c>
      <c r="S213" s="285" t="str">
        <f t="shared" si="108"/>
        <v>검토</v>
      </c>
    </row>
    <row r="214" spans="1:19" ht="31.5" customHeight="1">
      <c r="A214" s="773"/>
      <c r="B214" s="773"/>
      <c r="C214" s="108" t="s">
        <v>94</v>
      </c>
      <c r="D214" s="109" t="s">
        <v>655</v>
      </c>
      <c r="E214" s="109" t="s">
        <v>681</v>
      </c>
      <c r="F214" s="110"/>
      <c r="G214" s="110"/>
      <c r="H214" s="110">
        <v>8000</v>
      </c>
      <c r="I214" s="102">
        <f t="shared" si="103"/>
        <v>8000</v>
      </c>
      <c r="J214" s="363"/>
      <c r="K214" s="363">
        <v>8000</v>
      </c>
      <c r="L214" s="665">
        <f t="shared" si="112"/>
        <v>8000</v>
      </c>
      <c r="M214" s="665">
        <f t="shared" si="113"/>
        <v>0</v>
      </c>
      <c r="N214" s="749" t="str">
        <f t="shared" si="114"/>
        <v>-</v>
      </c>
      <c r="O214" s="326" t="s">
        <v>671</v>
      </c>
      <c r="P214" s="365" t="s">
        <v>647</v>
      </c>
      <c r="Q214" s="273"/>
      <c r="R214" s="661">
        <f t="shared" si="111"/>
        <v>8000</v>
      </c>
      <c r="S214" s="285" t="str">
        <f t="shared" si="108"/>
        <v>ok</v>
      </c>
    </row>
    <row r="215" spans="1:19" ht="31.5" customHeight="1">
      <c r="A215" s="773"/>
      <c r="B215" s="773"/>
      <c r="C215" s="108" t="s">
        <v>94</v>
      </c>
      <c r="D215" s="109" t="s">
        <v>656</v>
      </c>
      <c r="E215" s="109" t="s">
        <v>681</v>
      </c>
      <c r="F215" s="110"/>
      <c r="G215" s="110"/>
      <c r="H215" s="110">
        <v>14000</v>
      </c>
      <c r="I215" s="102">
        <f t="shared" si="103"/>
        <v>14000</v>
      </c>
      <c r="J215" s="363"/>
      <c r="K215" s="363">
        <v>14000</v>
      </c>
      <c r="L215" s="665">
        <f t="shared" si="112"/>
        <v>14000</v>
      </c>
      <c r="M215" s="665">
        <f t="shared" si="113"/>
        <v>0</v>
      </c>
      <c r="N215" s="749" t="str">
        <f t="shared" si="114"/>
        <v>-</v>
      </c>
      <c r="O215" s="326" t="s">
        <v>671</v>
      </c>
      <c r="P215" s="365" t="s">
        <v>647</v>
      </c>
      <c r="Q215" s="273"/>
      <c r="R215" s="661">
        <f t="shared" si="111"/>
        <v>14000</v>
      </c>
      <c r="S215" s="285" t="str">
        <f t="shared" si="108"/>
        <v>ok</v>
      </c>
    </row>
    <row r="216" spans="1:19" ht="31.5" customHeight="1">
      <c r="A216" s="773"/>
      <c r="B216" s="773"/>
      <c r="C216" s="108" t="s">
        <v>94</v>
      </c>
      <c r="D216" s="109" t="s">
        <v>656</v>
      </c>
      <c r="E216" s="109" t="s">
        <v>683</v>
      </c>
      <c r="F216" s="110"/>
      <c r="G216" s="110"/>
      <c r="H216" s="110">
        <v>200000</v>
      </c>
      <c r="I216" s="102">
        <f t="shared" ref="I216:I235" si="115">F216+G216+H216</f>
        <v>200000</v>
      </c>
      <c r="J216" s="363"/>
      <c r="K216" s="363">
        <v>500000</v>
      </c>
      <c r="L216" s="665">
        <f t="shared" si="112"/>
        <v>500000</v>
      </c>
      <c r="M216" s="665">
        <f t="shared" si="113"/>
        <v>300000</v>
      </c>
      <c r="N216" s="749" t="str">
        <f t="shared" si="114"/>
        <v>-</v>
      </c>
      <c r="O216" s="326" t="s">
        <v>671</v>
      </c>
      <c r="P216" s="365" t="s">
        <v>647</v>
      </c>
      <c r="Q216" s="273"/>
      <c r="R216" s="661">
        <f t="shared" si="111"/>
        <v>500000</v>
      </c>
      <c r="S216" s="285" t="str">
        <f t="shared" si="108"/>
        <v>검토</v>
      </c>
    </row>
    <row r="217" spans="1:19" ht="31.5" customHeight="1">
      <c r="A217" s="773"/>
      <c r="B217" s="773"/>
      <c r="C217" s="108" t="s">
        <v>94</v>
      </c>
      <c r="D217" s="109" t="s">
        <v>657</v>
      </c>
      <c r="E217" s="109" t="s">
        <v>681</v>
      </c>
      <c r="F217" s="110"/>
      <c r="G217" s="110"/>
      <c r="H217" s="110">
        <v>12000</v>
      </c>
      <c r="I217" s="102">
        <f t="shared" si="115"/>
        <v>12000</v>
      </c>
      <c r="J217" s="363"/>
      <c r="K217" s="363">
        <v>12000</v>
      </c>
      <c r="L217" s="665">
        <f t="shared" si="112"/>
        <v>12000</v>
      </c>
      <c r="M217" s="665">
        <f t="shared" si="113"/>
        <v>0</v>
      </c>
      <c r="N217" s="749" t="str">
        <f t="shared" si="114"/>
        <v>-</v>
      </c>
      <c r="O217" s="326" t="s">
        <v>671</v>
      </c>
      <c r="P217" s="365" t="s">
        <v>647</v>
      </c>
      <c r="Q217" s="273"/>
      <c r="R217" s="661">
        <f t="shared" si="111"/>
        <v>12000</v>
      </c>
      <c r="S217" s="285" t="str">
        <f t="shared" ref="S217:S281" si="116">IF((G217+H217)=(Q217+R217),"ok","검토")</f>
        <v>ok</v>
      </c>
    </row>
    <row r="218" spans="1:19" ht="31.5" customHeight="1">
      <c r="A218" s="773"/>
      <c r="B218" s="773"/>
      <c r="C218" s="108" t="s">
        <v>94</v>
      </c>
      <c r="D218" s="109" t="s">
        <v>658</v>
      </c>
      <c r="E218" s="109" t="s">
        <v>681</v>
      </c>
      <c r="F218" s="110"/>
      <c r="G218" s="110"/>
      <c r="H218" s="110">
        <v>6000</v>
      </c>
      <c r="I218" s="102">
        <f t="shared" si="115"/>
        <v>6000</v>
      </c>
      <c r="J218" s="363"/>
      <c r="K218" s="363">
        <v>6000</v>
      </c>
      <c r="L218" s="665">
        <f t="shared" si="112"/>
        <v>6000</v>
      </c>
      <c r="M218" s="665">
        <f t="shared" si="113"/>
        <v>0</v>
      </c>
      <c r="N218" s="749" t="str">
        <f t="shared" si="114"/>
        <v>-</v>
      </c>
      <c r="O218" s="326" t="s">
        <v>671</v>
      </c>
      <c r="P218" s="365" t="s">
        <v>647</v>
      </c>
      <c r="Q218" s="273"/>
      <c r="R218" s="661">
        <f t="shared" si="111"/>
        <v>6000</v>
      </c>
      <c r="S218" s="285" t="str">
        <f t="shared" si="116"/>
        <v>ok</v>
      </c>
    </row>
    <row r="219" spans="1:19" ht="31.5" customHeight="1">
      <c r="A219" s="773"/>
      <c r="B219" s="773"/>
      <c r="C219" s="108" t="s">
        <v>94</v>
      </c>
      <c r="D219" s="109" t="s">
        <v>659</v>
      </c>
      <c r="E219" s="109" t="s">
        <v>681</v>
      </c>
      <c r="F219" s="110"/>
      <c r="G219" s="110"/>
      <c r="H219" s="110">
        <v>10000</v>
      </c>
      <c r="I219" s="102">
        <f t="shared" si="115"/>
        <v>10000</v>
      </c>
      <c r="J219" s="363"/>
      <c r="K219" s="363">
        <v>10000</v>
      </c>
      <c r="L219" s="665">
        <f t="shared" si="112"/>
        <v>10000</v>
      </c>
      <c r="M219" s="665">
        <f t="shared" si="113"/>
        <v>0</v>
      </c>
      <c r="N219" s="749" t="str">
        <f t="shared" si="114"/>
        <v>-</v>
      </c>
      <c r="O219" s="326" t="s">
        <v>671</v>
      </c>
      <c r="P219" s="365" t="s">
        <v>647</v>
      </c>
      <c r="Q219" s="273"/>
      <c r="R219" s="661">
        <f t="shared" si="111"/>
        <v>10000</v>
      </c>
      <c r="S219" s="285" t="str">
        <f t="shared" si="116"/>
        <v>ok</v>
      </c>
    </row>
    <row r="220" spans="1:19" ht="31.5" customHeight="1">
      <c r="A220" s="773"/>
      <c r="B220" s="773"/>
      <c r="C220" s="108" t="s">
        <v>94</v>
      </c>
      <c r="D220" s="109" t="s">
        <v>660</v>
      </c>
      <c r="E220" s="109" t="s">
        <v>681</v>
      </c>
      <c r="F220" s="110"/>
      <c r="G220" s="110"/>
      <c r="H220" s="110">
        <v>6000</v>
      </c>
      <c r="I220" s="102">
        <f t="shared" si="115"/>
        <v>6000</v>
      </c>
      <c r="J220" s="363"/>
      <c r="K220" s="363">
        <v>6000</v>
      </c>
      <c r="L220" s="665">
        <f t="shared" si="112"/>
        <v>6000</v>
      </c>
      <c r="M220" s="665">
        <f t="shared" si="113"/>
        <v>0</v>
      </c>
      <c r="N220" s="749" t="str">
        <f t="shared" si="114"/>
        <v>-</v>
      </c>
      <c r="O220" s="326" t="s">
        <v>671</v>
      </c>
      <c r="P220" s="365" t="s">
        <v>647</v>
      </c>
      <c r="Q220" s="273"/>
      <c r="R220" s="661">
        <f t="shared" si="111"/>
        <v>6000</v>
      </c>
      <c r="S220" s="285" t="str">
        <f t="shared" si="116"/>
        <v>ok</v>
      </c>
    </row>
    <row r="221" spans="1:19" ht="31.5" customHeight="1">
      <c r="A221" s="773"/>
      <c r="B221" s="773"/>
      <c r="C221" s="108" t="s">
        <v>94</v>
      </c>
      <c r="D221" s="109" t="s">
        <v>660</v>
      </c>
      <c r="E221" s="109" t="s">
        <v>684</v>
      </c>
      <c r="F221" s="110"/>
      <c r="G221" s="110"/>
      <c r="H221" s="110">
        <v>58000</v>
      </c>
      <c r="I221" s="102">
        <f t="shared" si="115"/>
        <v>58000</v>
      </c>
      <c r="J221" s="363"/>
      <c r="K221" s="363">
        <v>58000</v>
      </c>
      <c r="L221" s="665">
        <f t="shared" si="112"/>
        <v>58000</v>
      </c>
      <c r="M221" s="665">
        <f t="shared" si="113"/>
        <v>0</v>
      </c>
      <c r="N221" s="749" t="str">
        <f t="shared" si="114"/>
        <v>-</v>
      </c>
      <c r="O221" s="326"/>
      <c r="P221" s="365" t="s">
        <v>647</v>
      </c>
      <c r="Q221" s="273"/>
      <c r="R221" s="661">
        <f t="shared" si="111"/>
        <v>58000</v>
      </c>
      <c r="S221" s="285" t="str">
        <f t="shared" si="116"/>
        <v>ok</v>
      </c>
    </row>
    <row r="222" spans="1:19" ht="31.5" customHeight="1">
      <c r="A222" s="773"/>
      <c r="B222" s="773"/>
      <c r="C222" s="108" t="s">
        <v>94</v>
      </c>
      <c r="D222" s="109" t="s">
        <v>661</v>
      </c>
      <c r="E222" s="109" t="s">
        <v>681</v>
      </c>
      <c r="F222" s="110"/>
      <c r="G222" s="110"/>
      <c r="H222" s="110">
        <v>6000</v>
      </c>
      <c r="I222" s="102">
        <f t="shared" si="115"/>
        <v>6000</v>
      </c>
      <c r="J222" s="363"/>
      <c r="K222" s="363">
        <v>6000</v>
      </c>
      <c r="L222" s="665">
        <f t="shared" si="112"/>
        <v>6000</v>
      </c>
      <c r="M222" s="665">
        <f t="shared" si="113"/>
        <v>0</v>
      </c>
      <c r="N222" s="749" t="str">
        <f t="shared" si="114"/>
        <v>-</v>
      </c>
      <c r="O222" s="326" t="s">
        <v>671</v>
      </c>
      <c r="P222" s="365" t="s">
        <v>647</v>
      </c>
      <c r="Q222" s="273"/>
      <c r="R222" s="661">
        <f t="shared" si="111"/>
        <v>6000</v>
      </c>
      <c r="S222" s="285" t="str">
        <f t="shared" si="116"/>
        <v>ok</v>
      </c>
    </row>
    <row r="223" spans="1:19" ht="31.5" customHeight="1">
      <c r="A223" s="773"/>
      <c r="B223" s="773"/>
      <c r="C223" s="108" t="s">
        <v>94</v>
      </c>
      <c r="D223" s="109" t="s">
        <v>662</v>
      </c>
      <c r="E223" s="109" t="s">
        <v>681</v>
      </c>
      <c r="F223" s="110"/>
      <c r="G223" s="110"/>
      <c r="H223" s="110">
        <v>2000</v>
      </c>
      <c r="I223" s="102">
        <f t="shared" si="115"/>
        <v>2000</v>
      </c>
      <c r="J223" s="363"/>
      <c r="K223" s="363">
        <v>2000</v>
      </c>
      <c r="L223" s="665">
        <f t="shared" si="112"/>
        <v>2000</v>
      </c>
      <c r="M223" s="665">
        <f t="shared" si="113"/>
        <v>0</v>
      </c>
      <c r="N223" s="749" t="str">
        <f t="shared" si="114"/>
        <v>-</v>
      </c>
      <c r="O223" s="326" t="s">
        <v>671</v>
      </c>
      <c r="P223" s="365" t="s">
        <v>647</v>
      </c>
      <c r="Q223" s="273"/>
      <c r="R223" s="661">
        <f t="shared" si="111"/>
        <v>2000</v>
      </c>
      <c r="S223" s="285" t="str">
        <f t="shared" si="116"/>
        <v>ok</v>
      </c>
    </row>
    <row r="224" spans="1:19" ht="31.5" customHeight="1">
      <c r="A224" s="773"/>
      <c r="B224" s="773"/>
      <c r="C224" s="108" t="s">
        <v>94</v>
      </c>
      <c r="D224" s="109" t="s">
        <v>663</v>
      </c>
      <c r="E224" s="109" t="s">
        <v>681</v>
      </c>
      <c r="F224" s="110"/>
      <c r="G224" s="110"/>
      <c r="H224" s="110">
        <v>10000</v>
      </c>
      <c r="I224" s="102">
        <f t="shared" si="115"/>
        <v>10000</v>
      </c>
      <c r="J224" s="363"/>
      <c r="K224" s="363">
        <v>10000</v>
      </c>
      <c r="L224" s="665">
        <f t="shared" si="112"/>
        <v>10000</v>
      </c>
      <c r="M224" s="665">
        <f t="shared" si="113"/>
        <v>0</v>
      </c>
      <c r="N224" s="749" t="str">
        <f t="shared" si="114"/>
        <v>-</v>
      </c>
      <c r="O224" s="326" t="s">
        <v>671</v>
      </c>
      <c r="P224" s="365" t="s">
        <v>647</v>
      </c>
      <c r="Q224" s="273"/>
      <c r="R224" s="661">
        <f t="shared" si="111"/>
        <v>10000</v>
      </c>
      <c r="S224" s="285" t="str">
        <f t="shared" si="116"/>
        <v>ok</v>
      </c>
    </row>
    <row r="225" spans="1:19" ht="31.5" customHeight="1">
      <c r="A225" s="773"/>
      <c r="B225" s="773"/>
      <c r="C225" s="108" t="s">
        <v>94</v>
      </c>
      <c r="D225" s="109" t="s">
        <v>664</v>
      </c>
      <c r="E225" s="109" t="s">
        <v>681</v>
      </c>
      <c r="F225" s="110"/>
      <c r="G225" s="110"/>
      <c r="H225" s="110">
        <v>4000</v>
      </c>
      <c r="I225" s="102">
        <f t="shared" si="115"/>
        <v>4000</v>
      </c>
      <c r="J225" s="363"/>
      <c r="K225" s="363">
        <v>4000</v>
      </c>
      <c r="L225" s="665">
        <f t="shared" si="112"/>
        <v>4000</v>
      </c>
      <c r="M225" s="665">
        <f t="shared" si="113"/>
        <v>0</v>
      </c>
      <c r="N225" s="749" t="str">
        <f t="shared" si="114"/>
        <v>-</v>
      </c>
      <c r="O225" s="326" t="s">
        <v>671</v>
      </c>
      <c r="P225" s="365" t="s">
        <v>647</v>
      </c>
      <c r="Q225" s="273"/>
      <c r="R225" s="661">
        <f t="shared" si="111"/>
        <v>4000</v>
      </c>
      <c r="S225" s="285" t="str">
        <f t="shared" si="116"/>
        <v>ok</v>
      </c>
    </row>
    <row r="226" spans="1:19" ht="31.5" customHeight="1">
      <c r="A226" s="773"/>
      <c r="B226" s="773"/>
      <c r="C226" s="108" t="s">
        <v>94</v>
      </c>
      <c r="D226" s="109" t="s">
        <v>665</v>
      </c>
      <c r="E226" s="109" t="s">
        <v>681</v>
      </c>
      <c r="F226" s="110"/>
      <c r="G226" s="110"/>
      <c r="H226" s="110">
        <v>10000</v>
      </c>
      <c r="I226" s="102">
        <f t="shared" si="115"/>
        <v>10000</v>
      </c>
      <c r="J226" s="363"/>
      <c r="K226" s="363">
        <v>10000</v>
      </c>
      <c r="L226" s="665">
        <f t="shared" si="112"/>
        <v>10000</v>
      </c>
      <c r="M226" s="665">
        <f t="shared" si="113"/>
        <v>0</v>
      </c>
      <c r="N226" s="749" t="str">
        <f t="shared" si="114"/>
        <v>-</v>
      </c>
      <c r="O226" s="326" t="s">
        <v>671</v>
      </c>
      <c r="P226" s="365" t="s">
        <v>647</v>
      </c>
      <c r="Q226" s="273"/>
      <c r="R226" s="661">
        <f t="shared" si="111"/>
        <v>10000</v>
      </c>
      <c r="S226" s="285" t="str">
        <f t="shared" si="116"/>
        <v>ok</v>
      </c>
    </row>
    <row r="227" spans="1:19" ht="31.5" customHeight="1">
      <c r="A227" s="773"/>
      <c r="B227" s="773"/>
      <c r="C227" s="108" t="s">
        <v>94</v>
      </c>
      <c r="D227" s="109" t="s">
        <v>665</v>
      </c>
      <c r="E227" s="109" t="s">
        <v>685</v>
      </c>
      <c r="F227" s="110"/>
      <c r="G227" s="110"/>
      <c r="H227" s="110">
        <v>40000</v>
      </c>
      <c r="I227" s="102">
        <f t="shared" si="115"/>
        <v>40000</v>
      </c>
      <c r="J227" s="363"/>
      <c r="K227" s="363">
        <v>40000</v>
      </c>
      <c r="L227" s="665">
        <f t="shared" si="112"/>
        <v>40000</v>
      </c>
      <c r="M227" s="665">
        <f t="shared" si="113"/>
        <v>0</v>
      </c>
      <c r="N227" s="749" t="str">
        <f t="shared" si="114"/>
        <v>-</v>
      </c>
      <c r="O227" s="326" t="s">
        <v>671</v>
      </c>
      <c r="P227" s="365" t="s">
        <v>647</v>
      </c>
      <c r="Q227" s="273"/>
      <c r="R227" s="661">
        <f t="shared" si="111"/>
        <v>40000</v>
      </c>
      <c r="S227" s="285" t="str">
        <f t="shared" si="116"/>
        <v>ok</v>
      </c>
    </row>
    <row r="228" spans="1:19" ht="31.5" customHeight="1">
      <c r="A228" s="773"/>
      <c r="B228" s="773"/>
      <c r="C228" s="108" t="s">
        <v>94</v>
      </c>
      <c r="D228" s="109" t="s">
        <v>666</v>
      </c>
      <c r="E228" s="109" t="s">
        <v>681</v>
      </c>
      <c r="F228" s="110"/>
      <c r="G228" s="110"/>
      <c r="H228" s="110">
        <v>6000</v>
      </c>
      <c r="I228" s="102">
        <f t="shared" si="115"/>
        <v>6000</v>
      </c>
      <c r="J228" s="363"/>
      <c r="K228" s="363">
        <v>6000</v>
      </c>
      <c r="L228" s="665">
        <f t="shared" si="112"/>
        <v>6000</v>
      </c>
      <c r="M228" s="665">
        <f t="shared" si="113"/>
        <v>0</v>
      </c>
      <c r="N228" s="749" t="str">
        <f t="shared" si="114"/>
        <v>-</v>
      </c>
      <c r="O228" s="326" t="s">
        <v>671</v>
      </c>
      <c r="P228" s="365" t="s">
        <v>647</v>
      </c>
      <c r="Q228" s="273"/>
      <c r="R228" s="661">
        <f t="shared" si="111"/>
        <v>6000</v>
      </c>
      <c r="S228" s="285" t="str">
        <f t="shared" si="116"/>
        <v>ok</v>
      </c>
    </row>
    <row r="229" spans="1:19" ht="31.5" customHeight="1">
      <c r="A229" s="773"/>
      <c r="B229" s="773"/>
      <c r="C229" s="108" t="s">
        <v>94</v>
      </c>
      <c r="D229" s="109" t="s">
        <v>667</v>
      </c>
      <c r="E229" s="109" t="s">
        <v>681</v>
      </c>
      <c r="F229" s="110"/>
      <c r="G229" s="110"/>
      <c r="H229" s="110">
        <v>6000</v>
      </c>
      <c r="I229" s="102">
        <f t="shared" si="115"/>
        <v>6000</v>
      </c>
      <c r="J229" s="363"/>
      <c r="K229" s="363">
        <v>6000</v>
      </c>
      <c r="L229" s="665">
        <f t="shared" si="112"/>
        <v>6000</v>
      </c>
      <c r="M229" s="665">
        <f t="shared" si="113"/>
        <v>0</v>
      </c>
      <c r="N229" s="749" t="str">
        <f t="shared" si="114"/>
        <v>-</v>
      </c>
      <c r="O229" s="326" t="s">
        <v>671</v>
      </c>
      <c r="P229" s="365" t="s">
        <v>647</v>
      </c>
      <c r="Q229" s="273"/>
      <c r="R229" s="661">
        <f t="shared" si="111"/>
        <v>6000</v>
      </c>
      <c r="S229" s="285" t="str">
        <f t="shared" si="116"/>
        <v>ok</v>
      </c>
    </row>
    <row r="230" spans="1:19" ht="31.5" customHeight="1">
      <c r="A230" s="773"/>
      <c r="B230" s="773"/>
      <c r="C230" s="108" t="s">
        <v>94</v>
      </c>
      <c r="D230" s="109" t="s">
        <v>668</v>
      </c>
      <c r="E230" s="109" t="s">
        <v>681</v>
      </c>
      <c r="F230" s="110"/>
      <c r="G230" s="110"/>
      <c r="H230" s="110">
        <v>2000</v>
      </c>
      <c r="I230" s="102">
        <f t="shared" si="115"/>
        <v>2000</v>
      </c>
      <c r="J230" s="363"/>
      <c r="K230" s="363">
        <v>2000</v>
      </c>
      <c r="L230" s="665">
        <f t="shared" si="112"/>
        <v>2000</v>
      </c>
      <c r="M230" s="665">
        <f t="shared" si="113"/>
        <v>0</v>
      </c>
      <c r="N230" s="749" t="str">
        <f t="shared" si="114"/>
        <v>-</v>
      </c>
      <c r="O230" s="326" t="s">
        <v>671</v>
      </c>
      <c r="P230" s="365" t="s">
        <v>647</v>
      </c>
      <c r="Q230" s="273"/>
      <c r="R230" s="661">
        <f t="shared" si="111"/>
        <v>2000</v>
      </c>
      <c r="S230" s="285" t="str">
        <f t="shared" si="116"/>
        <v>ok</v>
      </c>
    </row>
    <row r="231" spans="1:19" ht="31.5" customHeight="1">
      <c r="A231" s="773"/>
      <c r="B231" s="773"/>
      <c r="C231" s="108" t="s">
        <v>94</v>
      </c>
      <c r="D231" s="109" t="s">
        <v>669</v>
      </c>
      <c r="E231" s="109" t="s">
        <v>681</v>
      </c>
      <c r="F231" s="110"/>
      <c r="G231" s="110"/>
      <c r="H231" s="110">
        <v>2000</v>
      </c>
      <c r="I231" s="102">
        <f t="shared" si="115"/>
        <v>2000</v>
      </c>
      <c r="J231" s="363"/>
      <c r="K231" s="363">
        <v>2000</v>
      </c>
      <c r="L231" s="665">
        <f t="shared" si="112"/>
        <v>2000</v>
      </c>
      <c r="M231" s="665">
        <f t="shared" si="113"/>
        <v>0</v>
      </c>
      <c r="N231" s="749" t="str">
        <f t="shared" si="114"/>
        <v>-</v>
      </c>
      <c r="O231" s="326" t="s">
        <v>671</v>
      </c>
      <c r="P231" s="365" t="s">
        <v>647</v>
      </c>
      <c r="Q231" s="273"/>
      <c r="R231" s="661">
        <f t="shared" si="111"/>
        <v>2000</v>
      </c>
      <c r="S231" s="285" t="str">
        <f t="shared" si="116"/>
        <v>ok</v>
      </c>
    </row>
    <row r="232" spans="1:19" ht="31.5" customHeight="1">
      <c r="A232" s="773"/>
      <c r="B232" s="773"/>
      <c r="C232" s="108" t="s">
        <v>94</v>
      </c>
      <c r="D232" s="109" t="s">
        <v>672</v>
      </c>
      <c r="E232" s="109" t="s">
        <v>681</v>
      </c>
      <c r="F232" s="110"/>
      <c r="G232" s="110"/>
      <c r="H232" s="110">
        <v>2000</v>
      </c>
      <c r="I232" s="102">
        <f t="shared" si="115"/>
        <v>2000</v>
      </c>
      <c r="J232" s="363"/>
      <c r="K232" s="363">
        <v>2000</v>
      </c>
      <c r="L232" s="665">
        <f t="shared" si="112"/>
        <v>2000</v>
      </c>
      <c r="M232" s="665">
        <f t="shared" si="113"/>
        <v>0</v>
      </c>
      <c r="N232" s="749" t="str">
        <f t="shared" si="114"/>
        <v>-</v>
      </c>
      <c r="O232" s="326" t="s">
        <v>671</v>
      </c>
      <c r="P232" s="365" t="s">
        <v>647</v>
      </c>
      <c r="Q232" s="273"/>
      <c r="R232" s="661">
        <f t="shared" si="111"/>
        <v>2000</v>
      </c>
      <c r="S232" s="285" t="str">
        <f t="shared" si="116"/>
        <v>ok</v>
      </c>
    </row>
    <row r="233" spans="1:19" ht="31.5" customHeight="1">
      <c r="A233" s="773"/>
      <c r="B233" s="773"/>
      <c r="C233" s="108" t="s">
        <v>94</v>
      </c>
      <c r="D233" s="109" t="s">
        <v>673</v>
      </c>
      <c r="E233" s="109" t="s">
        <v>681</v>
      </c>
      <c r="F233" s="110"/>
      <c r="G233" s="110"/>
      <c r="H233" s="110">
        <v>4000</v>
      </c>
      <c r="I233" s="102">
        <f t="shared" si="115"/>
        <v>4000</v>
      </c>
      <c r="J233" s="363"/>
      <c r="K233" s="363">
        <v>4000</v>
      </c>
      <c r="L233" s="665">
        <f t="shared" si="112"/>
        <v>4000</v>
      </c>
      <c r="M233" s="665">
        <f t="shared" si="113"/>
        <v>0</v>
      </c>
      <c r="N233" s="749" t="str">
        <f t="shared" si="114"/>
        <v>-</v>
      </c>
      <c r="O233" s="326" t="s">
        <v>671</v>
      </c>
      <c r="P233" s="365" t="s">
        <v>647</v>
      </c>
      <c r="Q233" s="273"/>
      <c r="R233" s="661">
        <f t="shared" si="111"/>
        <v>4000</v>
      </c>
      <c r="S233" s="285" t="str">
        <f t="shared" si="116"/>
        <v>ok</v>
      </c>
    </row>
    <row r="234" spans="1:19" ht="31.5" customHeight="1">
      <c r="A234" s="773"/>
      <c r="B234" s="773"/>
      <c r="C234" s="108" t="s">
        <v>94</v>
      </c>
      <c r="D234" s="109" t="s">
        <v>674</v>
      </c>
      <c r="E234" s="109" t="s">
        <v>681</v>
      </c>
      <c r="F234" s="110"/>
      <c r="G234" s="110"/>
      <c r="H234" s="110">
        <v>6000</v>
      </c>
      <c r="I234" s="102">
        <f t="shared" si="115"/>
        <v>6000</v>
      </c>
      <c r="J234" s="363"/>
      <c r="K234" s="363">
        <v>6000</v>
      </c>
      <c r="L234" s="665">
        <f t="shared" si="112"/>
        <v>6000</v>
      </c>
      <c r="M234" s="665">
        <f t="shared" si="113"/>
        <v>0</v>
      </c>
      <c r="N234" s="749" t="str">
        <f t="shared" si="114"/>
        <v>-</v>
      </c>
      <c r="O234" s="326" t="s">
        <v>671</v>
      </c>
      <c r="P234" s="365" t="s">
        <v>647</v>
      </c>
      <c r="Q234" s="273"/>
      <c r="R234" s="661">
        <f t="shared" si="111"/>
        <v>6000</v>
      </c>
      <c r="S234" s="285" t="str">
        <f t="shared" si="116"/>
        <v>ok</v>
      </c>
    </row>
    <row r="235" spans="1:19" ht="31.5" customHeight="1">
      <c r="A235" s="773"/>
      <c r="B235" s="773"/>
      <c r="C235" s="108" t="s">
        <v>94</v>
      </c>
      <c r="D235" s="109" t="s">
        <v>675</v>
      </c>
      <c r="E235" s="109" t="s">
        <v>681</v>
      </c>
      <c r="F235" s="110"/>
      <c r="G235" s="110"/>
      <c r="H235" s="110">
        <v>2000</v>
      </c>
      <c r="I235" s="102">
        <f t="shared" si="115"/>
        <v>2000</v>
      </c>
      <c r="J235" s="363"/>
      <c r="K235" s="363">
        <v>2000</v>
      </c>
      <c r="L235" s="665">
        <f t="shared" si="112"/>
        <v>2000</v>
      </c>
      <c r="M235" s="665">
        <f t="shared" si="113"/>
        <v>0</v>
      </c>
      <c r="N235" s="749" t="str">
        <f t="shared" si="114"/>
        <v>-</v>
      </c>
      <c r="O235" s="326" t="s">
        <v>671</v>
      </c>
      <c r="P235" s="365" t="s">
        <v>647</v>
      </c>
      <c r="Q235" s="273"/>
      <c r="R235" s="661">
        <f t="shared" si="111"/>
        <v>2000</v>
      </c>
      <c r="S235" s="285" t="str">
        <f t="shared" si="116"/>
        <v>ok</v>
      </c>
    </row>
    <row r="236" spans="1:19" ht="31.5" customHeight="1">
      <c r="A236" s="770"/>
      <c r="B236" s="612" t="s">
        <v>686</v>
      </c>
      <c r="C236" s="628"/>
      <c r="D236" s="31"/>
      <c r="E236" s="31"/>
      <c r="F236" s="32">
        <f>SUM(F237:F275)</f>
        <v>214600</v>
      </c>
      <c r="G236" s="32">
        <f t="shared" ref="G236:I236" si="117">SUM(G237:G275)</f>
        <v>0</v>
      </c>
      <c r="H236" s="32">
        <f t="shared" si="117"/>
        <v>1717730</v>
      </c>
      <c r="I236" s="32">
        <f t="shared" si="117"/>
        <v>1932330</v>
      </c>
      <c r="J236" s="370">
        <f t="shared" ref="J236:K236" si="118">SUM(J237:J275)</f>
        <v>0</v>
      </c>
      <c r="K236" s="370">
        <f t="shared" si="118"/>
        <v>2401230</v>
      </c>
      <c r="L236" s="370">
        <f t="shared" ref="L236:L280" si="119">F236+J236+K236</f>
        <v>2615830</v>
      </c>
      <c r="M236" s="370">
        <f t="shared" ref="M236:M280" si="120">L236-I236</f>
        <v>683500</v>
      </c>
      <c r="N236" s="628"/>
      <c r="O236" s="258"/>
      <c r="P236" s="30"/>
      <c r="Q236" s="32">
        <f t="shared" ref="Q236:R236" si="121">SUM(Q237:Q275)</f>
        <v>0</v>
      </c>
      <c r="R236" s="32">
        <f t="shared" si="121"/>
        <v>2401230</v>
      </c>
      <c r="S236" s="30" t="str">
        <f t="shared" si="116"/>
        <v>검토</v>
      </c>
    </row>
    <row r="237" spans="1:19" ht="31.5" customHeight="1">
      <c r="A237" s="773"/>
      <c r="B237" s="773"/>
      <c r="C237" s="108">
        <v>256</v>
      </c>
      <c r="D237" s="109" t="s">
        <v>687</v>
      </c>
      <c r="E237" s="109" t="s">
        <v>688</v>
      </c>
      <c r="F237" s="110">
        <v>5600</v>
      </c>
      <c r="G237" s="110"/>
      <c r="H237" s="110">
        <v>2500</v>
      </c>
      <c r="I237" s="102">
        <f t="shared" ref="I237:I275" si="122">F237+G237+H237</f>
        <v>8100</v>
      </c>
      <c r="J237" s="363"/>
      <c r="K237" s="363">
        <v>2500</v>
      </c>
      <c r="L237" s="665">
        <f t="shared" si="119"/>
        <v>8100</v>
      </c>
      <c r="M237" s="665">
        <f t="shared" si="120"/>
        <v>0</v>
      </c>
      <c r="N237" s="749" t="str">
        <f t="shared" ref="N237:N300" si="123">IF(AND(((G237+H237)&lt;0),(J237+K237)&gt;(G237+H237)),"검토","-")</f>
        <v>-</v>
      </c>
      <c r="O237" s="326" t="s">
        <v>650</v>
      </c>
      <c r="P237" s="365" t="s">
        <v>689</v>
      </c>
      <c r="Q237" s="273"/>
      <c r="R237" s="661">
        <f t="shared" ref="R237:R275" si="124">K237</f>
        <v>2500</v>
      </c>
      <c r="S237" s="285" t="str">
        <f t="shared" si="116"/>
        <v>ok</v>
      </c>
    </row>
    <row r="238" spans="1:19" ht="31.5" customHeight="1">
      <c r="A238" s="773"/>
      <c r="B238" s="773"/>
      <c r="C238" s="108">
        <v>353</v>
      </c>
      <c r="D238" s="109" t="s">
        <v>690</v>
      </c>
      <c r="E238" s="109" t="s">
        <v>649</v>
      </c>
      <c r="F238" s="110">
        <v>3500</v>
      </c>
      <c r="G238" s="110"/>
      <c r="H238" s="110">
        <v>2500</v>
      </c>
      <c r="I238" s="102">
        <f t="shared" si="122"/>
        <v>6000</v>
      </c>
      <c r="J238" s="363"/>
      <c r="K238" s="363">
        <v>1000</v>
      </c>
      <c r="L238" s="665">
        <f t="shared" si="119"/>
        <v>4500</v>
      </c>
      <c r="M238" s="665">
        <f t="shared" si="120"/>
        <v>-1500</v>
      </c>
      <c r="N238" s="749" t="str">
        <f t="shared" si="123"/>
        <v>-</v>
      </c>
      <c r="O238" s="326" t="s">
        <v>650</v>
      </c>
      <c r="P238" s="365" t="s">
        <v>689</v>
      </c>
      <c r="Q238" s="273"/>
      <c r="R238" s="661">
        <f t="shared" si="124"/>
        <v>1000</v>
      </c>
      <c r="S238" s="285" t="str">
        <f t="shared" si="116"/>
        <v>검토</v>
      </c>
    </row>
    <row r="239" spans="1:19" ht="31.5" customHeight="1">
      <c r="A239" s="773"/>
      <c r="B239" s="773"/>
      <c r="C239" s="108">
        <v>353</v>
      </c>
      <c r="D239" s="109" t="s">
        <v>690</v>
      </c>
      <c r="E239" s="109" t="s">
        <v>651</v>
      </c>
      <c r="F239" s="110">
        <v>15500</v>
      </c>
      <c r="G239" s="110"/>
      <c r="H239" s="110">
        <v>7430</v>
      </c>
      <c r="I239" s="102">
        <f t="shared" si="122"/>
        <v>22930</v>
      </c>
      <c r="J239" s="363"/>
      <c r="K239" s="363">
        <v>7430</v>
      </c>
      <c r="L239" s="665">
        <f t="shared" si="119"/>
        <v>22930</v>
      </c>
      <c r="M239" s="665">
        <f t="shared" si="120"/>
        <v>0</v>
      </c>
      <c r="N239" s="749" t="str">
        <f t="shared" si="123"/>
        <v>-</v>
      </c>
      <c r="O239" s="326" t="s">
        <v>650</v>
      </c>
      <c r="P239" s="365" t="s">
        <v>689</v>
      </c>
      <c r="Q239" s="273"/>
      <c r="R239" s="661">
        <f t="shared" si="124"/>
        <v>7430</v>
      </c>
      <c r="S239" s="285" t="str">
        <f t="shared" si="116"/>
        <v>ok</v>
      </c>
    </row>
    <row r="240" spans="1:19" ht="31.5" customHeight="1">
      <c r="A240" s="773"/>
      <c r="B240" s="773"/>
      <c r="C240" s="108">
        <v>357</v>
      </c>
      <c r="D240" s="109" t="s">
        <v>691</v>
      </c>
      <c r="E240" s="109" t="s">
        <v>649</v>
      </c>
      <c r="F240" s="110">
        <v>3500</v>
      </c>
      <c r="G240" s="110"/>
      <c r="H240" s="110">
        <v>2500</v>
      </c>
      <c r="I240" s="102">
        <f t="shared" si="122"/>
        <v>6000</v>
      </c>
      <c r="J240" s="363"/>
      <c r="K240" s="363">
        <v>1000</v>
      </c>
      <c r="L240" s="665">
        <f t="shared" si="119"/>
        <v>4500</v>
      </c>
      <c r="M240" s="665">
        <f t="shared" si="120"/>
        <v>-1500</v>
      </c>
      <c r="N240" s="749" t="str">
        <f t="shared" si="123"/>
        <v>-</v>
      </c>
      <c r="O240" s="326" t="s">
        <v>650</v>
      </c>
      <c r="P240" s="365" t="s">
        <v>689</v>
      </c>
      <c r="Q240" s="273"/>
      <c r="R240" s="661">
        <f t="shared" si="124"/>
        <v>1000</v>
      </c>
      <c r="S240" s="285" t="str">
        <f t="shared" si="116"/>
        <v>검토</v>
      </c>
    </row>
    <row r="241" spans="1:19" ht="31.5" customHeight="1">
      <c r="A241" s="773"/>
      <c r="B241" s="773"/>
      <c r="C241" s="108">
        <v>357</v>
      </c>
      <c r="D241" s="109" t="s">
        <v>691</v>
      </c>
      <c r="E241" s="109" t="s">
        <v>651</v>
      </c>
      <c r="F241" s="110">
        <v>15500</v>
      </c>
      <c r="G241" s="110"/>
      <c r="H241" s="110">
        <v>7430</v>
      </c>
      <c r="I241" s="102">
        <f t="shared" si="122"/>
        <v>22930</v>
      </c>
      <c r="J241" s="363"/>
      <c r="K241" s="363">
        <v>7430</v>
      </c>
      <c r="L241" s="665">
        <f t="shared" si="119"/>
        <v>22930</v>
      </c>
      <c r="M241" s="665">
        <f t="shared" si="120"/>
        <v>0</v>
      </c>
      <c r="N241" s="749" t="str">
        <f t="shared" si="123"/>
        <v>-</v>
      </c>
      <c r="O241" s="326" t="s">
        <v>650</v>
      </c>
      <c r="P241" s="365" t="s">
        <v>689</v>
      </c>
      <c r="Q241" s="273"/>
      <c r="R241" s="661">
        <f t="shared" si="124"/>
        <v>7430</v>
      </c>
      <c r="S241" s="285" t="str">
        <f t="shared" si="116"/>
        <v>ok</v>
      </c>
    </row>
    <row r="242" spans="1:19" ht="31.5" customHeight="1">
      <c r="A242" s="773"/>
      <c r="B242" s="773"/>
      <c r="C242" s="108">
        <v>361</v>
      </c>
      <c r="D242" s="109" t="s">
        <v>692</v>
      </c>
      <c r="E242" s="109" t="s">
        <v>649</v>
      </c>
      <c r="F242" s="110">
        <v>3500</v>
      </c>
      <c r="G242" s="110"/>
      <c r="H242" s="110">
        <v>2500</v>
      </c>
      <c r="I242" s="102">
        <f t="shared" si="122"/>
        <v>6000</v>
      </c>
      <c r="J242" s="363"/>
      <c r="K242" s="363">
        <v>1000</v>
      </c>
      <c r="L242" s="665">
        <f t="shared" si="119"/>
        <v>4500</v>
      </c>
      <c r="M242" s="665">
        <f t="shared" si="120"/>
        <v>-1500</v>
      </c>
      <c r="N242" s="749" t="str">
        <f t="shared" si="123"/>
        <v>-</v>
      </c>
      <c r="O242" s="326" t="s">
        <v>650</v>
      </c>
      <c r="P242" s="365" t="s">
        <v>689</v>
      </c>
      <c r="Q242" s="273"/>
      <c r="R242" s="661">
        <f t="shared" si="124"/>
        <v>1000</v>
      </c>
      <c r="S242" s="285" t="str">
        <f t="shared" si="116"/>
        <v>검토</v>
      </c>
    </row>
    <row r="243" spans="1:19" ht="31.5" customHeight="1">
      <c r="A243" s="773"/>
      <c r="B243" s="773"/>
      <c r="C243" s="108">
        <v>361</v>
      </c>
      <c r="D243" s="109" t="s">
        <v>692</v>
      </c>
      <c r="E243" s="109" t="s">
        <v>651</v>
      </c>
      <c r="F243" s="110">
        <v>15500</v>
      </c>
      <c r="G243" s="110"/>
      <c r="H243" s="110">
        <v>7430</v>
      </c>
      <c r="I243" s="102">
        <f t="shared" si="122"/>
        <v>22930</v>
      </c>
      <c r="J243" s="363"/>
      <c r="K243" s="363">
        <v>7430</v>
      </c>
      <c r="L243" s="665">
        <f t="shared" si="119"/>
        <v>22930</v>
      </c>
      <c r="M243" s="665">
        <f t="shared" si="120"/>
        <v>0</v>
      </c>
      <c r="N243" s="749" t="str">
        <f t="shared" si="123"/>
        <v>-</v>
      </c>
      <c r="O243" s="326" t="s">
        <v>650</v>
      </c>
      <c r="P243" s="365" t="s">
        <v>689</v>
      </c>
      <c r="Q243" s="273"/>
      <c r="R243" s="661">
        <f t="shared" si="124"/>
        <v>7430</v>
      </c>
      <c r="S243" s="285" t="str">
        <f t="shared" si="116"/>
        <v>ok</v>
      </c>
    </row>
    <row r="244" spans="1:19" ht="31.5" customHeight="1">
      <c r="A244" s="773"/>
      <c r="B244" s="773"/>
      <c r="C244" s="108">
        <v>365</v>
      </c>
      <c r="D244" s="109" t="s">
        <v>693</v>
      </c>
      <c r="E244" s="109" t="s">
        <v>649</v>
      </c>
      <c r="F244" s="110">
        <v>3500</v>
      </c>
      <c r="G244" s="110"/>
      <c r="H244" s="110">
        <v>2500</v>
      </c>
      <c r="I244" s="102">
        <f t="shared" si="122"/>
        <v>6000</v>
      </c>
      <c r="J244" s="363"/>
      <c r="K244" s="363">
        <v>1000</v>
      </c>
      <c r="L244" s="665">
        <f t="shared" si="119"/>
        <v>4500</v>
      </c>
      <c r="M244" s="665">
        <f t="shared" si="120"/>
        <v>-1500</v>
      </c>
      <c r="N244" s="749" t="str">
        <f t="shared" si="123"/>
        <v>-</v>
      </c>
      <c r="O244" s="326" t="s">
        <v>650</v>
      </c>
      <c r="P244" s="365" t="s">
        <v>689</v>
      </c>
      <c r="Q244" s="273"/>
      <c r="R244" s="661">
        <f t="shared" si="124"/>
        <v>1000</v>
      </c>
      <c r="S244" s="285" t="str">
        <f t="shared" si="116"/>
        <v>검토</v>
      </c>
    </row>
    <row r="245" spans="1:19" ht="31.5" customHeight="1">
      <c r="A245" s="773"/>
      <c r="B245" s="773"/>
      <c r="C245" s="108">
        <v>365</v>
      </c>
      <c r="D245" s="109" t="s">
        <v>693</v>
      </c>
      <c r="E245" s="109" t="s">
        <v>651</v>
      </c>
      <c r="F245" s="110">
        <v>15500</v>
      </c>
      <c r="G245" s="110"/>
      <c r="H245" s="110">
        <v>7430</v>
      </c>
      <c r="I245" s="102">
        <f t="shared" si="122"/>
        <v>22930</v>
      </c>
      <c r="J245" s="363"/>
      <c r="K245" s="363">
        <v>7430</v>
      </c>
      <c r="L245" s="665">
        <f t="shared" si="119"/>
        <v>22930</v>
      </c>
      <c r="M245" s="665">
        <f t="shared" si="120"/>
        <v>0</v>
      </c>
      <c r="N245" s="749" t="str">
        <f t="shared" si="123"/>
        <v>-</v>
      </c>
      <c r="O245" s="326" t="s">
        <v>650</v>
      </c>
      <c r="P245" s="365" t="s">
        <v>689</v>
      </c>
      <c r="Q245" s="273"/>
      <c r="R245" s="661">
        <f t="shared" si="124"/>
        <v>7430</v>
      </c>
      <c r="S245" s="285" t="str">
        <f t="shared" si="116"/>
        <v>ok</v>
      </c>
    </row>
    <row r="246" spans="1:19" ht="31.5" customHeight="1">
      <c r="A246" s="773"/>
      <c r="B246" s="773"/>
      <c r="C246" s="108">
        <v>369</v>
      </c>
      <c r="D246" s="109" t="s">
        <v>694</v>
      </c>
      <c r="E246" s="109" t="s">
        <v>649</v>
      </c>
      <c r="F246" s="110">
        <v>3500</v>
      </c>
      <c r="G246" s="110"/>
      <c r="H246" s="110">
        <v>2500</v>
      </c>
      <c r="I246" s="102">
        <f t="shared" si="122"/>
        <v>6000</v>
      </c>
      <c r="J246" s="363"/>
      <c r="K246" s="363">
        <v>1000</v>
      </c>
      <c r="L246" s="665">
        <f t="shared" si="119"/>
        <v>4500</v>
      </c>
      <c r="M246" s="665">
        <f t="shared" si="120"/>
        <v>-1500</v>
      </c>
      <c r="N246" s="749" t="str">
        <f t="shared" si="123"/>
        <v>-</v>
      </c>
      <c r="O246" s="326" t="s">
        <v>650</v>
      </c>
      <c r="P246" s="365" t="s">
        <v>689</v>
      </c>
      <c r="Q246" s="273"/>
      <c r="R246" s="661">
        <f t="shared" si="124"/>
        <v>1000</v>
      </c>
      <c r="S246" s="285" t="str">
        <f t="shared" si="116"/>
        <v>검토</v>
      </c>
    </row>
    <row r="247" spans="1:19" ht="31.5" customHeight="1">
      <c r="A247" s="773"/>
      <c r="B247" s="773"/>
      <c r="C247" s="108">
        <v>369</v>
      </c>
      <c r="D247" s="109" t="s">
        <v>694</v>
      </c>
      <c r="E247" s="109" t="s">
        <v>651</v>
      </c>
      <c r="F247" s="110">
        <v>15500</v>
      </c>
      <c r="G247" s="110"/>
      <c r="H247" s="110">
        <v>7430</v>
      </c>
      <c r="I247" s="102">
        <f t="shared" si="122"/>
        <v>22930</v>
      </c>
      <c r="J247" s="363"/>
      <c r="K247" s="363">
        <v>7430</v>
      </c>
      <c r="L247" s="665">
        <f t="shared" si="119"/>
        <v>22930</v>
      </c>
      <c r="M247" s="665">
        <f t="shared" si="120"/>
        <v>0</v>
      </c>
      <c r="N247" s="749" t="str">
        <f t="shared" si="123"/>
        <v>-</v>
      </c>
      <c r="O247" s="326" t="s">
        <v>650</v>
      </c>
      <c r="P247" s="365" t="s">
        <v>689</v>
      </c>
      <c r="Q247" s="273"/>
      <c r="R247" s="661">
        <f t="shared" si="124"/>
        <v>7430</v>
      </c>
      <c r="S247" s="285" t="str">
        <f t="shared" si="116"/>
        <v>ok</v>
      </c>
    </row>
    <row r="248" spans="1:19" ht="31.5" customHeight="1">
      <c r="A248" s="773"/>
      <c r="B248" s="773"/>
      <c r="C248" s="108">
        <v>373</v>
      </c>
      <c r="D248" s="109" t="s">
        <v>695</v>
      </c>
      <c r="E248" s="109" t="s">
        <v>649</v>
      </c>
      <c r="F248" s="110">
        <v>3500</v>
      </c>
      <c r="G248" s="110"/>
      <c r="H248" s="110">
        <v>2500</v>
      </c>
      <c r="I248" s="102">
        <f t="shared" si="122"/>
        <v>6000</v>
      </c>
      <c r="J248" s="363"/>
      <c r="K248" s="363">
        <v>1000</v>
      </c>
      <c r="L248" s="665">
        <f t="shared" si="119"/>
        <v>4500</v>
      </c>
      <c r="M248" s="665">
        <f t="shared" si="120"/>
        <v>-1500</v>
      </c>
      <c r="N248" s="749" t="str">
        <f t="shared" si="123"/>
        <v>-</v>
      </c>
      <c r="O248" s="326" t="s">
        <v>650</v>
      </c>
      <c r="P248" s="365" t="s">
        <v>689</v>
      </c>
      <c r="Q248" s="273"/>
      <c r="R248" s="661">
        <f t="shared" si="124"/>
        <v>1000</v>
      </c>
      <c r="S248" s="285" t="str">
        <f t="shared" si="116"/>
        <v>검토</v>
      </c>
    </row>
    <row r="249" spans="1:19" ht="31.5" customHeight="1">
      <c r="A249" s="773"/>
      <c r="B249" s="773"/>
      <c r="C249" s="108">
        <v>373</v>
      </c>
      <c r="D249" s="109" t="s">
        <v>695</v>
      </c>
      <c r="E249" s="109" t="s">
        <v>651</v>
      </c>
      <c r="F249" s="110">
        <v>15500</v>
      </c>
      <c r="G249" s="110"/>
      <c r="H249" s="110">
        <v>7430</v>
      </c>
      <c r="I249" s="102">
        <f t="shared" si="122"/>
        <v>22930</v>
      </c>
      <c r="J249" s="363"/>
      <c r="K249" s="363">
        <v>7430</v>
      </c>
      <c r="L249" s="665">
        <f t="shared" si="119"/>
        <v>22930</v>
      </c>
      <c r="M249" s="665">
        <f t="shared" si="120"/>
        <v>0</v>
      </c>
      <c r="N249" s="749" t="str">
        <f t="shared" si="123"/>
        <v>-</v>
      </c>
      <c r="O249" s="326" t="s">
        <v>650</v>
      </c>
      <c r="P249" s="365" t="s">
        <v>689</v>
      </c>
      <c r="Q249" s="273"/>
      <c r="R249" s="661">
        <f t="shared" si="124"/>
        <v>7430</v>
      </c>
      <c r="S249" s="285" t="str">
        <f t="shared" si="116"/>
        <v>ok</v>
      </c>
    </row>
    <row r="250" spans="1:19" ht="31.5" customHeight="1">
      <c r="A250" s="773"/>
      <c r="B250" s="773"/>
      <c r="C250" s="108">
        <v>376</v>
      </c>
      <c r="D250" s="109" t="s">
        <v>696</v>
      </c>
      <c r="E250" s="109" t="s">
        <v>649</v>
      </c>
      <c r="F250" s="110">
        <v>3500</v>
      </c>
      <c r="G250" s="110"/>
      <c r="H250" s="110">
        <v>2500</v>
      </c>
      <c r="I250" s="102">
        <f t="shared" si="122"/>
        <v>6000</v>
      </c>
      <c r="J250" s="363"/>
      <c r="K250" s="363">
        <v>1000</v>
      </c>
      <c r="L250" s="665">
        <f t="shared" si="119"/>
        <v>4500</v>
      </c>
      <c r="M250" s="665">
        <f t="shared" si="120"/>
        <v>-1500</v>
      </c>
      <c r="N250" s="749" t="str">
        <f t="shared" si="123"/>
        <v>-</v>
      </c>
      <c r="O250" s="326" t="s">
        <v>650</v>
      </c>
      <c r="P250" s="365" t="s">
        <v>689</v>
      </c>
      <c r="Q250" s="273"/>
      <c r="R250" s="661">
        <f t="shared" si="124"/>
        <v>1000</v>
      </c>
      <c r="S250" s="285" t="str">
        <f t="shared" si="116"/>
        <v>검토</v>
      </c>
    </row>
    <row r="251" spans="1:19" ht="31.5" customHeight="1">
      <c r="A251" s="773"/>
      <c r="B251" s="773"/>
      <c r="C251" s="108">
        <v>376</v>
      </c>
      <c r="D251" s="109" t="s">
        <v>696</v>
      </c>
      <c r="E251" s="109" t="s">
        <v>651</v>
      </c>
      <c r="F251" s="110">
        <v>15500</v>
      </c>
      <c r="G251" s="110"/>
      <c r="H251" s="110">
        <v>7430</v>
      </c>
      <c r="I251" s="102">
        <f t="shared" si="122"/>
        <v>22930</v>
      </c>
      <c r="J251" s="363"/>
      <c r="K251" s="363">
        <v>7430</v>
      </c>
      <c r="L251" s="665">
        <f t="shared" si="119"/>
        <v>22930</v>
      </c>
      <c r="M251" s="665">
        <f t="shared" si="120"/>
        <v>0</v>
      </c>
      <c r="N251" s="749" t="str">
        <f t="shared" si="123"/>
        <v>-</v>
      </c>
      <c r="O251" s="326" t="s">
        <v>650</v>
      </c>
      <c r="P251" s="365" t="s">
        <v>689</v>
      </c>
      <c r="Q251" s="273"/>
      <c r="R251" s="661">
        <f t="shared" si="124"/>
        <v>7430</v>
      </c>
      <c r="S251" s="285" t="str">
        <f t="shared" si="116"/>
        <v>ok</v>
      </c>
    </row>
    <row r="252" spans="1:19" ht="31.5" customHeight="1">
      <c r="A252" s="773"/>
      <c r="B252" s="773"/>
      <c r="C252" s="108">
        <v>380</v>
      </c>
      <c r="D252" s="109" t="s">
        <v>697</v>
      </c>
      <c r="E252" s="109" t="s">
        <v>649</v>
      </c>
      <c r="F252" s="110">
        <v>3500</v>
      </c>
      <c r="G252" s="110"/>
      <c r="H252" s="110">
        <v>2500</v>
      </c>
      <c r="I252" s="102">
        <f t="shared" si="122"/>
        <v>6000</v>
      </c>
      <c r="J252" s="363"/>
      <c r="K252" s="363">
        <v>1000</v>
      </c>
      <c r="L252" s="665">
        <f t="shared" si="119"/>
        <v>4500</v>
      </c>
      <c r="M252" s="665">
        <f t="shared" si="120"/>
        <v>-1500</v>
      </c>
      <c r="N252" s="749" t="str">
        <f t="shared" si="123"/>
        <v>-</v>
      </c>
      <c r="O252" s="326" t="s">
        <v>650</v>
      </c>
      <c r="P252" s="365" t="s">
        <v>689</v>
      </c>
      <c r="Q252" s="273"/>
      <c r="R252" s="661">
        <f t="shared" si="124"/>
        <v>1000</v>
      </c>
      <c r="S252" s="285" t="str">
        <f t="shared" si="116"/>
        <v>검토</v>
      </c>
    </row>
    <row r="253" spans="1:19" ht="31.5" customHeight="1">
      <c r="A253" s="773"/>
      <c r="B253" s="773"/>
      <c r="C253" s="108">
        <v>380</v>
      </c>
      <c r="D253" s="109" t="s">
        <v>697</v>
      </c>
      <c r="E253" s="109" t="s">
        <v>651</v>
      </c>
      <c r="F253" s="110">
        <v>15500</v>
      </c>
      <c r="G253" s="110"/>
      <c r="H253" s="110">
        <v>7430</v>
      </c>
      <c r="I253" s="102">
        <f t="shared" si="122"/>
        <v>22930</v>
      </c>
      <c r="J253" s="363"/>
      <c r="K253" s="363">
        <v>7430</v>
      </c>
      <c r="L253" s="665">
        <f t="shared" si="119"/>
        <v>22930</v>
      </c>
      <c r="M253" s="665">
        <f t="shared" si="120"/>
        <v>0</v>
      </c>
      <c r="N253" s="749" t="str">
        <f t="shared" si="123"/>
        <v>-</v>
      </c>
      <c r="O253" s="326" t="s">
        <v>650</v>
      </c>
      <c r="P253" s="365" t="s">
        <v>689</v>
      </c>
      <c r="Q253" s="273"/>
      <c r="R253" s="661">
        <f t="shared" si="124"/>
        <v>7430</v>
      </c>
      <c r="S253" s="285" t="str">
        <f t="shared" si="116"/>
        <v>ok</v>
      </c>
    </row>
    <row r="254" spans="1:19" ht="31.5" customHeight="1">
      <c r="A254" s="773"/>
      <c r="B254" s="773"/>
      <c r="C254" s="108">
        <v>384</v>
      </c>
      <c r="D254" s="109" t="s">
        <v>698</v>
      </c>
      <c r="E254" s="109" t="s">
        <v>649</v>
      </c>
      <c r="F254" s="110">
        <v>3500</v>
      </c>
      <c r="G254" s="110"/>
      <c r="H254" s="110">
        <v>2500</v>
      </c>
      <c r="I254" s="102">
        <f t="shared" si="122"/>
        <v>6000</v>
      </c>
      <c r="J254" s="363"/>
      <c r="K254" s="363">
        <v>1000</v>
      </c>
      <c r="L254" s="665">
        <f t="shared" si="119"/>
        <v>4500</v>
      </c>
      <c r="M254" s="665">
        <f t="shared" si="120"/>
        <v>-1500</v>
      </c>
      <c r="N254" s="749" t="str">
        <f t="shared" si="123"/>
        <v>-</v>
      </c>
      <c r="O254" s="326" t="s">
        <v>650</v>
      </c>
      <c r="P254" s="365" t="s">
        <v>689</v>
      </c>
      <c r="Q254" s="273"/>
      <c r="R254" s="661">
        <f t="shared" si="124"/>
        <v>1000</v>
      </c>
      <c r="S254" s="285" t="str">
        <f t="shared" si="116"/>
        <v>검토</v>
      </c>
    </row>
    <row r="255" spans="1:19" ht="31.5" customHeight="1">
      <c r="A255" s="773"/>
      <c r="B255" s="773"/>
      <c r="C255" s="108">
        <v>384</v>
      </c>
      <c r="D255" s="109" t="s">
        <v>698</v>
      </c>
      <c r="E255" s="109" t="s">
        <v>651</v>
      </c>
      <c r="F255" s="110">
        <v>15500</v>
      </c>
      <c r="G255" s="110"/>
      <c r="H255" s="110">
        <v>7430</v>
      </c>
      <c r="I255" s="102">
        <f t="shared" si="122"/>
        <v>22930</v>
      </c>
      <c r="J255" s="363"/>
      <c r="K255" s="363">
        <v>7430</v>
      </c>
      <c r="L255" s="665">
        <f t="shared" si="119"/>
        <v>22930</v>
      </c>
      <c r="M255" s="665">
        <f t="shared" si="120"/>
        <v>0</v>
      </c>
      <c r="N255" s="749" t="str">
        <f t="shared" si="123"/>
        <v>-</v>
      </c>
      <c r="O255" s="326" t="s">
        <v>650</v>
      </c>
      <c r="P255" s="365" t="s">
        <v>689</v>
      </c>
      <c r="Q255" s="273"/>
      <c r="R255" s="661">
        <f t="shared" si="124"/>
        <v>7430</v>
      </c>
      <c r="S255" s="285" t="str">
        <f t="shared" si="116"/>
        <v>ok</v>
      </c>
    </row>
    <row r="256" spans="1:19" ht="31.5" customHeight="1">
      <c r="A256" s="773"/>
      <c r="B256" s="773"/>
      <c r="C256" s="108">
        <v>388</v>
      </c>
      <c r="D256" s="109" t="s">
        <v>699</v>
      </c>
      <c r="E256" s="109" t="s">
        <v>649</v>
      </c>
      <c r="F256" s="110">
        <v>3500</v>
      </c>
      <c r="G256" s="110"/>
      <c r="H256" s="110">
        <v>2500</v>
      </c>
      <c r="I256" s="102">
        <f t="shared" si="122"/>
        <v>6000</v>
      </c>
      <c r="J256" s="363"/>
      <c r="K256" s="363">
        <v>1000</v>
      </c>
      <c r="L256" s="665">
        <f t="shared" si="119"/>
        <v>4500</v>
      </c>
      <c r="M256" s="665">
        <f t="shared" si="120"/>
        <v>-1500</v>
      </c>
      <c r="N256" s="749" t="str">
        <f t="shared" si="123"/>
        <v>-</v>
      </c>
      <c r="O256" s="326" t="s">
        <v>650</v>
      </c>
      <c r="P256" s="365" t="s">
        <v>689</v>
      </c>
      <c r="Q256" s="273"/>
      <c r="R256" s="661">
        <f t="shared" si="124"/>
        <v>1000</v>
      </c>
      <c r="S256" s="285" t="str">
        <f t="shared" si="116"/>
        <v>검토</v>
      </c>
    </row>
    <row r="257" spans="1:19" ht="31.5" customHeight="1">
      <c r="A257" s="773"/>
      <c r="B257" s="773"/>
      <c r="C257" s="108">
        <v>388</v>
      </c>
      <c r="D257" s="109" t="s">
        <v>699</v>
      </c>
      <c r="E257" s="109" t="s">
        <v>651</v>
      </c>
      <c r="F257" s="110">
        <v>15500</v>
      </c>
      <c r="G257" s="110"/>
      <c r="H257" s="110">
        <v>7430</v>
      </c>
      <c r="I257" s="102">
        <f t="shared" si="122"/>
        <v>22930</v>
      </c>
      <c r="J257" s="363"/>
      <c r="K257" s="363">
        <v>7430</v>
      </c>
      <c r="L257" s="665">
        <f t="shared" si="119"/>
        <v>22930</v>
      </c>
      <c r="M257" s="665">
        <f t="shared" si="120"/>
        <v>0</v>
      </c>
      <c r="N257" s="749" t="str">
        <f t="shared" si="123"/>
        <v>-</v>
      </c>
      <c r="O257" s="326" t="s">
        <v>650</v>
      </c>
      <c r="P257" s="365" t="s">
        <v>689</v>
      </c>
      <c r="Q257" s="273"/>
      <c r="R257" s="661">
        <f t="shared" si="124"/>
        <v>7430</v>
      </c>
      <c r="S257" s="285" t="str">
        <f t="shared" si="116"/>
        <v>ok</v>
      </c>
    </row>
    <row r="258" spans="1:19" ht="31.5" customHeight="1">
      <c r="A258" s="773"/>
      <c r="B258" s="773"/>
      <c r="C258" s="108">
        <v>392</v>
      </c>
      <c r="D258" s="109" t="s">
        <v>700</v>
      </c>
      <c r="E258" s="109" t="s">
        <v>649</v>
      </c>
      <c r="F258" s="110">
        <v>3500</v>
      </c>
      <c r="G258" s="110"/>
      <c r="H258" s="110">
        <v>2500</v>
      </c>
      <c r="I258" s="102">
        <f t="shared" si="122"/>
        <v>6000</v>
      </c>
      <c r="J258" s="363"/>
      <c r="K258" s="363">
        <v>1000</v>
      </c>
      <c r="L258" s="665">
        <f t="shared" si="119"/>
        <v>4500</v>
      </c>
      <c r="M258" s="665">
        <f t="shared" si="120"/>
        <v>-1500</v>
      </c>
      <c r="N258" s="749" t="str">
        <f t="shared" si="123"/>
        <v>-</v>
      </c>
      <c r="O258" s="326" t="s">
        <v>650</v>
      </c>
      <c r="P258" s="365" t="s">
        <v>689</v>
      </c>
      <c r="Q258" s="273"/>
      <c r="R258" s="661">
        <f t="shared" si="124"/>
        <v>1000</v>
      </c>
      <c r="S258" s="285" t="str">
        <f t="shared" si="116"/>
        <v>검토</v>
      </c>
    </row>
    <row r="259" spans="1:19" ht="31.5" customHeight="1">
      <c r="A259" s="773"/>
      <c r="B259" s="773"/>
      <c r="C259" s="108">
        <v>392</v>
      </c>
      <c r="D259" s="109" t="s">
        <v>700</v>
      </c>
      <c r="E259" s="109" t="s">
        <v>651</v>
      </c>
      <c r="F259" s="110">
        <v>15500</v>
      </c>
      <c r="G259" s="110"/>
      <c r="H259" s="110">
        <v>7430</v>
      </c>
      <c r="I259" s="102">
        <f t="shared" si="122"/>
        <v>22930</v>
      </c>
      <c r="J259" s="363"/>
      <c r="K259" s="363">
        <v>7430</v>
      </c>
      <c r="L259" s="665">
        <f t="shared" si="119"/>
        <v>22930</v>
      </c>
      <c r="M259" s="665">
        <f t="shared" si="120"/>
        <v>0</v>
      </c>
      <c r="N259" s="749" t="str">
        <f t="shared" si="123"/>
        <v>-</v>
      </c>
      <c r="O259" s="326" t="s">
        <v>650</v>
      </c>
      <c r="P259" s="365" t="s">
        <v>689</v>
      </c>
      <c r="Q259" s="273"/>
      <c r="R259" s="661">
        <f t="shared" si="124"/>
        <v>7430</v>
      </c>
      <c r="S259" s="285" t="str">
        <f t="shared" si="116"/>
        <v>ok</v>
      </c>
    </row>
    <row r="260" spans="1:19" ht="31.5" customHeight="1">
      <c r="A260" s="773"/>
      <c r="B260" s="773"/>
      <c r="C260" s="108" t="s">
        <v>94</v>
      </c>
      <c r="D260" s="109" t="s">
        <v>687</v>
      </c>
      <c r="E260" s="109" t="s">
        <v>701</v>
      </c>
      <c r="F260" s="110"/>
      <c r="G260" s="110"/>
      <c r="H260" s="110">
        <v>200000</v>
      </c>
      <c r="I260" s="102">
        <f t="shared" si="122"/>
        <v>200000</v>
      </c>
      <c r="J260" s="363"/>
      <c r="K260" s="363">
        <v>900000</v>
      </c>
      <c r="L260" s="665">
        <f t="shared" si="119"/>
        <v>900000</v>
      </c>
      <c r="M260" s="665">
        <f t="shared" si="120"/>
        <v>700000</v>
      </c>
      <c r="N260" s="749" t="str">
        <f t="shared" si="123"/>
        <v>-</v>
      </c>
      <c r="O260" s="326"/>
      <c r="P260" s="365" t="s">
        <v>689</v>
      </c>
      <c r="Q260" s="273"/>
      <c r="R260" s="661">
        <f t="shared" si="124"/>
        <v>900000</v>
      </c>
      <c r="S260" s="285" t="str">
        <f t="shared" si="116"/>
        <v>검토</v>
      </c>
    </row>
    <row r="261" spans="1:19" ht="31.5" customHeight="1">
      <c r="A261" s="773"/>
      <c r="B261" s="773"/>
      <c r="C261" s="108" t="s">
        <v>94</v>
      </c>
      <c r="D261" s="109" t="s">
        <v>687</v>
      </c>
      <c r="E261" s="109" t="s">
        <v>702</v>
      </c>
      <c r="F261" s="110"/>
      <c r="G261" s="110"/>
      <c r="H261" s="110">
        <v>100000</v>
      </c>
      <c r="I261" s="102">
        <f t="shared" si="122"/>
        <v>100000</v>
      </c>
      <c r="J261" s="363"/>
      <c r="K261" s="363">
        <v>100000</v>
      </c>
      <c r="L261" s="665">
        <f t="shared" si="119"/>
        <v>100000</v>
      </c>
      <c r="M261" s="665">
        <f t="shared" si="120"/>
        <v>0</v>
      </c>
      <c r="N261" s="749" t="str">
        <f t="shared" si="123"/>
        <v>-</v>
      </c>
      <c r="O261" s="326"/>
      <c r="P261" s="365" t="s">
        <v>689</v>
      </c>
      <c r="Q261" s="273"/>
      <c r="R261" s="661">
        <f t="shared" si="124"/>
        <v>100000</v>
      </c>
      <c r="S261" s="285" t="str">
        <f t="shared" si="116"/>
        <v>ok</v>
      </c>
    </row>
    <row r="262" spans="1:19" ht="31.5" customHeight="1">
      <c r="A262" s="773"/>
      <c r="B262" s="773">
        <v>0</v>
      </c>
      <c r="C262" s="108" t="s">
        <v>94</v>
      </c>
      <c r="D262" s="109" t="s">
        <v>687</v>
      </c>
      <c r="E262" s="109" t="s">
        <v>703</v>
      </c>
      <c r="F262" s="110"/>
      <c r="G262" s="110"/>
      <c r="H262" s="110">
        <v>500000</v>
      </c>
      <c r="I262" s="102">
        <f t="shared" si="122"/>
        <v>500000</v>
      </c>
      <c r="J262" s="363"/>
      <c r="K262" s="363">
        <v>500000</v>
      </c>
      <c r="L262" s="665">
        <f t="shared" si="119"/>
        <v>500000</v>
      </c>
      <c r="M262" s="665">
        <f t="shared" si="120"/>
        <v>0</v>
      </c>
      <c r="N262" s="749" t="str">
        <f t="shared" si="123"/>
        <v>-</v>
      </c>
      <c r="O262" s="326" t="s">
        <v>704</v>
      </c>
      <c r="P262" s="365" t="s">
        <v>689</v>
      </c>
      <c r="Q262" s="273"/>
      <c r="R262" s="661">
        <f t="shared" si="124"/>
        <v>500000</v>
      </c>
      <c r="S262" s="285" t="str">
        <f t="shared" si="116"/>
        <v>ok</v>
      </c>
    </row>
    <row r="263" spans="1:19" ht="31.5" customHeight="1">
      <c r="A263" s="773"/>
      <c r="B263" s="773"/>
      <c r="C263" s="108" t="s">
        <v>94</v>
      </c>
      <c r="D263" s="109" t="s">
        <v>693</v>
      </c>
      <c r="E263" s="109" t="s">
        <v>705</v>
      </c>
      <c r="F263" s="110"/>
      <c r="G263" s="110"/>
      <c r="H263" s="110">
        <v>650000</v>
      </c>
      <c r="I263" s="102">
        <f t="shared" si="122"/>
        <v>650000</v>
      </c>
      <c r="J263" s="363"/>
      <c r="K263" s="363">
        <v>650000</v>
      </c>
      <c r="L263" s="665">
        <f t="shared" si="119"/>
        <v>650000</v>
      </c>
      <c r="M263" s="665">
        <f t="shared" si="120"/>
        <v>0</v>
      </c>
      <c r="N263" s="749" t="str">
        <f t="shared" si="123"/>
        <v>-</v>
      </c>
      <c r="O263" s="326" t="s">
        <v>706</v>
      </c>
      <c r="P263" s="365" t="s">
        <v>689</v>
      </c>
      <c r="Q263" s="273"/>
      <c r="R263" s="661">
        <f t="shared" si="124"/>
        <v>650000</v>
      </c>
      <c r="S263" s="285" t="str">
        <f t="shared" si="116"/>
        <v>ok</v>
      </c>
    </row>
    <row r="264" spans="1:19" ht="31.5" customHeight="1">
      <c r="A264" s="773"/>
      <c r="B264" s="773"/>
      <c r="C264" s="108" t="s">
        <v>94</v>
      </c>
      <c r="D264" s="109" t="s">
        <v>690</v>
      </c>
      <c r="E264" s="109" t="s">
        <v>681</v>
      </c>
      <c r="F264" s="110"/>
      <c r="G264" s="110"/>
      <c r="H264" s="110">
        <v>6000</v>
      </c>
      <c r="I264" s="102">
        <f t="shared" si="122"/>
        <v>6000</v>
      </c>
      <c r="J264" s="363"/>
      <c r="K264" s="363">
        <v>6000</v>
      </c>
      <c r="L264" s="665">
        <f t="shared" si="119"/>
        <v>6000</v>
      </c>
      <c r="M264" s="665">
        <f t="shared" si="120"/>
        <v>0</v>
      </c>
      <c r="N264" s="749" t="str">
        <f t="shared" si="123"/>
        <v>-</v>
      </c>
      <c r="O264" s="326" t="s">
        <v>671</v>
      </c>
      <c r="P264" s="365" t="s">
        <v>689</v>
      </c>
      <c r="Q264" s="273"/>
      <c r="R264" s="661">
        <f t="shared" si="124"/>
        <v>6000</v>
      </c>
      <c r="S264" s="285" t="str">
        <f t="shared" si="116"/>
        <v>ok</v>
      </c>
    </row>
    <row r="265" spans="1:19" ht="31.5" customHeight="1">
      <c r="A265" s="773"/>
      <c r="B265" s="773"/>
      <c r="C265" s="108" t="s">
        <v>94</v>
      </c>
      <c r="D265" s="109" t="s">
        <v>691</v>
      </c>
      <c r="E265" s="109" t="s">
        <v>681</v>
      </c>
      <c r="F265" s="110"/>
      <c r="G265" s="110"/>
      <c r="H265" s="110">
        <v>8000</v>
      </c>
      <c r="I265" s="102">
        <f t="shared" si="122"/>
        <v>8000</v>
      </c>
      <c r="J265" s="363"/>
      <c r="K265" s="363">
        <v>8000</v>
      </c>
      <c r="L265" s="665">
        <f t="shared" si="119"/>
        <v>8000</v>
      </c>
      <c r="M265" s="665">
        <f t="shared" si="120"/>
        <v>0</v>
      </c>
      <c r="N265" s="749" t="str">
        <f t="shared" si="123"/>
        <v>-</v>
      </c>
      <c r="O265" s="326" t="s">
        <v>671</v>
      </c>
      <c r="P265" s="365" t="s">
        <v>689</v>
      </c>
      <c r="Q265" s="273"/>
      <c r="R265" s="661">
        <f t="shared" si="124"/>
        <v>8000</v>
      </c>
      <c r="S265" s="285" t="str">
        <f t="shared" si="116"/>
        <v>ok</v>
      </c>
    </row>
    <row r="266" spans="1:19" ht="31.5" customHeight="1">
      <c r="A266" s="773"/>
      <c r="B266" s="773"/>
      <c r="C266" s="108" t="s">
        <v>94</v>
      </c>
      <c r="D266" s="109" t="s">
        <v>692</v>
      </c>
      <c r="E266" s="109" t="s">
        <v>681</v>
      </c>
      <c r="F266" s="110"/>
      <c r="G266" s="110"/>
      <c r="H266" s="110">
        <v>6000</v>
      </c>
      <c r="I266" s="102">
        <f t="shared" si="122"/>
        <v>6000</v>
      </c>
      <c r="J266" s="363"/>
      <c r="K266" s="363">
        <v>6000</v>
      </c>
      <c r="L266" s="665">
        <f t="shared" si="119"/>
        <v>6000</v>
      </c>
      <c r="M266" s="665">
        <f t="shared" si="120"/>
        <v>0</v>
      </c>
      <c r="N266" s="749" t="str">
        <f t="shared" si="123"/>
        <v>-</v>
      </c>
      <c r="O266" s="326" t="s">
        <v>671</v>
      </c>
      <c r="P266" s="365" t="s">
        <v>689</v>
      </c>
      <c r="Q266" s="273"/>
      <c r="R266" s="661">
        <f t="shared" si="124"/>
        <v>6000</v>
      </c>
      <c r="S266" s="285" t="str">
        <f t="shared" si="116"/>
        <v>ok</v>
      </c>
    </row>
    <row r="267" spans="1:19" ht="31.5" customHeight="1">
      <c r="A267" s="773"/>
      <c r="B267" s="773"/>
      <c r="C267" s="108" t="s">
        <v>94</v>
      </c>
      <c r="D267" s="109" t="s">
        <v>693</v>
      </c>
      <c r="E267" s="109" t="s">
        <v>681</v>
      </c>
      <c r="F267" s="110"/>
      <c r="G267" s="110"/>
      <c r="H267" s="110">
        <v>14000</v>
      </c>
      <c r="I267" s="102">
        <f t="shared" si="122"/>
        <v>14000</v>
      </c>
      <c r="J267" s="363"/>
      <c r="K267" s="363">
        <v>14000</v>
      </c>
      <c r="L267" s="665">
        <f t="shared" si="119"/>
        <v>14000</v>
      </c>
      <c r="M267" s="665">
        <f t="shared" si="120"/>
        <v>0</v>
      </c>
      <c r="N267" s="749" t="str">
        <f t="shared" si="123"/>
        <v>-</v>
      </c>
      <c r="O267" s="326" t="s">
        <v>671</v>
      </c>
      <c r="P267" s="365" t="s">
        <v>689</v>
      </c>
      <c r="Q267" s="273"/>
      <c r="R267" s="661">
        <f t="shared" si="124"/>
        <v>14000</v>
      </c>
      <c r="S267" s="285" t="str">
        <f t="shared" si="116"/>
        <v>ok</v>
      </c>
    </row>
    <row r="268" spans="1:19" ht="31.5" customHeight="1">
      <c r="A268" s="773"/>
      <c r="B268" s="773"/>
      <c r="C268" s="108" t="s">
        <v>94</v>
      </c>
      <c r="D268" s="109" t="s">
        <v>693</v>
      </c>
      <c r="E268" s="109" t="s">
        <v>685</v>
      </c>
      <c r="F268" s="110"/>
      <c r="G268" s="110"/>
      <c r="H268" s="110">
        <v>80000</v>
      </c>
      <c r="I268" s="102">
        <f t="shared" si="122"/>
        <v>80000</v>
      </c>
      <c r="J268" s="363"/>
      <c r="K268" s="363">
        <v>80000</v>
      </c>
      <c r="L268" s="665">
        <f t="shared" si="119"/>
        <v>80000</v>
      </c>
      <c r="M268" s="665">
        <f t="shared" si="120"/>
        <v>0</v>
      </c>
      <c r="N268" s="749" t="str">
        <f t="shared" si="123"/>
        <v>-</v>
      </c>
      <c r="O268" s="326" t="s">
        <v>671</v>
      </c>
      <c r="P268" s="365" t="s">
        <v>689</v>
      </c>
      <c r="Q268" s="273"/>
      <c r="R268" s="661">
        <f t="shared" si="124"/>
        <v>80000</v>
      </c>
      <c r="S268" s="285" t="str">
        <f t="shared" si="116"/>
        <v>ok</v>
      </c>
    </row>
    <row r="269" spans="1:19" ht="31.5" customHeight="1">
      <c r="A269" s="773"/>
      <c r="B269" s="773"/>
      <c r="C269" s="108" t="s">
        <v>94</v>
      </c>
      <c r="D269" s="109" t="s">
        <v>694</v>
      </c>
      <c r="E269" s="109" t="s">
        <v>681</v>
      </c>
      <c r="F269" s="110"/>
      <c r="G269" s="110"/>
      <c r="H269" s="110">
        <v>12000</v>
      </c>
      <c r="I269" s="102">
        <f t="shared" si="122"/>
        <v>12000</v>
      </c>
      <c r="J269" s="363"/>
      <c r="K269" s="363">
        <v>12000</v>
      </c>
      <c r="L269" s="665">
        <f t="shared" si="119"/>
        <v>12000</v>
      </c>
      <c r="M269" s="665">
        <f t="shared" si="120"/>
        <v>0</v>
      </c>
      <c r="N269" s="749" t="str">
        <f t="shared" si="123"/>
        <v>-</v>
      </c>
      <c r="O269" s="326" t="s">
        <v>671</v>
      </c>
      <c r="P269" s="365" t="s">
        <v>689</v>
      </c>
      <c r="Q269" s="273"/>
      <c r="R269" s="661">
        <f t="shared" si="124"/>
        <v>12000</v>
      </c>
      <c r="S269" s="285" t="str">
        <f t="shared" si="116"/>
        <v>ok</v>
      </c>
    </row>
    <row r="270" spans="1:19" ht="31.5" customHeight="1">
      <c r="A270" s="773"/>
      <c r="B270" s="773"/>
      <c r="C270" s="108" t="s">
        <v>94</v>
      </c>
      <c r="D270" s="109" t="s">
        <v>695</v>
      </c>
      <c r="E270" s="109" t="s">
        <v>681</v>
      </c>
      <c r="F270" s="110"/>
      <c r="G270" s="110"/>
      <c r="H270" s="110">
        <v>2000</v>
      </c>
      <c r="I270" s="102">
        <f t="shared" si="122"/>
        <v>2000</v>
      </c>
      <c r="J270" s="363"/>
      <c r="K270" s="363">
        <v>2000</v>
      </c>
      <c r="L270" s="665">
        <f t="shared" si="119"/>
        <v>2000</v>
      </c>
      <c r="M270" s="665">
        <f t="shared" si="120"/>
        <v>0</v>
      </c>
      <c r="N270" s="749" t="str">
        <f t="shared" si="123"/>
        <v>-</v>
      </c>
      <c r="O270" s="326" t="s">
        <v>671</v>
      </c>
      <c r="P270" s="365" t="s">
        <v>689</v>
      </c>
      <c r="Q270" s="273"/>
      <c r="R270" s="661">
        <f t="shared" si="124"/>
        <v>2000</v>
      </c>
      <c r="S270" s="285" t="str">
        <f t="shared" si="116"/>
        <v>ok</v>
      </c>
    </row>
    <row r="271" spans="1:19" ht="31.5" customHeight="1">
      <c r="A271" s="773"/>
      <c r="B271" s="773"/>
      <c r="C271" s="108" t="s">
        <v>94</v>
      </c>
      <c r="D271" s="109" t="s">
        <v>696</v>
      </c>
      <c r="E271" s="109" t="s">
        <v>681</v>
      </c>
      <c r="F271" s="110"/>
      <c r="G271" s="110"/>
      <c r="H271" s="110">
        <v>12000</v>
      </c>
      <c r="I271" s="102">
        <f t="shared" si="122"/>
        <v>12000</v>
      </c>
      <c r="J271" s="363"/>
      <c r="K271" s="363">
        <v>12000</v>
      </c>
      <c r="L271" s="665">
        <f t="shared" si="119"/>
        <v>12000</v>
      </c>
      <c r="M271" s="665">
        <f t="shared" si="120"/>
        <v>0</v>
      </c>
      <c r="N271" s="749" t="str">
        <f t="shared" si="123"/>
        <v>-</v>
      </c>
      <c r="O271" s="326" t="s">
        <v>671</v>
      </c>
      <c r="P271" s="365" t="s">
        <v>689</v>
      </c>
      <c r="Q271" s="273"/>
      <c r="R271" s="661">
        <f t="shared" si="124"/>
        <v>12000</v>
      </c>
      <c r="S271" s="285" t="str">
        <f t="shared" si="116"/>
        <v>ok</v>
      </c>
    </row>
    <row r="272" spans="1:19" ht="31.5" customHeight="1">
      <c r="A272" s="773"/>
      <c r="B272" s="773"/>
      <c r="C272" s="108" t="s">
        <v>94</v>
      </c>
      <c r="D272" s="109" t="s">
        <v>697</v>
      </c>
      <c r="E272" s="109" t="s">
        <v>681</v>
      </c>
      <c r="F272" s="110"/>
      <c r="G272" s="110"/>
      <c r="H272" s="110">
        <v>8000</v>
      </c>
      <c r="I272" s="102">
        <f t="shared" si="122"/>
        <v>8000</v>
      </c>
      <c r="J272" s="363"/>
      <c r="K272" s="363">
        <v>8000</v>
      </c>
      <c r="L272" s="665">
        <f t="shared" si="119"/>
        <v>8000</v>
      </c>
      <c r="M272" s="665">
        <f t="shared" si="120"/>
        <v>0</v>
      </c>
      <c r="N272" s="749" t="str">
        <f t="shared" si="123"/>
        <v>-</v>
      </c>
      <c r="O272" s="326" t="s">
        <v>671</v>
      </c>
      <c r="P272" s="365" t="s">
        <v>689</v>
      </c>
      <c r="Q272" s="273"/>
      <c r="R272" s="661">
        <f t="shared" si="124"/>
        <v>8000</v>
      </c>
      <c r="S272" s="285" t="str">
        <f t="shared" si="116"/>
        <v>ok</v>
      </c>
    </row>
    <row r="273" spans="1:19" ht="31.5" customHeight="1">
      <c r="A273" s="773"/>
      <c r="B273" s="773"/>
      <c r="C273" s="108" t="s">
        <v>94</v>
      </c>
      <c r="D273" s="109" t="s">
        <v>698</v>
      </c>
      <c r="E273" s="109" t="s">
        <v>681</v>
      </c>
      <c r="F273" s="138"/>
      <c r="G273" s="138"/>
      <c r="H273" s="110">
        <v>2000</v>
      </c>
      <c r="I273" s="102">
        <f t="shared" si="122"/>
        <v>2000</v>
      </c>
      <c r="J273" s="138"/>
      <c r="K273" s="363">
        <v>2000</v>
      </c>
      <c r="L273" s="665">
        <f t="shared" si="119"/>
        <v>2000</v>
      </c>
      <c r="M273" s="665">
        <f t="shared" si="120"/>
        <v>0</v>
      </c>
      <c r="N273" s="749" t="str">
        <f t="shared" si="123"/>
        <v>-</v>
      </c>
      <c r="O273" s="326" t="s">
        <v>671</v>
      </c>
      <c r="P273" s="365" t="s">
        <v>689</v>
      </c>
      <c r="Q273" s="138"/>
      <c r="R273" s="661">
        <f t="shared" si="124"/>
        <v>2000</v>
      </c>
      <c r="S273" s="285" t="str">
        <f t="shared" si="116"/>
        <v>ok</v>
      </c>
    </row>
    <row r="274" spans="1:19" ht="31.5" customHeight="1">
      <c r="A274" s="773"/>
      <c r="B274" s="773"/>
      <c r="C274" s="108" t="s">
        <v>94</v>
      </c>
      <c r="D274" s="109" t="s">
        <v>699</v>
      </c>
      <c r="E274" s="109" t="s">
        <v>681</v>
      </c>
      <c r="F274" s="138"/>
      <c r="G274" s="138"/>
      <c r="H274" s="110">
        <v>4000</v>
      </c>
      <c r="I274" s="102">
        <f t="shared" si="122"/>
        <v>4000</v>
      </c>
      <c r="J274" s="138"/>
      <c r="K274" s="363">
        <v>4000</v>
      </c>
      <c r="L274" s="665">
        <f t="shared" si="119"/>
        <v>4000</v>
      </c>
      <c r="M274" s="665">
        <f t="shared" si="120"/>
        <v>0</v>
      </c>
      <c r="N274" s="749" t="str">
        <f t="shared" si="123"/>
        <v>-</v>
      </c>
      <c r="O274" s="326" t="s">
        <v>671</v>
      </c>
      <c r="P274" s="365" t="s">
        <v>689</v>
      </c>
      <c r="Q274" s="138"/>
      <c r="R274" s="661">
        <f t="shared" si="124"/>
        <v>4000</v>
      </c>
      <c r="S274" s="285" t="str">
        <f t="shared" si="116"/>
        <v>ok</v>
      </c>
    </row>
    <row r="275" spans="1:19" ht="31.5" customHeight="1">
      <c r="A275" s="773"/>
      <c r="B275" s="773"/>
      <c r="C275" s="108" t="s">
        <v>94</v>
      </c>
      <c r="D275" s="109" t="s">
        <v>700</v>
      </c>
      <c r="E275" s="109" t="s">
        <v>681</v>
      </c>
      <c r="F275" s="138"/>
      <c r="G275" s="138"/>
      <c r="H275" s="110">
        <v>2000</v>
      </c>
      <c r="I275" s="102">
        <f t="shared" si="122"/>
        <v>2000</v>
      </c>
      <c r="J275" s="138"/>
      <c r="K275" s="363">
        <v>2000</v>
      </c>
      <c r="L275" s="665">
        <f t="shared" si="119"/>
        <v>2000</v>
      </c>
      <c r="M275" s="665">
        <f t="shared" si="120"/>
        <v>0</v>
      </c>
      <c r="N275" s="749" t="str">
        <f t="shared" si="123"/>
        <v>-</v>
      </c>
      <c r="O275" s="326" t="s">
        <v>671</v>
      </c>
      <c r="P275" s="365" t="s">
        <v>689</v>
      </c>
      <c r="Q275" s="138"/>
      <c r="R275" s="661">
        <f t="shared" si="124"/>
        <v>2000</v>
      </c>
      <c r="S275" s="285" t="str">
        <f t="shared" si="116"/>
        <v>ok</v>
      </c>
    </row>
    <row r="276" spans="1:19" ht="31.5" customHeight="1">
      <c r="A276" s="770"/>
      <c r="B276" s="612" t="s">
        <v>707</v>
      </c>
      <c r="C276" s="628"/>
      <c r="D276" s="31"/>
      <c r="E276" s="31"/>
      <c r="F276" s="32">
        <f>SUM(F277:F279)</f>
        <v>3500</v>
      </c>
      <c r="G276" s="32">
        <f t="shared" ref="G276:I276" si="125">SUM(G277:G279)</f>
        <v>0</v>
      </c>
      <c r="H276" s="32">
        <f t="shared" si="125"/>
        <v>210000</v>
      </c>
      <c r="I276" s="32">
        <f t="shared" si="125"/>
        <v>213500</v>
      </c>
      <c r="J276" s="370">
        <f t="shared" ref="J276:K276" si="126">SUM(J277:J279)</f>
        <v>0</v>
      </c>
      <c r="K276" s="370">
        <f t="shared" si="126"/>
        <v>211000</v>
      </c>
      <c r="L276" s="370">
        <f t="shared" si="119"/>
        <v>214500</v>
      </c>
      <c r="M276" s="370">
        <f t="shared" si="120"/>
        <v>1000</v>
      </c>
      <c r="N276" s="628" t="str">
        <f t="shared" si="123"/>
        <v>-</v>
      </c>
      <c r="O276" s="321"/>
      <c r="P276" s="30"/>
      <c r="Q276" s="32">
        <f t="shared" ref="Q276:R276" si="127">SUM(Q277:Q279)</f>
        <v>0</v>
      </c>
      <c r="R276" s="32">
        <f t="shared" si="127"/>
        <v>211000</v>
      </c>
      <c r="S276" s="30" t="str">
        <f t="shared" si="116"/>
        <v>검토</v>
      </c>
    </row>
    <row r="277" spans="1:19" ht="31.5" customHeight="1">
      <c r="A277" s="773"/>
      <c r="B277" s="773"/>
      <c r="C277" s="108" t="s">
        <v>94</v>
      </c>
      <c r="D277" s="109" t="s">
        <v>707</v>
      </c>
      <c r="E277" s="109" t="s">
        <v>708</v>
      </c>
      <c r="F277" s="110"/>
      <c r="G277" s="110"/>
      <c r="H277" s="110">
        <v>60000</v>
      </c>
      <c r="I277" s="102">
        <f t="shared" ref="I277:I279" si="128">F277+G277+H277</f>
        <v>60000</v>
      </c>
      <c r="J277" s="363"/>
      <c r="K277" s="363">
        <v>60000</v>
      </c>
      <c r="L277" s="665">
        <f t="shared" ref="L277:L278" si="129">F277+J277+K277</f>
        <v>60000</v>
      </c>
      <c r="M277" s="665">
        <f t="shared" ref="M277:M278" si="130">L277-I277</f>
        <v>0</v>
      </c>
      <c r="N277" s="749" t="str">
        <f t="shared" si="123"/>
        <v>-</v>
      </c>
      <c r="O277" s="327"/>
      <c r="P277" s="365" t="s">
        <v>689</v>
      </c>
      <c r="Q277" s="273"/>
      <c r="R277" s="661">
        <f t="shared" ref="R277:R279" si="131">K277</f>
        <v>60000</v>
      </c>
      <c r="S277" s="285" t="str">
        <f t="shared" si="116"/>
        <v>ok</v>
      </c>
    </row>
    <row r="278" spans="1:19" s="664" customFormat="1" ht="31.5" customHeight="1">
      <c r="A278" s="773"/>
      <c r="B278" s="773"/>
      <c r="C278" s="666" t="s">
        <v>94</v>
      </c>
      <c r="D278" s="667" t="s">
        <v>707</v>
      </c>
      <c r="E278" s="667" t="s">
        <v>709</v>
      </c>
      <c r="F278" s="668"/>
      <c r="G278" s="668"/>
      <c r="H278" s="668">
        <v>150000</v>
      </c>
      <c r="I278" s="665">
        <f t="shared" ref="I278" si="132">F278+G278+H278</f>
        <v>150000</v>
      </c>
      <c r="J278" s="668"/>
      <c r="K278" s="668">
        <v>150000</v>
      </c>
      <c r="L278" s="665">
        <f t="shared" si="129"/>
        <v>150000</v>
      </c>
      <c r="M278" s="665">
        <f t="shared" si="130"/>
        <v>0</v>
      </c>
      <c r="N278" s="749" t="str">
        <f t="shared" si="123"/>
        <v>-</v>
      </c>
      <c r="O278" s="654"/>
      <c r="P278" s="652" t="s">
        <v>27</v>
      </c>
      <c r="Q278" s="669"/>
      <c r="R278" s="661">
        <f t="shared" si="131"/>
        <v>150000</v>
      </c>
      <c r="S278" s="652" t="str">
        <f t="shared" ref="S278" si="133">IF((G278+H278)=(Q278+R278),"ok","검토")</f>
        <v>ok</v>
      </c>
    </row>
    <row r="279" spans="1:19" s="673" customFormat="1" ht="31.5" customHeight="1">
      <c r="A279" s="770"/>
      <c r="B279" s="770"/>
      <c r="C279" s="662" t="s">
        <v>94</v>
      </c>
      <c r="D279" s="658" t="s">
        <v>707</v>
      </c>
      <c r="E279" s="288" t="s">
        <v>1585</v>
      </c>
      <c r="F279" s="658">
        <v>3500</v>
      </c>
      <c r="G279" s="658"/>
      <c r="H279" s="658"/>
      <c r="I279" s="665">
        <f t="shared" si="128"/>
        <v>3500</v>
      </c>
      <c r="J279" s="658"/>
      <c r="K279" s="641">
        <v>1000</v>
      </c>
      <c r="L279" s="665">
        <f t="shared" si="119"/>
        <v>4500</v>
      </c>
      <c r="M279" s="665">
        <f t="shared" si="120"/>
        <v>1000</v>
      </c>
      <c r="N279" s="749" t="str">
        <f t="shared" si="123"/>
        <v>-</v>
      </c>
      <c r="O279" s="336"/>
      <c r="P279" s="653" t="s">
        <v>1223</v>
      </c>
      <c r="Q279" s="658"/>
      <c r="R279" s="661">
        <f t="shared" si="131"/>
        <v>1000</v>
      </c>
      <c r="S279" s="648" t="str">
        <f t="shared" si="116"/>
        <v>검토</v>
      </c>
    </row>
    <row r="280" spans="1:19" ht="31.5" customHeight="1">
      <c r="A280" s="770"/>
      <c r="B280" s="612" t="s">
        <v>421</v>
      </c>
      <c r="C280" s="628"/>
      <c r="D280" s="31"/>
      <c r="E280" s="31"/>
      <c r="F280" s="32">
        <f t="shared" ref="F280:I280" si="134">SUM(F281:F291)</f>
        <v>976818</v>
      </c>
      <c r="G280" s="32">
        <f t="shared" si="134"/>
        <v>0</v>
      </c>
      <c r="H280" s="32">
        <f t="shared" si="134"/>
        <v>1504125</v>
      </c>
      <c r="I280" s="32">
        <f t="shared" si="134"/>
        <v>2480943</v>
      </c>
      <c r="J280" s="370">
        <f t="shared" ref="J280:K280" si="135">SUM(J281:J291)</f>
        <v>0</v>
      </c>
      <c r="K280" s="370">
        <f t="shared" si="135"/>
        <v>1504125</v>
      </c>
      <c r="L280" s="370">
        <f t="shared" si="119"/>
        <v>2480943</v>
      </c>
      <c r="M280" s="370">
        <f t="shared" si="120"/>
        <v>0</v>
      </c>
      <c r="N280" s="628" t="str">
        <f t="shared" si="123"/>
        <v>-</v>
      </c>
      <c r="O280" s="321"/>
      <c r="P280" s="30"/>
      <c r="Q280" s="32">
        <f t="shared" ref="Q280:R280" si="136">SUM(Q281:Q291)</f>
        <v>768000</v>
      </c>
      <c r="R280" s="32">
        <f t="shared" si="136"/>
        <v>736125</v>
      </c>
      <c r="S280" s="30" t="str">
        <f t="shared" si="116"/>
        <v>ok</v>
      </c>
    </row>
    <row r="281" spans="1:19" ht="31.5" customHeight="1">
      <c r="A281" s="770"/>
      <c r="B281" s="770"/>
      <c r="C281" s="108">
        <v>410</v>
      </c>
      <c r="D281" s="138" t="s">
        <v>710</v>
      </c>
      <c r="E281" s="284" t="s">
        <v>711</v>
      </c>
      <c r="F281" s="110">
        <v>44073</v>
      </c>
      <c r="G281" s="110"/>
      <c r="H281" s="110">
        <v>7327</v>
      </c>
      <c r="I281" s="102">
        <f t="shared" ref="I281:I291" si="137">F281+G281+H281</f>
        <v>51400</v>
      </c>
      <c r="J281" s="363"/>
      <c r="K281" s="363">
        <v>7327</v>
      </c>
      <c r="L281" s="665">
        <f t="shared" ref="L281:L291" si="138">F281+J281+K281</f>
        <v>51400</v>
      </c>
      <c r="M281" s="665">
        <f t="shared" ref="M281:M291" si="139">L281-I281</f>
        <v>0</v>
      </c>
      <c r="N281" s="749" t="str">
        <f t="shared" si="123"/>
        <v>-</v>
      </c>
      <c r="O281" s="327"/>
      <c r="P281" s="365" t="s">
        <v>647</v>
      </c>
      <c r="Q281" s="273"/>
      <c r="R281" s="661">
        <f t="shared" ref="R281:R285" si="140">K281</f>
        <v>7327</v>
      </c>
      <c r="S281" s="285" t="str">
        <f t="shared" si="116"/>
        <v>ok</v>
      </c>
    </row>
    <row r="282" spans="1:19" ht="31.5" customHeight="1">
      <c r="A282" s="770"/>
      <c r="B282" s="770"/>
      <c r="C282" s="108">
        <v>415</v>
      </c>
      <c r="D282" s="138" t="s">
        <v>712</v>
      </c>
      <c r="E282" s="284" t="s">
        <v>713</v>
      </c>
      <c r="F282" s="110">
        <v>28704</v>
      </c>
      <c r="G282" s="110"/>
      <c r="H282" s="110">
        <v>10000</v>
      </c>
      <c r="I282" s="102">
        <f t="shared" si="137"/>
        <v>38704</v>
      </c>
      <c r="J282" s="363"/>
      <c r="K282" s="363">
        <v>10000</v>
      </c>
      <c r="L282" s="665">
        <f t="shared" si="138"/>
        <v>38704</v>
      </c>
      <c r="M282" s="665">
        <f t="shared" si="139"/>
        <v>0</v>
      </c>
      <c r="N282" s="749" t="str">
        <f t="shared" si="123"/>
        <v>-</v>
      </c>
      <c r="O282" s="327"/>
      <c r="P282" s="365" t="s">
        <v>647</v>
      </c>
      <c r="Q282" s="273"/>
      <c r="R282" s="661">
        <f t="shared" si="140"/>
        <v>10000</v>
      </c>
      <c r="S282" s="285" t="str">
        <f t="shared" ref="S282:S352" si="141">IF((G282+H282)=(Q282+R282),"ok","검토")</f>
        <v>ok</v>
      </c>
    </row>
    <row r="283" spans="1:19" ht="31.5" customHeight="1">
      <c r="A283" s="770"/>
      <c r="B283" s="770"/>
      <c r="C283" s="108">
        <v>415</v>
      </c>
      <c r="D283" s="138" t="s">
        <v>712</v>
      </c>
      <c r="E283" s="284" t="s">
        <v>714</v>
      </c>
      <c r="F283" s="110">
        <v>68000</v>
      </c>
      <c r="G283" s="110"/>
      <c r="H283" s="110">
        <v>20916</v>
      </c>
      <c r="I283" s="102">
        <f>F283+G283+H283</f>
        <v>88916</v>
      </c>
      <c r="J283" s="363"/>
      <c r="K283" s="363">
        <v>20916</v>
      </c>
      <c r="L283" s="665">
        <f t="shared" si="138"/>
        <v>88916</v>
      </c>
      <c r="M283" s="665">
        <f t="shared" si="139"/>
        <v>0</v>
      </c>
      <c r="N283" s="749" t="str">
        <f t="shared" si="123"/>
        <v>-</v>
      </c>
      <c r="O283" s="327"/>
      <c r="P283" s="365" t="s">
        <v>647</v>
      </c>
      <c r="Q283" s="273"/>
      <c r="R283" s="661">
        <f t="shared" si="140"/>
        <v>20916</v>
      </c>
      <c r="S283" s="285" t="str">
        <f t="shared" si="141"/>
        <v>ok</v>
      </c>
    </row>
    <row r="284" spans="1:19" ht="31.5" customHeight="1">
      <c r="A284" s="770"/>
      <c r="B284" s="770"/>
      <c r="C284" s="108">
        <v>417</v>
      </c>
      <c r="D284" s="138" t="s">
        <v>422</v>
      </c>
      <c r="E284" s="109" t="s">
        <v>715</v>
      </c>
      <c r="F284" s="110">
        <v>60000</v>
      </c>
      <c r="G284" s="110"/>
      <c r="H284" s="110">
        <v>20000</v>
      </c>
      <c r="I284" s="102">
        <f t="shared" si="137"/>
        <v>80000</v>
      </c>
      <c r="J284" s="363"/>
      <c r="K284" s="363">
        <v>20000</v>
      </c>
      <c r="L284" s="665">
        <f t="shared" si="138"/>
        <v>80000</v>
      </c>
      <c r="M284" s="665">
        <f t="shared" si="139"/>
        <v>0</v>
      </c>
      <c r="N284" s="749" t="str">
        <f t="shared" si="123"/>
        <v>-</v>
      </c>
      <c r="O284" s="327"/>
      <c r="P284" s="365" t="s">
        <v>647</v>
      </c>
      <c r="Q284" s="273"/>
      <c r="R284" s="661">
        <f t="shared" si="140"/>
        <v>20000</v>
      </c>
      <c r="S284" s="285" t="str">
        <f t="shared" si="141"/>
        <v>ok</v>
      </c>
    </row>
    <row r="285" spans="1:19" ht="31.5" customHeight="1">
      <c r="A285" s="770"/>
      <c r="B285" s="770"/>
      <c r="C285" s="108">
        <v>418</v>
      </c>
      <c r="D285" s="138" t="s">
        <v>422</v>
      </c>
      <c r="E285" s="109" t="s">
        <v>716</v>
      </c>
      <c r="F285" s="110">
        <v>200000</v>
      </c>
      <c r="G285" s="110"/>
      <c r="H285" s="110">
        <v>298000</v>
      </c>
      <c r="I285" s="102">
        <f t="shared" si="137"/>
        <v>498000</v>
      </c>
      <c r="J285" s="363"/>
      <c r="K285" s="363">
        <v>298000</v>
      </c>
      <c r="L285" s="665">
        <f t="shared" si="138"/>
        <v>498000</v>
      </c>
      <c r="M285" s="665">
        <f t="shared" si="139"/>
        <v>0</v>
      </c>
      <c r="N285" s="749" t="str">
        <f t="shared" si="123"/>
        <v>-</v>
      </c>
      <c r="O285" s="327"/>
      <c r="P285" s="365" t="s">
        <v>647</v>
      </c>
      <c r="Q285" s="273"/>
      <c r="R285" s="661">
        <f t="shared" si="140"/>
        <v>298000</v>
      </c>
      <c r="S285" s="285" t="str">
        <f t="shared" si="141"/>
        <v>ok</v>
      </c>
    </row>
    <row r="286" spans="1:19" ht="45" customHeight="1">
      <c r="A286" s="770"/>
      <c r="B286" s="770"/>
      <c r="C286" s="108">
        <v>419</v>
      </c>
      <c r="D286" s="138" t="s">
        <v>422</v>
      </c>
      <c r="E286" s="140" t="s">
        <v>717</v>
      </c>
      <c r="F286" s="110">
        <v>499200</v>
      </c>
      <c r="G286" s="110"/>
      <c r="H286" s="110">
        <v>998400</v>
      </c>
      <c r="I286" s="102">
        <f t="shared" si="137"/>
        <v>1497600</v>
      </c>
      <c r="J286" s="363"/>
      <c r="K286" s="363">
        <v>998400</v>
      </c>
      <c r="L286" s="665">
        <f t="shared" si="138"/>
        <v>1497600</v>
      </c>
      <c r="M286" s="665">
        <f t="shared" si="139"/>
        <v>0</v>
      </c>
      <c r="N286" s="749" t="str">
        <f t="shared" si="123"/>
        <v>-</v>
      </c>
      <c r="O286" s="326"/>
      <c r="P286" s="365" t="s">
        <v>718</v>
      </c>
      <c r="Q286" s="128">
        <v>768000</v>
      </c>
      <c r="R286" s="273">
        <v>230400</v>
      </c>
      <c r="S286" s="285" t="str">
        <f t="shared" si="141"/>
        <v>ok</v>
      </c>
    </row>
    <row r="287" spans="1:19" s="673" customFormat="1" ht="68.25" customHeight="1">
      <c r="A287" s="770"/>
      <c r="B287" s="770"/>
      <c r="C287" s="662">
        <v>421</v>
      </c>
      <c r="D287" s="658" t="s">
        <v>103</v>
      </c>
      <c r="E287" s="288" t="s">
        <v>1561</v>
      </c>
      <c r="F287" s="658">
        <v>6000</v>
      </c>
      <c r="G287" s="658"/>
      <c r="H287" s="658">
        <v>27000</v>
      </c>
      <c r="I287" s="665">
        <f t="shared" si="137"/>
        <v>33000</v>
      </c>
      <c r="J287" s="658"/>
      <c r="K287" s="641">
        <v>27000</v>
      </c>
      <c r="L287" s="665">
        <f t="shared" si="138"/>
        <v>33000</v>
      </c>
      <c r="M287" s="665">
        <f t="shared" si="139"/>
        <v>0</v>
      </c>
      <c r="N287" s="749" t="str">
        <f t="shared" si="123"/>
        <v>-</v>
      </c>
      <c r="O287" s="336" t="s">
        <v>1493</v>
      </c>
      <c r="P287" s="653" t="s">
        <v>1223</v>
      </c>
      <c r="Q287" s="658"/>
      <c r="R287" s="661">
        <f>K287</f>
        <v>27000</v>
      </c>
      <c r="S287" s="648" t="str">
        <f t="shared" si="141"/>
        <v>ok</v>
      </c>
    </row>
    <row r="288" spans="1:19" ht="62.25" customHeight="1">
      <c r="A288" s="770"/>
      <c r="B288" s="773"/>
      <c r="C288" s="108">
        <v>421</v>
      </c>
      <c r="D288" s="138" t="s">
        <v>103</v>
      </c>
      <c r="E288" s="284" t="s">
        <v>719</v>
      </c>
      <c r="F288" s="110">
        <v>70841</v>
      </c>
      <c r="G288" s="110"/>
      <c r="H288" s="110"/>
      <c r="I288" s="102">
        <f t="shared" si="137"/>
        <v>70841</v>
      </c>
      <c r="J288" s="363"/>
      <c r="K288" s="363"/>
      <c r="L288" s="665">
        <f t="shared" si="138"/>
        <v>70841</v>
      </c>
      <c r="M288" s="665">
        <f t="shared" si="139"/>
        <v>0</v>
      </c>
      <c r="N288" s="749" t="str">
        <f t="shared" si="123"/>
        <v>-</v>
      </c>
      <c r="O288" s="328" t="s">
        <v>1014</v>
      </c>
      <c r="P288" s="365" t="s">
        <v>647</v>
      </c>
      <c r="Q288" s="138"/>
      <c r="R288" s="669">
        <f>K288</f>
        <v>0</v>
      </c>
      <c r="S288" s="104" t="str">
        <f t="shared" si="141"/>
        <v>ok</v>
      </c>
    </row>
    <row r="289" spans="1:19" ht="31.5" customHeight="1">
      <c r="A289" s="770"/>
      <c r="B289" s="774"/>
      <c r="C289" s="108" t="s">
        <v>94</v>
      </c>
      <c r="D289" s="138" t="s">
        <v>710</v>
      </c>
      <c r="E289" s="109" t="s">
        <v>720</v>
      </c>
      <c r="F289" s="110"/>
      <c r="G289" s="110"/>
      <c r="H289" s="110">
        <v>95000</v>
      </c>
      <c r="I289" s="102">
        <f t="shared" si="137"/>
        <v>95000</v>
      </c>
      <c r="J289" s="363"/>
      <c r="K289" s="363">
        <v>95000</v>
      </c>
      <c r="L289" s="665">
        <f t="shared" si="138"/>
        <v>95000</v>
      </c>
      <c r="M289" s="665">
        <f t="shared" si="139"/>
        <v>0</v>
      </c>
      <c r="N289" s="749" t="str">
        <f t="shared" si="123"/>
        <v>-</v>
      </c>
      <c r="O289" s="327"/>
      <c r="P289" s="365" t="s">
        <v>647</v>
      </c>
      <c r="Q289" s="273"/>
      <c r="R289" s="661">
        <f>K289</f>
        <v>95000</v>
      </c>
      <c r="S289" s="285" t="str">
        <f t="shared" si="141"/>
        <v>ok</v>
      </c>
    </row>
    <row r="290" spans="1:19" ht="31.5" customHeight="1">
      <c r="A290" s="770"/>
      <c r="B290" s="770"/>
      <c r="C290" s="108" t="s">
        <v>94</v>
      </c>
      <c r="D290" s="138" t="s">
        <v>712</v>
      </c>
      <c r="E290" s="109" t="s">
        <v>721</v>
      </c>
      <c r="F290" s="110"/>
      <c r="G290" s="110"/>
      <c r="H290" s="110">
        <v>26482</v>
      </c>
      <c r="I290" s="102">
        <f t="shared" si="137"/>
        <v>26482</v>
      </c>
      <c r="J290" s="363"/>
      <c r="K290" s="363">
        <v>26482</v>
      </c>
      <c r="L290" s="665">
        <f t="shared" si="138"/>
        <v>26482</v>
      </c>
      <c r="M290" s="665">
        <f t="shared" si="139"/>
        <v>0</v>
      </c>
      <c r="N290" s="749" t="str">
        <f t="shared" si="123"/>
        <v>-</v>
      </c>
      <c r="O290" s="327"/>
      <c r="P290" s="365" t="s">
        <v>647</v>
      </c>
      <c r="Q290" s="273"/>
      <c r="R290" s="661">
        <f>K290</f>
        <v>26482</v>
      </c>
      <c r="S290" s="285" t="str">
        <f t="shared" si="141"/>
        <v>ok</v>
      </c>
    </row>
    <row r="291" spans="1:19" ht="31.5" customHeight="1">
      <c r="A291" s="770"/>
      <c r="B291" s="770"/>
      <c r="C291" s="108" t="s">
        <v>94</v>
      </c>
      <c r="D291" s="138" t="s">
        <v>712</v>
      </c>
      <c r="E291" s="109" t="s">
        <v>722</v>
      </c>
      <c r="F291" s="110"/>
      <c r="G291" s="110"/>
      <c r="H291" s="110">
        <v>1000</v>
      </c>
      <c r="I291" s="102">
        <f t="shared" si="137"/>
        <v>1000</v>
      </c>
      <c r="J291" s="363"/>
      <c r="K291" s="363">
        <v>1000</v>
      </c>
      <c r="L291" s="665">
        <f t="shared" si="138"/>
        <v>1000</v>
      </c>
      <c r="M291" s="665">
        <f t="shared" si="139"/>
        <v>0</v>
      </c>
      <c r="N291" s="749" t="str">
        <f t="shared" si="123"/>
        <v>-</v>
      </c>
      <c r="O291" s="327"/>
      <c r="P291" s="365" t="s">
        <v>647</v>
      </c>
      <c r="Q291" s="273"/>
      <c r="R291" s="661">
        <f>K291</f>
        <v>1000</v>
      </c>
      <c r="S291" s="285" t="str">
        <f t="shared" si="141"/>
        <v>ok</v>
      </c>
    </row>
    <row r="292" spans="1:19" ht="31.5" customHeight="1">
      <c r="A292" s="770"/>
      <c r="B292" s="612" t="s">
        <v>425</v>
      </c>
      <c r="C292" s="628"/>
      <c r="D292" s="31"/>
      <c r="E292" s="31"/>
      <c r="F292" s="32">
        <f>SUM(F293:F297)</f>
        <v>5138893</v>
      </c>
      <c r="G292" s="32">
        <f t="shared" ref="G292:I292" si="142">SUM(G293:G297)</f>
        <v>-121900</v>
      </c>
      <c r="H292" s="32">
        <f t="shared" si="142"/>
        <v>50000</v>
      </c>
      <c r="I292" s="32">
        <f t="shared" si="142"/>
        <v>5066993</v>
      </c>
      <c r="J292" s="370">
        <f t="shared" ref="J292:K292" si="143">SUM(J293:J297)</f>
        <v>-121900</v>
      </c>
      <c r="K292" s="370">
        <f t="shared" si="143"/>
        <v>50000</v>
      </c>
      <c r="L292" s="370">
        <f t="shared" ref="L292:L372" si="144">F292+J292+K292</f>
        <v>5066993</v>
      </c>
      <c r="M292" s="370">
        <f t="shared" ref="M292:M369" si="145">L292-I292</f>
        <v>0</v>
      </c>
      <c r="N292" s="628" t="str">
        <f t="shared" si="123"/>
        <v>-</v>
      </c>
      <c r="O292" s="258"/>
      <c r="P292" s="30"/>
      <c r="Q292" s="32">
        <f t="shared" ref="Q292:R292" si="146">SUM(Q293:Q297)</f>
        <v>0</v>
      </c>
      <c r="R292" s="32">
        <f t="shared" si="146"/>
        <v>-71900</v>
      </c>
      <c r="S292" s="30" t="str">
        <f t="shared" si="141"/>
        <v>ok</v>
      </c>
    </row>
    <row r="293" spans="1:19" ht="31.5" customHeight="1">
      <c r="A293" s="770"/>
      <c r="B293" s="770"/>
      <c r="C293" s="100">
        <v>429</v>
      </c>
      <c r="D293" s="101" t="s">
        <v>425</v>
      </c>
      <c r="E293" s="286" t="s">
        <v>723</v>
      </c>
      <c r="F293" s="95">
        <v>41900</v>
      </c>
      <c r="G293" s="95">
        <v>-41900</v>
      </c>
      <c r="H293" s="95"/>
      <c r="I293" s="102">
        <f t="shared" ref="I293:I295" si="147">F293+G293+H293</f>
        <v>0</v>
      </c>
      <c r="J293" s="375">
        <v>-41900</v>
      </c>
      <c r="K293" s="375"/>
      <c r="L293" s="665">
        <f t="shared" si="144"/>
        <v>0</v>
      </c>
      <c r="M293" s="665">
        <f t="shared" si="145"/>
        <v>0</v>
      </c>
      <c r="N293" s="749" t="str">
        <f t="shared" si="123"/>
        <v>-</v>
      </c>
      <c r="O293" s="262"/>
      <c r="P293" s="378" t="s">
        <v>97</v>
      </c>
      <c r="Q293" s="103"/>
      <c r="R293" s="661">
        <f>J293</f>
        <v>-41900</v>
      </c>
      <c r="S293" s="104" t="str">
        <f t="shared" si="141"/>
        <v>ok</v>
      </c>
    </row>
    <row r="294" spans="1:19" ht="31.5" customHeight="1">
      <c r="A294" s="770"/>
      <c r="B294" s="770"/>
      <c r="C294" s="100">
        <v>429</v>
      </c>
      <c r="D294" s="101" t="s">
        <v>425</v>
      </c>
      <c r="E294" s="286" t="s">
        <v>724</v>
      </c>
      <c r="F294" s="95">
        <v>227281</v>
      </c>
      <c r="G294" s="95"/>
      <c r="H294" s="95">
        <v>50000</v>
      </c>
      <c r="I294" s="102">
        <f t="shared" si="147"/>
        <v>277281</v>
      </c>
      <c r="J294" s="375"/>
      <c r="K294" s="375">
        <v>50000</v>
      </c>
      <c r="L294" s="665">
        <f t="shared" si="144"/>
        <v>277281</v>
      </c>
      <c r="M294" s="665">
        <f t="shared" si="145"/>
        <v>0</v>
      </c>
      <c r="N294" s="749" t="str">
        <f t="shared" si="123"/>
        <v>-</v>
      </c>
      <c r="O294" s="262"/>
      <c r="P294" s="378" t="s">
        <v>97</v>
      </c>
      <c r="Q294" s="103"/>
      <c r="R294" s="661">
        <f>K294</f>
        <v>50000</v>
      </c>
      <c r="S294" s="104" t="str">
        <f t="shared" si="141"/>
        <v>ok</v>
      </c>
    </row>
    <row r="295" spans="1:19" ht="39" customHeight="1">
      <c r="A295" s="770"/>
      <c r="B295" s="770"/>
      <c r="C295" s="100">
        <v>429</v>
      </c>
      <c r="D295" s="101" t="s">
        <v>425</v>
      </c>
      <c r="E295" s="286" t="s">
        <v>725</v>
      </c>
      <c r="F295" s="95">
        <v>145880</v>
      </c>
      <c r="G295" s="95">
        <v>-30000</v>
      </c>
      <c r="H295" s="95"/>
      <c r="I295" s="102">
        <f t="shared" si="147"/>
        <v>115880</v>
      </c>
      <c r="J295" s="375">
        <v>-30000</v>
      </c>
      <c r="K295" s="375"/>
      <c r="L295" s="665">
        <f t="shared" si="144"/>
        <v>115880</v>
      </c>
      <c r="M295" s="665">
        <f t="shared" si="145"/>
        <v>0</v>
      </c>
      <c r="N295" s="749" t="str">
        <f t="shared" si="123"/>
        <v>-</v>
      </c>
      <c r="O295" s="262"/>
      <c r="P295" s="378" t="s">
        <v>97</v>
      </c>
      <c r="Q295" s="103"/>
      <c r="R295" s="661">
        <f t="shared" ref="R295:R296" si="148">J295</f>
        <v>-30000</v>
      </c>
      <c r="S295" s="104" t="str">
        <f t="shared" si="141"/>
        <v>ok</v>
      </c>
    </row>
    <row r="296" spans="1:19" s="372" customFormat="1" ht="31.5" customHeight="1">
      <c r="A296" s="770"/>
      <c r="B296" s="770"/>
      <c r="C296" s="371">
        <v>430</v>
      </c>
      <c r="D296" s="379" t="s">
        <v>425</v>
      </c>
      <c r="E296" s="286" t="s">
        <v>726</v>
      </c>
      <c r="F296" s="375">
        <v>798000</v>
      </c>
      <c r="G296" s="375">
        <v>-50000</v>
      </c>
      <c r="H296" s="375"/>
      <c r="I296" s="376">
        <f t="shared" ref="I296:I297" si="149">F296+G296+H296</f>
        <v>748000</v>
      </c>
      <c r="J296" s="375">
        <v>-50000</v>
      </c>
      <c r="K296" s="375"/>
      <c r="L296" s="665">
        <f t="shared" si="144"/>
        <v>748000</v>
      </c>
      <c r="M296" s="665">
        <f t="shared" si="145"/>
        <v>0</v>
      </c>
      <c r="N296" s="749" t="str">
        <f t="shared" si="123"/>
        <v>-</v>
      </c>
      <c r="O296" s="262" t="s">
        <v>727</v>
      </c>
      <c r="P296" s="378" t="s">
        <v>97</v>
      </c>
      <c r="Q296" s="377"/>
      <c r="R296" s="661">
        <f t="shared" si="148"/>
        <v>-50000</v>
      </c>
      <c r="S296" s="378" t="str">
        <f t="shared" si="141"/>
        <v>ok</v>
      </c>
    </row>
    <row r="297" spans="1:19" s="673" customFormat="1" ht="31.5" customHeight="1">
      <c r="A297" s="770"/>
      <c r="B297" s="770"/>
      <c r="C297" s="662">
        <v>429</v>
      </c>
      <c r="D297" s="658" t="s">
        <v>1154</v>
      </c>
      <c r="E297" s="288" t="s">
        <v>1155</v>
      </c>
      <c r="F297" s="658">
        <v>3925832</v>
      </c>
      <c r="G297" s="658"/>
      <c r="H297" s="658"/>
      <c r="I297" s="665">
        <f t="shared" si="149"/>
        <v>3925832</v>
      </c>
      <c r="J297" s="658">
        <v>0</v>
      </c>
      <c r="K297" s="641"/>
      <c r="L297" s="665">
        <f t="shared" si="144"/>
        <v>3925832</v>
      </c>
      <c r="M297" s="665">
        <f t="shared" si="145"/>
        <v>0</v>
      </c>
      <c r="N297" s="749" t="str">
        <f t="shared" si="123"/>
        <v>-</v>
      </c>
      <c r="O297" s="336"/>
      <c r="P297" s="653" t="s">
        <v>1223</v>
      </c>
      <c r="Q297" s="658"/>
      <c r="R297" s="661">
        <f>K297</f>
        <v>0</v>
      </c>
      <c r="S297" s="648" t="str">
        <f t="shared" si="141"/>
        <v>ok</v>
      </c>
    </row>
    <row r="298" spans="1:19" ht="31.5" customHeight="1">
      <c r="A298" s="445" t="s">
        <v>227</v>
      </c>
      <c r="B298" s="772"/>
      <c r="C298" s="26"/>
      <c r="D298" s="26"/>
      <c r="E298" s="26"/>
      <c r="F298" s="27">
        <f t="shared" ref="F298:K298" si="150">SUM(F299:F337)/2</f>
        <v>65993078</v>
      </c>
      <c r="G298" s="27">
        <f t="shared" si="150"/>
        <v>-1273000</v>
      </c>
      <c r="H298" s="27">
        <f t="shared" si="150"/>
        <v>4753200</v>
      </c>
      <c r="I298" s="27">
        <f t="shared" si="150"/>
        <v>69473278</v>
      </c>
      <c r="J298" s="369">
        <f t="shared" si="150"/>
        <v>-1111000</v>
      </c>
      <c r="K298" s="369">
        <f t="shared" si="150"/>
        <v>5734136</v>
      </c>
      <c r="L298" s="369">
        <f t="shared" si="144"/>
        <v>70616214</v>
      </c>
      <c r="M298" s="369">
        <f t="shared" si="145"/>
        <v>1142936</v>
      </c>
      <c r="N298" s="626" t="str">
        <f t="shared" si="123"/>
        <v>-</v>
      </c>
      <c r="O298" s="320">
        <f>K299-O299</f>
        <v>5126136</v>
      </c>
      <c r="P298" s="26"/>
      <c r="Q298" s="27">
        <f>SUM(Q299:Q337)/2</f>
        <v>470000</v>
      </c>
      <c r="R298" s="27">
        <f>SUM(R299:R337)/2</f>
        <v>4133136</v>
      </c>
      <c r="S298" s="26" t="str">
        <f t="shared" si="141"/>
        <v>검토</v>
      </c>
    </row>
    <row r="299" spans="1:19" ht="31.5" customHeight="1">
      <c r="A299" s="770"/>
      <c r="B299" s="612" t="s">
        <v>728</v>
      </c>
      <c r="C299" s="628"/>
      <c r="D299" s="31"/>
      <c r="E299" s="31"/>
      <c r="F299" s="32">
        <f t="shared" ref="F299:K299" si="151">SUM(F300:F337)</f>
        <v>65993078</v>
      </c>
      <c r="G299" s="32">
        <f t="shared" si="151"/>
        <v>-1273000</v>
      </c>
      <c r="H299" s="32">
        <f t="shared" si="151"/>
        <v>4753200</v>
      </c>
      <c r="I299" s="32">
        <f t="shared" si="151"/>
        <v>69473278</v>
      </c>
      <c r="J299" s="370">
        <f t="shared" si="151"/>
        <v>-1111000</v>
      </c>
      <c r="K299" s="370">
        <f t="shared" si="151"/>
        <v>5734136</v>
      </c>
      <c r="L299" s="370">
        <f t="shared" si="144"/>
        <v>70616214</v>
      </c>
      <c r="M299" s="370">
        <f t="shared" si="145"/>
        <v>1142936</v>
      </c>
      <c r="N299" s="628" t="str">
        <f t="shared" si="123"/>
        <v>-</v>
      </c>
      <c r="O299" s="321">
        <f>K316+K318+K320+K321+K334+K335</f>
        <v>608000</v>
      </c>
      <c r="P299" s="30"/>
      <c r="Q299" s="32">
        <f>SUM(Q300:Q337)</f>
        <v>470000</v>
      </c>
      <c r="R299" s="32">
        <f>SUM(R300:R337)</f>
        <v>4133136</v>
      </c>
      <c r="S299" s="30" t="str">
        <f t="shared" si="141"/>
        <v>검토</v>
      </c>
    </row>
    <row r="300" spans="1:19" ht="31.5" customHeight="1">
      <c r="A300" s="770"/>
      <c r="B300" s="770"/>
      <c r="C300" s="100">
        <v>446</v>
      </c>
      <c r="D300" s="101" t="s">
        <v>55</v>
      </c>
      <c r="E300" s="101" t="s">
        <v>729</v>
      </c>
      <c r="F300" s="95">
        <v>80500</v>
      </c>
      <c r="G300" s="95"/>
      <c r="H300" s="95">
        <v>20000</v>
      </c>
      <c r="I300" s="102">
        <f t="shared" ref="I300:I331" si="152">F300+G300+H300</f>
        <v>100500</v>
      </c>
      <c r="J300" s="375"/>
      <c r="K300" s="375">
        <v>20000</v>
      </c>
      <c r="L300" s="665">
        <f t="shared" si="144"/>
        <v>100500</v>
      </c>
      <c r="M300" s="665">
        <f t="shared" si="145"/>
        <v>0</v>
      </c>
      <c r="N300" s="749" t="str">
        <f t="shared" si="123"/>
        <v>-</v>
      </c>
      <c r="O300" s="259" t="s">
        <v>730</v>
      </c>
      <c r="P300" s="378" t="s">
        <v>231</v>
      </c>
      <c r="Q300" s="103"/>
      <c r="R300" s="661">
        <f t="shared" ref="R300:R304" si="153">K300</f>
        <v>20000</v>
      </c>
      <c r="S300" s="104" t="str">
        <f t="shared" si="141"/>
        <v>ok</v>
      </c>
    </row>
    <row r="301" spans="1:19" ht="31.5" customHeight="1">
      <c r="A301" s="770"/>
      <c r="B301" s="770"/>
      <c r="C301" s="100">
        <v>447</v>
      </c>
      <c r="D301" s="101" t="s">
        <v>55</v>
      </c>
      <c r="E301" s="101" t="s">
        <v>230</v>
      </c>
      <c r="F301" s="95">
        <v>1000000</v>
      </c>
      <c r="G301" s="95"/>
      <c r="H301" s="95">
        <v>130000</v>
      </c>
      <c r="I301" s="102">
        <f t="shared" si="152"/>
        <v>1130000</v>
      </c>
      <c r="J301" s="375"/>
      <c r="K301" s="375">
        <v>130000</v>
      </c>
      <c r="L301" s="665">
        <f t="shared" si="144"/>
        <v>1130000</v>
      </c>
      <c r="M301" s="665">
        <f t="shared" si="145"/>
        <v>0</v>
      </c>
      <c r="N301" s="749" t="str">
        <f t="shared" ref="N301:N365" si="154">IF(AND(((G301+H301)&lt;0),(J301+K301)&gt;(G301+H301)),"검토","-")</f>
        <v>-</v>
      </c>
      <c r="O301" s="259" t="s">
        <v>731</v>
      </c>
      <c r="P301" s="378" t="s">
        <v>231</v>
      </c>
      <c r="Q301" s="103"/>
      <c r="R301" s="661">
        <f t="shared" si="153"/>
        <v>130000</v>
      </c>
      <c r="S301" s="104" t="str">
        <f t="shared" si="141"/>
        <v>ok</v>
      </c>
    </row>
    <row r="302" spans="1:19" ht="31.5" customHeight="1">
      <c r="A302" s="770"/>
      <c r="B302" s="770"/>
      <c r="C302" s="100">
        <v>447</v>
      </c>
      <c r="D302" s="101" t="s">
        <v>55</v>
      </c>
      <c r="E302" s="101" t="s">
        <v>732</v>
      </c>
      <c r="F302" s="95">
        <v>19937000</v>
      </c>
      <c r="G302" s="95"/>
      <c r="H302" s="95">
        <v>200000</v>
      </c>
      <c r="I302" s="102">
        <f t="shared" si="152"/>
        <v>20137000</v>
      </c>
      <c r="J302" s="375"/>
      <c r="K302" s="375">
        <v>200000</v>
      </c>
      <c r="L302" s="665">
        <f t="shared" si="144"/>
        <v>20137000</v>
      </c>
      <c r="M302" s="665">
        <f t="shared" si="145"/>
        <v>0</v>
      </c>
      <c r="N302" s="749" t="str">
        <f t="shared" si="154"/>
        <v>-</v>
      </c>
      <c r="O302" s="259" t="s">
        <v>733</v>
      </c>
      <c r="P302" s="378" t="s">
        <v>231</v>
      </c>
      <c r="Q302" s="103"/>
      <c r="R302" s="661">
        <f t="shared" si="153"/>
        <v>200000</v>
      </c>
      <c r="S302" s="104" t="str">
        <f t="shared" si="141"/>
        <v>ok</v>
      </c>
    </row>
    <row r="303" spans="1:19" s="673" customFormat="1" ht="31.5" customHeight="1">
      <c r="A303" s="770">
        <v>1</v>
      </c>
      <c r="B303" s="770"/>
      <c r="C303" s="662">
        <v>448</v>
      </c>
      <c r="D303" s="658" t="s">
        <v>55</v>
      </c>
      <c r="E303" s="288" t="s">
        <v>1586</v>
      </c>
      <c r="F303" s="658">
        <v>16445000</v>
      </c>
      <c r="G303" s="658"/>
      <c r="H303" s="658">
        <v>1330000</v>
      </c>
      <c r="I303" s="665">
        <f t="shared" si="152"/>
        <v>17775000</v>
      </c>
      <c r="J303" s="658"/>
      <c r="K303" s="641">
        <v>1450000</v>
      </c>
      <c r="L303" s="665">
        <f t="shared" si="144"/>
        <v>17895000</v>
      </c>
      <c r="M303" s="665">
        <f t="shared" si="145"/>
        <v>120000</v>
      </c>
      <c r="N303" s="749" t="str">
        <f t="shared" si="154"/>
        <v>-</v>
      </c>
      <c r="O303" s="336" t="s">
        <v>734</v>
      </c>
      <c r="P303" s="653" t="s">
        <v>1223</v>
      </c>
      <c r="Q303" s="658"/>
      <c r="R303" s="661">
        <f t="shared" si="153"/>
        <v>1450000</v>
      </c>
      <c r="S303" s="648" t="str">
        <f t="shared" si="141"/>
        <v>검토</v>
      </c>
    </row>
    <row r="304" spans="1:19" ht="31.5" customHeight="1">
      <c r="A304" s="770"/>
      <c r="B304" s="770"/>
      <c r="C304" s="100">
        <v>449</v>
      </c>
      <c r="D304" s="101" t="s">
        <v>55</v>
      </c>
      <c r="E304" s="101" t="s">
        <v>735</v>
      </c>
      <c r="F304" s="103">
        <v>50000</v>
      </c>
      <c r="G304" s="103"/>
      <c r="H304" s="103">
        <v>20000</v>
      </c>
      <c r="I304" s="102">
        <f t="shared" si="152"/>
        <v>70000</v>
      </c>
      <c r="J304" s="377"/>
      <c r="K304" s="377">
        <v>20000</v>
      </c>
      <c r="L304" s="665">
        <f t="shared" si="144"/>
        <v>70000</v>
      </c>
      <c r="M304" s="665">
        <f t="shared" si="145"/>
        <v>0</v>
      </c>
      <c r="N304" s="749" t="str">
        <f t="shared" si="154"/>
        <v>-</v>
      </c>
      <c r="O304" s="259"/>
      <c r="P304" s="378" t="s">
        <v>231</v>
      </c>
      <c r="Q304" s="103"/>
      <c r="R304" s="661">
        <f t="shared" si="153"/>
        <v>20000</v>
      </c>
      <c r="S304" s="104" t="str">
        <f t="shared" si="141"/>
        <v>ok</v>
      </c>
    </row>
    <row r="305" spans="1:19" ht="31.5" customHeight="1">
      <c r="A305" s="770"/>
      <c r="B305" s="770"/>
      <c r="C305" s="100">
        <v>449</v>
      </c>
      <c r="D305" s="101" t="s">
        <v>55</v>
      </c>
      <c r="E305" s="272" t="s">
        <v>736</v>
      </c>
      <c r="F305" s="126">
        <v>1800000</v>
      </c>
      <c r="G305" s="126">
        <v>-100000</v>
      </c>
      <c r="H305" s="126"/>
      <c r="I305" s="102">
        <f t="shared" si="152"/>
        <v>1700000</v>
      </c>
      <c r="J305" s="361">
        <v>-100000</v>
      </c>
      <c r="K305" s="361"/>
      <c r="L305" s="665">
        <f t="shared" si="144"/>
        <v>1700000</v>
      </c>
      <c r="M305" s="665">
        <f t="shared" si="145"/>
        <v>0</v>
      </c>
      <c r="N305" s="749" t="str">
        <f t="shared" si="154"/>
        <v>-</v>
      </c>
      <c r="O305" s="263"/>
      <c r="P305" s="360" t="s">
        <v>143</v>
      </c>
      <c r="Q305" s="128"/>
      <c r="R305" s="287">
        <v>-100000</v>
      </c>
      <c r="S305" s="104" t="str">
        <f t="shared" si="141"/>
        <v>ok</v>
      </c>
    </row>
    <row r="306" spans="1:19" ht="31.5" customHeight="1">
      <c r="A306" s="770"/>
      <c r="B306" s="770"/>
      <c r="C306" s="100">
        <v>449</v>
      </c>
      <c r="D306" s="101" t="s">
        <v>55</v>
      </c>
      <c r="E306" s="272" t="s">
        <v>737</v>
      </c>
      <c r="F306" s="126">
        <v>2656000</v>
      </c>
      <c r="G306" s="126">
        <v>-100000</v>
      </c>
      <c r="H306" s="126"/>
      <c r="I306" s="102">
        <f t="shared" si="152"/>
        <v>2556000</v>
      </c>
      <c r="J306" s="361">
        <v>-100000</v>
      </c>
      <c r="K306" s="361"/>
      <c r="L306" s="665">
        <f t="shared" si="144"/>
        <v>2556000</v>
      </c>
      <c r="M306" s="665">
        <f t="shared" si="145"/>
        <v>0</v>
      </c>
      <c r="N306" s="749" t="str">
        <f t="shared" si="154"/>
        <v>-</v>
      </c>
      <c r="O306" s="263"/>
      <c r="P306" s="360" t="s">
        <v>143</v>
      </c>
      <c r="Q306" s="128"/>
      <c r="R306" s="287">
        <v>-100000</v>
      </c>
      <c r="S306" s="104" t="str">
        <f t="shared" si="141"/>
        <v>ok</v>
      </c>
    </row>
    <row r="307" spans="1:19" ht="31.5" customHeight="1">
      <c r="A307" s="770"/>
      <c r="B307" s="770"/>
      <c r="C307" s="100">
        <v>450</v>
      </c>
      <c r="D307" s="101" t="s">
        <v>55</v>
      </c>
      <c r="E307" s="272" t="s">
        <v>738</v>
      </c>
      <c r="F307" s="126">
        <v>1056000</v>
      </c>
      <c r="G307" s="126">
        <v>-128000</v>
      </c>
      <c r="H307" s="126"/>
      <c r="I307" s="102">
        <f t="shared" si="152"/>
        <v>928000</v>
      </c>
      <c r="J307" s="361">
        <v>-128000</v>
      </c>
      <c r="K307" s="361"/>
      <c r="L307" s="665">
        <f t="shared" si="144"/>
        <v>928000</v>
      </c>
      <c r="M307" s="665">
        <f t="shared" si="145"/>
        <v>0</v>
      </c>
      <c r="N307" s="749" t="str">
        <f t="shared" si="154"/>
        <v>-</v>
      </c>
      <c r="O307" s="263"/>
      <c r="P307" s="360" t="s">
        <v>739</v>
      </c>
      <c r="Q307" s="128"/>
      <c r="R307" s="287">
        <v>-128000</v>
      </c>
      <c r="S307" s="104" t="str">
        <f t="shared" si="141"/>
        <v>ok</v>
      </c>
    </row>
    <row r="308" spans="1:19" ht="31.5" customHeight="1">
      <c r="A308" s="770"/>
      <c r="B308" s="770"/>
      <c r="C308" s="100">
        <v>451</v>
      </c>
      <c r="D308" s="101" t="s">
        <v>55</v>
      </c>
      <c r="E308" s="101" t="s">
        <v>740</v>
      </c>
      <c r="F308" s="95">
        <v>230000</v>
      </c>
      <c r="G308" s="95"/>
      <c r="H308" s="95">
        <v>20000</v>
      </c>
      <c r="I308" s="102">
        <f t="shared" si="152"/>
        <v>250000</v>
      </c>
      <c r="J308" s="375"/>
      <c r="K308" s="375">
        <v>20000</v>
      </c>
      <c r="L308" s="665">
        <f t="shared" si="144"/>
        <v>250000</v>
      </c>
      <c r="M308" s="665">
        <f t="shared" si="145"/>
        <v>0</v>
      </c>
      <c r="N308" s="749" t="str">
        <f t="shared" si="154"/>
        <v>-</v>
      </c>
      <c r="O308" s="259"/>
      <c r="P308" s="378" t="s">
        <v>231</v>
      </c>
      <c r="Q308" s="103"/>
      <c r="R308" s="661">
        <f t="shared" ref="R308:R312" si="155">K308</f>
        <v>20000</v>
      </c>
      <c r="S308" s="104" t="str">
        <f t="shared" si="141"/>
        <v>ok</v>
      </c>
    </row>
    <row r="309" spans="1:19" ht="31.5" customHeight="1">
      <c r="A309" s="770"/>
      <c r="B309" s="770"/>
      <c r="C309" s="100">
        <v>454</v>
      </c>
      <c r="D309" s="101" t="s">
        <v>56</v>
      </c>
      <c r="E309" s="101" t="s">
        <v>741</v>
      </c>
      <c r="F309" s="111">
        <v>30000</v>
      </c>
      <c r="G309" s="111"/>
      <c r="H309" s="111">
        <v>20000</v>
      </c>
      <c r="I309" s="102">
        <f t="shared" si="152"/>
        <v>50000</v>
      </c>
      <c r="J309" s="111"/>
      <c r="K309" s="111">
        <v>20000</v>
      </c>
      <c r="L309" s="665">
        <f t="shared" si="144"/>
        <v>50000</v>
      </c>
      <c r="M309" s="665">
        <f t="shared" si="145"/>
        <v>0</v>
      </c>
      <c r="N309" s="749" t="str">
        <f t="shared" si="154"/>
        <v>-</v>
      </c>
      <c r="O309" s="259"/>
      <c r="P309" s="378" t="s">
        <v>231</v>
      </c>
      <c r="Q309" s="111"/>
      <c r="R309" s="661">
        <f t="shared" si="155"/>
        <v>20000</v>
      </c>
      <c r="S309" s="104" t="str">
        <f t="shared" si="141"/>
        <v>ok</v>
      </c>
    </row>
    <row r="310" spans="1:19" ht="43.5" customHeight="1">
      <c r="A310" s="770"/>
      <c r="B310" s="770"/>
      <c r="C310" s="279">
        <v>457</v>
      </c>
      <c r="D310" s="101" t="s">
        <v>57</v>
      </c>
      <c r="E310" s="288" t="s">
        <v>742</v>
      </c>
      <c r="F310" s="289">
        <v>480000</v>
      </c>
      <c r="G310" s="289"/>
      <c r="H310" s="289">
        <v>170000</v>
      </c>
      <c r="I310" s="102">
        <f t="shared" si="152"/>
        <v>650000</v>
      </c>
      <c r="J310" s="289"/>
      <c r="K310" s="289">
        <v>170000</v>
      </c>
      <c r="L310" s="665">
        <f t="shared" si="144"/>
        <v>650000</v>
      </c>
      <c r="M310" s="665">
        <f t="shared" si="145"/>
        <v>0</v>
      </c>
      <c r="N310" s="749" t="str">
        <f t="shared" si="154"/>
        <v>-</v>
      </c>
      <c r="O310" s="329" t="s">
        <v>743</v>
      </c>
      <c r="P310" s="378" t="s">
        <v>231</v>
      </c>
      <c r="Q310" s="289"/>
      <c r="R310" s="661">
        <f t="shared" si="155"/>
        <v>170000</v>
      </c>
      <c r="S310" s="104" t="str">
        <f t="shared" si="141"/>
        <v>ok</v>
      </c>
    </row>
    <row r="311" spans="1:19" ht="31.5" customHeight="1">
      <c r="A311" s="770"/>
      <c r="B311" s="770"/>
      <c r="C311" s="279">
        <v>458</v>
      </c>
      <c r="D311" s="101" t="s">
        <v>57</v>
      </c>
      <c r="E311" s="288" t="s">
        <v>744</v>
      </c>
      <c r="F311" s="99">
        <v>2188000</v>
      </c>
      <c r="G311" s="99"/>
      <c r="H311" s="99">
        <v>80000</v>
      </c>
      <c r="I311" s="102">
        <f t="shared" si="152"/>
        <v>2268000</v>
      </c>
      <c r="J311" s="374"/>
      <c r="K311" s="374">
        <v>80000</v>
      </c>
      <c r="L311" s="665">
        <f t="shared" si="144"/>
        <v>2268000</v>
      </c>
      <c r="M311" s="665">
        <f t="shared" si="145"/>
        <v>0</v>
      </c>
      <c r="N311" s="749" t="str">
        <f t="shared" si="154"/>
        <v>-</v>
      </c>
      <c r="O311" s="330" t="s">
        <v>745</v>
      </c>
      <c r="P311" s="378" t="s">
        <v>231</v>
      </c>
      <c r="Q311" s="99"/>
      <c r="R311" s="661">
        <f t="shared" si="155"/>
        <v>80000</v>
      </c>
      <c r="S311" s="104" t="str">
        <f t="shared" si="141"/>
        <v>ok</v>
      </c>
    </row>
    <row r="312" spans="1:19" ht="74.25" customHeight="1">
      <c r="A312" s="770"/>
      <c r="B312" s="770"/>
      <c r="C312" s="279">
        <v>459</v>
      </c>
      <c r="D312" s="101" t="s">
        <v>57</v>
      </c>
      <c r="E312" s="288" t="s">
        <v>746</v>
      </c>
      <c r="F312" s="99">
        <v>65000</v>
      </c>
      <c r="G312" s="99"/>
      <c r="H312" s="99">
        <v>95000</v>
      </c>
      <c r="I312" s="376">
        <f t="shared" si="152"/>
        <v>160000</v>
      </c>
      <c r="J312" s="374"/>
      <c r="K312" s="374">
        <v>95000</v>
      </c>
      <c r="L312" s="665">
        <f t="shared" si="144"/>
        <v>160000</v>
      </c>
      <c r="M312" s="665">
        <f t="shared" si="145"/>
        <v>0</v>
      </c>
      <c r="N312" s="749" t="str">
        <f t="shared" si="154"/>
        <v>-</v>
      </c>
      <c r="O312" s="330" t="s">
        <v>747</v>
      </c>
      <c r="P312" s="378" t="s">
        <v>231</v>
      </c>
      <c r="Q312" s="99"/>
      <c r="R312" s="661">
        <f t="shared" si="155"/>
        <v>95000</v>
      </c>
      <c r="S312" s="104" t="str">
        <f t="shared" si="141"/>
        <v>ok</v>
      </c>
    </row>
    <row r="313" spans="1:19" s="673" customFormat="1" ht="31.5" customHeight="1">
      <c r="A313" s="770"/>
      <c r="B313" s="770"/>
      <c r="C313" s="662">
        <v>456</v>
      </c>
      <c r="D313" s="658" t="s">
        <v>57</v>
      </c>
      <c r="E313" s="288" t="s">
        <v>1587</v>
      </c>
      <c r="F313" s="658">
        <v>97152</v>
      </c>
      <c r="G313" s="658"/>
      <c r="H313" s="658"/>
      <c r="I313" s="665">
        <f t="shared" si="152"/>
        <v>97152</v>
      </c>
      <c r="J313" s="658"/>
      <c r="K313" s="641">
        <v>11136</v>
      </c>
      <c r="L313" s="665">
        <f t="shared" si="144"/>
        <v>108288</v>
      </c>
      <c r="M313" s="665">
        <f t="shared" si="145"/>
        <v>11136</v>
      </c>
      <c r="N313" s="749" t="str">
        <f t="shared" si="154"/>
        <v>-</v>
      </c>
      <c r="O313" s="336"/>
      <c r="P313" s="653" t="s">
        <v>1588</v>
      </c>
      <c r="Q313" s="658"/>
      <c r="R313" s="661">
        <f>K313</f>
        <v>11136</v>
      </c>
      <c r="S313" s="648" t="str">
        <f t="shared" si="141"/>
        <v>검토</v>
      </c>
    </row>
    <row r="314" spans="1:19" s="673" customFormat="1" ht="31.5" customHeight="1">
      <c r="A314" s="770"/>
      <c r="B314" s="770"/>
      <c r="C314" s="662" t="s">
        <v>94</v>
      </c>
      <c r="D314" s="658" t="s">
        <v>57</v>
      </c>
      <c r="E314" s="288" t="s">
        <v>1589</v>
      </c>
      <c r="F314" s="658"/>
      <c r="G314" s="658"/>
      <c r="H314" s="658"/>
      <c r="I314" s="665">
        <f t="shared" si="152"/>
        <v>0</v>
      </c>
      <c r="J314" s="658"/>
      <c r="K314" s="641">
        <v>150000</v>
      </c>
      <c r="L314" s="665">
        <f t="shared" si="144"/>
        <v>150000</v>
      </c>
      <c r="M314" s="665">
        <f t="shared" si="145"/>
        <v>150000</v>
      </c>
      <c r="N314" s="749" t="str">
        <f t="shared" si="154"/>
        <v>-</v>
      </c>
      <c r="O314" s="336"/>
      <c r="P314" s="653" t="s">
        <v>1223</v>
      </c>
      <c r="Q314" s="658"/>
      <c r="R314" s="661">
        <f t="shared" ref="R314:R315" si="156">K314</f>
        <v>150000</v>
      </c>
      <c r="S314" s="648" t="str">
        <f t="shared" si="141"/>
        <v>검토</v>
      </c>
    </row>
    <row r="315" spans="1:19" s="673" customFormat="1" ht="31.5" customHeight="1">
      <c r="A315" s="770"/>
      <c r="B315" s="770"/>
      <c r="C315" s="662">
        <v>461</v>
      </c>
      <c r="D315" s="658" t="s">
        <v>57</v>
      </c>
      <c r="E315" s="288" t="s">
        <v>1590</v>
      </c>
      <c r="F315" s="658">
        <v>183750</v>
      </c>
      <c r="G315" s="658"/>
      <c r="H315" s="658"/>
      <c r="I315" s="665">
        <f t="shared" ref="I315" si="157">F315+G315+H315</f>
        <v>183750</v>
      </c>
      <c r="J315" s="658"/>
      <c r="K315" s="641">
        <v>150000</v>
      </c>
      <c r="L315" s="665">
        <f t="shared" si="144"/>
        <v>333750</v>
      </c>
      <c r="M315" s="665">
        <f t="shared" si="145"/>
        <v>150000</v>
      </c>
      <c r="N315" s="749" t="str">
        <f t="shared" si="154"/>
        <v>-</v>
      </c>
      <c r="O315" s="336"/>
      <c r="P315" s="653" t="s">
        <v>1552</v>
      </c>
      <c r="Q315" s="658"/>
      <c r="R315" s="661">
        <f t="shared" si="156"/>
        <v>150000</v>
      </c>
      <c r="S315" s="648" t="str">
        <f t="shared" ref="S315" si="158">IF((G315+H315)=(Q315+R315),"ok","검토")</f>
        <v>검토</v>
      </c>
    </row>
    <row r="316" spans="1:19" s="673" customFormat="1" ht="68.25" customHeight="1">
      <c r="A316" s="770"/>
      <c r="B316" s="770"/>
      <c r="C316" s="662">
        <v>462</v>
      </c>
      <c r="D316" s="658" t="s">
        <v>58</v>
      </c>
      <c r="E316" s="288" t="s">
        <v>1591</v>
      </c>
      <c r="F316" s="658">
        <v>1838000</v>
      </c>
      <c r="G316" s="658"/>
      <c r="H316" s="658"/>
      <c r="I316" s="665">
        <f t="shared" ref="I316" si="159">F316+G316+H316</f>
        <v>1838000</v>
      </c>
      <c r="J316" s="658"/>
      <c r="K316" s="641"/>
      <c r="L316" s="665">
        <f t="shared" si="144"/>
        <v>1838000</v>
      </c>
      <c r="M316" s="665">
        <f t="shared" si="145"/>
        <v>0</v>
      </c>
      <c r="N316" s="749" t="str">
        <f t="shared" si="154"/>
        <v>-</v>
      </c>
      <c r="O316" s="336" t="s">
        <v>1295</v>
      </c>
      <c r="P316" s="653" t="s">
        <v>1223</v>
      </c>
      <c r="Q316" s="658"/>
      <c r="R316" s="661">
        <f>K316</f>
        <v>0</v>
      </c>
      <c r="S316" s="648" t="str">
        <f t="shared" ref="S316" si="160">IF((G316+H316)=(Q316+R316),"ok","검토")</f>
        <v>ok</v>
      </c>
    </row>
    <row r="317" spans="1:19" s="673" customFormat="1" ht="75.75" customHeight="1">
      <c r="A317" s="770"/>
      <c r="B317" s="770"/>
      <c r="C317" s="662">
        <v>462</v>
      </c>
      <c r="D317" s="658" t="s">
        <v>58</v>
      </c>
      <c r="E317" s="288" t="s">
        <v>1592</v>
      </c>
      <c r="F317" s="658">
        <v>308971</v>
      </c>
      <c r="G317" s="658"/>
      <c r="H317" s="658">
        <v>100000</v>
      </c>
      <c r="I317" s="665">
        <f t="shared" si="152"/>
        <v>408971</v>
      </c>
      <c r="J317" s="658"/>
      <c r="K317" s="641">
        <v>100000</v>
      </c>
      <c r="L317" s="665">
        <f t="shared" si="144"/>
        <v>408971</v>
      </c>
      <c r="M317" s="665">
        <f t="shared" si="145"/>
        <v>0</v>
      </c>
      <c r="N317" s="749" t="str">
        <f t="shared" si="154"/>
        <v>-</v>
      </c>
      <c r="O317" s="336" t="s">
        <v>1296</v>
      </c>
      <c r="P317" s="653" t="s">
        <v>1223</v>
      </c>
      <c r="Q317" s="658"/>
      <c r="R317" s="661">
        <f>K317</f>
        <v>100000</v>
      </c>
      <c r="S317" s="648" t="str">
        <f t="shared" si="141"/>
        <v>ok</v>
      </c>
    </row>
    <row r="318" spans="1:19" s="673" customFormat="1" ht="63.75" customHeight="1">
      <c r="A318" s="770"/>
      <c r="B318" s="770"/>
      <c r="C318" s="662">
        <v>462</v>
      </c>
      <c r="D318" s="658" t="s">
        <v>1297</v>
      </c>
      <c r="E318" s="288" t="s">
        <v>1593</v>
      </c>
      <c r="F318" s="658">
        <v>78000</v>
      </c>
      <c r="G318" s="658"/>
      <c r="H318" s="658"/>
      <c r="I318" s="665">
        <f t="shared" ref="I318" si="161">F318+G318+H318</f>
        <v>78000</v>
      </c>
      <c r="J318" s="658"/>
      <c r="K318" s="641"/>
      <c r="L318" s="665">
        <f t="shared" ref="L318" si="162">F318+J318+K318</f>
        <v>78000</v>
      </c>
      <c r="M318" s="665">
        <f t="shared" ref="M318" si="163">L318-I318</f>
        <v>0</v>
      </c>
      <c r="N318" s="749" t="str">
        <f t="shared" si="154"/>
        <v>-</v>
      </c>
      <c r="O318" s="336" t="s">
        <v>1298</v>
      </c>
      <c r="P318" s="653" t="s">
        <v>1223</v>
      </c>
      <c r="Q318" s="658"/>
      <c r="R318" s="661">
        <f>K318</f>
        <v>0</v>
      </c>
      <c r="S318" s="648" t="str">
        <f t="shared" ref="S318" si="164">IF((G318+H318)=(Q318+R318),"ok","검토")</f>
        <v>ok</v>
      </c>
    </row>
    <row r="319" spans="1:19" s="673" customFormat="1" ht="51" customHeight="1">
      <c r="A319" s="770"/>
      <c r="B319" s="770"/>
      <c r="C319" s="662">
        <v>466</v>
      </c>
      <c r="D319" s="658" t="s">
        <v>58</v>
      </c>
      <c r="E319" s="288" t="s">
        <v>1594</v>
      </c>
      <c r="F319" s="658">
        <v>477105</v>
      </c>
      <c r="G319" s="658"/>
      <c r="H319" s="658">
        <v>100000</v>
      </c>
      <c r="I319" s="665">
        <f t="shared" si="152"/>
        <v>577105</v>
      </c>
      <c r="J319" s="658"/>
      <c r="K319" s="641">
        <v>300000</v>
      </c>
      <c r="L319" s="665">
        <f t="shared" si="144"/>
        <v>777105</v>
      </c>
      <c r="M319" s="665">
        <f t="shared" si="145"/>
        <v>200000</v>
      </c>
      <c r="N319" s="749" t="str">
        <f t="shared" si="154"/>
        <v>-</v>
      </c>
      <c r="O319" s="336" t="s">
        <v>1442</v>
      </c>
      <c r="P319" s="653" t="s">
        <v>1223</v>
      </c>
      <c r="Q319" s="658"/>
      <c r="R319" s="661">
        <f>K319</f>
        <v>300000</v>
      </c>
      <c r="S319" s="648" t="str">
        <f t="shared" si="141"/>
        <v>검토</v>
      </c>
    </row>
    <row r="320" spans="1:19" s="673" customFormat="1" ht="44.25" customHeight="1">
      <c r="A320" s="770"/>
      <c r="B320" s="770"/>
      <c r="C320" s="662">
        <v>468</v>
      </c>
      <c r="D320" s="658" t="s">
        <v>58</v>
      </c>
      <c r="E320" s="288" t="s">
        <v>1595</v>
      </c>
      <c r="F320" s="658">
        <v>138000</v>
      </c>
      <c r="G320" s="658"/>
      <c r="H320" s="658"/>
      <c r="I320" s="665">
        <f t="shared" si="152"/>
        <v>138000</v>
      </c>
      <c r="J320" s="658">
        <v>-138000</v>
      </c>
      <c r="K320" s="641"/>
      <c r="L320" s="665">
        <f t="shared" si="144"/>
        <v>0</v>
      </c>
      <c r="M320" s="665">
        <f t="shared" si="145"/>
        <v>-138000</v>
      </c>
      <c r="N320" s="749" t="str">
        <f t="shared" si="154"/>
        <v>-</v>
      </c>
      <c r="O320" s="336" t="s">
        <v>1299</v>
      </c>
      <c r="P320" s="653"/>
      <c r="Q320" s="658"/>
      <c r="R320" s="661"/>
      <c r="S320" s="648"/>
    </row>
    <row r="321" spans="1:19" s="673" customFormat="1" ht="39" customHeight="1">
      <c r="A321" s="770"/>
      <c r="B321" s="770"/>
      <c r="C321" s="662" t="s">
        <v>1287</v>
      </c>
      <c r="D321" s="658" t="s">
        <v>58</v>
      </c>
      <c r="E321" s="288" t="s">
        <v>1596</v>
      </c>
      <c r="F321" s="658"/>
      <c r="G321" s="658"/>
      <c r="H321" s="658"/>
      <c r="I321" s="665">
        <f t="shared" ref="I321" si="165">F321+G321+H321</f>
        <v>0</v>
      </c>
      <c r="J321" s="658"/>
      <c r="K321" s="641">
        <v>138000</v>
      </c>
      <c r="L321" s="665">
        <f t="shared" ref="L321" si="166">F321+J321+K321</f>
        <v>138000</v>
      </c>
      <c r="M321" s="665">
        <f t="shared" ref="M321" si="167">L321-I321</f>
        <v>138000</v>
      </c>
      <c r="N321" s="749" t="str">
        <f t="shared" si="154"/>
        <v>-</v>
      </c>
      <c r="O321" s="336" t="s">
        <v>1300</v>
      </c>
      <c r="P321" s="653"/>
      <c r="Q321" s="658"/>
      <c r="R321" s="661"/>
      <c r="S321" s="648"/>
    </row>
    <row r="322" spans="1:19" ht="57" customHeight="1">
      <c r="A322" s="770"/>
      <c r="B322" s="770"/>
      <c r="C322" s="279">
        <v>468</v>
      </c>
      <c r="D322" s="99" t="s">
        <v>58</v>
      </c>
      <c r="E322" s="288" t="s">
        <v>748</v>
      </c>
      <c r="F322" s="99">
        <v>400000</v>
      </c>
      <c r="G322" s="99">
        <v>-50000</v>
      </c>
      <c r="H322" s="99"/>
      <c r="I322" s="376">
        <f t="shared" si="152"/>
        <v>350000</v>
      </c>
      <c r="J322" s="374">
        <v>-50000</v>
      </c>
      <c r="K322" s="374"/>
      <c r="L322" s="376">
        <f t="shared" si="144"/>
        <v>350000</v>
      </c>
      <c r="M322" s="376">
        <f t="shared" si="145"/>
        <v>0</v>
      </c>
      <c r="N322" s="749" t="str">
        <f t="shared" si="154"/>
        <v>-</v>
      </c>
      <c r="O322" s="330"/>
      <c r="P322" s="378" t="s">
        <v>231</v>
      </c>
      <c r="Q322" s="99"/>
      <c r="R322" s="661">
        <f>J322</f>
        <v>-50000</v>
      </c>
      <c r="S322" s="104" t="str">
        <f t="shared" si="141"/>
        <v>ok</v>
      </c>
    </row>
    <row r="323" spans="1:19" ht="52.5" customHeight="1">
      <c r="A323" s="770">
        <v>1</v>
      </c>
      <c r="B323" s="770"/>
      <c r="C323" s="279">
        <v>470</v>
      </c>
      <c r="D323" s="99" t="s">
        <v>59</v>
      </c>
      <c r="E323" s="744" t="s">
        <v>749</v>
      </c>
      <c r="F323" s="99">
        <v>5606000</v>
      </c>
      <c r="G323" s="290"/>
      <c r="H323" s="290">
        <v>250000</v>
      </c>
      <c r="I323" s="376">
        <f t="shared" si="152"/>
        <v>5856000</v>
      </c>
      <c r="J323" s="290"/>
      <c r="K323" s="290">
        <v>450000</v>
      </c>
      <c r="L323" s="376">
        <f t="shared" si="144"/>
        <v>6056000</v>
      </c>
      <c r="M323" s="376">
        <f t="shared" si="145"/>
        <v>200000</v>
      </c>
      <c r="N323" s="749" t="str">
        <f t="shared" si="154"/>
        <v>-</v>
      </c>
      <c r="O323" s="330" t="s">
        <v>1443</v>
      </c>
      <c r="P323" s="378" t="s">
        <v>231</v>
      </c>
      <c r="Q323" s="99"/>
      <c r="R323" s="661">
        <f>K323</f>
        <v>450000</v>
      </c>
      <c r="S323" s="104" t="str">
        <f t="shared" si="141"/>
        <v>검토</v>
      </c>
    </row>
    <row r="324" spans="1:19" s="673" customFormat="1" ht="31.5" customHeight="1">
      <c r="A324" s="770"/>
      <c r="B324" s="770"/>
      <c r="C324" s="662">
        <v>470</v>
      </c>
      <c r="D324" s="658" t="s">
        <v>59</v>
      </c>
      <c r="E324" s="288" t="s">
        <v>1597</v>
      </c>
      <c r="F324" s="658">
        <v>250000</v>
      </c>
      <c r="G324" s="658">
        <v>-100000</v>
      </c>
      <c r="H324" s="658"/>
      <c r="I324" s="665">
        <f t="shared" si="152"/>
        <v>150000</v>
      </c>
      <c r="J324" s="658">
        <v>-50000</v>
      </c>
      <c r="K324" s="641"/>
      <c r="L324" s="665">
        <f t="shared" si="144"/>
        <v>200000</v>
      </c>
      <c r="M324" s="665">
        <f t="shared" si="145"/>
        <v>50000</v>
      </c>
      <c r="N324" s="749" t="str">
        <f t="shared" si="154"/>
        <v>검토</v>
      </c>
      <c r="O324" s="336"/>
      <c r="P324" s="653" t="s">
        <v>1223</v>
      </c>
      <c r="Q324" s="658"/>
      <c r="R324" s="661">
        <f t="shared" ref="R324:R325" si="168">J324</f>
        <v>-50000</v>
      </c>
      <c r="S324" s="648" t="str">
        <f t="shared" si="141"/>
        <v>검토</v>
      </c>
    </row>
    <row r="325" spans="1:19" ht="31.5" customHeight="1">
      <c r="A325" s="770"/>
      <c r="B325" s="770"/>
      <c r="C325" s="279">
        <v>470</v>
      </c>
      <c r="D325" s="99" t="s">
        <v>59</v>
      </c>
      <c r="E325" s="99" t="s">
        <v>750</v>
      </c>
      <c r="F325" s="99">
        <v>2000000</v>
      </c>
      <c r="G325" s="99">
        <v>-500000</v>
      </c>
      <c r="H325" s="99"/>
      <c r="I325" s="102">
        <f t="shared" si="152"/>
        <v>1500000</v>
      </c>
      <c r="J325" s="374">
        <v>-500000</v>
      </c>
      <c r="K325" s="374"/>
      <c r="L325" s="376">
        <f t="shared" si="144"/>
        <v>1500000</v>
      </c>
      <c r="M325" s="376">
        <f t="shared" si="145"/>
        <v>0</v>
      </c>
      <c r="N325" s="749" t="str">
        <f t="shared" si="154"/>
        <v>-</v>
      </c>
      <c r="O325" s="330"/>
      <c r="P325" s="378" t="s">
        <v>231</v>
      </c>
      <c r="Q325" s="99"/>
      <c r="R325" s="661">
        <f t="shared" si="168"/>
        <v>-500000</v>
      </c>
      <c r="S325" s="104" t="str">
        <f t="shared" si="141"/>
        <v>ok</v>
      </c>
    </row>
    <row r="326" spans="1:19" ht="31.5" customHeight="1">
      <c r="A326" s="770"/>
      <c r="B326" s="770"/>
      <c r="C326" s="279">
        <v>471</v>
      </c>
      <c r="D326" s="99" t="s">
        <v>59</v>
      </c>
      <c r="E326" s="99" t="s">
        <v>751</v>
      </c>
      <c r="F326" s="99">
        <v>400000</v>
      </c>
      <c r="G326" s="99"/>
      <c r="H326" s="99">
        <v>120000</v>
      </c>
      <c r="I326" s="102">
        <f t="shared" si="152"/>
        <v>520000</v>
      </c>
      <c r="J326" s="374"/>
      <c r="K326" s="374">
        <v>120000</v>
      </c>
      <c r="L326" s="376">
        <f t="shared" si="144"/>
        <v>520000</v>
      </c>
      <c r="M326" s="376">
        <f t="shared" si="145"/>
        <v>0</v>
      </c>
      <c r="N326" s="749" t="str">
        <f t="shared" si="154"/>
        <v>-</v>
      </c>
      <c r="O326" s="312" t="s">
        <v>752</v>
      </c>
      <c r="P326" s="291" t="s">
        <v>238</v>
      </c>
      <c r="Q326" s="99"/>
      <c r="R326" s="290">
        <v>120000</v>
      </c>
      <c r="S326" s="104" t="str">
        <f t="shared" si="141"/>
        <v>ok</v>
      </c>
    </row>
    <row r="327" spans="1:19" ht="31.5" customHeight="1">
      <c r="A327" s="770"/>
      <c r="B327" s="770"/>
      <c r="C327" s="279">
        <v>471</v>
      </c>
      <c r="D327" s="99" t="s">
        <v>59</v>
      </c>
      <c r="E327" s="99" t="s">
        <v>753</v>
      </c>
      <c r="F327" s="99">
        <v>400000</v>
      </c>
      <c r="G327" s="99"/>
      <c r="H327" s="99">
        <v>120000</v>
      </c>
      <c r="I327" s="376">
        <f t="shared" si="152"/>
        <v>520000</v>
      </c>
      <c r="J327" s="374"/>
      <c r="K327" s="374">
        <v>120000</v>
      </c>
      <c r="L327" s="376">
        <f t="shared" si="144"/>
        <v>520000</v>
      </c>
      <c r="M327" s="376">
        <f t="shared" si="145"/>
        <v>0</v>
      </c>
      <c r="N327" s="749" t="str">
        <f t="shared" si="154"/>
        <v>-</v>
      </c>
      <c r="O327" s="312" t="s">
        <v>752</v>
      </c>
      <c r="P327" s="291" t="s">
        <v>238</v>
      </c>
      <c r="Q327" s="99"/>
      <c r="R327" s="290">
        <v>120000</v>
      </c>
      <c r="S327" s="104" t="str">
        <f t="shared" si="141"/>
        <v>ok</v>
      </c>
    </row>
    <row r="328" spans="1:19" ht="31.5" customHeight="1">
      <c r="A328" s="770"/>
      <c r="B328" s="770"/>
      <c r="C328" s="279">
        <v>476</v>
      </c>
      <c r="D328" s="99" t="s">
        <v>60</v>
      </c>
      <c r="E328" s="99" t="s">
        <v>754</v>
      </c>
      <c r="F328" s="99">
        <v>45000</v>
      </c>
      <c r="G328" s="99">
        <v>-45000</v>
      </c>
      <c r="H328" s="99"/>
      <c r="I328" s="376">
        <f t="shared" si="152"/>
        <v>0</v>
      </c>
      <c r="J328" s="374">
        <v>-45000</v>
      </c>
      <c r="K328" s="374"/>
      <c r="L328" s="376">
        <f t="shared" si="144"/>
        <v>0</v>
      </c>
      <c r="M328" s="376">
        <f t="shared" si="145"/>
        <v>0</v>
      </c>
      <c r="N328" s="749" t="str">
        <f t="shared" si="154"/>
        <v>-</v>
      </c>
      <c r="O328" s="330"/>
      <c r="P328" s="378" t="s">
        <v>689</v>
      </c>
      <c r="Q328" s="99"/>
      <c r="R328" s="661">
        <f>J328</f>
        <v>-45000</v>
      </c>
      <c r="S328" s="104" t="str">
        <f t="shared" si="141"/>
        <v>ok</v>
      </c>
    </row>
    <row r="329" spans="1:19" ht="31.5" customHeight="1">
      <c r="A329" s="770"/>
      <c r="B329" s="770"/>
      <c r="C329" s="279" t="s">
        <v>755</v>
      </c>
      <c r="D329" s="99" t="s">
        <v>55</v>
      </c>
      <c r="E329" s="99" t="s">
        <v>61</v>
      </c>
      <c r="F329" s="99"/>
      <c r="G329" s="99"/>
      <c r="H329" s="99">
        <v>928200</v>
      </c>
      <c r="I329" s="102">
        <f t="shared" si="152"/>
        <v>928200</v>
      </c>
      <c r="J329" s="374"/>
      <c r="K329" s="374">
        <v>500000</v>
      </c>
      <c r="L329" s="376">
        <f t="shared" si="144"/>
        <v>500000</v>
      </c>
      <c r="M329" s="376">
        <f t="shared" si="145"/>
        <v>-428200</v>
      </c>
      <c r="N329" s="749" t="str">
        <f t="shared" si="154"/>
        <v>-</v>
      </c>
      <c r="O329" s="330"/>
      <c r="P329" s="360" t="s">
        <v>689</v>
      </c>
      <c r="Q329" s="99"/>
      <c r="R329" s="661">
        <f t="shared" ref="R329:R332" si="169">K329</f>
        <v>500000</v>
      </c>
      <c r="S329" s="104" t="str">
        <f t="shared" si="141"/>
        <v>검토</v>
      </c>
    </row>
    <row r="330" spans="1:19" s="673" customFormat="1" ht="31.5" customHeight="1">
      <c r="A330" s="770"/>
      <c r="B330" s="770"/>
      <c r="C330" s="662" t="s">
        <v>755</v>
      </c>
      <c r="D330" s="658" t="s">
        <v>55</v>
      </c>
      <c r="E330" s="288" t="s">
        <v>1598</v>
      </c>
      <c r="F330" s="658"/>
      <c r="G330" s="658"/>
      <c r="H330" s="658">
        <v>100000</v>
      </c>
      <c r="I330" s="665">
        <f t="shared" si="152"/>
        <v>100000</v>
      </c>
      <c r="J330" s="658"/>
      <c r="K330" s="641">
        <v>100000</v>
      </c>
      <c r="L330" s="665">
        <f t="shared" si="144"/>
        <v>100000</v>
      </c>
      <c r="M330" s="665">
        <f t="shared" si="145"/>
        <v>0</v>
      </c>
      <c r="N330" s="749" t="str">
        <f t="shared" si="154"/>
        <v>-</v>
      </c>
      <c r="O330" s="336"/>
      <c r="P330" s="653" t="s">
        <v>1223</v>
      </c>
      <c r="Q330" s="658"/>
      <c r="R330" s="661">
        <f t="shared" si="169"/>
        <v>100000</v>
      </c>
      <c r="S330" s="648" t="str">
        <f t="shared" si="141"/>
        <v>ok</v>
      </c>
    </row>
    <row r="331" spans="1:19" ht="31.5" customHeight="1">
      <c r="A331" s="770"/>
      <c r="B331" s="770"/>
      <c r="C331" s="279" t="s">
        <v>755</v>
      </c>
      <c r="D331" s="99" t="s">
        <v>59</v>
      </c>
      <c r="E331" s="99" t="s">
        <v>62</v>
      </c>
      <c r="F331" s="99"/>
      <c r="G331" s="99"/>
      <c r="H331" s="99">
        <v>500000</v>
      </c>
      <c r="I331" s="102">
        <f t="shared" si="152"/>
        <v>500000</v>
      </c>
      <c r="J331" s="374"/>
      <c r="K331" s="374">
        <v>500000</v>
      </c>
      <c r="L331" s="376">
        <f t="shared" si="144"/>
        <v>500000</v>
      </c>
      <c r="M331" s="376">
        <f t="shared" si="145"/>
        <v>0</v>
      </c>
      <c r="N331" s="749" t="str">
        <f t="shared" si="154"/>
        <v>-</v>
      </c>
      <c r="O331" s="330"/>
      <c r="P331" s="360" t="s">
        <v>689</v>
      </c>
      <c r="Q331" s="99"/>
      <c r="R331" s="661">
        <f t="shared" si="169"/>
        <v>500000</v>
      </c>
      <c r="S331" s="104" t="str">
        <f t="shared" si="141"/>
        <v>ok</v>
      </c>
    </row>
    <row r="332" spans="1:19" s="430" customFormat="1" ht="31.5" customHeight="1">
      <c r="A332" s="770"/>
      <c r="B332" s="770"/>
      <c r="C332" s="355" t="s">
        <v>28</v>
      </c>
      <c r="D332" s="431" t="s">
        <v>60</v>
      </c>
      <c r="E332" s="431" t="s">
        <v>63</v>
      </c>
      <c r="F332" s="431"/>
      <c r="G332" s="431"/>
      <c r="H332" s="431">
        <v>200000</v>
      </c>
      <c r="I332" s="432">
        <f t="shared" ref="I332:I337" si="170">F332+G332+H332</f>
        <v>200000</v>
      </c>
      <c r="J332" s="431"/>
      <c r="K332" s="431">
        <v>200000</v>
      </c>
      <c r="L332" s="432">
        <f t="shared" ref="L332" si="171">F332+J332+K332</f>
        <v>200000</v>
      </c>
      <c r="M332" s="432">
        <f t="shared" ref="M332" si="172">L332-I332</f>
        <v>0</v>
      </c>
      <c r="N332" s="749" t="str">
        <f t="shared" si="154"/>
        <v>-</v>
      </c>
      <c r="O332" s="330"/>
      <c r="P332" s="434" t="s">
        <v>27</v>
      </c>
      <c r="Q332" s="377"/>
      <c r="R332" s="661">
        <f t="shared" si="169"/>
        <v>200000</v>
      </c>
      <c r="S332" s="433" t="str">
        <f t="shared" si="141"/>
        <v>ok</v>
      </c>
    </row>
    <row r="333" spans="1:19" s="673" customFormat="1" ht="123" customHeight="1">
      <c r="A333" s="770"/>
      <c r="B333" s="770"/>
      <c r="C333" s="662">
        <v>475</v>
      </c>
      <c r="D333" s="658" t="s">
        <v>60</v>
      </c>
      <c r="E333" s="288" t="s">
        <v>1599</v>
      </c>
      <c r="F333" s="658">
        <v>7731000</v>
      </c>
      <c r="G333" s="658">
        <v>-250000</v>
      </c>
      <c r="H333" s="658">
        <v>250000</v>
      </c>
      <c r="I333" s="665">
        <f t="shared" si="170"/>
        <v>7731000</v>
      </c>
      <c r="J333" s="658"/>
      <c r="K333" s="641"/>
      <c r="L333" s="665">
        <f t="shared" ref="L333" si="173">F333+J333+K333</f>
        <v>7731000</v>
      </c>
      <c r="M333" s="665">
        <f t="shared" ref="M333" si="174">L333-I333</f>
        <v>0</v>
      </c>
      <c r="N333" s="749" t="str">
        <f t="shared" si="154"/>
        <v>-</v>
      </c>
      <c r="O333" s="336" t="s">
        <v>1341</v>
      </c>
      <c r="P333" s="653" t="s">
        <v>1600</v>
      </c>
      <c r="Q333" s="658"/>
      <c r="R333" s="661">
        <f>K333</f>
        <v>0</v>
      </c>
      <c r="S333" s="648" t="str">
        <f t="shared" si="141"/>
        <v>ok</v>
      </c>
    </row>
    <row r="334" spans="1:19" s="673" customFormat="1" ht="31.5" customHeight="1">
      <c r="A334" s="770"/>
      <c r="B334" s="770"/>
      <c r="C334" s="662" t="s">
        <v>94</v>
      </c>
      <c r="D334" s="658" t="s">
        <v>60</v>
      </c>
      <c r="E334" s="288" t="s">
        <v>1601</v>
      </c>
      <c r="F334" s="658"/>
      <c r="G334" s="658"/>
      <c r="H334" s="658"/>
      <c r="I334" s="665">
        <f>F334+G334+H334</f>
        <v>0</v>
      </c>
      <c r="J334" s="658"/>
      <c r="K334" s="641">
        <v>170000</v>
      </c>
      <c r="L334" s="665">
        <f>F334+J334+K334</f>
        <v>170000</v>
      </c>
      <c r="M334" s="665">
        <f>L334-I334</f>
        <v>170000</v>
      </c>
      <c r="N334" s="749" t="str">
        <f>IF(AND(((G334+H334)&lt;0),(J334+K334)&gt;(G334+H334)),"검토","-")</f>
        <v>-</v>
      </c>
      <c r="O334" s="336" t="s">
        <v>1186</v>
      </c>
      <c r="P334" s="653" t="s">
        <v>1552</v>
      </c>
      <c r="Q334" s="658">
        <f>K334</f>
        <v>170000</v>
      </c>
      <c r="R334" s="661"/>
      <c r="S334" s="648" t="str">
        <f>IF((G334+H334)=(Q334+R334),"ok","검토")</f>
        <v>검토</v>
      </c>
    </row>
    <row r="335" spans="1:19" s="673" customFormat="1" ht="31.5" customHeight="1">
      <c r="A335" s="770"/>
      <c r="B335" s="770"/>
      <c r="C335" s="662" t="s">
        <v>94</v>
      </c>
      <c r="D335" s="658" t="s">
        <v>60</v>
      </c>
      <c r="E335" s="288" t="s">
        <v>1602</v>
      </c>
      <c r="F335" s="658"/>
      <c r="G335" s="658"/>
      <c r="H335" s="658"/>
      <c r="I335" s="665">
        <f>F335+G335+H335</f>
        <v>0</v>
      </c>
      <c r="J335" s="658"/>
      <c r="K335" s="641">
        <v>300000</v>
      </c>
      <c r="L335" s="665">
        <f>F335+J335+K335</f>
        <v>300000</v>
      </c>
      <c r="M335" s="665">
        <f>L335-I335</f>
        <v>300000</v>
      </c>
      <c r="N335" s="749" t="str">
        <f>IF(AND(((G335+H335)&lt;0),(J335+K335)&gt;(G335+H335)),"검토","-")</f>
        <v>-</v>
      </c>
      <c r="O335" s="336" t="s">
        <v>1186</v>
      </c>
      <c r="P335" s="653" t="s">
        <v>1552</v>
      </c>
      <c r="Q335" s="658">
        <f>K335</f>
        <v>300000</v>
      </c>
      <c r="R335" s="661"/>
      <c r="S335" s="648" t="str">
        <f>IF((G335+H335)=(Q335+R335),"ok","검토")</f>
        <v>검토</v>
      </c>
    </row>
    <row r="336" spans="1:19" s="673" customFormat="1" ht="27" customHeight="1">
      <c r="A336" s="775">
        <v>1</v>
      </c>
      <c r="B336" s="775"/>
      <c r="C336" s="698" t="s">
        <v>1342</v>
      </c>
      <c r="D336" s="699" t="s">
        <v>1343</v>
      </c>
      <c r="E336" s="697" t="s">
        <v>1347</v>
      </c>
      <c r="F336" s="700"/>
      <c r="G336" s="692"/>
      <c r="H336" s="693"/>
      <c r="I336" s="636">
        <f t="shared" si="170"/>
        <v>0</v>
      </c>
      <c r="J336" s="697"/>
      <c r="K336" s="697">
        <v>200000</v>
      </c>
      <c r="L336" s="636">
        <f t="shared" ref="L336" si="175">F336+J336+K336</f>
        <v>200000</v>
      </c>
      <c r="M336" s="636">
        <f t="shared" ref="M336" si="176">L336-I336</f>
        <v>200000</v>
      </c>
      <c r="N336" s="750" t="str">
        <f t="shared" si="154"/>
        <v>-</v>
      </c>
      <c r="O336" s="703"/>
      <c r="P336" s="694" t="s">
        <v>1344</v>
      </c>
      <c r="Q336" s="695"/>
      <c r="R336" s="661">
        <f>K336</f>
        <v>200000</v>
      </c>
      <c r="S336" s="696"/>
    </row>
    <row r="337" spans="1:19" s="673" customFormat="1" ht="27" customHeight="1">
      <c r="A337" s="775"/>
      <c r="B337" s="775"/>
      <c r="C337" s="698">
        <v>447</v>
      </c>
      <c r="D337" s="699" t="s">
        <v>1467</v>
      </c>
      <c r="E337" s="697" t="s">
        <v>1462</v>
      </c>
      <c r="F337" s="700">
        <v>22600</v>
      </c>
      <c r="G337" s="692"/>
      <c r="H337" s="693"/>
      <c r="I337" s="636">
        <f t="shared" si="170"/>
        <v>22600</v>
      </c>
      <c r="J337" s="697"/>
      <c r="K337" s="697">
        <v>20000</v>
      </c>
      <c r="L337" s="636">
        <f t="shared" ref="L337" si="177">F337+J337+K337</f>
        <v>42600</v>
      </c>
      <c r="M337" s="636">
        <f t="shared" ref="M337" si="178">L337-I337</f>
        <v>20000</v>
      </c>
      <c r="N337" s="750" t="str">
        <f t="shared" si="154"/>
        <v>-</v>
      </c>
      <c r="O337" s="703"/>
      <c r="P337" s="694" t="s">
        <v>1344</v>
      </c>
      <c r="Q337" s="695"/>
      <c r="R337" s="661"/>
      <c r="S337" s="696"/>
    </row>
    <row r="338" spans="1:19" ht="31.5" customHeight="1">
      <c r="A338" s="445" t="s">
        <v>756</v>
      </c>
      <c r="B338" s="772"/>
      <c r="C338" s="26"/>
      <c r="D338" s="26"/>
      <c r="E338" s="26"/>
      <c r="F338" s="27">
        <f t="shared" ref="F338" si="179">SUM(F339:F391)/2</f>
        <v>34102573</v>
      </c>
      <c r="G338" s="27">
        <f t="shared" ref="G338:I338" si="180">SUM(G339:G391)/2</f>
        <v>-2998424</v>
      </c>
      <c r="H338" s="27">
        <f t="shared" si="180"/>
        <v>5155450</v>
      </c>
      <c r="I338" s="27">
        <f t="shared" si="180"/>
        <v>36259599</v>
      </c>
      <c r="J338" s="369">
        <f t="shared" ref="J338:K338" si="181">SUM(J339:J391)/2</f>
        <v>-3045424</v>
      </c>
      <c r="K338" s="369">
        <f t="shared" si="181"/>
        <v>18770600</v>
      </c>
      <c r="L338" s="369">
        <f t="shared" si="144"/>
        <v>49827749</v>
      </c>
      <c r="M338" s="369">
        <f t="shared" si="145"/>
        <v>13568150</v>
      </c>
      <c r="N338" s="626" t="str">
        <f t="shared" si="154"/>
        <v>-</v>
      </c>
      <c r="O338" s="320"/>
      <c r="P338" s="26"/>
      <c r="Q338" s="27">
        <f t="shared" ref="Q338:R338" si="182">SUM(Q339:Q391)/2</f>
        <v>309500</v>
      </c>
      <c r="R338" s="27">
        <f t="shared" si="182"/>
        <v>15465676</v>
      </c>
      <c r="S338" s="26" t="str">
        <f t="shared" si="141"/>
        <v>검토</v>
      </c>
    </row>
    <row r="339" spans="1:19" ht="31.5" customHeight="1">
      <c r="A339" s="770"/>
      <c r="B339" s="612" t="s">
        <v>114</v>
      </c>
      <c r="C339" s="628"/>
      <c r="D339" s="31"/>
      <c r="E339" s="31"/>
      <c r="F339" s="32">
        <f>SUM(F340:F364)</f>
        <v>20528123</v>
      </c>
      <c r="G339" s="32">
        <f t="shared" ref="G339:I339" si="183">SUM(G340:G364)</f>
        <v>-1420424</v>
      </c>
      <c r="H339" s="32">
        <f t="shared" si="183"/>
        <v>3089500</v>
      </c>
      <c r="I339" s="32">
        <f t="shared" si="183"/>
        <v>22197199</v>
      </c>
      <c r="J339" s="370">
        <f t="shared" ref="J339:K339" si="184">SUM(J340:J364)</f>
        <v>-1467424</v>
      </c>
      <c r="K339" s="370">
        <f t="shared" si="184"/>
        <v>17029500</v>
      </c>
      <c r="L339" s="370">
        <f t="shared" si="144"/>
        <v>36090199</v>
      </c>
      <c r="M339" s="370">
        <f t="shared" si="145"/>
        <v>13893000</v>
      </c>
      <c r="N339" s="628" t="str">
        <f t="shared" si="154"/>
        <v>-</v>
      </c>
      <c r="O339" s="321"/>
      <c r="P339" s="30"/>
      <c r="Q339" s="32">
        <f t="shared" ref="Q339:R339" si="185">SUM(Q340:Q364)</f>
        <v>300500</v>
      </c>
      <c r="R339" s="32">
        <f t="shared" si="185"/>
        <v>15261576</v>
      </c>
      <c r="S339" s="30" t="str">
        <f t="shared" si="141"/>
        <v>검토</v>
      </c>
    </row>
    <row r="340" spans="1:19" ht="31.5" customHeight="1">
      <c r="A340" s="770"/>
      <c r="B340" s="770"/>
      <c r="C340" s="100" t="s">
        <v>94</v>
      </c>
      <c r="D340" s="111" t="s">
        <v>118</v>
      </c>
      <c r="E340" s="140" t="s">
        <v>757</v>
      </c>
      <c r="F340" s="95"/>
      <c r="G340" s="95"/>
      <c r="H340" s="95">
        <v>84000</v>
      </c>
      <c r="I340" s="102">
        <f t="shared" ref="I340:I360" si="186">F340+G340+H340</f>
        <v>84000</v>
      </c>
      <c r="J340" s="375"/>
      <c r="K340" s="375">
        <v>84000</v>
      </c>
      <c r="L340" s="376">
        <f t="shared" si="144"/>
        <v>84000</v>
      </c>
      <c r="M340" s="376">
        <f t="shared" si="145"/>
        <v>0</v>
      </c>
      <c r="N340" s="749" t="str">
        <f t="shared" si="154"/>
        <v>-</v>
      </c>
      <c r="O340" s="259"/>
      <c r="P340" s="378" t="s">
        <v>143</v>
      </c>
      <c r="Q340" s="95">
        <v>84000</v>
      </c>
      <c r="R340" s="103"/>
      <c r="S340" s="104" t="str">
        <f t="shared" si="141"/>
        <v>ok</v>
      </c>
    </row>
    <row r="341" spans="1:19" s="673" customFormat="1" ht="31.5" customHeight="1">
      <c r="A341" s="770">
        <v>1</v>
      </c>
      <c r="B341" s="770"/>
      <c r="C341" s="662">
        <v>507</v>
      </c>
      <c r="D341" s="658" t="s">
        <v>118</v>
      </c>
      <c r="E341" s="288" t="s">
        <v>1603</v>
      </c>
      <c r="F341" s="658">
        <v>60000</v>
      </c>
      <c r="G341" s="658"/>
      <c r="H341" s="658"/>
      <c r="I341" s="665">
        <f t="shared" ref="I341" si="187">F341+G341+H341</f>
        <v>60000</v>
      </c>
      <c r="J341" s="658"/>
      <c r="K341" s="641">
        <v>140000</v>
      </c>
      <c r="L341" s="665">
        <f t="shared" ref="L341" si="188">F341+J341+K341</f>
        <v>200000</v>
      </c>
      <c r="M341" s="665">
        <f t="shared" ref="M341" si="189">L341-I341</f>
        <v>140000</v>
      </c>
      <c r="N341" s="749" t="str">
        <f t="shared" si="154"/>
        <v>-</v>
      </c>
      <c r="O341" s="336"/>
      <c r="P341" s="653" t="s">
        <v>1223</v>
      </c>
      <c r="Q341" s="658"/>
      <c r="R341" s="661">
        <f>K341</f>
        <v>140000</v>
      </c>
      <c r="S341" s="648" t="str">
        <f t="shared" ref="S341" si="190">IF((G341+H341)=(Q341+R341),"ok","검토")</f>
        <v>검토</v>
      </c>
    </row>
    <row r="342" spans="1:19" ht="31.5" customHeight="1">
      <c r="A342" s="770"/>
      <c r="B342" s="770"/>
      <c r="C342" s="100">
        <v>521</v>
      </c>
      <c r="D342" s="111" t="s">
        <v>436</v>
      </c>
      <c r="E342" s="140" t="s">
        <v>758</v>
      </c>
      <c r="F342" s="95">
        <v>575500</v>
      </c>
      <c r="G342" s="95"/>
      <c r="H342" s="95">
        <v>419500</v>
      </c>
      <c r="I342" s="102">
        <f t="shared" si="186"/>
        <v>995000</v>
      </c>
      <c r="J342" s="375"/>
      <c r="K342" s="375">
        <v>419500</v>
      </c>
      <c r="L342" s="376">
        <f t="shared" si="144"/>
        <v>995000</v>
      </c>
      <c r="M342" s="376">
        <f t="shared" si="145"/>
        <v>0</v>
      </c>
      <c r="N342" s="749" t="str">
        <f t="shared" si="154"/>
        <v>-</v>
      </c>
      <c r="O342" s="259"/>
      <c r="P342" s="378" t="s">
        <v>90</v>
      </c>
      <c r="Q342" s="95">
        <v>419500</v>
      </c>
      <c r="R342" s="103"/>
      <c r="S342" s="104" t="str">
        <f t="shared" si="141"/>
        <v>ok</v>
      </c>
    </row>
    <row r="343" spans="1:19" ht="31.5" customHeight="1">
      <c r="A343" s="770"/>
      <c r="B343" s="770"/>
      <c r="C343" s="100">
        <v>524</v>
      </c>
      <c r="D343" s="111" t="s">
        <v>436</v>
      </c>
      <c r="E343" s="140" t="s">
        <v>759</v>
      </c>
      <c r="F343" s="95">
        <v>225714</v>
      </c>
      <c r="G343" s="95">
        <v>-56424</v>
      </c>
      <c r="H343" s="95"/>
      <c r="I343" s="102">
        <f t="shared" si="186"/>
        <v>169290</v>
      </c>
      <c r="J343" s="375">
        <v>-56424</v>
      </c>
      <c r="K343" s="375"/>
      <c r="L343" s="376">
        <f t="shared" si="144"/>
        <v>169290</v>
      </c>
      <c r="M343" s="376">
        <f t="shared" si="145"/>
        <v>0</v>
      </c>
      <c r="N343" s="749" t="str">
        <f t="shared" si="154"/>
        <v>-</v>
      </c>
      <c r="O343" s="259"/>
      <c r="P343" s="378" t="s">
        <v>739</v>
      </c>
      <c r="Q343" s="95">
        <v>-50000</v>
      </c>
      <c r="R343" s="103">
        <v>-6424</v>
      </c>
      <c r="S343" s="104" t="str">
        <f t="shared" si="141"/>
        <v>ok</v>
      </c>
    </row>
    <row r="344" spans="1:19" ht="31.5" customHeight="1">
      <c r="A344" s="770"/>
      <c r="B344" s="770"/>
      <c r="C344" s="100">
        <v>524</v>
      </c>
      <c r="D344" s="111" t="s">
        <v>436</v>
      </c>
      <c r="E344" s="140" t="s">
        <v>760</v>
      </c>
      <c r="F344" s="95">
        <v>74000</v>
      </c>
      <c r="G344" s="95">
        <v>-28000</v>
      </c>
      <c r="H344" s="95"/>
      <c r="I344" s="102">
        <f t="shared" si="186"/>
        <v>46000</v>
      </c>
      <c r="J344" s="375">
        <v>-28000</v>
      </c>
      <c r="K344" s="375"/>
      <c r="L344" s="376">
        <f t="shared" si="144"/>
        <v>46000</v>
      </c>
      <c r="M344" s="376">
        <f t="shared" si="145"/>
        <v>0</v>
      </c>
      <c r="N344" s="749" t="str">
        <f t="shared" si="154"/>
        <v>-</v>
      </c>
      <c r="O344" s="259"/>
      <c r="P344" s="378" t="s">
        <v>90</v>
      </c>
      <c r="Q344" s="95">
        <v>-28000</v>
      </c>
      <c r="R344" s="103"/>
      <c r="S344" s="104" t="str">
        <f t="shared" si="141"/>
        <v>ok</v>
      </c>
    </row>
    <row r="345" spans="1:19" ht="31.5" customHeight="1">
      <c r="A345" s="770"/>
      <c r="B345" s="770"/>
      <c r="C345" s="100" t="s">
        <v>94</v>
      </c>
      <c r="D345" s="111" t="s">
        <v>443</v>
      </c>
      <c r="E345" s="140" t="s">
        <v>761</v>
      </c>
      <c r="F345" s="95"/>
      <c r="G345" s="95"/>
      <c r="H345" s="95">
        <v>250000</v>
      </c>
      <c r="I345" s="376">
        <f t="shared" si="186"/>
        <v>250000</v>
      </c>
      <c r="J345" s="375"/>
      <c r="K345" s="375">
        <v>250000</v>
      </c>
      <c r="L345" s="376">
        <f t="shared" si="144"/>
        <v>250000</v>
      </c>
      <c r="M345" s="376">
        <f t="shared" si="145"/>
        <v>0</v>
      </c>
      <c r="N345" s="749" t="str">
        <f t="shared" si="154"/>
        <v>-</v>
      </c>
      <c r="O345" s="259"/>
      <c r="P345" s="378" t="s">
        <v>739</v>
      </c>
      <c r="Q345" s="103">
        <v>125000</v>
      </c>
      <c r="R345" s="103">
        <v>125000</v>
      </c>
      <c r="S345" s="104" t="str">
        <f t="shared" si="141"/>
        <v>ok</v>
      </c>
    </row>
    <row r="346" spans="1:19" ht="31.5" customHeight="1">
      <c r="A346" s="770"/>
      <c r="B346" s="770"/>
      <c r="C346" s="100">
        <v>489</v>
      </c>
      <c r="D346" s="111" t="s">
        <v>116</v>
      </c>
      <c r="E346" s="140" t="s">
        <v>762</v>
      </c>
      <c r="F346" s="95">
        <v>273685</v>
      </c>
      <c r="G346" s="95"/>
      <c r="H346" s="95">
        <v>146000</v>
      </c>
      <c r="I346" s="376">
        <f t="shared" si="186"/>
        <v>419685</v>
      </c>
      <c r="J346" s="375"/>
      <c r="K346" s="375">
        <v>146000</v>
      </c>
      <c r="L346" s="376">
        <f t="shared" si="144"/>
        <v>419685</v>
      </c>
      <c r="M346" s="376">
        <f t="shared" si="145"/>
        <v>0</v>
      </c>
      <c r="N346" s="749" t="str">
        <f t="shared" si="154"/>
        <v>-</v>
      </c>
      <c r="O346" s="259"/>
      <c r="P346" s="378" t="s">
        <v>231</v>
      </c>
      <c r="Q346" s="103"/>
      <c r="R346" s="661">
        <f>K346</f>
        <v>146000</v>
      </c>
      <c r="S346" s="104" t="str">
        <f t="shared" si="141"/>
        <v>ok</v>
      </c>
    </row>
    <row r="347" spans="1:19" ht="31.5" customHeight="1">
      <c r="A347" s="770"/>
      <c r="B347" s="770"/>
      <c r="C347" s="100">
        <v>491</v>
      </c>
      <c r="D347" s="111" t="s">
        <v>116</v>
      </c>
      <c r="E347" s="140" t="s">
        <v>763</v>
      </c>
      <c r="F347" s="126">
        <v>500000</v>
      </c>
      <c r="G347" s="126">
        <v>-500000</v>
      </c>
      <c r="H347" s="126"/>
      <c r="I347" s="376">
        <f t="shared" si="186"/>
        <v>0</v>
      </c>
      <c r="J347" s="361">
        <v>-500000</v>
      </c>
      <c r="K347" s="361"/>
      <c r="L347" s="376">
        <f t="shared" si="144"/>
        <v>0</v>
      </c>
      <c r="M347" s="376">
        <f t="shared" si="145"/>
        <v>0</v>
      </c>
      <c r="N347" s="749" t="str">
        <f t="shared" si="154"/>
        <v>-</v>
      </c>
      <c r="O347" s="263"/>
      <c r="P347" s="360" t="s">
        <v>764</v>
      </c>
      <c r="Q347" s="128">
        <v>-250000</v>
      </c>
      <c r="R347" s="128">
        <v>-250000</v>
      </c>
      <c r="S347" s="104" t="str">
        <f t="shared" si="141"/>
        <v>ok</v>
      </c>
    </row>
    <row r="348" spans="1:19" ht="31.5" customHeight="1">
      <c r="A348" s="770"/>
      <c r="B348" s="770"/>
      <c r="C348" s="100">
        <v>492</v>
      </c>
      <c r="D348" s="111" t="s">
        <v>116</v>
      </c>
      <c r="E348" s="140" t="s">
        <v>765</v>
      </c>
      <c r="F348" s="95">
        <v>80000</v>
      </c>
      <c r="G348" s="95">
        <v>-30000</v>
      </c>
      <c r="H348" s="95"/>
      <c r="I348" s="376">
        <f t="shared" si="186"/>
        <v>50000</v>
      </c>
      <c r="J348" s="375">
        <v>-30000</v>
      </c>
      <c r="K348" s="375"/>
      <c r="L348" s="376">
        <f t="shared" si="144"/>
        <v>50000</v>
      </c>
      <c r="M348" s="376">
        <f t="shared" si="145"/>
        <v>0</v>
      </c>
      <c r="N348" s="749" t="str">
        <f t="shared" si="154"/>
        <v>-</v>
      </c>
      <c r="O348" s="259"/>
      <c r="P348" s="378" t="s">
        <v>97</v>
      </c>
      <c r="Q348" s="103"/>
      <c r="R348" s="661">
        <f>J348</f>
        <v>-30000</v>
      </c>
      <c r="S348" s="104" t="str">
        <f t="shared" si="141"/>
        <v>ok</v>
      </c>
    </row>
    <row r="349" spans="1:19" ht="31.5" customHeight="1">
      <c r="A349" s="770"/>
      <c r="B349" s="770"/>
      <c r="C349" s="100">
        <v>493</v>
      </c>
      <c r="D349" s="111" t="s">
        <v>116</v>
      </c>
      <c r="E349" s="140" t="s">
        <v>766</v>
      </c>
      <c r="F349" s="95">
        <v>41400</v>
      </c>
      <c r="G349" s="95"/>
      <c r="H349" s="95">
        <v>10000</v>
      </c>
      <c r="I349" s="102">
        <f t="shared" si="186"/>
        <v>51400</v>
      </c>
      <c r="J349" s="375"/>
      <c r="K349" s="375">
        <v>10000</v>
      </c>
      <c r="L349" s="376">
        <f t="shared" si="144"/>
        <v>51400</v>
      </c>
      <c r="M349" s="376">
        <f t="shared" si="145"/>
        <v>0</v>
      </c>
      <c r="N349" s="749" t="str">
        <f t="shared" si="154"/>
        <v>-</v>
      </c>
      <c r="O349" s="259"/>
      <c r="P349" s="378" t="s">
        <v>97</v>
      </c>
      <c r="Q349" s="103"/>
      <c r="R349" s="661">
        <f t="shared" ref="R349:R353" si="191">K349</f>
        <v>10000</v>
      </c>
      <c r="S349" s="104" t="str">
        <f t="shared" si="141"/>
        <v>ok</v>
      </c>
    </row>
    <row r="350" spans="1:19" ht="31.5" customHeight="1">
      <c r="A350" s="770"/>
      <c r="B350" s="770"/>
      <c r="C350" s="100">
        <v>493</v>
      </c>
      <c r="D350" s="111" t="s">
        <v>116</v>
      </c>
      <c r="E350" s="183" t="s">
        <v>767</v>
      </c>
      <c r="F350" s="95">
        <v>160000</v>
      </c>
      <c r="G350" s="95"/>
      <c r="H350" s="95">
        <v>20000</v>
      </c>
      <c r="I350" s="102">
        <f t="shared" si="186"/>
        <v>180000</v>
      </c>
      <c r="J350" s="375"/>
      <c r="K350" s="375">
        <v>20000</v>
      </c>
      <c r="L350" s="376">
        <f t="shared" si="144"/>
        <v>180000</v>
      </c>
      <c r="M350" s="376">
        <f t="shared" si="145"/>
        <v>0</v>
      </c>
      <c r="N350" s="749" t="str">
        <f t="shared" si="154"/>
        <v>-</v>
      </c>
      <c r="O350" s="259"/>
      <c r="P350" s="378" t="s">
        <v>97</v>
      </c>
      <c r="Q350" s="103"/>
      <c r="R350" s="661">
        <f t="shared" si="191"/>
        <v>20000</v>
      </c>
      <c r="S350" s="104" t="str">
        <f t="shared" si="141"/>
        <v>ok</v>
      </c>
    </row>
    <row r="351" spans="1:19" ht="31.5" customHeight="1">
      <c r="A351" s="770"/>
      <c r="B351" s="770"/>
      <c r="C351" s="100">
        <v>503</v>
      </c>
      <c r="D351" s="111" t="s">
        <v>768</v>
      </c>
      <c r="E351" s="183" t="s">
        <v>769</v>
      </c>
      <c r="F351" s="95">
        <v>300000</v>
      </c>
      <c r="G351" s="95"/>
      <c r="H351" s="95">
        <v>100000</v>
      </c>
      <c r="I351" s="102">
        <f t="shared" si="186"/>
        <v>400000</v>
      </c>
      <c r="J351" s="375"/>
      <c r="K351" s="375">
        <v>100000</v>
      </c>
      <c r="L351" s="376">
        <f t="shared" si="144"/>
        <v>400000</v>
      </c>
      <c r="M351" s="376">
        <f t="shared" si="145"/>
        <v>0</v>
      </c>
      <c r="N351" s="749" t="str">
        <f t="shared" si="154"/>
        <v>-</v>
      </c>
      <c r="O351" s="259"/>
      <c r="P351" s="378" t="s">
        <v>97</v>
      </c>
      <c r="Q351" s="103"/>
      <c r="R351" s="661">
        <f t="shared" si="191"/>
        <v>100000</v>
      </c>
      <c r="S351" s="104" t="str">
        <f t="shared" si="141"/>
        <v>ok</v>
      </c>
    </row>
    <row r="352" spans="1:19" ht="70.5" customHeight="1">
      <c r="A352" s="770">
        <v>1</v>
      </c>
      <c r="B352" s="770">
        <v>0</v>
      </c>
      <c r="C352" s="100">
        <v>504</v>
      </c>
      <c r="D352" s="111" t="s">
        <v>768</v>
      </c>
      <c r="E352" s="183" t="s">
        <v>1509</v>
      </c>
      <c r="F352" s="95">
        <v>11000000</v>
      </c>
      <c r="G352" s="95"/>
      <c r="H352" s="95">
        <v>1000000</v>
      </c>
      <c r="I352" s="102">
        <f t="shared" si="186"/>
        <v>12000000</v>
      </c>
      <c r="J352" s="375"/>
      <c r="K352" s="375">
        <v>14300000</v>
      </c>
      <c r="L352" s="376">
        <f t="shared" si="144"/>
        <v>25300000</v>
      </c>
      <c r="M352" s="376">
        <f t="shared" si="145"/>
        <v>13300000</v>
      </c>
      <c r="N352" s="749" t="str">
        <f t="shared" si="154"/>
        <v>-</v>
      </c>
      <c r="O352" s="367" t="s">
        <v>1694</v>
      </c>
      <c r="P352" s="378" t="s">
        <v>97</v>
      </c>
      <c r="Q352" s="103"/>
      <c r="R352" s="661">
        <f t="shared" si="191"/>
        <v>14300000</v>
      </c>
      <c r="S352" s="104" t="str">
        <f t="shared" si="141"/>
        <v>검토</v>
      </c>
    </row>
    <row r="353" spans="1:20" ht="42" customHeight="1">
      <c r="A353" s="770"/>
      <c r="B353" s="770"/>
      <c r="C353" s="100">
        <v>504</v>
      </c>
      <c r="D353" s="111" t="s">
        <v>768</v>
      </c>
      <c r="E353" s="140" t="s">
        <v>770</v>
      </c>
      <c r="F353" s="126">
        <v>9600</v>
      </c>
      <c r="G353" s="95"/>
      <c r="H353" s="95">
        <v>6000</v>
      </c>
      <c r="I353" s="102">
        <f t="shared" si="186"/>
        <v>15600</v>
      </c>
      <c r="J353" s="375"/>
      <c r="K353" s="375">
        <v>6000</v>
      </c>
      <c r="L353" s="376">
        <f t="shared" si="144"/>
        <v>15600</v>
      </c>
      <c r="M353" s="376">
        <f t="shared" si="145"/>
        <v>0</v>
      </c>
      <c r="N353" s="749" t="str">
        <f t="shared" si="154"/>
        <v>-</v>
      </c>
      <c r="O353" s="322"/>
      <c r="P353" s="378" t="s">
        <v>97</v>
      </c>
      <c r="Q353" s="95"/>
      <c r="R353" s="661">
        <f t="shared" si="191"/>
        <v>6000</v>
      </c>
      <c r="S353" s="104" t="str">
        <f t="shared" ref="S353:S417" si="192">IF((G353+H353)=(Q353+R353),"ok","검토")</f>
        <v>ok</v>
      </c>
    </row>
    <row r="354" spans="1:20" s="673" customFormat="1" ht="31.5" customHeight="1">
      <c r="A354" s="770"/>
      <c r="B354" s="770"/>
      <c r="C354" s="662">
        <v>504</v>
      </c>
      <c r="D354" s="658" t="s">
        <v>768</v>
      </c>
      <c r="E354" s="288" t="s">
        <v>1604</v>
      </c>
      <c r="F354" s="658">
        <v>106000</v>
      </c>
      <c r="G354" s="658">
        <v>-106000</v>
      </c>
      <c r="H354" s="658"/>
      <c r="I354" s="665">
        <f t="shared" si="186"/>
        <v>0</v>
      </c>
      <c r="J354" s="658">
        <v>-53000</v>
      </c>
      <c r="K354" s="641"/>
      <c r="L354" s="665">
        <f t="shared" si="144"/>
        <v>53000</v>
      </c>
      <c r="M354" s="665">
        <f t="shared" si="145"/>
        <v>53000</v>
      </c>
      <c r="N354" s="749" t="str">
        <f t="shared" si="154"/>
        <v>검토</v>
      </c>
      <c r="O354" s="336"/>
      <c r="P354" s="653" t="s">
        <v>1223</v>
      </c>
      <c r="Q354" s="658"/>
      <c r="R354" s="661">
        <f>J354</f>
        <v>-53000</v>
      </c>
      <c r="S354" s="648" t="str">
        <f t="shared" si="192"/>
        <v>검토</v>
      </c>
    </row>
    <row r="355" spans="1:20" s="673" customFormat="1" ht="31.5" customHeight="1">
      <c r="A355" s="770"/>
      <c r="B355" s="770"/>
      <c r="C355" s="662">
        <v>505</v>
      </c>
      <c r="D355" s="658" t="s">
        <v>768</v>
      </c>
      <c r="E355" s="288" t="s">
        <v>1605</v>
      </c>
      <c r="F355" s="658">
        <v>3768000</v>
      </c>
      <c r="G355" s="658"/>
      <c r="H355" s="658">
        <v>350000</v>
      </c>
      <c r="I355" s="665">
        <f t="shared" si="186"/>
        <v>4118000</v>
      </c>
      <c r="J355" s="658"/>
      <c r="K355" s="641">
        <v>350000</v>
      </c>
      <c r="L355" s="665">
        <f t="shared" si="144"/>
        <v>4118000</v>
      </c>
      <c r="M355" s="665">
        <f t="shared" si="145"/>
        <v>0</v>
      </c>
      <c r="N355" s="749" t="str">
        <f t="shared" si="154"/>
        <v>-</v>
      </c>
      <c r="O355" s="336" t="s">
        <v>1034</v>
      </c>
      <c r="P355" s="653" t="s">
        <v>1223</v>
      </c>
      <c r="Q355" s="658"/>
      <c r="R355" s="661">
        <f t="shared" ref="R355:R358" si="193">K355</f>
        <v>350000</v>
      </c>
      <c r="S355" s="648" t="str">
        <f t="shared" si="192"/>
        <v>ok</v>
      </c>
    </row>
    <row r="356" spans="1:20" s="372" customFormat="1" ht="38.25" customHeight="1">
      <c r="A356" s="770"/>
      <c r="B356" s="770"/>
      <c r="C356" s="371">
        <v>509</v>
      </c>
      <c r="D356" s="111" t="s">
        <v>118</v>
      </c>
      <c r="E356" s="140" t="s">
        <v>771</v>
      </c>
      <c r="F356" s="361">
        <v>1000000</v>
      </c>
      <c r="G356" s="375"/>
      <c r="H356" s="375">
        <v>120000</v>
      </c>
      <c r="I356" s="376">
        <f t="shared" si="186"/>
        <v>1120000</v>
      </c>
      <c r="J356" s="375"/>
      <c r="K356" s="375">
        <v>120000</v>
      </c>
      <c r="L356" s="376">
        <f t="shared" si="144"/>
        <v>1120000</v>
      </c>
      <c r="M356" s="376">
        <f t="shared" si="145"/>
        <v>0</v>
      </c>
      <c r="N356" s="749" t="str">
        <f t="shared" si="154"/>
        <v>-</v>
      </c>
      <c r="O356" s="367" t="s">
        <v>1035</v>
      </c>
      <c r="P356" s="378" t="s">
        <v>97</v>
      </c>
      <c r="Q356" s="375"/>
      <c r="R356" s="661">
        <f t="shared" si="193"/>
        <v>120000</v>
      </c>
      <c r="S356" s="378" t="str">
        <f t="shared" si="192"/>
        <v>ok</v>
      </c>
    </row>
    <row r="357" spans="1:20" s="673" customFormat="1" ht="31.5" customHeight="1">
      <c r="A357" s="770"/>
      <c r="B357" s="770"/>
      <c r="C357" s="662">
        <v>509</v>
      </c>
      <c r="D357" s="658" t="s">
        <v>118</v>
      </c>
      <c r="E357" s="288" t="s">
        <v>1606</v>
      </c>
      <c r="F357" s="658">
        <v>50000</v>
      </c>
      <c r="G357" s="658"/>
      <c r="H357" s="658">
        <v>50000</v>
      </c>
      <c r="I357" s="665">
        <f t="shared" si="186"/>
        <v>100000</v>
      </c>
      <c r="J357" s="658"/>
      <c r="K357" s="641">
        <v>250000</v>
      </c>
      <c r="L357" s="665">
        <f t="shared" si="144"/>
        <v>300000</v>
      </c>
      <c r="M357" s="665">
        <f t="shared" si="145"/>
        <v>200000</v>
      </c>
      <c r="N357" s="749" t="str">
        <f t="shared" si="154"/>
        <v>-</v>
      </c>
      <c r="O357" s="336"/>
      <c r="P357" s="653" t="s">
        <v>1223</v>
      </c>
      <c r="Q357" s="658"/>
      <c r="R357" s="661">
        <f t="shared" si="193"/>
        <v>250000</v>
      </c>
      <c r="S357" s="648" t="str">
        <f t="shared" si="192"/>
        <v>검토</v>
      </c>
    </row>
    <row r="358" spans="1:20" ht="31.5" customHeight="1">
      <c r="A358" s="770"/>
      <c r="B358" s="770"/>
      <c r="C358" s="141">
        <v>512</v>
      </c>
      <c r="D358" s="142" t="s">
        <v>118</v>
      </c>
      <c r="E358" s="146" t="s">
        <v>772</v>
      </c>
      <c r="F358" s="54">
        <v>230000</v>
      </c>
      <c r="G358" s="95"/>
      <c r="H358" s="95">
        <v>34000</v>
      </c>
      <c r="I358" s="102">
        <f t="shared" si="186"/>
        <v>264000</v>
      </c>
      <c r="J358" s="375"/>
      <c r="K358" s="375">
        <v>34000</v>
      </c>
      <c r="L358" s="376">
        <f t="shared" si="144"/>
        <v>264000</v>
      </c>
      <c r="M358" s="376">
        <f t="shared" si="145"/>
        <v>0</v>
      </c>
      <c r="N358" s="749" t="str">
        <f t="shared" si="154"/>
        <v>-</v>
      </c>
      <c r="O358" s="322"/>
      <c r="P358" s="378" t="s">
        <v>97</v>
      </c>
      <c r="Q358" s="95"/>
      <c r="R358" s="661">
        <f t="shared" si="193"/>
        <v>34000</v>
      </c>
      <c r="S358" s="104" t="str">
        <f t="shared" si="192"/>
        <v>ok</v>
      </c>
    </row>
    <row r="359" spans="1:20" s="673" customFormat="1" ht="31.5" customHeight="1">
      <c r="A359" s="770"/>
      <c r="B359" s="770"/>
      <c r="C359" s="662">
        <v>513</v>
      </c>
      <c r="D359" s="658" t="s">
        <v>118</v>
      </c>
      <c r="E359" s="288" t="s">
        <v>1607</v>
      </c>
      <c r="F359" s="658">
        <v>1600000</v>
      </c>
      <c r="G359" s="658">
        <v>-700000</v>
      </c>
      <c r="H359" s="658"/>
      <c r="I359" s="665">
        <f t="shared" si="186"/>
        <v>900000</v>
      </c>
      <c r="J359" s="658">
        <v>-800000</v>
      </c>
      <c r="K359" s="641"/>
      <c r="L359" s="665">
        <f t="shared" si="144"/>
        <v>800000</v>
      </c>
      <c r="M359" s="665">
        <f t="shared" si="145"/>
        <v>-100000</v>
      </c>
      <c r="N359" s="749" t="str">
        <f t="shared" si="154"/>
        <v>-</v>
      </c>
      <c r="O359" s="336" t="s">
        <v>773</v>
      </c>
      <c r="P359" s="653" t="s">
        <v>1223</v>
      </c>
      <c r="Q359" s="658"/>
      <c r="R359" s="661">
        <f>J359</f>
        <v>-800000</v>
      </c>
      <c r="S359" s="648" t="str">
        <f t="shared" si="192"/>
        <v>검토</v>
      </c>
    </row>
    <row r="360" spans="1:20" ht="31.5" customHeight="1">
      <c r="A360" s="770"/>
      <c r="B360" s="770"/>
      <c r="C360" s="100" t="s">
        <v>94</v>
      </c>
      <c r="D360" s="111" t="s">
        <v>443</v>
      </c>
      <c r="E360" s="183" t="s">
        <v>774</v>
      </c>
      <c r="F360" s="95"/>
      <c r="G360" s="95"/>
      <c r="H360" s="95">
        <v>250000</v>
      </c>
      <c r="I360" s="102">
        <f t="shared" si="186"/>
        <v>250000</v>
      </c>
      <c r="J360" s="375"/>
      <c r="K360" s="375">
        <v>250000</v>
      </c>
      <c r="L360" s="376">
        <f t="shared" si="144"/>
        <v>250000</v>
      </c>
      <c r="M360" s="376">
        <f t="shared" si="145"/>
        <v>0</v>
      </c>
      <c r="N360" s="749" t="str">
        <f t="shared" si="154"/>
        <v>-</v>
      </c>
      <c r="O360" s="322"/>
      <c r="P360" s="378" t="s">
        <v>97</v>
      </c>
      <c r="Q360" s="95"/>
      <c r="R360" s="661">
        <f t="shared" ref="R360:R361" si="194">K360</f>
        <v>250000</v>
      </c>
      <c r="S360" s="104" t="str">
        <f t="shared" si="192"/>
        <v>ok</v>
      </c>
    </row>
    <row r="361" spans="1:20" s="372" customFormat="1" ht="31.5" customHeight="1">
      <c r="A361" s="770"/>
      <c r="B361" s="770"/>
      <c r="C361" s="371" t="s">
        <v>94</v>
      </c>
      <c r="D361" s="111" t="s">
        <v>116</v>
      </c>
      <c r="E361" s="183" t="s">
        <v>775</v>
      </c>
      <c r="F361" s="375"/>
      <c r="G361" s="375"/>
      <c r="H361" s="375">
        <v>250000</v>
      </c>
      <c r="I361" s="376">
        <f t="shared" ref="I361:I364" si="195">F361+G361+H361</f>
        <v>250000</v>
      </c>
      <c r="J361" s="375"/>
      <c r="K361" s="375">
        <v>250000</v>
      </c>
      <c r="L361" s="376">
        <f t="shared" si="144"/>
        <v>250000</v>
      </c>
      <c r="M361" s="376">
        <f t="shared" si="145"/>
        <v>0</v>
      </c>
      <c r="N361" s="749" t="str">
        <f t="shared" si="154"/>
        <v>-</v>
      </c>
      <c r="O361" s="367"/>
      <c r="P361" s="378" t="s">
        <v>97</v>
      </c>
      <c r="Q361" s="375"/>
      <c r="R361" s="661">
        <f t="shared" si="194"/>
        <v>250000</v>
      </c>
      <c r="S361" s="378" t="str">
        <f t="shared" si="192"/>
        <v>ok</v>
      </c>
    </row>
    <row r="362" spans="1:20" s="673" customFormat="1" ht="31.5" customHeight="1">
      <c r="A362" s="770"/>
      <c r="B362" s="770"/>
      <c r="C362" s="662">
        <v>466</v>
      </c>
      <c r="D362" s="658" t="s">
        <v>1290</v>
      </c>
      <c r="E362" s="288" t="s">
        <v>1608</v>
      </c>
      <c r="F362" s="658">
        <v>474224</v>
      </c>
      <c r="G362" s="658"/>
      <c r="H362" s="658"/>
      <c r="I362" s="665">
        <f t="shared" si="195"/>
        <v>474224</v>
      </c>
      <c r="J362" s="658"/>
      <c r="K362" s="641">
        <v>200000</v>
      </c>
      <c r="L362" s="665">
        <f t="shared" si="144"/>
        <v>674224</v>
      </c>
      <c r="M362" s="665">
        <f t="shared" si="145"/>
        <v>200000</v>
      </c>
      <c r="N362" s="749" t="str">
        <f t="shared" si="154"/>
        <v>-</v>
      </c>
      <c r="O362" s="336"/>
      <c r="P362" s="653" t="s">
        <v>1223</v>
      </c>
      <c r="Q362" s="658"/>
      <c r="R362" s="661">
        <f>K362</f>
        <v>200000</v>
      </c>
      <c r="S362" s="648" t="str">
        <f t="shared" si="192"/>
        <v>검토</v>
      </c>
    </row>
    <row r="363" spans="1:20" s="673" customFormat="1" ht="31.5" customHeight="1">
      <c r="A363" s="770"/>
      <c r="B363" s="770"/>
      <c r="C363" s="662" t="s">
        <v>1287</v>
      </c>
      <c r="D363" s="658" t="s">
        <v>1290</v>
      </c>
      <c r="E363" s="288" t="s">
        <v>1609</v>
      </c>
      <c r="F363" s="658"/>
      <c r="G363" s="658"/>
      <c r="H363" s="658"/>
      <c r="I363" s="665">
        <f t="shared" ref="I363" si="196">F363+G363+H363</f>
        <v>0</v>
      </c>
      <c r="J363" s="658"/>
      <c r="K363" s="641"/>
      <c r="L363" s="665">
        <f t="shared" ref="L363" si="197">F363+J363+K363</f>
        <v>0</v>
      </c>
      <c r="M363" s="665">
        <f t="shared" ref="M363" si="198">L363-I363</f>
        <v>0</v>
      </c>
      <c r="N363" s="749" t="str">
        <f t="shared" si="154"/>
        <v>-</v>
      </c>
      <c r="O363" s="336"/>
      <c r="P363" s="653" t="s">
        <v>1223</v>
      </c>
      <c r="Q363" s="658"/>
      <c r="R363" s="661">
        <f t="shared" ref="R363:R364" si="199">K363</f>
        <v>0</v>
      </c>
      <c r="S363" s="648" t="str">
        <f t="shared" ref="S363" si="200">IF((G363+H363)=(Q363+R363),"ok","검토")</f>
        <v>ok</v>
      </c>
    </row>
    <row r="364" spans="1:20" s="673" customFormat="1" ht="31.5" customHeight="1">
      <c r="A364" s="770"/>
      <c r="B364" s="770"/>
      <c r="C364" s="662" t="s">
        <v>1435</v>
      </c>
      <c r="D364" s="658" t="s">
        <v>1290</v>
      </c>
      <c r="E364" s="288" t="s">
        <v>1610</v>
      </c>
      <c r="F364" s="658"/>
      <c r="G364" s="658"/>
      <c r="H364" s="658"/>
      <c r="I364" s="665">
        <f t="shared" si="195"/>
        <v>0</v>
      </c>
      <c r="J364" s="658"/>
      <c r="K364" s="641">
        <v>100000</v>
      </c>
      <c r="L364" s="665">
        <f t="shared" si="144"/>
        <v>100000</v>
      </c>
      <c r="M364" s="665">
        <f t="shared" si="145"/>
        <v>100000</v>
      </c>
      <c r="N364" s="749" t="str">
        <f t="shared" si="154"/>
        <v>-</v>
      </c>
      <c r="O364" s="336" t="s">
        <v>1444</v>
      </c>
      <c r="P364" s="653" t="s">
        <v>1223</v>
      </c>
      <c r="Q364" s="658"/>
      <c r="R364" s="661">
        <f t="shared" si="199"/>
        <v>100000</v>
      </c>
      <c r="S364" s="648" t="str">
        <f t="shared" si="192"/>
        <v>검토</v>
      </c>
    </row>
    <row r="365" spans="1:20" ht="31.5" customHeight="1">
      <c r="A365" s="770"/>
      <c r="B365" s="612" t="s">
        <v>125</v>
      </c>
      <c r="C365" s="628"/>
      <c r="D365" s="31"/>
      <c r="E365" s="31"/>
      <c r="F365" s="32">
        <f t="shared" ref="F365:I365" si="201">SUM(F366:F380)</f>
        <v>13134550</v>
      </c>
      <c r="G365" s="32">
        <f t="shared" si="201"/>
        <v>-1522000</v>
      </c>
      <c r="H365" s="32">
        <f t="shared" si="201"/>
        <v>1976350</v>
      </c>
      <c r="I365" s="32">
        <f t="shared" si="201"/>
        <v>13588900</v>
      </c>
      <c r="J365" s="370">
        <f t="shared" ref="J365:K365" si="202">SUM(J366:J380)</f>
        <v>-1522000</v>
      </c>
      <c r="K365" s="370">
        <f t="shared" si="202"/>
        <v>1601500</v>
      </c>
      <c r="L365" s="370">
        <f t="shared" si="144"/>
        <v>13214050</v>
      </c>
      <c r="M365" s="370">
        <f t="shared" si="145"/>
        <v>-374850</v>
      </c>
      <c r="N365" s="628" t="str">
        <f t="shared" si="154"/>
        <v>-</v>
      </c>
      <c r="O365" s="331"/>
      <c r="P365" s="30"/>
      <c r="Q365" s="32">
        <f t="shared" ref="Q365:R365" si="203">SUM(Q366:Q380)</f>
        <v>0</v>
      </c>
      <c r="R365" s="32">
        <f t="shared" si="203"/>
        <v>129500</v>
      </c>
      <c r="S365" s="30" t="str">
        <f t="shared" si="192"/>
        <v>검토</v>
      </c>
    </row>
    <row r="366" spans="1:20" ht="31.5" customHeight="1">
      <c r="A366" s="771">
        <v>1</v>
      </c>
      <c r="B366" s="771"/>
      <c r="C366" s="683" t="s">
        <v>94</v>
      </c>
      <c r="D366" s="270" t="s">
        <v>126</v>
      </c>
      <c r="E366" s="550" t="s">
        <v>776</v>
      </c>
      <c r="F366" s="636"/>
      <c r="G366" s="636"/>
      <c r="H366" s="636">
        <v>454350</v>
      </c>
      <c r="I366" s="636">
        <f t="shared" ref="I366:I380" si="204">F366+G366+H366</f>
        <v>454350</v>
      </c>
      <c r="J366" s="636"/>
      <c r="K366" s="636">
        <v>349500</v>
      </c>
      <c r="L366" s="636">
        <f t="shared" si="144"/>
        <v>349500</v>
      </c>
      <c r="M366" s="636">
        <f t="shared" si="145"/>
        <v>-104850</v>
      </c>
      <c r="N366" s="750" t="str">
        <f t="shared" ref="N366:N430" si="205">IF(AND(((G366+H366)&lt;0),(J366+K366)&gt;(G366+H366)),"검토","-")</f>
        <v>-</v>
      </c>
      <c r="O366" s="398" t="s">
        <v>447</v>
      </c>
      <c r="P366" s="650" t="s">
        <v>1340</v>
      </c>
      <c r="Q366" s="651"/>
      <c r="R366" s="661">
        <f t="shared" ref="R366:R367" si="206">K366</f>
        <v>349500</v>
      </c>
      <c r="S366" s="650" t="str">
        <f t="shared" si="192"/>
        <v>검토</v>
      </c>
      <c r="T366" s="655" t="s">
        <v>1305</v>
      </c>
    </row>
    <row r="367" spans="1:20" ht="31.5" customHeight="1">
      <c r="A367" s="770"/>
      <c r="B367" s="770"/>
      <c r="C367" s="100">
        <v>552</v>
      </c>
      <c r="D367" s="111" t="s">
        <v>126</v>
      </c>
      <c r="E367" s="183" t="s">
        <v>777</v>
      </c>
      <c r="F367" s="95">
        <v>346500</v>
      </c>
      <c r="G367" s="95"/>
      <c r="H367" s="95">
        <v>100000</v>
      </c>
      <c r="I367" s="102">
        <f t="shared" si="204"/>
        <v>446500</v>
      </c>
      <c r="J367" s="375"/>
      <c r="K367" s="375">
        <v>100000</v>
      </c>
      <c r="L367" s="376">
        <f t="shared" si="144"/>
        <v>446500</v>
      </c>
      <c r="M367" s="376">
        <f t="shared" si="145"/>
        <v>0</v>
      </c>
      <c r="N367" s="749" t="str">
        <f t="shared" si="205"/>
        <v>-</v>
      </c>
      <c r="O367" s="322" t="s">
        <v>778</v>
      </c>
      <c r="P367" s="378" t="s">
        <v>779</v>
      </c>
      <c r="Q367" s="103"/>
      <c r="R367" s="661">
        <f t="shared" si="206"/>
        <v>100000</v>
      </c>
      <c r="S367" s="104" t="str">
        <f t="shared" si="192"/>
        <v>ok</v>
      </c>
    </row>
    <row r="368" spans="1:20" ht="31.5" customHeight="1">
      <c r="A368" s="770"/>
      <c r="B368" s="770"/>
      <c r="C368" s="100">
        <v>552</v>
      </c>
      <c r="D368" s="111" t="s">
        <v>126</v>
      </c>
      <c r="E368" s="183" t="s">
        <v>780</v>
      </c>
      <c r="F368" s="95">
        <v>527250</v>
      </c>
      <c r="G368" s="95">
        <v>-200000</v>
      </c>
      <c r="H368" s="95"/>
      <c r="I368" s="102">
        <f t="shared" si="204"/>
        <v>327250</v>
      </c>
      <c r="J368" s="375">
        <v>-200000</v>
      </c>
      <c r="K368" s="375"/>
      <c r="L368" s="376">
        <f t="shared" si="144"/>
        <v>327250</v>
      </c>
      <c r="M368" s="376">
        <f t="shared" si="145"/>
        <v>0</v>
      </c>
      <c r="N368" s="749" t="str">
        <f t="shared" si="205"/>
        <v>-</v>
      </c>
      <c r="O368" s="322" t="s">
        <v>778</v>
      </c>
      <c r="P368" s="378" t="s">
        <v>231</v>
      </c>
      <c r="Q368" s="103"/>
      <c r="R368" s="661">
        <f>J368</f>
        <v>-200000</v>
      </c>
      <c r="S368" s="104" t="str">
        <f t="shared" si="192"/>
        <v>ok</v>
      </c>
    </row>
    <row r="369" spans="1:19" ht="31.5" customHeight="1">
      <c r="A369" s="770"/>
      <c r="B369" s="770"/>
      <c r="C369" s="100">
        <v>553</v>
      </c>
      <c r="D369" s="111" t="s">
        <v>126</v>
      </c>
      <c r="E369" s="183" t="s">
        <v>781</v>
      </c>
      <c r="F369" s="95">
        <v>80800</v>
      </c>
      <c r="G369" s="95"/>
      <c r="H369" s="95">
        <v>50000</v>
      </c>
      <c r="I369" s="102">
        <f t="shared" si="204"/>
        <v>130800</v>
      </c>
      <c r="J369" s="375"/>
      <c r="K369" s="375">
        <v>50000</v>
      </c>
      <c r="L369" s="376">
        <f t="shared" si="144"/>
        <v>130800</v>
      </c>
      <c r="M369" s="376">
        <f t="shared" si="145"/>
        <v>0</v>
      </c>
      <c r="N369" s="749" t="str">
        <f t="shared" si="205"/>
        <v>-</v>
      </c>
      <c r="O369" s="322" t="s">
        <v>778</v>
      </c>
      <c r="P369" s="378" t="s">
        <v>231</v>
      </c>
      <c r="Q369" s="103"/>
      <c r="R369" s="661">
        <f t="shared" ref="R369:R370" si="207">K369</f>
        <v>50000</v>
      </c>
      <c r="S369" s="104" t="str">
        <f t="shared" si="192"/>
        <v>ok</v>
      </c>
    </row>
    <row r="370" spans="1:19" ht="108" customHeight="1">
      <c r="A370" s="770"/>
      <c r="B370" s="770"/>
      <c r="C370" s="100">
        <v>554</v>
      </c>
      <c r="D370" s="111" t="s">
        <v>126</v>
      </c>
      <c r="E370" s="183" t="s">
        <v>782</v>
      </c>
      <c r="F370" s="95">
        <v>1750000</v>
      </c>
      <c r="G370" s="95">
        <v>-50000</v>
      </c>
      <c r="H370" s="95">
        <v>300000</v>
      </c>
      <c r="I370" s="102">
        <f>F370+G370+H370</f>
        <v>2000000</v>
      </c>
      <c r="J370" s="375">
        <v>-50000</v>
      </c>
      <c r="K370" s="375">
        <v>300000</v>
      </c>
      <c r="L370" s="376">
        <f t="shared" si="144"/>
        <v>2000000</v>
      </c>
      <c r="M370" s="376">
        <f t="shared" ref="M370:M380" si="208">L370-I370</f>
        <v>0</v>
      </c>
      <c r="N370" s="749" t="str">
        <f t="shared" si="205"/>
        <v>-</v>
      </c>
      <c r="O370" s="367" t="s">
        <v>1057</v>
      </c>
      <c r="P370" s="408" t="s">
        <v>783</v>
      </c>
      <c r="Q370" s="103"/>
      <c r="R370" s="661">
        <f t="shared" si="207"/>
        <v>300000</v>
      </c>
      <c r="S370" s="104" t="str">
        <f t="shared" si="192"/>
        <v>검토</v>
      </c>
    </row>
    <row r="371" spans="1:19" ht="73.5" customHeight="1">
      <c r="A371" s="770"/>
      <c r="B371" s="770"/>
      <c r="C371" s="100">
        <v>554</v>
      </c>
      <c r="D371" s="111" t="s">
        <v>126</v>
      </c>
      <c r="E371" s="183" t="s">
        <v>784</v>
      </c>
      <c r="F371" s="95">
        <v>2400000</v>
      </c>
      <c r="G371" s="95">
        <v>-300000</v>
      </c>
      <c r="H371" s="95"/>
      <c r="I371" s="102">
        <f>F371+G371+H371</f>
        <v>2100000</v>
      </c>
      <c r="J371" s="375">
        <v>-300000</v>
      </c>
      <c r="K371" s="375"/>
      <c r="L371" s="376">
        <f t="shared" si="144"/>
        <v>2100000</v>
      </c>
      <c r="M371" s="376">
        <f t="shared" si="208"/>
        <v>0</v>
      </c>
      <c r="N371" s="749" t="str">
        <f t="shared" si="205"/>
        <v>-</v>
      </c>
      <c r="O371" s="332" t="s">
        <v>1023</v>
      </c>
      <c r="P371" s="408" t="s">
        <v>785</v>
      </c>
      <c r="Q371" s="103"/>
      <c r="R371" s="661">
        <f>J371</f>
        <v>-300000</v>
      </c>
      <c r="S371" s="104" t="str">
        <f t="shared" si="192"/>
        <v>ok</v>
      </c>
    </row>
    <row r="372" spans="1:19" s="673" customFormat="1" ht="31.5" customHeight="1">
      <c r="A372" s="770"/>
      <c r="B372" s="770"/>
      <c r="C372" s="662">
        <v>554</v>
      </c>
      <c r="D372" s="658" t="s">
        <v>126</v>
      </c>
      <c r="E372" s="288" t="s">
        <v>1611</v>
      </c>
      <c r="F372" s="658">
        <v>10000</v>
      </c>
      <c r="G372" s="658"/>
      <c r="H372" s="658">
        <v>40000</v>
      </c>
      <c r="I372" s="665">
        <f t="shared" si="204"/>
        <v>50000</v>
      </c>
      <c r="J372" s="658"/>
      <c r="K372" s="641">
        <v>10000</v>
      </c>
      <c r="L372" s="665">
        <f t="shared" si="144"/>
        <v>20000</v>
      </c>
      <c r="M372" s="665">
        <f t="shared" si="208"/>
        <v>-30000</v>
      </c>
      <c r="N372" s="749" t="str">
        <f t="shared" si="205"/>
        <v>-</v>
      </c>
      <c r="O372" s="336" t="s">
        <v>778</v>
      </c>
      <c r="P372" s="653" t="s">
        <v>1223</v>
      </c>
      <c r="Q372" s="658"/>
      <c r="R372" s="661">
        <f t="shared" ref="R372:R373" si="209">K372</f>
        <v>10000</v>
      </c>
      <c r="S372" s="648" t="str">
        <f t="shared" si="192"/>
        <v>검토</v>
      </c>
    </row>
    <row r="373" spans="1:19" s="673" customFormat="1" ht="31.5" customHeight="1">
      <c r="A373" s="770"/>
      <c r="B373" s="770"/>
      <c r="C373" s="662">
        <v>554</v>
      </c>
      <c r="D373" s="658" t="s">
        <v>126</v>
      </c>
      <c r="E373" s="288" t="s">
        <v>1612</v>
      </c>
      <c r="F373" s="658">
        <v>10000</v>
      </c>
      <c r="G373" s="658"/>
      <c r="H373" s="658">
        <v>50000</v>
      </c>
      <c r="I373" s="665">
        <f t="shared" si="204"/>
        <v>60000</v>
      </c>
      <c r="J373" s="658"/>
      <c r="K373" s="641">
        <v>10000</v>
      </c>
      <c r="L373" s="665">
        <f t="shared" ref="L373:L380" si="210">F373+J373+K373</f>
        <v>20000</v>
      </c>
      <c r="M373" s="665">
        <f t="shared" si="208"/>
        <v>-40000</v>
      </c>
      <c r="N373" s="749" t="str">
        <f t="shared" si="205"/>
        <v>-</v>
      </c>
      <c r="O373" s="336" t="s">
        <v>778</v>
      </c>
      <c r="P373" s="653" t="s">
        <v>1223</v>
      </c>
      <c r="Q373" s="658"/>
      <c r="R373" s="661">
        <f t="shared" si="209"/>
        <v>10000</v>
      </c>
      <c r="S373" s="648" t="str">
        <f t="shared" si="192"/>
        <v>검토</v>
      </c>
    </row>
    <row r="374" spans="1:19" s="673" customFormat="1" ht="50.25" customHeight="1">
      <c r="A374" s="770"/>
      <c r="B374" s="770"/>
      <c r="C374" s="662">
        <v>560</v>
      </c>
      <c r="D374" s="658" t="s">
        <v>786</v>
      </c>
      <c r="E374" s="288" t="s">
        <v>1613</v>
      </c>
      <c r="F374" s="658">
        <v>8000000</v>
      </c>
      <c r="G374" s="658">
        <v>-972000</v>
      </c>
      <c r="H374" s="658"/>
      <c r="I374" s="665">
        <f t="shared" si="204"/>
        <v>7028000</v>
      </c>
      <c r="J374" s="658">
        <v>-972000</v>
      </c>
      <c r="K374" s="641"/>
      <c r="L374" s="665">
        <f t="shared" si="210"/>
        <v>7028000</v>
      </c>
      <c r="M374" s="665">
        <f t="shared" si="208"/>
        <v>0</v>
      </c>
      <c r="N374" s="749" t="str">
        <f t="shared" si="205"/>
        <v>-</v>
      </c>
      <c r="O374" s="336" t="s">
        <v>1445</v>
      </c>
      <c r="P374" s="653" t="s">
        <v>1223</v>
      </c>
      <c r="Q374" s="658"/>
      <c r="R374" s="661">
        <f>J374</f>
        <v>-972000</v>
      </c>
      <c r="S374" s="648" t="str">
        <f t="shared" si="192"/>
        <v>ok</v>
      </c>
    </row>
    <row r="375" spans="1:19" ht="31.5" customHeight="1">
      <c r="A375" s="770"/>
      <c r="B375" s="770"/>
      <c r="C375" s="100">
        <v>601</v>
      </c>
      <c r="D375" s="111" t="s">
        <v>787</v>
      </c>
      <c r="E375" s="183" t="s">
        <v>788</v>
      </c>
      <c r="F375" s="95">
        <v>10000</v>
      </c>
      <c r="G375" s="95"/>
      <c r="H375" s="95">
        <v>10000</v>
      </c>
      <c r="I375" s="102">
        <f t="shared" si="204"/>
        <v>20000</v>
      </c>
      <c r="J375" s="375"/>
      <c r="K375" s="375">
        <v>10000</v>
      </c>
      <c r="L375" s="376">
        <f t="shared" si="210"/>
        <v>20000</v>
      </c>
      <c r="M375" s="376">
        <f t="shared" si="208"/>
        <v>0</v>
      </c>
      <c r="N375" s="749" t="str">
        <f t="shared" si="205"/>
        <v>-</v>
      </c>
      <c r="O375" s="322" t="s">
        <v>778</v>
      </c>
      <c r="P375" s="378" t="s">
        <v>231</v>
      </c>
      <c r="Q375" s="103"/>
      <c r="R375" s="661">
        <f t="shared" ref="R375:R380" si="211">K375</f>
        <v>10000</v>
      </c>
      <c r="S375" s="104" t="str">
        <f t="shared" si="192"/>
        <v>ok</v>
      </c>
    </row>
    <row r="376" spans="1:19" s="673" customFormat="1" ht="31.5" customHeight="1">
      <c r="A376" s="770"/>
      <c r="B376" s="770"/>
      <c r="C376" s="662" t="s">
        <v>94</v>
      </c>
      <c r="D376" s="658" t="s">
        <v>786</v>
      </c>
      <c r="E376" s="288" t="s">
        <v>1614</v>
      </c>
      <c r="F376" s="658"/>
      <c r="G376" s="658"/>
      <c r="H376" s="658">
        <v>700000</v>
      </c>
      <c r="I376" s="665">
        <f t="shared" si="204"/>
        <v>700000</v>
      </c>
      <c r="J376" s="658"/>
      <c r="K376" s="641">
        <v>500000</v>
      </c>
      <c r="L376" s="665">
        <f t="shared" si="210"/>
        <v>500000</v>
      </c>
      <c r="M376" s="665">
        <f t="shared" si="208"/>
        <v>-200000</v>
      </c>
      <c r="N376" s="749" t="str">
        <f t="shared" si="205"/>
        <v>-</v>
      </c>
      <c r="O376" s="336" t="s">
        <v>789</v>
      </c>
      <c r="P376" s="653" t="s">
        <v>1223</v>
      </c>
      <c r="Q376" s="658"/>
      <c r="R376" s="661">
        <f t="shared" si="211"/>
        <v>500000</v>
      </c>
      <c r="S376" s="648" t="str">
        <f t="shared" si="192"/>
        <v>검토</v>
      </c>
    </row>
    <row r="377" spans="1:19" ht="49.5" customHeight="1">
      <c r="A377" s="770"/>
      <c r="B377" s="770"/>
      <c r="C377" s="279" t="s">
        <v>94</v>
      </c>
      <c r="D377" s="289" t="s">
        <v>786</v>
      </c>
      <c r="E377" s="276" t="s">
        <v>790</v>
      </c>
      <c r="F377" s="99"/>
      <c r="G377" s="99"/>
      <c r="H377" s="99">
        <v>210000</v>
      </c>
      <c r="I377" s="102">
        <f t="shared" si="204"/>
        <v>210000</v>
      </c>
      <c r="J377" s="374"/>
      <c r="K377" s="374">
        <v>210000</v>
      </c>
      <c r="L377" s="376">
        <f t="shared" si="210"/>
        <v>210000</v>
      </c>
      <c r="M377" s="376">
        <f t="shared" si="208"/>
        <v>0</v>
      </c>
      <c r="N377" s="749" t="str">
        <f t="shared" si="205"/>
        <v>-</v>
      </c>
      <c r="O377" s="322" t="s">
        <v>789</v>
      </c>
      <c r="P377" s="378" t="s">
        <v>231</v>
      </c>
      <c r="Q377" s="99"/>
      <c r="R377" s="661">
        <f t="shared" si="211"/>
        <v>210000</v>
      </c>
      <c r="S377" s="104" t="str">
        <f t="shared" si="192"/>
        <v>ok</v>
      </c>
    </row>
    <row r="378" spans="1:19" ht="49.5" customHeight="1">
      <c r="A378" s="770"/>
      <c r="B378" s="770"/>
      <c r="C378" s="279" t="s">
        <v>94</v>
      </c>
      <c r="D378" s="289" t="s">
        <v>786</v>
      </c>
      <c r="E378" s="276" t="s">
        <v>791</v>
      </c>
      <c r="F378" s="99"/>
      <c r="G378" s="99"/>
      <c r="H378" s="99">
        <v>9000</v>
      </c>
      <c r="I378" s="102">
        <f t="shared" si="204"/>
        <v>9000</v>
      </c>
      <c r="J378" s="374"/>
      <c r="K378" s="374">
        <v>9000</v>
      </c>
      <c r="L378" s="376">
        <f t="shared" si="210"/>
        <v>9000</v>
      </c>
      <c r="M378" s="376">
        <f t="shared" si="208"/>
        <v>0</v>
      </c>
      <c r="N378" s="749" t="str">
        <f t="shared" si="205"/>
        <v>-</v>
      </c>
      <c r="O378" s="322" t="s">
        <v>789</v>
      </c>
      <c r="P378" s="378" t="s">
        <v>231</v>
      </c>
      <c r="Q378" s="99"/>
      <c r="R378" s="661">
        <f t="shared" si="211"/>
        <v>9000</v>
      </c>
      <c r="S378" s="104" t="str">
        <f t="shared" si="192"/>
        <v>ok</v>
      </c>
    </row>
    <row r="379" spans="1:19" ht="49.5" customHeight="1">
      <c r="A379" s="770"/>
      <c r="B379" s="770"/>
      <c r="C379" s="279" t="s">
        <v>94</v>
      </c>
      <c r="D379" s="289" t="s">
        <v>786</v>
      </c>
      <c r="E379" s="276" t="s">
        <v>792</v>
      </c>
      <c r="F379" s="99"/>
      <c r="G379" s="99"/>
      <c r="H379" s="99">
        <v>3000</v>
      </c>
      <c r="I379" s="102">
        <f t="shared" si="204"/>
        <v>3000</v>
      </c>
      <c r="J379" s="374"/>
      <c r="K379" s="374">
        <v>3000</v>
      </c>
      <c r="L379" s="376">
        <f t="shared" si="210"/>
        <v>3000</v>
      </c>
      <c r="M379" s="376">
        <f t="shared" si="208"/>
        <v>0</v>
      </c>
      <c r="N379" s="749" t="str">
        <f t="shared" si="205"/>
        <v>-</v>
      </c>
      <c r="O379" s="322" t="s">
        <v>789</v>
      </c>
      <c r="P379" s="378" t="s">
        <v>231</v>
      </c>
      <c r="Q379" s="99"/>
      <c r="R379" s="661">
        <f t="shared" si="211"/>
        <v>3000</v>
      </c>
      <c r="S379" s="104" t="str">
        <f t="shared" si="192"/>
        <v>ok</v>
      </c>
    </row>
    <row r="380" spans="1:19" ht="31.5" customHeight="1">
      <c r="A380" s="770"/>
      <c r="B380" s="770"/>
      <c r="C380" s="100" t="s">
        <v>94</v>
      </c>
      <c r="D380" s="111" t="s">
        <v>126</v>
      </c>
      <c r="E380" s="183" t="s">
        <v>793</v>
      </c>
      <c r="F380" s="95"/>
      <c r="G380" s="95"/>
      <c r="H380" s="95">
        <v>50000</v>
      </c>
      <c r="I380" s="102">
        <f t="shared" si="204"/>
        <v>50000</v>
      </c>
      <c r="J380" s="375"/>
      <c r="K380" s="375">
        <v>50000</v>
      </c>
      <c r="L380" s="376">
        <f t="shared" si="210"/>
        <v>50000</v>
      </c>
      <c r="M380" s="376">
        <f t="shared" si="208"/>
        <v>0</v>
      </c>
      <c r="N380" s="749" t="str">
        <f t="shared" si="205"/>
        <v>-</v>
      </c>
      <c r="O380" s="322" t="s">
        <v>789</v>
      </c>
      <c r="P380" s="378" t="s">
        <v>231</v>
      </c>
      <c r="Q380" s="103"/>
      <c r="R380" s="661">
        <f t="shared" si="211"/>
        <v>50000</v>
      </c>
      <c r="S380" s="104" t="str">
        <f t="shared" si="192"/>
        <v>ok</v>
      </c>
    </row>
    <row r="381" spans="1:19" ht="31.5" customHeight="1">
      <c r="A381" s="770"/>
      <c r="B381" s="612" t="s">
        <v>128</v>
      </c>
      <c r="C381" s="628"/>
      <c r="D381" s="31"/>
      <c r="E381" s="31"/>
      <c r="F381" s="32">
        <f t="shared" ref="F381:I381" si="212">SUM(F382:F391)</f>
        <v>439900</v>
      </c>
      <c r="G381" s="32">
        <f t="shared" si="212"/>
        <v>-56000</v>
      </c>
      <c r="H381" s="32">
        <f t="shared" si="212"/>
        <v>89600</v>
      </c>
      <c r="I381" s="32">
        <f t="shared" si="212"/>
        <v>473500</v>
      </c>
      <c r="J381" s="370">
        <f t="shared" ref="J381:K381" si="213">SUM(J382:J391)</f>
        <v>-56000</v>
      </c>
      <c r="K381" s="370">
        <f t="shared" si="213"/>
        <v>139600</v>
      </c>
      <c r="L381" s="370">
        <f t="shared" ref="L381:L451" si="214">F381+J381+K381</f>
        <v>523500</v>
      </c>
      <c r="M381" s="370">
        <f t="shared" ref="M381:M447" si="215">L381-I381</f>
        <v>50000</v>
      </c>
      <c r="N381" s="628" t="str">
        <f t="shared" si="205"/>
        <v>-</v>
      </c>
      <c r="O381" s="331"/>
      <c r="P381" s="30"/>
      <c r="Q381" s="32">
        <f t="shared" ref="Q381:R381" si="216">SUM(Q382:Q391)</f>
        <v>9000</v>
      </c>
      <c r="R381" s="32">
        <f t="shared" si="216"/>
        <v>74600</v>
      </c>
      <c r="S381" s="30" t="str">
        <f t="shared" si="192"/>
        <v>검토</v>
      </c>
    </row>
    <row r="382" spans="1:19" ht="31.5" customHeight="1">
      <c r="A382" s="770"/>
      <c r="B382" s="770"/>
      <c r="C382" s="100">
        <v>636</v>
      </c>
      <c r="D382" s="111" t="s">
        <v>794</v>
      </c>
      <c r="E382" s="183" t="s">
        <v>795</v>
      </c>
      <c r="F382" s="95">
        <v>50000</v>
      </c>
      <c r="G382" s="95">
        <v>-50000</v>
      </c>
      <c r="H382" s="95"/>
      <c r="I382" s="102">
        <f t="shared" ref="I382:I391" si="217">F382+G382+H382</f>
        <v>0</v>
      </c>
      <c r="J382" s="375">
        <v>-50000</v>
      </c>
      <c r="K382" s="375"/>
      <c r="L382" s="376">
        <f t="shared" si="214"/>
        <v>0</v>
      </c>
      <c r="M382" s="376">
        <f t="shared" si="215"/>
        <v>0</v>
      </c>
      <c r="N382" s="749" t="str">
        <f t="shared" si="205"/>
        <v>-</v>
      </c>
      <c r="O382" s="322"/>
      <c r="P382" s="378" t="s">
        <v>97</v>
      </c>
      <c r="Q382" s="180"/>
      <c r="R382" s="661">
        <f>J382</f>
        <v>-50000</v>
      </c>
      <c r="S382" s="104" t="str">
        <f t="shared" si="192"/>
        <v>ok</v>
      </c>
    </row>
    <row r="383" spans="1:19" ht="31.5" customHeight="1">
      <c r="A383" s="770"/>
      <c r="B383" s="770"/>
      <c r="C383" s="100">
        <v>642</v>
      </c>
      <c r="D383" s="101" t="s">
        <v>796</v>
      </c>
      <c r="E383" s="140" t="s">
        <v>797</v>
      </c>
      <c r="F383" s="95">
        <v>130700</v>
      </c>
      <c r="G383" s="95"/>
      <c r="H383" s="95">
        <v>9000</v>
      </c>
      <c r="I383" s="102">
        <f>F383+G383+H383</f>
        <v>139700</v>
      </c>
      <c r="J383" s="375"/>
      <c r="K383" s="375">
        <v>9000</v>
      </c>
      <c r="L383" s="376">
        <f t="shared" si="214"/>
        <v>139700</v>
      </c>
      <c r="M383" s="376">
        <f t="shared" si="215"/>
        <v>0</v>
      </c>
      <c r="N383" s="749" t="str">
        <f t="shared" si="205"/>
        <v>-</v>
      </c>
      <c r="O383" s="322" t="s">
        <v>798</v>
      </c>
      <c r="P383" s="378" t="s">
        <v>90</v>
      </c>
      <c r="Q383" s="180">
        <v>9000</v>
      </c>
      <c r="R383" s="180"/>
      <c r="S383" s="104" t="str">
        <f t="shared" si="192"/>
        <v>ok</v>
      </c>
    </row>
    <row r="384" spans="1:19" ht="31.5" customHeight="1">
      <c r="A384" s="770"/>
      <c r="B384" s="770"/>
      <c r="C384" s="100">
        <v>655</v>
      </c>
      <c r="D384" s="101" t="s">
        <v>240</v>
      </c>
      <c r="E384" s="183" t="s">
        <v>799</v>
      </c>
      <c r="F384" s="95">
        <v>30000</v>
      </c>
      <c r="G384" s="95">
        <v>-6000</v>
      </c>
      <c r="H384" s="95"/>
      <c r="I384" s="102">
        <f>F384+G384+H384</f>
        <v>24000</v>
      </c>
      <c r="J384" s="375">
        <v>-6000</v>
      </c>
      <c r="K384" s="375"/>
      <c r="L384" s="376">
        <f t="shared" si="214"/>
        <v>24000</v>
      </c>
      <c r="M384" s="376">
        <f t="shared" si="215"/>
        <v>0</v>
      </c>
      <c r="N384" s="749" t="str">
        <f t="shared" si="205"/>
        <v>-</v>
      </c>
      <c r="O384" s="322"/>
      <c r="P384" s="378" t="s">
        <v>97</v>
      </c>
      <c r="Q384" s="180"/>
      <c r="R384" s="661">
        <f>J384</f>
        <v>-6000</v>
      </c>
      <c r="S384" s="104" t="str">
        <f t="shared" si="192"/>
        <v>ok</v>
      </c>
    </row>
    <row r="385" spans="1:19" ht="31.5" customHeight="1">
      <c r="A385" s="770"/>
      <c r="B385" s="770"/>
      <c r="C385" s="100">
        <v>655</v>
      </c>
      <c r="D385" s="101" t="s">
        <v>240</v>
      </c>
      <c r="E385" s="183" t="s">
        <v>800</v>
      </c>
      <c r="F385" s="95">
        <v>12000</v>
      </c>
      <c r="G385" s="95"/>
      <c r="H385" s="95">
        <v>12000</v>
      </c>
      <c r="I385" s="102">
        <f t="shared" si="217"/>
        <v>24000</v>
      </c>
      <c r="J385" s="375"/>
      <c r="K385" s="375">
        <v>12000</v>
      </c>
      <c r="L385" s="376">
        <f t="shared" si="214"/>
        <v>24000</v>
      </c>
      <c r="M385" s="376">
        <f t="shared" si="215"/>
        <v>0</v>
      </c>
      <c r="N385" s="749" t="str">
        <f t="shared" si="205"/>
        <v>-</v>
      </c>
      <c r="O385" s="322"/>
      <c r="P385" s="378" t="s">
        <v>97</v>
      </c>
      <c r="Q385" s="180"/>
      <c r="R385" s="661">
        <f t="shared" ref="R385:R390" si="218">K385</f>
        <v>12000</v>
      </c>
      <c r="S385" s="104" t="str">
        <f t="shared" si="192"/>
        <v>ok</v>
      </c>
    </row>
    <row r="386" spans="1:19" ht="31.5" customHeight="1">
      <c r="A386" s="770"/>
      <c r="B386" s="770"/>
      <c r="C386" s="100">
        <v>655</v>
      </c>
      <c r="D386" s="101" t="s">
        <v>240</v>
      </c>
      <c r="E386" s="183" t="s">
        <v>801</v>
      </c>
      <c r="F386" s="95">
        <v>6000</v>
      </c>
      <c r="G386" s="95"/>
      <c r="H386" s="95">
        <v>6000</v>
      </c>
      <c r="I386" s="102">
        <f t="shared" si="217"/>
        <v>12000</v>
      </c>
      <c r="J386" s="375"/>
      <c r="K386" s="375">
        <v>6000</v>
      </c>
      <c r="L386" s="376">
        <f t="shared" si="214"/>
        <v>12000</v>
      </c>
      <c r="M386" s="376">
        <f t="shared" si="215"/>
        <v>0</v>
      </c>
      <c r="N386" s="749" t="str">
        <f t="shared" si="205"/>
        <v>-</v>
      </c>
      <c r="O386" s="322"/>
      <c r="P386" s="378" t="s">
        <v>97</v>
      </c>
      <c r="Q386" s="180"/>
      <c r="R386" s="661">
        <f t="shared" si="218"/>
        <v>6000</v>
      </c>
      <c r="S386" s="104" t="str">
        <f t="shared" si="192"/>
        <v>ok</v>
      </c>
    </row>
    <row r="387" spans="1:19" ht="31.5" customHeight="1">
      <c r="A387" s="770"/>
      <c r="B387" s="770"/>
      <c r="C387" s="100">
        <v>655</v>
      </c>
      <c r="D387" s="101" t="s">
        <v>240</v>
      </c>
      <c r="E387" s="183" t="s">
        <v>802</v>
      </c>
      <c r="F387" s="95">
        <v>6000</v>
      </c>
      <c r="G387" s="95"/>
      <c r="H387" s="95">
        <v>12000</v>
      </c>
      <c r="I387" s="102">
        <f t="shared" si="217"/>
        <v>18000</v>
      </c>
      <c r="J387" s="375"/>
      <c r="K387" s="375">
        <v>12000</v>
      </c>
      <c r="L387" s="376">
        <f t="shared" si="214"/>
        <v>18000</v>
      </c>
      <c r="M387" s="376">
        <f t="shared" si="215"/>
        <v>0</v>
      </c>
      <c r="N387" s="749" t="str">
        <f t="shared" si="205"/>
        <v>-</v>
      </c>
      <c r="O387" s="333"/>
      <c r="P387" s="378" t="s">
        <v>97</v>
      </c>
      <c r="Q387" s="180"/>
      <c r="R387" s="661">
        <f t="shared" si="218"/>
        <v>12000</v>
      </c>
      <c r="S387" s="104" t="str">
        <f t="shared" si="192"/>
        <v>ok</v>
      </c>
    </row>
    <row r="388" spans="1:19" ht="31.5" customHeight="1">
      <c r="A388" s="770"/>
      <c r="B388" s="770"/>
      <c r="C388" s="100">
        <v>663</v>
      </c>
      <c r="D388" s="101" t="s">
        <v>803</v>
      </c>
      <c r="E388" s="183" t="s">
        <v>804</v>
      </c>
      <c r="F388" s="95">
        <v>79200</v>
      </c>
      <c r="G388" s="95"/>
      <c r="H388" s="95">
        <v>9600</v>
      </c>
      <c r="I388" s="102">
        <f t="shared" si="217"/>
        <v>88800</v>
      </c>
      <c r="J388" s="375"/>
      <c r="K388" s="375">
        <v>9600</v>
      </c>
      <c r="L388" s="376">
        <f t="shared" si="214"/>
        <v>88800</v>
      </c>
      <c r="M388" s="376">
        <f t="shared" si="215"/>
        <v>0</v>
      </c>
      <c r="N388" s="749" t="str">
        <f t="shared" si="205"/>
        <v>-</v>
      </c>
      <c r="O388" s="333"/>
      <c r="P388" s="378" t="s">
        <v>97</v>
      </c>
      <c r="Q388" s="180"/>
      <c r="R388" s="661">
        <f t="shared" si="218"/>
        <v>9600</v>
      </c>
      <c r="S388" s="104" t="str">
        <f t="shared" si="192"/>
        <v>ok</v>
      </c>
    </row>
    <row r="389" spans="1:19" ht="45" customHeight="1">
      <c r="A389" s="770"/>
      <c r="B389" s="770"/>
      <c r="C389" s="107" t="s">
        <v>253</v>
      </c>
      <c r="D389" s="101" t="s">
        <v>803</v>
      </c>
      <c r="E389" s="183" t="s">
        <v>805</v>
      </c>
      <c r="F389" s="95">
        <v>0</v>
      </c>
      <c r="G389" s="95"/>
      <c r="H389" s="95">
        <v>11000</v>
      </c>
      <c r="I389" s="102">
        <f t="shared" si="217"/>
        <v>11000</v>
      </c>
      <c r="J389" s="375"/>
      <c r="K389" s="375">
        <v>11000</v>
      </c>
      <c r="L389" s="376">
        <f t="shared" si="214"/>
        <v>11000</v>
      </c>
      <c r="M389" s="376">
        <f t="shared" si="215"/>
        <v>0</v>
      </c>
      <c r="N389" s="749" t="str">
        <f t="shared" si="205"/>
        <v>-</v>
      </c>
      <c r="O389" s="259" t="s">
        <v>806</v>
      </c>
      <c r="P389" s="378" t="s">
        <v>97</v>
      </c>
      <c r="Q389" s="180"/>
      <c r="R389" s="661">
        <f t="shared" si="218"/>
        <v>11000</v>
      </c>
      <c r="S389" s="104" t="str">
        <f t="shared" si="192"/>
        <v>ok</v>
      </c>
    </row>
    <row r="390" spans="1:19" s="372" customFormat="1" ht="47.25" customHeight="1">
      <c r="A390" s="770"/>
      <c r="B390" s="770"/>
      <c r="C390" s="371">
        <v>666</v>
      </c>
      <c r="D390" s="379" t="s">
        <v>803</v>
      </c>
      <c r="E390" s="183" t="s">
        <v>807</v>
      </c>
      <c r="F390" s="375">
        <v>90000</v>
      </c>
      <c r="G390" s="375"/>
      <c r="H390" s="375">
        <v>30000</v>
      </c>
      <c r="I390" s="376">
        <f t="shared" si="217"/>
        <v>120000</v>
      </c>
      <c r="J390" s="375"/>
      <c r="K390" s="375">
        <v>30000</v>
      </c>
      <c r="L390" s="376">
        <f t="shared" si="214"/>
        <v>120000</v>
      </c>
      <c r="M390" s="376">
        <f t="shared" si="215"/>
        <v>0</v>
      </c>
      <c r="N390" s="749" t="str">
        <f t="shared" si="205"/>
        <v>-</v>
      </c>
      <c r="O390" s="333"/>
      <c r="P390" s="378" t="s">
        <v>97</v>
      </c>
      <c r="Q390" s="180"/>
      <c r="R390" s="661">
        <f t="shared" si="218"/>
        <v>30000</v>
      </c>
      <c r="S390" s="378" t="str">
        <f t="shared" si="192"/>
        <v>ok</v>
      </c>
    </row>
    <row r="391" spans="1:19" s="673" customFormat="1" ht="31.5" customHeight="1">
      <c r="A391" s="770"/>
      <c r="B391" s="770"/>
      <c r="C391" s="662">
        <v>630</v>
      </c>
      <c r="D391" s="658" t="s">
        <v>1291</v>
      </c>
      <c r="E391" s="288" t="s">
        <v>1560</v>
      </c>
      <c r="F391" s="658">
        <v>36000</v>
      </c>
      <c r="G391" s="658"/>
      <c r="H391" s="658"/>
      <c r="I391" s="665">
        <f t="shared" si="217"/>
        <v>36000</v>
      </c>
      <c r="J391" s="658"/>
      <c r="K391" s="641">
        <v>50000</v>
      </c>
      <c r="L391" s="665">
        <f t="shared" si="214"/>
        <v>86000</v>
      </c>
      <c r="M391" s="665">
        <f t="shared" si="215"/>
        <v>50000</v>
      </c>
      <c r="N391" s="749" t="str">
        <f t="shared" si="205"/>
        <v>-</v>
      </c>
      <c r="O391" s="336"/>
      <c r="P391" s="653" t="s">
        <v>1223</v>
      </c>
      <c r="Q391" s="658"/>
      <c r="R391" s="661">
        <f>K391</f>
        <v>50000</v>
      </c>
      <c r="S391" s="648" t="str">
        <f t="shared" si="192"/>
        <v>검토</v>
      </c>
    </row>
    <row r="392" spans="1:19" ht="31.5" customHeight="1">
      <c r="A392" s="445" t="s">
        <v>132</v>
      </c>
      <c r="B392" s="772"/>
      <c r="C392" s="26"/>
      <c r="D392" s="26"/>
      <c r="E392" s="26"/>
      <c r="F392" s="27">
        <f t="shared" ref="F392:I392" si="219">SUM(F393:F445)/2</f>
        <v>1203765506</v>
      </c>
      <c r="G392" s="27">
        <f t="shared" si="219"/>
        <v>-3990900</v>
      </c>
      <c r="H392" s="27">
        <f t="shared" si="219"/>
        <v>5713906</v>
      </c>
      <c r="I392" s="27">
        <f t="shared" si="219"/>
        <v>1205488512</v>
      </c>
      <c r="J392" s="369">
        <f t="shared" ref="J392:K392" si="220">SUM(J393:J445)/2</f>
        <v>-14120900</v>
      </c>
      <c r="K392" s="369">
        <f t="shared" si="220"/>
        <v>4907253</v>
      </c>
      <c r="L392" s="369">
        <f t="shared" si="214"/>
        <v>1194551859</v>
      </c>
      <c r="M392" s="369">
        <f t="shared" si="215"/>
        <v>-10936653</v>
      </c>
      <c r="N392" s="626" t="str">
        <f t="shared" si="205"/>
        <v>-</v>
      </c>
      <c r="O392" s="320"/>
      <c r="P392" s="26"/>
      <c r="Q392" s="27">
        <f t="shared" ref="Q392:R392" si="221">SUM(Q393:Q445)/2</f>
        <v>-578420</v>
      </c>
      <c r="R392" s="27">
        <f t="shared" si="221"/>
        <v>921726</v>
      </c>
      <c r="S392" s="26" t="str">
        <f t="shared" si="192"/>
        <v>검토</v>
      </c>
    </row>
    <row r="393" spans="1:19" ht="31.5" customHeight="1">
      <c r="A393" s="770"/>
      <c r="B393" s="612" t="s">
        <v>133</v>
      </c>
      <c r="C393" s="628"/>
      <c r="D393" s="31"/>
      <c r="E393" s="30"/>
      <c r="F393" s="32">
        <f t="shared" ref="F393:K393" si="222">SUM(F394:F423)</f>
        <v>1202856500</v>
      </c>
      <c r="G393" s="32">
        <f t="shared" si="222"/>
        <v>-3878100</v>
      </c>
      <c r="H393" s="32">
        <f t="shared" si="222"/>
        <v>4068608</v>
      </c>
      <c r="I393" s="32">
        <f t="shared" si="222"/>
        <v>1203047008</v>
      </c>
      <c r="J393" s="370">
        <f t="shared" si="222"/>
        <v>-13878100</v>
      </c>
      <c r="K393" s="370">
        <f t="shared" si="222"/>
        <v>4646655</v>
      </c>
      <c r="L393" s="370">
        <f t="shared" si="214"/>
        <v>1193625055</v>
      </c>
      <c r="M393" s="370">
        <f t="shared" si="215"/>
        <v>-9421953</v>
      </c>
      <c r="N393" s="628" t="str">
        <f t="shared" si="205"/>
        <v>-</v>
      </c>
      <c r="O393" s="321"/>
      <c r="P393" s="30"/>
      <c r="Q393" s="32">
        <f>SUM(Q394:Q423)</f>
        <v>-528500</v>
      </c>
      <c r="R393" s="32">
        <f>SUM(R394:R423)</f>
        <v>854008</v>
      </c>
      <c r="S393" s="30" t="str">
        <f t="shared" si="192"/>
        <v>검토</v>
      </c>
    </row>
    <row r="394" spans="1:19" ht="31.5" customHeight="1">
      <c r="A394" s="770"/>
      <c r="B394" s="770"/>
      <c r="C394" s="108">
        <v>709</v>
      </c>
      <c r="D394" s="109" t="s">
        <v>134</v>
      </c>
      <c r="E394" s="109" t="s">
        <v>808</v>
      </c>
      <c r="F394" s="110">
        <v>3581000</v>
      </c>
      <c r="G394" s="110">
        <v>-358100</v>
      </c>
      <c r="H394" s="110"/>
      <c r="I394" s="102">
        <f t="shared" ref="I394:I420" si="223">F394+G394+H394</f>
        <v>3222900</v>
      </c>
      <c r="J394" s="363">
        <v>-358100</v>
      </c>
      <c r="K394" s="363"/>
      <c r="L394" s="376">
        <f t="shared" si="214"/>
        <v>3222900</v>
      </c>
      <c r="M394" s="376">
        <f t="shared" si="215"/>
        <v>0</v>
      </c>
      <c r="N394" s="749" t="str">
        <f t="shared" si="205"/>
        <v>-</v>
      </c>
      <c r="O394" s="326" t="s">
        <v>809</v>
      </c>
      <c r="P394" s="365" t="s">
        <v>97</v>
      </c>
      <c r="Q394" s="273"/>
      <c r="R394" s="661">
        <f>J394</f>
        <v>-358100</v>
      </c>
      <c r="S394" s="104" t="str">
        <f t="shared" si="192"/>
        <v>ok</v>
      </c>
    </row>
    <row r="395" spans="1:19" ht="31.5" customHeight="1">
      <c r="A395" s="770"/>
      <c r="B395" s="770"/>
      <c r="C395" s="292" t="s">
        <v>253</v>
      </c>
      <c r="D395" s="109" t="s">
        <v>134</v>
      </c>
      <c r="E395" s="140" t="s">
        <v>810</v>
      </c>
      <c r="F395" s="110"/>
      <c r="G395" s="110"/>
      <c r="H395" s="110">
        <v>20000</v>
      </c>
      <c r="I395" s="102">
        <f t="shared" si="223"/>
        <v>20000</v>
      </c>
      <c r="J395" s="363"/>
      <c r="K395" s="363">
        <v>20000</v>
      </c>
      <c r="L395" s="376">
        <f t="shared" si="214"/>
        <v>20000</v>
      </c>
      <c r="M395" s="376">
        <f t="shared" si="215"/>
        <v>0</v>
      </c>
      <c r="N395" s="749" t="str">
        <f t="shared" si="205"/>
        <v>-</v>
      </c>
      <c r="O395" s="326" t="s">
        <v>811</v>
      </c>
      <c r="P395" s="365" t="s">
        <v>97</v>
      </c>
      <c r="Q395" s="273"/>
      <c r="R395" s="661">
        <f t="shared" ref="R395:R399" si="224">K395</f>
        <v>20000</v>
      </c>
      <c r="S395" s="104" t="str">
        <f t="shared" si="192"/>
        <v>ok</v>
      </c>
    </row>
    <row r="396" spans="1:19" s="673" customFormat="1" ht="31.5" customHeight="1">
      <c r="A396" s="770"/>
      <c r="B396" s="770"/>
      <c r="C396" s="662" t="s">
        <v>253</v>
      </c>
      <c r="D396" s="658" t="s">
        <v>134</v>
      </c>
      <c r="E396" s="288" t="s">
        <v>1615</v>
      </c>
      <c r="F396" s="658"/>
      <c r="G396" s="658"/>
      <c r="H396" s="658">
        <v>20000</v>
      </c>
      <c r="I396" s="665">
        <f t="shared" si="223"/>
        <v>20000</v>
      </c>
      <c r="J396" s="658"/>
      <c r="K396" s="641">
        <v>20000</v>
      </c>
      <c r="L396" s="665">
        <f t="shared" si="214"/>
        <v>20000</v>
      </c>
      <c r="M396" s="665">
        <f t="shared" si="215"/>
        <v>0</v>
      </c>
      <c r="N396" s="749" t="str">
        <f t="shared" si="205"/>
        <v>-</v>
      </c>
      <c r="O396" s="336" t="s">
        <v>812</v>
      </c>
      <c r="P396" s="653" t="s">
        <v>1223</v>
      </c>
      <c r="Q396" s="658"/>
      <c r="R396" s="661">
        <f t="shared" si="224"/>
        <v>20000</v>
      </c>
      <c r="S396" s="648" t="str">
        <f t="shared" si="192"/>
        <v>ok</v>
      </c>
    </row>
    <row r="397" spans="1:19" ht="31.5" customHeight="1">
      <c r="A397" s="770"/>
      <c r="B397" s="770"/>
      <c r="C397" s="292" t="s">
        <v>253</v>
      </c>
      <c r="D397" s="109" t="s">
        <v>134</v>
      </c>
      <c r="E397" s="140" t="s">
        <v>813</v>
      </c>
      <c r="F397" s="110"/>
      <c r="G397" s="110"/>
      <c r="H397" s="110">
        <v>20000</v>
      </c>
      <c r="I397" s="102">
        <f t="shared" si="223"/>
        <v>20000</v>
      </c>
      <c r="J397" s="363"/>
      <c r="K397" s="363">
        <v>20000</v>
      </c>
      <c r="L397" s="376">
        <f t="shared" si="214"/>
        <v>20000</v>
      </c>
      <c r="M397" s="376">
        <f t="shared" si="215"/>
        <v>0</v>
      </c>
      <c r="N397" s="749" t="str">
        <f t="shared" si="205"/>
        <v>-</v>
      </c>
      <c r="O397" s="326" t="s">
        <v>814</v>
      </c>
      <c r="P397" s="365" t="s">
        <v>97</v>
      </c>
      <c r="Q397" s="273"/>
      <c r="R397" s="661">
        <f t="shared" si="224"/>
        <v>20000</v>
      </c>
      <c r="S397" s="104" t="str">
        <f t="shared" si="192"/>
        <v>ok</v>
      </c>
    </row>
    <row r="398" spans="1:19" ht="48" customHeight="1">
      <c r="A398" s="770"/>
      <c r="B398" s="770"/>
      <c r="C398" s="292" t="s">
        <v>253</v>
      </c>
      <c r="D398" s="109" t="s">
        <v>134</v>
      </c>
      <c r="E398" s="140" t="s">
        <v>815</v>
      </c>
      <c r="F398" s="110"/>
      <c r="G398" s="110"/>
      <c r="H398" s="110">
        <v>150000</v>
      </c>
      <c r="I398" s="102">
        <f t="shared" si="223"/>
        <v>150000</v>
      </c>
      <c r="J398" s="363"/>
      <c r="K398" s="363">
        <v>150000</v>
      </c>
      <c r="L398" s="376">
        <f t="shared" si="214"/>
        <v>150000</v>
      </c>
      <c r="M398" s="376">
        <f t="shared" si="215"/>
        <v>0</v>
      </c>
      <c r="N398" s="749" t="str">
        <f t="shared" si="205"/>
        <v>-</v>
      </c>
      <c r="O398" s="326"/>
      <c r="P398" s="365" t="s">
        <v>97</v>
      </c>
      <c r="Q398" s="273"/>
      <c r="R398" s="661">
        <f t="shared" si="224"/>
        <v>150000</v>
      </c>
      <c r="S398" s="104" t="str">
        <f t="shared" si="192"/>
        <v>ok</v>
      </c>
    </row>
    <row r="399" spans="1:19" ht="31.5" customHeight="1">
      <c r="A399" s="770"/>
      <c r="B399" s="770"/>
      <c r="C399" s="108">
        <v>710</v>
      </c>
      <c r="D399" s="109" t="s">
        <v>134</v>
      </c>
      <c r="E399" s="284" t="s">
        <v>816</v>
      </c>
      <c r="F399" s="110">
        <v>125200</v>
      </c>
      <c r="G399" s="110"/>
      <c r="H399" s="110">
        <v>2200</v>
      </c>
      <c r="I399" s="102">
        <f t="shared" si="223"/>
        <v>127400</v>
      </c>
      <c r="J399" s="363"/>
      <c r="K399" s="363">
        <v>2200</v>
      </c>
      <c r="L399" s="376">
        <f t="shared" si="214"/>
        <v>127400</v>
      </c>
      <c r="M399" s="376">
        <f t="shared" si="215"/>
        <v>0</v>
      </c>
      <c r="N399" s="749" t="str">
        <f t="shared" si="205"/>
        <v>-</v>
      </c>
      <c r="O399" s="326" t="s">
        <v>817</v>
      </c>
      <c r="P399" s="365" t="s">
        <v>97</v>
      </c>
      <c r="Q399" s="273"/>
      <c r="R399" s="661">
        <f t="shared" si="224"/>
        <v>2200</v>
      </c>
      <c r="S399" s="104" t="str">
        <f t="shared" si="192"/>
        <v>ok</v>
      </c>
    </row>
    <row r="400" spans="1:19" ht="42" customHeight="1">
      <c r="A400" s="770"/>
      <c r="B400" s="770"/>
      <c r="C400" s="100">
        <v>711</v>
      </c>
      <c r="D400" s="101" t="s">
        <v>134</v>
      </c>
      <c r="E400" s="140" t="s">
        <v>818</v>
      </c>
      <c r="F400" s="95">
        <v>1774500</v>
      </c>
      <c r="G400" s="95"/>
      <c r="H400" s="95">
        <v>31500</v>
      </c>
      <c r="I400" s="102">
        <f t="shared" si="223"/>
        <v>1806000</v>
      </c>
      <c r="J400" s="375"/>
      <c r="K400" s="375">
        <v>31500</v>
      </c>
      <c r="L400" s="376">
        <f t="shared" si="214"/>
        <v>1806000</v>
      </c>
      <c r="M400" s="376">
        <f t="shared" si="215"/>
        <v>0</v>
      </c>
      <c r="N400" s="749" t="str">
        <f t="shared" si="205"/>
        <v>-</v>
      </c>
      <c r="O400" s="259" t="s">
        <v>1009</v>
      </c>
      <c r="P400" s="378" t="s">
        <v>90</v>
      </c>
      <c r="Q400" s="103">
        <v>31500</v>
      </c>
      <c r="R400" s="103"/>
      <c r="S400" s="104" t="str">
        <f t="shared" si="192"/>
        <v>ok</v>
      </c>
    </row>
    <row r="401" spans="1:19" s="673" customFormat="1" ht="31.5" customHeight="1">
      <c r="A401" s="770"/>
      <c r="B401" s="770"/>
      <c r="C401" s="662" t="s">
        <v>94</v>
      </c>
      <c r="D401" s="658" t="s">
        <v>134</v>
      </c>
      <c r="E401" s="288" t="s">
        <v>1556</v>
      </c>
      <c r="F401" s="658"/>
      <c r="G401" s="658"/>
      <c r="H401" s="658"/>
      <c r="I401" s="665">
        <f t="shared" si="223"/>
        <v>0</v>
      </c>
      <c r="J401" s="658"/>
      <c r="K401" s="641">
        <v>160047</v>
      </c>
      <c r="L401" s="665">
        <f t="shared" ref="L401" si="225">F401+J401+K401</f>
        <v>160047</v>
      </c>
      <c r="M401" s="665">
        <f t="shared" ref="M401" si="226">L401-I401</f>
        <v>160047</v>
      </c>
      <c r="N401" s="749" t="str">
        <f t="shared" si="205"/>
        <v>-</v>
      </c>
      <c r="O401" s="336" t="s">
        <v>1230</v>
      </c>
      <c r="P401" s="653" t="s">
        <v>1223</v>
      </c>
      <c r="Q401" s="658"/>
      <c r="R401" s="661"/>
      <c r="S401" s="648" t="str">
        <f t="shared" si="192"/>
        <v>ok</v>
      </c>
    </row>
    <row r="402" spans="1:19" ht="42" customHeight="1">
      <c r="A402" s="770"/>
      <c r="B402" s="770"/>
      <c r="C402" s="108">
        <v>718</v>
      </c>
      <c r="D402" s="109" t="s">
        <v>144</v>
      </c>
      <c r="E402" s="140" t="s">
        <v>819</v>
      </c>
      <c r="F402" s="110">
        <v>220000</v>
      </c>
      <c r="G402" s="110"/>
      <c r="H402" s="110">
        <v>28973</v>
      </c>
      <c r="I402" s="102">
        <f t="shared" si="223"/>
        <v>248973</v>
      </c>
      <c r="J402" s="363"/>
      <c r="K402" s="363">
        <v>28973</v>
      </c>
      <c r="L402" s="376">
        <f t="shared" si="214"/>
        <v>248973</v>
      </c>
      <c r="M402" s="376">
        <f t="shared" si="215"/>
        <v>0</v>
      </c>
      <c r="N402" s="749" t="str">
        <f t="shared" si="205"/>
        <v>-</v>
      </c>
      <c r="O402" s="326" t="s">
        <v>820</v>
      </c>
      <c r="P402" s="365" t="s">
        <v>97</v>
      </c>
      <c r="Q402" s="273"/>
      <c r="R402" s="661">
        <f t="shared" ref="R402:R403" si="227">K402</f>
        <v>28973</v>
      </c>
      <c r="S402" s="104" t="str">
        <f t="shared" si="192"/>
        <v>ok</v>
      </c>
    </row>
    <row r="403" spans="1:19" ht="90.75" customHeight="1">
      <c r="A403" s="770"/>
      <c r="B403" s="770"/>
      <c r="C403" s="108" t="s">
        <v>253</v>
      </c>
      <c r="D403" s="109" t="s">
        <v>144</v>
      </c>
      <c r="E403" s="140" t="s">
        <v>821</v>
      </c>
      <c r="F403" s="110"/>
      <c r="G403" s="110"/>
      <c r="H403" s="110">
        <v>120000</v>
      </c>
      <c r="I403" s="102">
        <f t="shared" si="223"/>
        <v>120000</v>
      </c>
      <c r="J403" s="363"/>
      <c r="K403" s="363">
        <v>120000</v>
      </c>
      <c r="L403" s="376">
        <f t="shared" si="214"/>
        <v>120000</v>
      </c>
      <c r="M403" s="376">
        <f t="shared" si="215"/>
        <v>0</v>
      </c>
      <c r="N403" s="749" t="str">
        <f t="shared" si="205"/>
        <v>-</v>
      </c>
      <c r="O403" s="326" t="s">
        <v>64</v>
      </c>
      <c r="P403" s="365" t="s">
        <v>97</v>
      </c>
      <c r="Q403" s="273"/>
      <c r="R403" s="661">
        <f t="shared" si="227"/>
        <v>120000</v>
      </c>
      <c r="S403" s="104" t="str">
        <f t="shared" si="192"/>
        <v>ok</v>
      </c>
    </row>
    <row r="404" spans="1:19" s="673" customFormat="1" ht="31.5" customHeight="1">
      <c r="A404" s="770"/>
      <c r="B404" s="770"/>
      <c r="C404" s="662">
        <v>718</v>
      </c>
      <c r="D404" s="658" t="s">
        <v>1157</v>
      </c>
      <c r="E404" s="288" t="s">
        <v>1557</v>
      </c>
      <c r="F404" s="658">
        <v>252000</v>
      </c>
      <c r="G404" s="658"/>
      <c r="H404" s="658"/>
      <c r="I404" s="665">
        <f t="shared" si="223"/>
        <v>252000</v>
      </c>
      <c r="J404" s="658"/>
      <c r="K404" s="641">
        <v>63000</v>
      </c>
      <c r="L404" s="665">
        <f t="shared" si="214"/>
        <v>315000</v>
      </c>
      <c r="M404" s="665">
        <f t="shared" si="215"/>
        <v>63000</v>
      </c>
      <c r="N404" s="749" t="str">
        <f t="shared" si="205"/>
        <v>-</v>
      </c>
      <c r="O404" s="336" t="s">
        <v>1227</v>
      </c>
      <c r="P404" s="653" t="s">
        <v>1223</v>
      </c>
      <c r="Q404" s="658"/>
      <c r="R404" s="661"/>
      <c r="S404" s="648" t="str">
        <f t="shared" si="192"/>
        <v>ok</v>
      </c>
    </row>
    <row r="405" spans="1:19" ht="79.5" customHeight="1">
      <c r="A405" s="770"/>
      <c r="B405" s="770"/>
      <c r="C405" s="100">
        <v>733</v>
      </c>
      <c r="D405" s="101" t="s">
        <v>148</v>
      </c>
      <c r="E405" s="140" t="s">
        <v>822</v>
      </c>
      <c r="F405" s="95">
        <v>81732</v>
      </c>
      <c r="G405" s="95"/>
      <c r="H405" s="95">
        <v>55435</v>
      </c>
      <c r="I405" s="102">
        <f t="shared" si="223"/>
        <v>137167</v>
      </c>
      <c r="J405" s="375"/>
      <c r="K405" s="375">
        <v>55435</v>
      </c>
      <c r="L405" s="376">
        <f t="shared" si="214"/>
        <v>137167</v>
      </c>
      <c r="M405" s="376">
        <f t="shared" si="215"/>
        <v>0</v>
      </c>
      <c r="N405" s="749" t="str">
        <f t="shared" si="205"/>
        <v>-</v>
      </c>
      <c r="O405" s="259" t="s">
        <v>823</v>
      </c>
      <c r="P405" s="378" t="s">
        <v>97</v>
      </c>
      <c r="Q405" s="103"/>
      <c r="R405" s="661">
        <f>K405</f>
        <v>55435</v>
      </c>
      <c r="S405" s="104" t="str">
        <f t="shared" si="192"/>
        <v>ok</v>
      </c>
    </row>
    <row r="406" spans="1:19" s="673" customFormat="1" ht="31.5" customHeight="1">
      <c r="A406" s="770"/>
      <c r="B406" s="770"/>
      <c r="C406" s="662">
        <v>733</v>
      </c>
      <c r="D406" s="658" t="s">
        <v>148</v>
      </c>
      <c r="E406" s="288" t="s">
        <v>1558</v>
      </c>
      <c r="F406" s="658">
        <v>82179</v>
      </c>
      <c r="G406" s="658"/>
      <c r="H406" s="658"/>
      <c r="I406" s="665">
        <f t="shared" si="223"/>
        <v>82179</v>
      </c>
      <c r="J406" s="658"/>
      <c r="K406" s="641">
        <v>20000</v>
      </c>
      <c r="L406" s="665">
        <f t="shared" si="214"/>
        <v>102179</v>
      </c>
      <c r="M406" s="665">
        <f t="shared" si="215"/>
        <v>20000</v>
      </c>
      <c r="N406" s="749" t="str">
        <f t="shared" si="205"/>
        <v>-</v>
      </c>
      <c r="O406" s="336"/>
      <c r="P406" s="653" t="s">
        <v>1223</v>
      </c>
      <c r="Q406" s="658"/>
      <c r="R406" s="661">
        <f>K406</f>
        <v>20000</v>
      </c>
      <c r="S406" s="648" t="str">
        <f t="shared" si="192"/>
        <v>검토</v>
      </c>
    </row>
    <row r="407" spans="1:19" ht="68.25" customHeight="1">
      <c r="A407" s="770"/>
      <c r="B407" s="770"/>
      <c r="C407" s="107" t="s">
        <v>253</v>
      </c>
      <c r="D407" s="101" t="s">
        <v>160</v>
      </c>
      <c r="E407" s="140" t="s">
        <v>824</v>
      </c>
      <c r="F407" s="95"/>
      <c r="G407" s="95"/>
      <c r="H407" s="95">
        <v>300000</v>
      </c>
      <c r="I407" s="376">
        <f t="shared" ref="I407:I408" si="228">F407+G407+H407</f>
        <v>300000</v>
      </c>
      <c r="J407" s="375"/>
      <c r="K407" s="375">
        <v>300000</v>
      </c>
      <c r="L407" s="376">
        <f t="shared" si="214"/>
        <v>300000</v>
      </c>
      <c r="M407" s="376">
        <f t="shared" si="215"/>
        <v>0</v>
      </c>
      <c r="N407" s="749" t="str">
        <f t="shared" si="205"/>
        <v>-</v>
      </c>
      <c r="O407" s="259" t="s">
        <v>825</v>
      </c>
      <c r="P407" s="378" t="s">
        <v>97</v>
      </c>
      <c r="Q407" s="103"/>
      <c r="R407" s="661">
        <f>K407</f>
        <v>300000</v>
      </c>
      <c r="S407" s="104" t="str">
        <f t="shared" si="192"/>
        <v>ok</v>
      </c>
    </row>
    <row r="408" spans="1:19" s="673" customFormat="1" ht="31.5" customHeight="1">
      <c r="A408" s="770"/>
      <c r="B408" s="770"/>
      <c r="C408" s="662">
        <v>752</v>
      </c>
      <c r="D408" s="658" t="s">
        <v>160</v>
      </c>
      <c r="E408" s="288" t="s">
        <v>1559</v>
      </c>
      <c r="F408" s="658">
        <v>10000</v>
      </c>
      <c r="G408" s="658"/>
      <c r="H408" s="658"/>
      <c r="I408" s="665">
        <f t="shared" si="228"/>
        <v>10000</v>
      </c>
      <c r="J408" s="658"/>
      <c r="K408" s="641">
        <v>10000</v>
      </c>
      <c r="L408" s="665">
        <f t="shared" si="214"/>
        <v>20000</v>
      </c>
      <c r="M408" s="665">
        <f t="shared" si="215"/>
        <v>10000</v>
      </c>
      <c r="N408" s="749" t="str">
        <f t="shared" si="205"/>
        <v>-</v>
      </c>
      <c r="O408" s="336"/>
      <c r="P408" s="653" t="s">
        <v>1223</v>
      </c>
      <c r="Q408" s="658"/>
      <c r="R408" s="661">
        <f>K408</f>
        <v>10000</v>
      </c>
      <c r="S408" s="648" t="str">
        <f t="shared" si="192"/>
        <v>검토</v>
      </c>
    </row>
    <row r="409" spans="1:19" ht="48" customHeight="1">
      <c r="A409" s="770"/>
      <c r="B409" s="770"/>
      <c r="C409" s="100">
        <v>763</v>
      </c>
      <c r="D409" s="101" t="s">
        <v>454</v>
      </c>
      <c r="E409" s="140" t="s">
        <v>826</v>
      </c>
      <c r="F409" s="95">
        <v>7710000</v>
      </c>
      <c r="G409" s="95"/>
      <c r="H409" s="95">
        <v>1100000</v>
      </c>
      <c r="I409" s="102">
        <f t="shared" si="223"/>
        <v>8810000</v>
      </c>
      <c r="J409" s="375"/>
      <c r="K409" s="375">
        <v>1100000</v>
      </c>
      <c r="L409" s="376">
        <f t="shared" si="214"/>
        <v>8810000</v>
      </c>
      <c r="M409" s="376">
        <f t="shared" si="215"/>
        <v>0</v>
      </c>
      <c r="N409" s="749" t="str">
        <f t="shared" si="205"/>
        <v>-</v>
      </c>
      <c r="O409" s="259" t="s">
        <v>1010</v>
      </c>
      <c r="P409" s="378" t="s">
        <v>739</v>
      </c>
      <c r="Q409" s="103">
        <v>550000</v>
      </c>
      <c r="R409" s="103">
        <v>550000</v>
      </c>
      <c r="S409" s="104" t="str">
        <f t="shared" si="192"/>
        <v>ok</v>
      </c>
    </row>
    <row r="410" spans="1:19" ht="42" customHeight="1">
      <c r="A410" s="770"/>
      <c r="B410" s="770"/>
      <c r="C410" s="100">
        <v>763</v>
      </c>
      <c r="D410" s="101" t="s">
        <v>454</v>
      </c>
      <c r="E410" s="140" t="s">
        <v>827</v>
      </c>
      <c r="F410" s="95">
        <v>4220000</v>
      </c>
      <c r="G410" s="95">
        <v>-2220000</v>
      </c>
      <c r="H410" s="95"/>
      <c r="I410" s="102">
        <f t="shared" si="223"/>
        <v>2000000</v>
      </c>
      <c r="J410" s="375">
        <v>-2220000</v>
      </c>
      <c r="K410" s="375"/>
      <c r="L410" s="376">
        <f t="shared" si="214"/>
        <v>2000000</v>
      </c>
      <c r="M410" s="376">
        <f t="shared" si="215"/>
        <v>0</v>
      </c>
      <c r="N410" s="749" t="str">
        <f t="shared" si="205"/>
        <v>-</v>
      </c>
      <c r="O410" s="259" t="s">
        <v>1010</v>
      </c>
      <c r="P410" s="378" t="s">
        <v>739</v>
      </c>
      <c r="Q410" s="103">
        <v>-1110000</v>
      </c>
      <c r="R410" s="103">
        <v>-1110000</v>
      </c>
      <c r="S410" s="104" t="str">
        <f t="shared" si="192"/>
        <v>ok</v>
      </c>
    </row>
    <row r="411" spans="1:19" ht="42" customHeight="1">
      <c r="A411" s="770"/>
      <c r="B411" s="770"/>
      <c r="C411" s="108">
        <v>764</v>
      </c>
      <c r="D411" s="109" t="s">
        <v>454</v>
      </c>
      <c r="E411" s="284" t="s">
        <v>828</v>
      </c>
      <c r="F411" s="110">
        <v>2100000</v>
      </c>
      <c r="G411" s="110">
        <v>-1300000</v>
      </c>
      <c r="H411" s="110"/>
      <c r="I411" s="102">
        <f t="shared" si="223"/>
        <v>800000</v>
      </c>
      <c r="J411" s="363">
        <v>-1300000</v>
      </c>
      <c r="K411" s="363"/>
      <c r="L411" s="376">
        <f t="shared" si="214"/>
        <v>800000</v>
      </c>
      <c r="M411" s="376">
        <f t="shared" si="215"/>
        <v>0</v>
      </c>
      <c r="N411" s="749" t="str">
        <f t="shared" si="205"/>
        <v>-</v>
      </c>
      <c r="O411" s="326" t="s">
        <v>1015</v>
      </c>
      <c r="P411" s="365" t="s">
        <v>97</v>
      </c>
      <c r="Q411" s="273"/>
      <c r="R411" s="661">
        <f>J411</f>
        <v>-1300000</v>
      </c>
      <c r="S411" s="104" t="str">
        <f t="shared" si="192"/>
        <v>ok</v>
      </c>
    </row>
    <row r="412" spans="1:19" ht="31.5" customHeight="1">
      <c r="A412" s="770"/>
      <c r="B412" s="770"/>
      <c r="C412" s="108">
        <v>764</v>
      </c>
      <c r="D412" s="109" t="s">
        <v>454</v>
      </c>
      <c r="E412" s="284" t="s">
        <v>829</v>
      </c>
      <c r="F412" s="110">
        <v>2200000</v>
      </c>
      <c r="G412" s="110"/>
      <c r="H412" s="110">
        <v>1300000</v>
      </c>
      <c r="I412" s="102">
        <f t="shared" si="223"/>
        <v>3500000</v>
      </c>
      <c r="J412" s="363"/>
      <c r="K412" s="363">
        <v>1300000</v>
      </c>
      <c r="L412" s="376">
        <f t="shared" si="214"/>
        <v>3500000</v>
      </c>
      <c r="M412" s="376">
        <f t="shared" si="215"/>
        <v>0</v>
      </c>
      <c r="N412" s="749" t="str">
        <f t="shared" si="205"/>
        <v>-</v>
      </c>
      <c r="O412" s="326" t="s">
        <v>830</v>
      </c>
      <c r="P412" s="365" t="s">
        <v>97</v>
      </c>
      <c r="Q412" s="273"/>
      <c r="R412" s="661">
        <f t="shared" ref="R412:R413" si="229">K412</f>
        <v>1300000</v>
      </c>
      <c r="S412" s="104" t="str">
        <f t="shared" si="192"/>
        <v>ok</v>
      </c>
    </row>
    <row r="413" spans="1:19" ht="31.5" customHeight="1">
      <c r="A413" s="770"/>
      <c r="B413" s="770"/>
      <c r="C413" s="292" t="s">
        <v>253</v>
      </c>
      <c r="D413" s="109" t="s">
        <v>454</v>
      </c>
      <c r="E413" s="140" t="s">
        <v>831</v>
      </c>
      <c r="F413" s="110"/>
      <c r="G413" s="110"/>
      <c r="H413" s="110">
        <v>500000</v>
      </c>
      <c r="I413" s="376">
        <f t="shared" si="223"/>
        <v>500000</v>
      </c>
      <c r="J413" s="363"/>
      <c r="K413" s="363">
        <v>500000</v>
      </c>
      <c r="L413" s="376">
        <f t="shared" si="214"/>
        <v>500000</v>
      </c>
      <c r="M413" s="376">
        <f t="shared" si="215"/>
        <v>0</v>
      </c>
      <c r="N413" s="749" t="str">
        <f t="shared" si="205"/>
        <v>-</v>
      </c>
      <c r="O413" s="326" t="s">
        <v>832</v>
      </c>
      <c r="P413" s="365" t="s">
        <v>97</v>
      </c>
      <c r="Q413" s="273"/>
      <c r="R413" s="661">
        <f t="shared" si="229"/>
        <v>500000</v>
      </c>
      <c r="S413" s="104" t="str">
        <f t="shared" si="192"/>
        <v>ok</v>
      </c>
    </row>
    <row r="414" spans="1:19" s="673" customFormat="1" ht="31.5" customHeight="1">
      <c r="A414" s="770"/>
      <c r="B414" s="770"/>
      <c r="C414" s="662">
        <v>762</v>
      </c>
      <c r="D414" s="658" t="s">
        <v>454</v>
      </c>
      <c r="E414" s="288" t="s">
        <v>1616</v>
      </c>
      <c r="F414" s="658">
        <v>150000</v>
      </c>
      <c r="G414" s="658"/>
      <c r="H414" s="658"/>
      <c r="I414" s="665">
        <f t="shared" si="223"/>
        <v>150000</v>
      </c>
      <c r="J414" s="658"/>
      <c r="K414" s="641">
        <v>100000</v>
      </c>
      <c r="L414" s="665">
        <f t="shared" si="214"/>
        <v>250000</v>
      </c>
      <c r="M414" s="665">
        <f t="shared" si="215"/>
        <v>100000</v>
      </c>
      <c r="N414" s="749" t="str">
        <f t="shared" si="205"/>
        <v>-</v>
      </c>
      <c r="O414" s="336"/>
      <c r="P414" s="653" t="s">
        <v>1223</v>
      </c>
      <c r="Q414" s="658"/>
      <c r="R414" s="661">
        <f>K414</f>
        <v>100000</v>
      </c>
      <c r="S414" s="648" t="str">
        <f t="shared" si="192"/>
        <v>검토</v>
      </c>
    </row>
    <row r="415" spans="1:19" s="673" customFormat="1" ht="31.5" customHeight="1">
      <c r="A415" s="770"/>
      <c r="B415" s="770"/>
      <c r="C415" s="662">
        <v>768</v>
      </c>
      <c r="D415" s="658" t="s">
        <v>454</v>
      </c>
      <c r="E415" s="288" t="s">
        <v>1617</v>
      </c>
      <c r="F415" s="658">
        <v>240000</v>
      </c>
      <c r="G415" s="658"/>
      <c r="H415" s="658"/>
      <c r="I415" s="665">
        <f t="shared" si="223"/>
        <v>240000</v>
      </c>
      <c r="J415" s="658"/>
      <c r="K415" s="641">
        <v>120000</v>
      </c>
      <c r="L415" s="665">
        <f t="shared" si="214"/>
        <v>360000</v>
      </c>
      <c r="M415" s="665">
        <f t="shared" si="215"/>
        <v>120000</v>
      </c>
      <c r="N415" s="749" t="str">
        <f t="shared" si="205"/>
        <v>-</v>
      </c>
      <c r="O415" s="336" t="s">
        <v>1229</v>
      </c>
      <c r="P415" s="653" t="s">
        <v>1223</v>
      </c>
      <c r="Q415" s="658"/>
      <c r="R415" s="661"/>
      <c r="S415" s="648" t="str">
        <f t="shared" si="192"/>
        <v>ok</v>
      </c>
    </row>
    <row r="416" spans="1:19" s="673" customFormat="1" ht="84.75" customHeight="1">
      <c r="A416" s="770"/>
      <c r="B416" s="770"/>
      <c r="C416" s="662">
        <v>760</v>
      </c>
      <c r="D416" s="658" t="s">
        <v>454</v>
      </c>
      <c r="E416" s="288" t="s">
        <v>1618</v>
      </c>
      <c r="F416" s="658">
        <v>16000</v>
      </c>
      <c r="G416" s="658"/>
      <c r="H416" s="658"/>
      <c r="I416" s="665">
        <f t="shared" si="223"/>
        <v>16000</v>
      </c>
      <c r="J416" s="658"/>
      <c r="K416" s="641">
        <v>100000</v>
      </c>
      <c r="L416" s="665">
        <f t="shared" si="214"/>
        <v>116000</v>
      </c>
      <c r="M416" s="665">
        <f t="shared" si="215"/>
        <v>100000</v>
      </c>
      <c r="N416" s="749" t="str">
        <f t="shared" si="205"/>
        <v>-</v>
      </c>
      <c r="O416" s="336" t="s">
        <v>1228</v>
      </c>
      <c r="P416" s="653" t="s">
        <v>1223</v>
      </c>
      <c r="Q416" s="658"/>
      <c r="R416" s="661"/>
      <c r="S416" s="648" t="str">
        <f t="shared" si="192"/>
        <v>ok</v>
      </c>
    </row>
    <row r="417" spans="1:19" ht="50.25" customHeight="1">
      <c r="A417" s="770"/>
      <c r="B417" s="770"/>
      <c r="C417" s="293" t="s">
        <v>94</v>
      </c>
      <c r="D417" s="294" t="s">
        <v>134</v>
      </c>
      <c r="E417" s="295" t="s">
        <v>833</v>
      </c>
      <c r="F417" s="274"/>
      <c r="G417" s="274"/>
      <c r="H417" s="274">
        <v>220500</v>
      </c>
      <c r="I417" s="102">
        <f t="shared" si="223"/>
        <v>220500</v>
      </c>
      <c r="J417" s="274"/>
      <c r="K417" s="274">
        <v>220500</v>
      </c>
      <c r="L417" s="376">
        <f t="shared" si="214"/>
        <v>220500</v>
      </c>
      <c r="M417" s="376">
        <f t="shared" si="215"/>
        <v>0</v>
      </c>
      <c r="N417" s="749" t="str">
        <f t="shared" si="205"/>
        <v>-</v>
      </c>
      <c r="O417" s="334" t="s">
        <v>834</v>
      </c>
      <c r="P417" s="409" t="s">
        <v>97</v>
      </c>
      <c r="Q417" s="277"/>
      <c r="R417" s="661">
        <f t="shared" ref="R417:R421" si="230">K417</f>
        <v>220500</v>
      </c>
      <c r="S417" s="104" t="str">
        <f t="shared" si="192"/>
        <v>ok</v>
      </c>
    </row>
    <row r="418" spans="1:19" ht="50.25" customHeight="1">
      <c r="A418" s="770"/>
      <c r="B418" s="770"/>
      <c r="C418" s="108" t="s">
        <v>94</v>
      </c>
      <c r="D418" s="109" t="s">
        <v>454</v>
      </c>
      <c r="E418" s="109" t="s">
        <v>835</v>
      </c>
      <c r="F418" s="110"/>
      <c r="G418" s="110"/>
      <c r="H418" s="110">
        <v>50000</v>
      </c>
      <c r="I418" s="102">
        <f t="shared" si="223"/>
        <v>50000</v>
      </c>
      <c r="J418" s="363"/>
      <c r="K418" s="363">
        <v>50000</v>
      </c>
      <c r="L418" s="376">
        <f t="shared" si="214"/>
        <v>50000</v>
      </c>
      <c r="M418" s="376">
        <f t="shared" si="215"/>
        <v>0</v>
      </c>
      <c r="N418" s="749" t="str">
        <f t="shared" si="205"/>
        <v>-</v>
      </c>
      <c r="O418" s="326" t="s">
        <v>836</v>
      </c>
      <c r="P418" s="365" t="s">
        <v>97</v>
      </c>
      <c r="Q418" s="273"/>
      <c r="R418" s="661">
        <f t="shared" si="230"/>
        <v>50000</v>
      </c>
      <c r="S418" s="104" t="str">
        <f t="shared" ref="S418:S486" si="231">IF((G418+H418)=(Q418+R418),"ok","검토")</f>
        <v>ok</v>
      </c>
    </row>
    <row r="419" spans="1:19" ht="50.25" customHeight="1">
      <c r="A419" s="770"/>
      <c r="B419" s="770"/>
      <c r="C419" s="293" t="s">
        <v>94</v>
      </c>
      <c r="D419" s="294" t="s">
        <v>134</v>
      </c>
      <c r="E419" s="295" t="s">
        <v>837</v>
      </c>
      <c r="F419" s="274"/>
      <c r="G419" s="274"/>
      <c r="H419" s="274">
        <v>100000</v>
      </c>
      <c r="I419" s="102">
        <f t="shared" si="223"/>
        <v>100000</v>
      </c>
      <c r="J419" s="274"/>
      <c r="K419" s="274">
        <v>100000</v>
      </c>
      <c r="L419" s="376">
        <f t="shared" si="214"/>
        <v>100000</v>
      </c>
      <c r="M419" s="376">
        <f t="shared" si="215"/>
        <v>0</v>
      </c>
      <c r="N419" s="749" t="str">
        <f t="shared" si="205"/>
        <v>-</v>
      </c>
      <c r="O419" s="334" t="s">
        <v>838</v>
      </c>
      <c r="P419" s="409" t="s">
        <v>97</v>
      </c>
      <c r="Q419" s="277"/>
      <c r="R419" s="661">
        <f t="shared" si="230"/>
        <v>100000</v>
      </c>
      <c r="S419" s="104" t="str">
        <f t="shared" si="231"/>
        <v>ok</v>
      </c>
    </row>
    <row r="420" spans="1:19" ht="57" customHeight="1">
      <c r="A420" s="770"/>
      <c r="B420" s="770"/>
      <c r="C420" s="293" t="s">
        <v>94</v>
      </c>
      <c r="D420" s="294" t="s">
        <v>134</v>
      </c>
      <c r="E420" s="295" t="s">
        <v>839</v>
      </c>
      <c r="F420" s="274"/>
      <c r="G420" s="274"/>
      <c r="H420" s="274">
        <v>30000</v>
      </c>
      <c r="I420" s="102">
        <f t="shared" si="223"/>
        <v>30000</v>
      </c>
      <c r="J420" s="274"/>
      <c r="K420" s="274">
        <v>30000</v>
      </c>
      <c r="L420" s="376">
        <f t="shared" si="214"/>
        <v>30000</v>
      </c>
      <c r="M420" s="376">
        <f t="shared" si="215"/>
        <v>0</v>
      </c>
      <c r="N420" s="749" t="str">
        <f t="shared" si="205"/>
        <v>-</v>
      </c>
      <c r="O420" s="334" t="s">
        <v>840</v>
      </c>
      <c r="P420" s="409" t="s">
        <v>97</v>
      </c>
      <c r="Q420" s="277"/>
      <c r="R420" s="661">
        <f t="shared" si="230"/>
        <v>30000</v>
      </c>
      <c r="S420" s="104" t="str">
        <f t="shared" si="231"/>
        <v>ok</v>
      </c>
    </row>
    <row r="421" spans="1:19" s="642" customFormat="1" ht="72" customHeight="1">
      <c r="A421" s="770"/>
      <c r="B421" s="770"/>
      <c r="C421" s="644" t="s">
        <v>94</v>
      </c>
      <c r="D421" s="645" t="s">
        <v>454</v>
      </c>
      <c r="E421" s="645" t="s">
        <v>841</v>
      </c>
      <c r="F421" s="643"/>
      <c r="G421" s="643"/>
      <c r="H421" s="643">
        <v>20000</v>
      </c>
      <c r="I421" s="646">
        <f t="shared" ref="I421" si="232">F421+G421+H421</f>
        <v>20000</v>
      </c>
      <c r="J421" s="643"/>
      <c r="K421" s="643">
        <v>25000</v>
      </c>
      <c r="L421" s="646">
        <f t="shared" ref="L421" si="233">F421+J421+K421</f>
        <v>25000</v>
      </c>
      <c r="M421" s="646">
        <f t="shared" ref="M421" si="234">L421-I421</f>
        <v>5000</v>
      </c>
      <c r="N421" s="749" t="str">
        <f t="shared" si="205"/>
        <v>-</v>
      </c>
      <c r="O421" s="649" t="s">
        <v>842</v>
      </c>
      <c r="P421" s="648" t="s">
        <v>97</v>
      </c>
      <c r="Q421" s="647"/>
      <c r="R421" s="661">
        <f t="shared" si="230"/>
        <v>25000</v>
      </c>
      <c r="S421" s="648" t="str">
        <f t="shared" ref="S421" si="235">IF((G421+H421)=(Q421+R421),"ok","검토")</f>
        <v>검토</v>
      </c>
    </row>
    <row r="422" spans="1:19" s="673" customFormat="1" ht="69" customHeight="1">
      <c r="A422" s="770"/>
      <c r="B422" s="770"/>
      <c r="C422" s="662">
        <v>708</v>
      </c>
      <c r="D422" s="658" t="s">
        <v>134</v>
      </c>
      <c r="E422" s="288" t="s">
        <v>1619</v>
      </c>
      <c r="F422" s="658">
        <v>30000</v>
      </c>
      <c r="G422" s="658"/>
      <c r="H422" s="658"/>
      <c r="I422" s="665">
        <f>F422+G422+H422</f>
        <v>30000</v>
      </c>
      <c r="J422" s="658"/>
      <c r="K422" s="641"/>
      <c r="L422" s="665">
        <f>F422+J422+K422</f>
        <v>30000</v>
      </c>
      <c r="M422" s="665">
        <f>L422-I422</f>
        <v>0</v>
      </c>
      <c r="N422" s="749" t="str">
        <f>IF(AND(((G422+H422)&lt;0),(J422+K422)&gt;(G422+H422)),"검토","-")</f>
        <v>-</v>
      </c>
      <c r="O422" s="336" t="s">
        <v>1294</v>
      </c>
      <c r="P422" s="653" t="s">
        <v>1223</v>
      </c>
      <c r="Q422" s="658"/>
      <c r="R422" s="661">
        <f>K422</f>
        <v>0</v>
      </c>
      <c r="S422" s="648" t="str">
        <f>IF((G422+H422)=(Q422+R422),"ok","검토")</f>
        <v>ok</v>
      </c>
    </row>
    <row r="423" spans="1:19" s="673" customFormat="1" ht="31.5" customHeight="1">
      <c r="A423" s="770"/>
      <c r="B423" s="770"/>
      <c r="C423" s="662">
        <v>716</v>
      </c>
      <c r="D423" s="658" t="s">
        <v>1455</v>
      </c>
      <c r="E423" s="288" t="s">
        <v>1620</v>
      </c>
      <c r="F423" s="658">
        <v>1180063889</v>
      </c>
      <c r="G423" s="658"/>
      <c r="H423" s="658"/>
      <c r="I423" s="665">
        <f>F423+G423+H423</f>
        <v>1180063889</v>
      </c>
      <c r="J423" s="658">
        <v>-10000000</v>
      </c>
      <c r="K423" s="641"/>
      <c r="L423" s="665">
        <f>F423+J423+K423</f>
        <v>1170063889</v>
      </c>
      <c r="M423" s="665">
        <f>L423-I423</f>
        <v>-10000000</v>
      </c>
      <c r="N423" s="749" t="str">
        <f>IF(AND(((G423+H423)&lt;0),(J423+K423)&gt;(G423+H423)),"검토","-")</f>
        <v>-</v>
      </c>
      <c r="O423" s="336"/>
      <c r="P423" s="653"/>
      <c r="Q423" s="658"/>
      <c r="R423" s="661"/>
      <c r="S423" s="648"/>
    </row>
    <row r="424" spans="1:19" ht="31.5" customHeight="1">
      <c r="A424" s="770"/>
      <c r="B424" s="612" t="s">
        <v>843</v>
      </c>
      <c r="C424" s="628"/>
      <c r="D424" s="31"/>
      <c r="E424" s="30"/>
      <c r="F424" s="32">
        <f t="shared" ref="F424:K424" si="236">SUM(F425:F435)</f>
        <v>630000</v>
      </c>
      <c r="G424" s="32">
        <f t="shared" si="236"/>
        <v>0</v>
      </c>
      <c r="H424" s="32">
        <f t="shared" si="236"/>
        <v>1568700</v>
      </c>
      <c r="I424" s="32">
        <f t="shared" si="236"/>
        <v>2198700</v>
      </c>
      <c r="J424" s="370">
        <f t="shared" si="236"/>
        <v>-130000</v>
      </c>
      <c r="K424" s="370">
        <f t="shared" si="236"/>
        <v>84000</v>
      </c>
      <c r="L424" s="370">
        <f t="shared" si="214"/>
        <v>584000</v>
      </c>
      <c r="M424" s="370">
        <f t="shared" si="215"/>
        <v>-1614700</v>
      </c>
      <c r="N424" s="628" t="str">
        <f t="shared" si="205"/>
        <v>-</v>
      </c>
      <c r="O424" s="321"/>
      <c r="P424" s="30"/>
      <c r="Q424" s="32">
        <f>SUM(Q425:Q435)</f>
        <v>0</v>
      </c>
      <c r="R424" s="32">
        <f>SUM(R425:R435)</f>
        <v>-46000</v>
      </c>
      <c r="S424" s="30" t="str">
        <f t="shared" si="231"/>
        <v>검토</v>
      </c>
    </row>
    <row r="425" spans="1:19" ht="31.5" customHeight="1">
      <c r="A425" s="770"/>
      <c r="B425" s="770"/>
      <c r="C425" s="100" t="s">
        <v>94</v>
      </c>
      <c r="D425" s="111" t="s">
        <v>844</v>
      </c>
      <c r="E425" s="183" t="s">
        <v>845</v>
      </c>
      <c r="F425" s="95"/>
      <c r="G425" s="95"/>
      <c r="H425" s="95">
        <v>305300</v>
      </c>
      <c r="I425" s="102">
        <f t="shared" ref="I425:I431" si="237">F425+G425+H425</f>
        <v>305300</v>
      </c>
      <c r="J425" s="375"/>
      <c r="K425" s="636">
        <v>0</v>
      </c>
      <c r="L425" s="376">
        <f t="shared" si="214"/>
        <v>0</v>
      </c>
      <c r="M425" s="376">
        <f t="shared" si="215"/>
        <v>-305300</v>
      </c>
      <c r="N425" s="751" t="str">
        <f t="shared" si="205"/>
        <v>-</v>
      </c>
      <c r="O425" s="849" t="s">
        <v>846</v>
      </c>
      <c r="P425" s="378" t="s">
        <v>97</v>
      </c>
      <c r="Q425" s="103"/>
      <c r="R425" s="661">
        <f t="shared" ref="R425:R432" si="238">K425</f>
        <v>0</v>
      </c>
      <c r="S425" s="104" t="str">
        <f t="shared" si="231"/>
        <v>검토</v>
      </c>
    </row>
    <row r="426" spans="1:19" ht="31.5" customHeight="1">
      <c r="A426" s="770"/>
      <c r="B426" s="770"/>
      <c r="C426" s="100" t="s">
        <v>94</v>
      </c>
      <c r="D426" s="111" t="s">
        <v>844</v>
      </c>
      <c r="E426" s="183" t="s">
        <v>847</v>
      </c>
      <c r="F426" s="95"/>
      <c r="G426" s="95"/>
      <c r="H426" s="95">
        <v>200000</v>
      </c>
      <c r="I426" s="102">
        <f t="shared" si="237"/>
        <v>200000</v>
      </c>
      <c r="J426" s="375"/>
      <c r="K426" s="636">
        <v>0</v>
      </c>
      <c r="L426" s="376">
        <f t="shared" si="214"/>
        <v>0</v>
      </c>
      <c r="M426" s="376">
        <f t="shared" si="215"/>
        <v>-200000</v>
      </c>
      <c r="N426" s="752" t="str">
        <f t="shared" si="205"/>
        <v>-</v>
      </c>
      <c r="O426" s="850"/>
      <c r="P426" s="378" t="s">
        <v>97</v>
      </c>
      <c r="Q426" s="103"/>
      <c r="R426" s="661">
        <f t="shared" si="238"/>
        <v>0</v>
      </c>
      <c r="S426" s="104" t="str">
        <f t="shared" si="231"/>
        <v>검토</v>
      </c>
    </row>
    <row r="427" spans="1:19" ht="31.5" customHeight="1">
      <c r="A427" s="770"/>
      <c r="B427" s="770"/>
      <c r="C427" s="100" t="s">
        <v>94</v>
      </c>
      <c r="D427" s="111" t="s">
        <v>844</v>
      </c>
      <c r="E427" s="183" t="s">
        <v>848</v>
      </c>
      <c r="F427" s="95"/>
      <c r="G427" s="95"/>
      <c r="H427" s="95">
        <v>24000</v>
      </c>
      <c r="I427" s="102">
        <f t="shared" si="237"/>
        <v>24000</v>
      </c>
      <c r="J427" s="375"/>
      <c r="K427" s="636">
        <v>0</v>
      </c>
      <c r="L427" s="376">
        <f t="shared" si="214"/>
        <v>0</v>
      </c>
      <c r="M427" s="376">
        <f t="shared" si="215"/>
        <v>-24000</v>
      </c>
      <c r="N427" s="752" t="str">
        <f t="shared" si="205"/>
        <v>-</v>
      </c>
      <c r="O427" s="850"/>
      <c r="P427" s="378" t="s">
        <v>97</v>
      </c>
      <c r="Q427" s="103"/>
      <c r="R427" s="661">
        <f t="shared" si="238"/>
        <v>0</v>
      </c>
      <c r="S427" s="104" t="str">
        <f t="shared" si="231"/>
        <v>검토</v>
      </c>
    </row>
    <row r="428" spans="1:19" ht="31.5" customHeight="1">
      <c r="A428" s="770"/>
      <c r="B428" s="770"/>
      <c r="C428" s="100" t="s">
        <v>94</v>
      </c>
      <c r="D428" s="111" t="s">
        <v>844</v>
      </c>
      <c r="E428" s="183" t="s">
        <v>849</v>
      </c>
      <c r="F428" s="95"/>
      <c r="G428" s="95"/>
      <c r="H428" s="95">
        <v>300000</v>
      </c>
      <c r="I428" s="102">
        <f t="shared" si="237"/>
        <v>300000</v>
      </c>
      <c r="J428" s="375"/>
      <c r="K428" s="636">
        <v>0</v>
      </c>
      <c r="L428" s="376">
        <f t="shared" si="214"/>
        <v>0</v>
      </c>
      <c r="M428" s="376">
        <f t="shared" si="215"/>
        <v>-300000</v>
      </c>
      <c r="N428" s="752" t="str">
        <f t="shared" si="205"/>
        <v>-</v>
      </c>
      <c r="O428" s="850"/>
      <c r="P428" s="378" t="s">
        <v>97</v>
      </c>
      <c r="Q428" s="103"/>
      <c r="R428" s="661">
        <f t="shared" si="238"/>
        <v>0</v>
      </c>
      <c r="S428" s="104" t="str">
        <f t="shared" si="231"/>
        <v>검토</v>
      </c>
    </row>
    <row r="429" spans="1:19" ht="31.5" customHeight="1">
      <c r="A429" s="770"/>
      <c r="B429" s="770"/>
      <c r="C429" s="100" t="s">
        <v>94</v>
      </c>
      <c r="D429" s="111" t="s">
        <v>844</v>
      </c>
      <c r="E429" s="183" t="s">
        <v>850</v>
      </c>
      <c r="F429" s="95"/>
      <c r="G429" s="95"/>
      <c r="H429" s="95">
        <v>110000</v>
      </c>
      <c r="I429" s="102">
        <f t="shared" si="237"/>
        <v>110000</v>
      </c>
      <c r="J429" s="375"/>
      <c r="K429" s="636">
        <v>0</v>
      </c>
      <c r="L429" s="376">
        <f t="shared" si="214"/>
        <v>0</v>
      </c>
      <c r="M429" s="376">
        <f t="shared" si="215"/>
        <v>-110000</v>
      </c>
      <c r="N429" s="752" t="str">
        <f t="shared" si="205"/>
        <v>-</v>
      </c>
      <c r="O429" s="850"/>
      <c r="P429" s="378" t="s">
        <v>97</v>
      </c>
      <c r="Q429" s="103"/>
      <c r="R429" s="661">
        <f t="shared" si="238"/>
        <v>0</v>
      </c>
      <c r="S429" s="104" t="str">
        <f t="shared" si="231"/>
        <v>검토</v>
      </c>
    </row>
    <row r="430" spans="1:19" ht="31.5" customHeight="1">
      <c r="A430" s="770"/>
      <c r="B430" s="770"/>
      <c r="C430" s="100" t="s">
        <v>94</v>
      </c>
      <c r="D430" s="111" t="s">
        <v>844</v>
      </c>
      <c r="E430" s="183" t="s">
        <v>851</v>
      </c>
      <c r="F430" s="95"/>
      <c r="G430" s="95"/>
      <c r="H430" s="95">
        <v>320000</v>
      </c>
      <c r="I430" s="102">
        <f t="shared" si="237"/>
        <v>320000</v>
      </c>
      <c r="J430" s="375"/>
      <c r="K430" s="636">
        <v>0</v>
      </c>
      <c r="L430" s="376">
        <f t="shared" si="214"/>
        <v>0</v>
      </c>
      <c r="M430" s="376">
        <f t="shared" si="215"/>
        <v>-320000</v>
      </c>
      <c r="N430" s="752" t="str">
        <f t="shared" si="205"/>
        <v>-</v>
      </c>
      <c r="O430" s="850"/>
      <c r="P430" s="378" t="s">
        <v>97</v>
      </c>
      <c r="Q430" s="103"/>
      <c r="R430" s="661">
        <f t="shared" si="238"/>
        <v>0</v>
      </c>
      <c r="S430" s="104" t="str">
        <f t="shared" si="231"/>
        <v>검토</v>
      </c>
    </row>
    <row r="431" spans="1:19" ht="31.5" customHeight="1">
      <c r="A431" s="770"/>
      <c r="B431" s="770"/>
      <c r="C431" s="100" t="s">
        <v>94</v>
      </c>
      <c r="D431" s="111" t="s">
        <v>844</v>
      </c>
      <c r="E431" s="183" t="s">
        <v>852</v>
      </c>
      <c r="F431" s="95"/>
      <c r="G431" s="95"/>
      <c r="H431" s="95">
        <v>180000</v>
      </c>
      <c r="I431" s="102">
        <f t="shared" si="237"/>
        <v>180000</v>
      </c>
      <c r="J431" s="375"/>
      <c r="K431" s="636">
        <v>0</v>
      </c>
      <c r="L431" s="376">
        <f t="shared" si="214"/>
        <v>0</v>
      </c>
      <c r="M431" s="376">
        <f t="shared" si="215"/>
        <v>-180000</v>
      </c>
      <c r="N431" s="752" t="str">
        <f t="shared" ref="N431:N494" si="239">IF(AND(((G431+H431)&lt;0),(J431+K431)&gt;(G431+H431)),"검토","-")</f>
        <v>-</v>
      </c>
      <c r="O431" s="850"/>
      <c r="P431" s="378" t="s">
        <v>97</v>
      </c>
      <c r="Q431" s="103"/>
      <c r="R431" s="661">
        <f t="shared" si="238"/>
        <v>0</v>
      </c>
      <c r="S431" s="104" t="str">
        <f t="shared" si="231"/>
        <v>검토</v>
      </c>
    </row>
    <row r="432" spans="1:19" s="372" customFormat="1" ht="31.5" customHeight="1">
      <c r="A432" s="770"/>
      <c r="B432" s="770"/>
      <c r="C432" s="371" t="s">
        <v>94</v>
      </c>
      <c r="D432" s="111" t="s">
        <v>844</v>
      </c>
      <c r="E432" s="183" t="s">
        <v>853</v>
      </c>
      <c r="F432" s="375"/>
      <c r="G432" s="375"/>
      <c r="H432" s="375">
        <v>129400</v>
      </c>
      <c r="I432" s="376">
        <f t="shared" ref="I432" si="240">F432+G432+H432</f>
        <v>129400</v>
      </c>
      <c r="J432" s="375"/>
      <c r="K432" s="636">
        <v>0</v>
      </c>
      <c r="L432" s="376">
        <f t="shared" si="214"/>
        <v>0</v>
      </c>
      <c r="M432" s="376">
        <f t="shared" si="215"/>
        <v>-129400</v>
      </c>
      <c r="N432" s="753" t="str">
        <f t="shared" si="239"/>
        <v>-</v>
      </c>
      <c r="O432" s="851"/>
      <c r="P432" s="378" t="s">
        <v>97</v>
      </c>
      <c r="Q432" s="377"/>
      <c r="R432" s="661">
        <f t="shared" si="238"/>
        <v>0</v>
      </c>
      <c r="S432" s="378" t="str">
        <f t="shared" si="231"/>
        <v>검토</v>
      </c>
    </row>
    <row r="433" spans="1:19" s="673" customFormat="1" ht="31.5" customHeight="1">
      <c r="A433" s="770"/>
      <c r="B433" s="770"/>
      <c r="C433" s="662">
        <v>783</v>
      </c>
      <c r="D433" s="658" t="s">
        <v>1286</v>
      </c>
      <c r="E433" s="288" t="s">
        <v>1156</v>
      </c>
      <c r="F433" s="658">
        <v>200000</v>
      </c>
      <c r="G433" s="658"/>
      <c r="H433" s="658"/>
      <c r="I433" s="665">
        <f>F433+G433+H433</f>
        <v>200000</v>
      </c>
      <c r="J433" s="658">
        <v>-100000</v>
      </c>
      <c r="K433" s="641"/>
      <c r="L433" s="665">
        <f>F433+J433+K433</f>
        <v>100000</v>
      </c>
      <c r="M433" s="665">
        <f>L433-I433</f>
        <v>-100000</v>
      </c>
      <c r="N433" s="749" t="str">
        <f t="shared" si="239"/>
        <v>-</v>
      </c>
      <c r="O433" s="336"/>
      <c r="P433" s="653" t="s">
        <v>1344</v>
      </c>
      <c r="Q433" s="658"/>
      <c r="R433" s="661">
        <f>J433</f>
        <v>-100000</v>
      </c>
      <c r="S433" s="648" t="str">
        <f>IF((G433+H433)=(Q433+R433),"ok","검토")</f>
        <v>검토</v>
      </c>
    </row>
    <row r="434" spans="1:19" s="673" customFormat="1" ht="31.5" customHeight="1">
      <c r="A434" s="770">
        <v>1</v>
      </c>
      <c r="B434" s="770">
        <v>0</v>
      </c>
      <c r="C434" s="662">
        <v>429</v>
      </c>
      <c r="D434" s="658" t="s">
        <v>844</v>
      </c>
      <c r="E434" s="288" t="s">
        <v>1527</v>
      </c>
      <c r="F434" s="658">
        <v>130000</v>
      </c>
      <c r="G434" s="658"/>
      <c r="H434" s="658"/>
      <c r="I434" s="665">
        <f>F434+G434+H434</f>
        <v>130000</v>
      </c>
      <c r="J434" s="658">
        <v>-30000</v>
      </c>
      <c r="K434" s="641"/>
      <c r="L434" s="665">
        <f>F434+J434+K434</f>
        <v>100000</v>
      </c>
      <c r="M434" s="665">
        <f>L434-I434</f>
        <v>-30000</v>
      </c>
      <c r="N434" s="749" t="str">
        <f t="shared" si="239"/>
        <v>-</v>
      </c>
      <c r="O434" s="336"/>
      <c r="P434" s="653" t="s">
        <v>1344</v>
      </c>
      <c r="Q434" s="658"/>
      <c r="R434" s="661">
        <f>J434</f>
        <v>-30000</v>
      </c>
      <c r="S434" s="648" t="str">
        <f>IF((G434+H434)=(Q434+R434),"ok","검토")</f>
        <v>검토</v>
      </c>
    </row>
    <row r="435" spans="1:19" s="673" customFormat="1" ht="31.5" customHeight="1">
      <c r="A435" s="770">
        <v>1</v>
      </c>
      <c r="B435" s="770"/>
      <c r="C435" s="644">
        <v>780</v>
      </c>
      <c r="D435" s="634" t="s">
        <v>1440</v>
      </c>
      <c r="E435" s="183" t="s">
        <v>1441</v>
      </c>
      <c r="F435" s="657">
        <v>300000</v>
      </c>
      <c r="G435" s="657"/>
      <c r="H435" s="657"/>
      <c r="I435" s="665">
        <f t="shared" ref="I435" si="241">F435+G435+H435</f>
        <v>300000</v>
      </c>
      <c r="J435" s="657"/>
      <c r="K435" s="636">
        <v>84000</v>
      </c>
      <c r="L435" s="665">
        <f t="shared" ref="L435" si="242">F435+J435+K435</f>
        <v>384000</v>
      </c>
      <c r="M435" s="665">
        <f t="shared" ref="M435" si="243">L435-I435</f>
        <v>84000</v>
      </c>
      <c r="N435" s="753" t="str">
        <f t="shared" si="239"/>
        <v>-</v>
      </c>
      <c r="O435" s="687"/>
      <c r="P435" s="648" t="s">
        <v>1344</v>
      </c>
      <c r="Q435" s="661"/>
      <c r="R435" s="661">
        <f>K435</f>
        <v>84000</v>
      </c>
      <c r="S435" s="648"/>
    </row>
    <row r="436" spans="1:19" ht="31.5" customHeight="1">
      <c r="A436" s="770"/>
      <c r="B436" s="612" t="s">
        <v>166</v>
      </c>
      <c r="C436" s="628"/>
      <c r="D436" s="31"/>
      <c r="E436" s="30"/>
      <c r="F436" s="32">
        <f>SUM(F437:F438)</f>
        <v>100000</v>
      </c>
      <c r="G436" s="629">
        <f t="shared" ref="G436:M436" si="244">SUM(G437:G438)</f>
        <v>0</v>
      </c>
      <c r="H436" s="629">
        <f>SUM(H437:H438)</f>
        <v>62898</v>
      </c>
      <c r="I436" s="629">
        <f t="shared" si="244"/>
        <v>162898</v>
      </c>
      <c r="J436" s="629">
        <f t="shared" si="244"/>
        <v>0</v>
      </c>
      <c r="K436" s="629">
        <f t="shared" si="244"/>
        <v>162898</v>
      </c>
      <c r="L436" s="629">
        <f t="shared" si="244"/>
        <v>262898</v>
      </c>
      <c r="M436" s="629">
        <f t="shared" si="244"/>
        <v>100000</v>
      </c>
      <c r="N436" s="628" t="str">
        <f t="shared" si="239"/>
        <v>-</v>
      </c>
      <c r="O436" s="321"/>
      <c r="P436" s="30"/>
      <c r="Q436" s="629">
        <f t="shared" ref="Q436" si="245">SUM(Q437:Q438)</f>
        <v>0</v>
      </c>
      <c r="R436" s="629">
        <f t="shared" ref="R436" si="246">SUM(R437:R438)</f>
        <v>162898</v>
      </c>
      <c r="S436" s="30" t="str">
        <f t="shared" si="231"/>
        <v>검토</v>
      </c>
    </row>
    <row r="437" spans="1:19" ht="75" customHeight="1">
      <c r="A437" s="770"/>
      <c r="B437" s="770"/>
      <c r="C437" s="107" t="s">
        <v>253</v>
      </c>
      <c r="D437" s="111" t="s">
        <v>281</v>
      </c>
      <c r="E437" s="140" t="s">
        <v>854</v>
      </c>
      <c r="F437" s="95"/>
      <c r="G437" s="95"/>
      <c r="H437" s="95">
        <v>62898</v>
      </c>
      <c r="I437" s="102">
        <f t="shared" ref="I437:I438" si="247">F437+G437+H437</f>
        <v>62898</v>
      </c>
      <c r="J437" s="375"/>
      <c r="K437" s="375">
        <v>62898</v>
      </c>
      <c r="L437" s="376">
        <f t="shared" si="214"/>
        <v>62898</v>
      </c>
      <c r="M437" s="376">
        <f t="shared" si="215"/>
        <v>0</v>
      </c>
      <c r="N437" s="749" t="str">
        <f t="shared" si="239"/>
        <v>-</v>
      </c>
      <c r="O437" s="259" t="s">
        <v>855</v>
      </c>
      <c r="P437" s="378" t="s">
        <v>97</v>
      </c>
      <c r="Q437" s="103"/>
      <c r="R437" s="661">
        <f>K437</f>
        <v>62898</v>
      </c>
      <c r="S437" s="104" t="str">
        <f t="shared" si="231"/>
        <v>ok</v>
      </c>
    </row>
    <row r="438" spans="1:19" s="673" customFormat="1" ht="88.5" customHeight="1">
      <c r="A438" s="770"/>
      <c r="B438" s="770"/>
      <c r="C438" s="380">
        <v>816</v>
      </c>
      <c r="D438" s="634" t="s">
        <v>1436</v>
      </c>
      <c r="E438" s="550" t="s">
        <v>1437</v>
      </c>
      <c r="F438" s="657">
        <v>100000</v>
      </c>
      <c r="G438" s="657"/>
      <c r="H438" s="657"/>
      <c r="I438" s="665">
        <f t="shared" si="247"/>
        <v>100000</v>
      </c>
      <c r="J438" s="657"/>
      <c r="K438" s="657">
        <v>100000</v>
      </c>
      <c r="L438" s="665">
        <f t="shared" ref="L438" si="248">F438+J438+K438</f>
        <v>200000</v>
      </c>
      <c r="M438" s="665">
        <f t="shared" ref="M438" si="249">L438-I438</f>
        <v>100000</v>
      </c>
      <c r="N438" s="749" t="str">
        <f t="shared" si="239"/>
        <v>-</v>
      </c>
      <c r="O438" s="649"/>
      <c r="P438" s="648" t="s">
        <v>1344</v>
      </c>
      <c r="Q438" s="661"/>
      <c r="R438" s="661">
        <f>K438</f>
        <v>100000</v>
      </c>
      <c r="S438" s="648"/>
    </row>
    <row r="439" spans="1:19" ht="31.5" customHeight="1">
      <c r="A439" s="770"/>
      <c r="B439" s="612" t="s">
        <v>455</v>
      </c>
      <c r="C439" s="628"/>
      <c r="D439" s="31"/>
      <c r="E439" s="30"/>
      <c r="F439" s="32">
        <f>SUM(F440:F445)</f>
        <v>179006</v>
      </c>
      <c r="G439" s="32">
        <f t="shared" ref="G439:I439" si="250">SUM(G440:G445)</f>
        <v>-112800</v>
      </c>
      <c r="H439" s="32">
        <f t="shared" si="250"/>
        <v>13700</v>
      </c>
      <c r="I439" s="32">
        <f t="shared" si="250"/>
        <v>79906</v>
      </c>
      <c r="J439" s="370">
        <f t="shared" ref="J439:K439" si="251">SUM(J440:J445)</f>
        <v>-112800</v>
      </c>
      <c r="K439" s="370">
        <f t="shared" si="251"/>
        <v>13700</v>
      </c>
      <c r="L439" s="370">
        <f t="shared" si="214"/>
        <v>79906</v>
      </c>
      <c r="M439" s="370">
        <f t="shared" si="215"/>
        <v>0</v>
      </c>
      <c r="N439" s="628" t="str">
        <f t="shared" si="239"/>
        <v>-</v>
      </c>
      <c r="O439" s="321"/>
      <c r="P439" s="30"/>
      <c r="Q439" s="32">
        <f t="shared" ref="Q439:R439" si="252">SUM(Q440:Q445)</f>
        <v>-49920</v>
      </c>
      <c r="R439" s="32">
        <f t="shared" si="252"/>
        <v>-49180</v>
      </c>
      <c r="S439" s="30" t="str">
        <f t="shared" si="231"/>
        <v>ok</v>
      </c>
    </row>
    <row r="440" spans="1:19" ht="50.25" customHeight="1">
      <c r="A440" s="770"/>
      <c r="B440" s="770"/>
      <c r="C440" s="100">
        <v>831</v>
      </c>
      <c r="D440" s="111" t="s">
        <v>129</v>
      </c>
      <c r="E440" s="140" t="s">
        <v>856</v>
      </c>
      <c r="F440" s="95">
        <v>102800</v>
      </c>
      <c r="G440" s="95">
        <v>-102800</v>
      </c>
      <c r="H440" s="95"/>
      <c r="I440" s="102">
        <f t="shared" ref="I440:I445" si="253">F440+G440+H440</f>
        <v>0</v>
      </c>
      <c r="J440" s="375">
        <v>-102800</v>
      </c>
      <c r="K440" s="375"/>
      <c r="L440" s="376">
        <f t="shared" si="214"/>
        <v>0</v>
      </c>
      <c r="M440" s="376">
        <f t="shared" si="215"/>
        <v>0</v>
      </c>
      <c r="N440" s="749" t="str">
        <f t="shared" si="239"/>
        <v>-</v>
      </c>
      <c r="O440" s="259" t="s">
        <v>1011</v>
      </c>
      <c r="P440" s="378" t="s">
        <v>739</v>
      </c>
      <c r="Q440" s="103">
        <v>-51400</v>
      </c>
      <c r="R440" s="103">
        <v>-51400</v>
      </c>
      <c r="S440" s="104" t="str">
        <f t="shared" si="231"/>
        <v>ok</v>
      </c>
    </row>
    <row r="441" spans="1:19" ht="50.25" customHeight="1">
      <c r="A441" s="770"/>
      <c r="B441" s="770"/>
      <c r="C441" s="100">
        <v>835</v>
      </c>
      <c r="D441" s="111" t="s">
        <v>857</v>
      </c>
      <c r="E441" s="140" t="s">
        <v>858</v>
      </c>
      <c r="F441" s="95">
        <v>7000</v>
      </c>
      <c r="G441" s="95">
        <v>-3000</v>
      </c>
      <c r="H441" s="95"/>
      <c r="I441" s="102">
        <f t="shared" si="253"/>
        <v>4000</v>
      </c>
      <c r="J441" s="375">
        <v>-3000</v>
      </c>
      <c r="K441" s="375"/>
      <c r="L441" s="376">
        <f t="shared" si="214"/>
        <v>4000</v>
      </c>
      <c r="M441" s="376">
        <f t="shared" si="215"/>
        <v>0</v>
      </c>
      <c r="N441" s="749" t="str">
        <f t="shared" si="239"/>
        <v>-</v>
      </c>
      <c r="O441" s="259" t="s">
        <v>1012</v>
      </c>
      <c r="P441" s="378" t="s">
        <v>739</v>
      </c>
      <c r="Q441" s="103">
        <v>-1200</v>
      </c>
      <c r="R441" s="103">
        <v>-1800</v>
      </c>
      <c r="S441" s="104" t="str">
        <f t="shared" si="231"/>
        <v>ok</v>
      </c>
    </row>
    <row r="442" spans="1:19" ht="50.25" customHeight="1">
      <c r="A442" s="770"/>
      <c r="B442" s="770"/>
      <c r="C442" s="100">
        <v>835</v>
      </c>
      <c r="D442" s="111" t="s">
        <v>857</v>
      </c>
      <c r="E442" s="140" t="s">
        <v>859</v>
      </c>
      <c r="F442" s="95">
        <v>36706</v>
      </c>
      <c r="G442" s="95">
        <v>-7000</v>
      </c>
      <c r="H442" s="95"/>
      <c r="I442" s="102">
        <f t="shared" si="253"/>
        <v>29706</v>
      </c>
      <c r="J442" s="375">
        <v>-7000</v>
      </c>
      <c r="K442" s="375"/>
      <c r="L442" s="376">
        <f t="shared" si="214"/>
        <v>29706</v>
      </c>
      <c r="M442" s="376">
        <f t="shared" si="215"/>
        <v>0</v>
      </c>
      <c r="N442" s="749" t="str">
        <f t="shared" si="239"/>
        <v>-</v>
      </c>
      <c r="O442" s="259" t="s">
        <v>1012</v>
      </c>
      <c r="P442" s="378" t="s">
        <v>739</v>
      </c>
      <c r="Q442" s="103">
        <v>-2800</v>
      </c>
      <c r="R442" s="103">
        <v>-4200</v>
      </c>
      <c r="S442" s="104" t="str">
        <f t="shared" si="231"/>
        <v>ok</v>
      </c>
    </row>
    <row r="443" spans="1:19" ht="50.25" customHeight="1">
      <c r="A443" s="770"/>
      <c r="B443" s="770"/>
      <c r="C443" s="100">
        <v>835</v>
      </c>
      <c r="D443" s="111" t="s">
        <v>857</v>
      </c>
      <c r="E443" s="140" t="s">
        <v>860</v>
      </c>
      <c r="F443" s="95">
        <v>17000</v>
      </c>
      <c r="G443" s="95"/>
      <c r="H443" s="95">
        <v>700</v>
      </c>
      <c r="I443" s="102">
        <f t="shared" si="253"/>
        <v>17700</v>
      </c>
      <c r="J443" s="375"/>
      <c r="K443" s="375">
        <v>700</v>
      </c>
      <c r="L443" s="376">
        <f t="shared" si="214"/>
        <v>17700</v>
      </c>
      <c r="M443" s="376">
        <f t="shared" si="215"/>
        <v>0</v>
      </c>
      <c r="N443" s="749" t="str">
        <f t="shared" si="239"/>
        <v>-</v>
      </c>
      <c r="O443" s="259" t="s">
        <v>1012</v>
      </c>
      <c r="P443" s="378" t="s">
        <v>739</v>
      </c>
      <c r="Q443" s="103">
        <v>280</v>
      </c>
      <c r="R443" s="103">
        <v>420</v>
      </c>
      <c r="S443" s="104" t="str">
        <f t="shared" si="231"/>
        <v>ok</v>
      </c>
    </row>
    <row r="444" spans="1:19" ht="50.25" customHeight="1">
      <c r="A444" s="770"/>
      <c r="B444" s="770"/>
      <c r="C444" s="100">
        <v>835</v>
      </c>
      <c r="D444" s="111" t="s">
        <v>857</v>
      </c>
      <c r="E444" s="140" t="s">
        <v>861</v>
      </c>
      <c r="F444" s="95">
        <v>15500</v>
      </c>
      <c r="G444" s="95"/>
      <c r="H444" s="95">
        <v>1000</v>
      </c>
      <c r="I444" s="102">
        <f t="shared" si="253"/>
        <v>16500</v>
      </c>
      <c r="J444" s="375"/>
      <c r="K444" s="375">
        <v>1000</v>
      </c>
      <c r="L444" s="376">
        <f t="shared" si="214"/>
        <v>16500</v>
      </c>
      <c r="M444" s="376">
        <f t="shared" si="215"/>
        <v>0</v>
      </c>
      <c r="N444" s="749" t="str">
        <f t="shared" si="239"/>
        <v>-</v>
      </c>
      <c r="O444" s="259" t="s">
        <v>1012</v>
      </c>
      <c r="P444" s="378" t="s">
        <v>739</v>
      </c>
      <c r="Q444" s="103">
        <v>400</v>
      </c>
      <c r="R444" s="103">
        <v>600</v>
      </c>
      <c r="S444" s="104" t="str">
        <f t="shared" si="231"/>
        <v>ok</v>
      </c>
    </row>
    <row r="445" spans="1:19" ht="50.25" customHeight="1">
      <c r="A445" s="770"/>
      <c r="B445" s="770"/>
      <c r="C445" s="107" t="s">
        <v>253</v>
      </c>
      <c r="D445" s="111" t="s">
        <v>857</v>
      </c>
      <c r="E445" s="140" t="s">
        <v>862</v>
      </c>
      <c r="F445" s="95"/>
      <c r="G445" s="95"/>
      <c r="H445" s="95">
        <v>12000</v>
      </c>
      <c r="I445" s="102">
        <f t="shared" si="253"/>
        <v>12000</v>
      </c>
      <c r="J445" s="375"/>
      <c r="K445" s="375">
        <v>12000</v>
      </c>
      <c r="L445" s="376">
        <f t="shared" si="214"/>
        <v>12000</v>
      </c>
      <c r="M445" s="376">
        <f t="shared" si="215"/>
        <v>0</v>
      </c>
      <c r="N445" s="749" t="str">
        <f t="shared" si="239"/>
        <v>-</v>
      </c>
      <c r="O445" s="259" t="s">
        <v>1012</v>
      </c>
      <c r="P445" s="378" t="s">
        <v>739</v>
      </c>
      <c r="Q445" s="103">
        <v>4800</v>
      </c>
      <c r="R445" s="103">
        <v>7200</v>
      </c>
      <c r="S445" s="104" t="str">
        <f t="shared" si="231"/>
        <v>ok</v>
      </c>
    </row>
    <row r="446" spans="1:19" ht="31.5" customHeight="1">
      <c r="A446" s="445" t="s">
        <v>170</v>
      </c>
      <c r="B446" s="772"/>
      <c r="C446" s="26"/>
      <c r="D446" s="26"/>
      <c r="E446" s="26"/>
      <c r="F446" s="27">
        <f t="shared" ref="F446:K446" si="254">SUM(F447:F477)/2</f>
        <v>176982263</v>
      </c>
      <c r="G446" s="27">
        <f t="shared" si="254"/>
        <v>-23058117</v>
      </c>
      <c r="H446" s="27">
        <f t="shared" si="254"/>
        <v>22375000</v>
      </c>
      <c r="I446" s="27">
        <f t="shared" si="254"/>
        <v>176299146</v>
      </c>
      <c r="J446" s="369">
        <f t="shared" si="254"/>
        <v>-13957551</v>
      </c>
      <c r="K446" s="369">
        <f t="shared" si="254"/>
        <v>16618000</v>
      </c>
      <c r="L446" s="369">
        <f t="shared" si="214"/>
        <v>179642712</v>
      </c>
      <c r="M446" s="369">
        <f t="shared" si="215"/>
        <v>3343566</v>
      </c>
      <c r="N446" s="626" t="str">
        <f t="shared" si="239"/>
        <v>검토</v>
      </c>
      <c r="O446" s="320"/>
      <c r="P446" s="26"/>
      <c r="Q446" s="27">
        <f>SUM(Q447:Q477)/2</f>
        <v>0</v>
      </c>
      <c r="R446" s="27">
        <f>SUM(R447:R477)/2</f>
        <v>2215449</v>
      </c>
      <c r="S446" s="26" t="str">
        <f t="shared" si="231"/>
        <v>검토</v>
      </c>
    </row>
    <row r="447" spans="1:19" ht="31.5" customHeight="1">
      <c r="A447" s="770"/>
      <c r="B447" s="612" t="s">
        <v>171</v>
      </c>
      <c r="C447" s="628"/>
      <c r="D447" s="31"/>
      <c r="E447" s="31"/>
      <c r="F447" s="32">
        <f>SUM(F448:F451)</f>
        <v>15308000</v>
      </c>
      <c r="G447" s="32">
        <f t="shared" ref="G447:I447" si="255">SUM(G448:G451)</f>
        <v>-40000</v>
      </c>
      <c r="H447" s="32">
        <f t="shared" si="255"/>
        <v>6688000</v>
      </c>
      <c r="I447" s="32">
        <f t="shared" si="255"/>
        <v>21956000</v>
      </c>
      <c r="J447" s="370">
        <f t="shared" ref="J447:K447" si="256">SUM(J448:J451)</f>
        <v>-40000</v>
      </c>
      <c r="K447" s="370">
        <f t="shared" si="256"/>
        <v>6388000</v>
      </c>
      <c r="L447" s="370">
        <f t="shared" si="214"/>
        <v>21656000</v>
      </c>
      <c r="M447" s="370">
        <f t="shared" si="215"/>
        <v>-300000</v>
      </c>
      <c r="N447" s="628" t="str">
        <f t="shared" si="239"/>
        <v>-</v>
      </c>
      <c r="O447" s="321"/>
      <c r="P447" s="30"/>
      <c r="Q447" s="32">
        <f t="shared" ref="Q447:R447" si="257">SUM(Q448:Q451)</f>
        <v>0</v>
      </c>
      <c r="R447" s="32">
        <f t="shared" si="257"/>
        <v>6348000</v>
      </c>
      <c r="S447" s="30" t="str">
        <f t="shared" si="231"/>
        <v>검토</v>
      </c>
    </row>
    <row r="448" spans="1:19" ht="31.5" customHeight="1">
      <c r="A448" s="770"/>
      <c r="B448" s="770"/>
      <c r="C448" s="100">
        <v>873</v>
      </c>
      <c r="D448" s="101" t="s">
        <v>863</v>
      </c>
      <c r="E448" s="49" t="s">
        <v>864</v>
      </c>
      <c r="F448" s="50">
        <v>80000</v>
      </c>
      <c r="G448" s="50">
        <v>-40000</v>
      </c>
      <c r="H448" s="95"/>
      <c r="I448" s="102">
        <f t="shared" ref="I448:I451" si="258">F448+G448+H448</f>
        <v>40000</v>
      </c>
      <c r="J448" s="50">
        <v>-40000</v>
      </c>
      <c r="K448" s="375"/>
      <c r="L448" s="376">
        <f t="shared" si="214"/>
        <v>40000</v>
      </c>
      <c r="M448" s="376">
        <f t="shared" ref="M448:M451" si="259">L448-I448</f>
        <v>0</v>
      </c>
      <c r="N448" s="749" t="str">
        <f t="shared" si="239"/>
        <v>-</v>
      </c>
      <c r="O448" s="259" t="s">
        <v>865</v>
      </c>
      <c r="P448" s="378" t="s">
        <v>97</v>
      </c>
      <c r="Q448" s="103"/>
      <c r="R448" s="661">
        <f>J448</f>
        <v>-40000</v>
      </c>
      <c r="S448" s="104" t="str">
        <f t="shared" si="231"/>
        <v>ok</v>
      </c>
    </row>
    <row r="449" spans="1:19" s="673" customFormat="1" ht="31.5" customHeight="1">
      <c r="A449" s="770"/>
      <c r="B449" s="770"/>
      <c r="C449" s="662">
        <v>874</v>
      </c>
      <c r="D449" s="658" t="s">
        <v>863</v>
      </c>
      <c r="E449" s="288" t="s">
        <v>1528</v>
      </c>
      <c r="F449" s="658">
        <v>3840000</v>
      </c>
      <c r="G449" s="658"/>
      <c r="H449" s="658">
        <v>2688000</v>
      </c>
      <c r="I449" s="665">
        <f t="shared" si="258"/>
        <v>6528000</v>
      </c>
      <c r="J449" s="658"/>
      <c r="K449" s="641">
        <v>2388000</v>
      </c>
      <c r="L449" s="665">
        <f t="shared" si="214"/>
        <v>6228000</v>
      </c>
      <c r="M449" s="665">
        <f t="shared" si="259"/>
        <v>-300000</v>
      </c>
      <c r="N449" s="749" t="str">
        <f t="shared" si="239"/>
        <v>-</v>
      </c>
      <c r="O449" s="336" t="s">
        <v>866</v>
      </c>
      <c r="P449" s="653" t="s">
        <v>1223</v>
      </c>
      <c r="Q449" s="658"/>
      <c r="R449" s="661">
        <f t="shared" ref="R449:R450" si="260">K449</f>
        <v>2388000</v>
      </c>
      <c r="S449" s="648" t="str">
        <f t="shared" si="231"/>
        <v>검토</v>
      </c>
    </row>
    <row r="450" spans="1:19" s="673" customFormat="1" ht="31.5" customHeight="1">
      <c r="A450" s="770"/>
      <c r="B450" s="770"/>
      <c r="C450" s="662">
        <v>874</v>
      </c>
      <c r="D450" s="658" t="s">
        <v>863</v>
      </c>
      <c r="E450" s="288" t="s">
        <v>1529</v>
      </c>
      <c r="F450" s="658">
        <v>9000000</v>
      </c>
      <c r="G450" s="658"/>
      <c r="H450" s="658">
        <v>4000000</v>
      </c>
      <c r="I450" s="665">
        <f t="shared" ref="I450" si="261">F450+G450+H450</f>
        <v>13000000</v>
      </c>
      <c r="J450" s="658"/>
      <c r="K450" s="641">
        <v>3000000</v>
      </c>
      <c r="L450" s="665">
        <f t="shared" si="214"/>
        <v>12000000</v>
      </c>
      <c r="M450" s="665">
        <f t="shared" si="259"/>
        <v>-1000000</v>
      </c>
      <c r="N450" s="749" t="str">
        <f t="shared" si="239"/>
        <v>-</v>
      </c>
      <c r="O450" s="336" t="s">
        <v>866</v>
      </c>
      <c r="P450" s="653" t="s">
        <v>1223</v>
      </c>
      <c r="Q450" s="658"/>
      <c r="R450" s="661">
        <f t="shared" si="260"/>
        <v>3000000</v>
      </c>
      <c r="S450" s="648" t="str">
        <f t="shared" si="231"/>
        <v>검토</v>
      </c>
    </row>
    <row r="451" spans="1:19" s="673" customFormat="1" ht="31.5" customHeight="1">
      <c r="A451" s="770"/>
      <c r="B451" s="770"/>
      <c r="C451" s="662">
        <v>873</v>
      </c>
      <c r="D451" s="658" t="s">
        <v>863</v>
      </c>
      <c r="E451" s="288" t="s">
        <v>1525</v>
      </c>
      <c r="F451" s="658">
        <v>2388000</v>
      </c>
      <c r="G451" s="658"/>
      <c r="H451" s="658"/>
      <c r="I451" s="665">
        <f t="shared" si="258"/>
        <v>2388000</v>
      </c>
      <c r="J451" s="658"/>
      <c r="K451" s="641">
        <v>1000000</v>
      </c>
      <c r="L451" s="665">
        <f t="shared" si="214"/>
        <v>3388000</v>
      </c>
      <c r="M451" s="665">
        <f t="shared" si="259"/>
        <v>1000000</v>
      </c>
      <c r="N451" s="749" t="str">
        <f t="shared" si="239"/>
        <v>-</v>
      </c>
      <c r="O451" s="336" t="s">
        <v>866</v>
      </c>
      <c r="P451" s="653" t="s">
        <v>1223</v>
      </c>
      <c r="Q451" s="658"/>
      <c r="R451" s="661">
        <f>K451</f>
        <v>1000000</v>
      </c>
      <c r="S451" s="648" t="str">
        <f t="shared" si="231"/>
        <v>검토</v>
      </c>
    </row>
    <row r="452" spans="1:19" ht="31.5" customHeight="1">
      <c r="A452" s="770"/>
      <c r="B452" s="612" t="s">
        <v>176</v>
      </c>
      <c r="C452" s="628"/>
      <c r="D452" s="31"/>
      <c r="E452" s="31"/>
      <c r="F452" s="32">
        <f t="shared" ref="F452:K452" si="262">SUM(F453:F467)</f>
        <v>60038212</v>
      </c>
      <c r="G452" s="32">
        <f t="shared" si="262"/>
        <v>-20211066</v>
      </c>
      <c r="H452" s="32">
        <f t="shared" si="262"/>
        <v>9687000</v>
      </c>
      <c r="I452" s="32">
        <f t="shared" si="262"/>
        <v>49514146</v>
      </c>
      <c r="J452" s="370">
        <f t="shared" si="262"/>
        <v>-13917551</v>
      </c>
      <c r="K452" s="370">
        <f t="shared" si="262"/>
        <v>5785000</v>
      </c>
      <c r="L452" s="370">
        <f t="shared" ref="L452:L521" si="263">F452+J452+K452</f>
        <v>51905661</v>
      </c>
      <c r="M452" s="370">
        <f t="shared" ref="M452:M518" si="264">L452-I452</f>
        <v>2391515</v>
      </c>
      <c r="N452" s="628" t="str">
        <f t="shared" si="239"/>
        <v>검토</v>
      </c>
      <c r="O452" s="321"/>
      <c r="P452" s="30"/>
      <c r="Q452" s="32">
        <f>SUM(Q453:Q467)</f>
        <v>0</v>
      </c>
      <c r="R452" s="32">
        <f>SUM(R453:R467)</f>
        <v>-8132551</v>
      </c>
      <c r="S452" s="30" t="str">
        <f t="shared" si="231"/>
        <v>검토</v>
      </c>
    </row>
    <row r="453" spans="1:19" s="673" customFormat="1" ht="31.5" customHeight="1">
      <c r="A453" s="770"/>
      <c r="B453" s="770"/>
      <c r="C453" s="662">
        <v>888</v>
      </c>
      <c r="D453" s="658" t="s">
        <v>178</v>
      </c>
      <c r="E453" s="288" t="s">
        <v>1530</v>
      </c>
      <c r="F453" s="658">
        <v>228566</v>
      </c>
      <c r="G453" s="658">
        <v>-228566</v>
      </c>
      <c r="H453" s="658"/>
      <c r="I453" s="665">
        <f t="shared" ref="I453:I467" si="265">F453+G453+H453</f>
        <v>0</v>
      </c>
      <c r="J453" s="658">
        <v>-114283</v>
      </c>
      <c r="K453" s="641"/>
      <c r="L453" s="665">
        <f t="shared" si="263"/>
        <v>114283</v>
      </c>
      <c r="M453" s="665">
        <f t="shared" si="264"/>
        <v>114283</v>
      </c>
      <c r="N453" s="749" t="str">
        <f t="shared" si="239"/>
        <v>검토</v>
      </c>
      <c r="O453" s="336" t="s">
        <v>867</v>
      </c>
      <c r="P453" s="653" t="s">
        <v>1223</v>
      </c>
      <c r="Q453" s="658"/>
      <c r="R453" s="661">
        <f t="shared" ref="R453:R454" si="266">J453</f>
        <v>-114283</v>
      </c>
      <c r="S453" s="648" t="str">
        <f t="shared" si="231"/>
        <v>검토</v>
      </c>
    </row>
    <row r="454" spans="1:19" ht="31.5" customHeight="1">
      <c r="A454" s="770"/>
      <c r="B454" s="770"/>
      <c r="C454" s="100">
        <v>890</v>
      </c>
      <c r="D454" s="101" t="s">
        <v>868</v>
      </c>
      <c r="E454" s="183" t="s">
        <v>869</v>
      </c>
      <c r="F454" s="95">
        <v>540000</v>
      </c>
      <c r="G454" s="95">
        <v>-40000</v>
      </c>
      <c r="H454" s="95"/>
      <c r="I454" s="102">
        <f t="shared" si="265"/>
        <v>500000</v>
      </c>
      <c r="J454" s="375">
        <v>-40000</v>
      </c>
      <c r="K454" s="375"/>
      <c r="L454" s="376">
        <f t="shared" si="263"/>
        <v>500000</v>
      </c>
      <c r="M454" s="376">
        <f t="shared" si="264"/>
        <v>0</v>
      </c>
      <c r="N454" s="749" t="str">
        <f t="shared" si="239"/>
        <v>-</v>
      </c>
      <c r="O454" s="259" t="s">
        <v>870</v>
      </c>
      <c r="P454" s="378" t="s">
        <v>97</v>
      </c>
      <c r="Q454" s="103"/>
      <c r="R454" s="661">
        <f t="shared" si="266"/>
        <v>-40000</v>
      </c>
      <c r="S454" s="104" t="str">
        <f t="shared" si="231"/>
        <v>ok</v>
      </c>
    </row>
    <row r="455" spans="1:19" s="673" customFormat="1" ht="31.5" customHeight="1">
      <c r="A455" s="770"/>
      <c r="B455" s="770"/>
      <c r="C455" s="662" t="s">
        <v>94</v>
      </c>
      <c r="D455" s="658" t="s">
        <v>868</v>
      </c>
      <c r="E455" s="288" t="s">
        <v>1526</v>
      </c>
      <c r="F455" s="658"/>
      <c r="G455" s="658"/>
      <c r="H455" s="658"/>
      <c r="I455" s="665">
        <f t="shared" si="265"/>
        <v>0</v>
      </c>
      <c r="J455" s="658"/>
      <c r="K455" s="641">
        <v>50000</v>
      </c>
      <c r="L455" s="665">
        <f t="shared" si="263"/>
        <v>50000</v>
      </c>
      <c r="M455" s="665">
        <f t="shared" si="264"/>
        <v>50000</v>
      </c>
      <c r="N455" s="749" t="str">
        <f t="shared" si="239"/>
        <v>-</v>
      </c>
      <c r="O455" s="336"/>
      <c r="P455" s="653" t="s">
        <v>1223</v>
      </c>
      <c r="Q455" s="658"/>
      <c r="R455" s="661">
        <f>K455</f>
        <v>50000</v>
      </c>
      <c r="S455" s="648" t="str">
        <f t="shared" si="231"/>
        <v>검토</v>
      </c>
    </row>
    <row r="456" spans="1:19" ht="31.5" customHeight="1">
      <c r="A456" s="770"/>
      <c r="B456" s="770">
        <v>0</v>
      </c>
      <c r="C456" s="100">
        <v>905</v>
      </c>
      <c r="D456" s="101" t="s">
        <v>871</v>
      </c>
      <c r="E456" s="101" t="s">
        <v>872</v>
      </c>
      <c r="F456" s="95">
        <v>34885000</v>
      </c>
      <c r="G456" s="95">
        <v>-17442500</v>
      </c>
      <c r="H456" s="95"/>
      <c r="I456" s="102">
        <f t="shared" si="265"/>
        <v>17442500</v>
      </c>
      <c r="J456" s="375">
        <f>-10000000-3381268-382000</f>
        <v>-13763268</v>
      </c>
      <c r="K456" s="375"/>
      <c r="L456" s="376">
        <f t="shared" si="263"/>
        <v>21121732</v>
      </c>
      <c r="M456" s="376">
        <f t="shared" si="264"/>
        <v>3679232</v>
      </c>
      <c r="N456" s="749" t="str">
        <f t="shared" si="239"/>
        <v>검토</v>
      </c>
      <c r="O456" s="259" t="s">
        <v>873</v>
      </c>
      <c r="P456" s="378" t="s">
        <v>97</v>
      </c>
      <c r="Q456" s="103"/>
      <c r="R456" s="661">
        <f t="shared" ref="R456:R457" si="267">J456</f>
        <v>-13763268</v>
      </c>
      <c r="S456" s="104" t="str">
        <f t="shared" si="231"/>
        <v>검토</v>
      </c>
    </row>
    <row r="457" spans="1:19" s="673" customFormat="1" ht="31.5" customHeight="1">
      <c r="A457" s="770"/>
      <c r="B457" s="770"/>
      <c r="C457" s="662">
        <v>906</v>
      </c>
      <c r="D457" s="658" t="s">
        <v>871</v>
      </c>
      <c r="E457" s="288" t="s">
        <v>1531</v>
      </c>
      <c r="F457" s="658">
        <v>9760000</v>
      </c>
      <c r="G457" s="658">
        <v>-2500000</v>
      </c>
      <c r="H457" s="658"/>
      <c r="I457" s="665">
        <f t="shared" si="265"/>
        <v>7260000</v>
      </c>
      <c r="J457" s="658">
        <v>0</v>
      </c>
      <c r="K457" s="641"/>
      <c r="L457" s="665">
        <f t="shared" si="263"/>
        <v>9760000</v>
      </c>
      <c r="M457" s="665">
        <f t="shared" si="264"/>
        <v>2500000</v>
      </c>
      <c r="N457" s="749" t="str">
        <f t="shared" si="239"/>
        <v>검토</v>
      </c>
      <c r="O457" s="336"/>
      <c r="P457" s="653" t="s">
        <v>1223</v>
      </c>
      <c r="Q457" s="658"/>
      <c r="R457" s="661">
        <f t="shared" si="267"/>
        <v>0</v>
      </c>
      <c r="S457" s="648" t="str">
        <f t="shared" si="231"/>
        <v>검토</v>
      </c>
    </row>
    <row r="458" spans="1:19" ht="31.5" customHeight="1">
      <c r="A458" s="770"/>
      <c r="B458" s="770">
        <v>0</v>
      </c>
      <c r="C458" s="100">
        <v>900</v>
      </c>
      <c r="D458" s="101" t="s">
        <v>871</v>
      </c>
      <c r="E458" s="101" t="s">
        <v>874</v>
      </c>
      <c r="F458" s="95">
        <v>5340000</v>
      </c>
      <c r="G458" s="95"/>
      <c r="H458" s="95">
        <v>1602000</v>
      </c>
      <c r="I458" s="102">
        <f t="shared" si="265"/>
        <v>6942000</v>
      </c>
      <c r="J458" s="375"/>
      <c r="K458" s="361">
        <v>1000000</v>
      </c>
      <c r="L458" s="376">
        <f t="shared" si="263"/>
        <v>6340000</v>
      </c>
      <c r="M458" s="376">
        <f t="shared" si="264"/>
        <v>-602000</v>
      </c>
      <c r="N458" s="749" t="str">
        <f t="shared" si="239"/>
        <v>-</v>
      </c>
      <c r="O458" s="259" t="s">
        <v>875</v>
      </c>
      <c r="P458" s="378" t="s">
        <v>97</v>
      </c>
      <c r="Q458" s="103"/>
      <c r="R458" s="661">
        <f t="shared" ref="R458:R466" si="268">K458</f>
        <v>1000000</v>
      </c>
      <c r="S458" s="104" t="str">
        <f t="shared" si="231"/>
        <v>검토</v>
      </c>
    </row>
    <row r="459" spans="1:19" ht="31.5" customHeight="1">
      <c r="A459" s="770"/>
      <c r="B459" s="770"/>
      <c r="C459" s="100" t="s">
        <v>94</v>
      </c>
      <c r="D459" s="101" t="s">
        <v>871</v>
      </c>
      <c r="E459" s="101" t="s">
        <v>876</v>
      </c>
      <c r="F459" s="95"/>
      <c r="G459" s="95"/>
      <c r="H459" s="95">
        <v>1000000</v>
      </c>
      <c r="I459" s="102">
        <f t="shared" si="265"/>
        <v>1000000</v>
      </c>
      <c r="J459" s="375"/>
      <c r="K459" s="361">
        <v>700000</v>
      </c>
      <c r="L459" s="376">
        <f t="shared" si="263"/>
        <v>700000</v>
      </c>
      <c r="M459" s="376">
        <f t="shared" si="264"/>
        <v>-300000</v>
      </c>
      <c r="N459" s="749" t="str">
        <f t="shared" si="239"/>
        <v>-</v>
      </c>
      <c r="O459" s="259" t="s">
        <v>877</v>
      </c>
      <c r="P459" s="378" t="s">
        <v>97</v>
      </c>
      <c r="Q459" s="103"/>
      <c r="R459" s="661">
        <f t="shared" si="268"/>
        <v>700000</v>
      </c>
      <c r="S459" s="104" t="str">
        <f t="shared" si="231"/>
        <v>검토</v>
      </c>
    </row>
    <row r="460" spans="1:19" ht="31.5" customHeight="1">
      <c r="A460" s="770"/>
      <c r="B460" s="770"/>
      <c r="C460" s="100" t="s">
        <v>94</v>
      </c>
      <c r="D460" s="101" t="s">
        <v>878</v>
      </c>
      <c r="E460" s="101" t="s">
        <v>879</v>
      </c>
      <c r="F460" s="95"/>
      <c r="G460" s="95"/>
      <c r="H460" s="95">
        <v>40000</v>
      </c>
      <c r="I460" s="102">
        <f t="shared" si="265"/>
        <v>40000</v>
      </c>
      <c r="J460" s="375"/>
      <c r="K460" s="361">
        <v>40000</v>
      </c>
      <c r="L460" s="376">
        <f t="shared" si="263"/>
        <v>40000</v>
      </c>
      <c r="M460" s="376">
        <f t="shared" si="264"/>
        <v>0</v>
      </c>
      <c r="N460" s="749" t="str">
        <f t="shared" si="239"/>
        <v>-</v>
      </c>
      <c r="O460" s="333"/>
      <c r="P460" s="378" t="s">
        <v>97</v>
      </c>
      <c r="Q460" s="103"/>
      <c r="R460" s="661">
        <f t="shared" si="268"/>
        <v>40000</v>
      </c>
      <c r="S460" s="104" t="str">
        <f t="shared" si="231"/>
        <v>ok</v>
      </c>
    </row>
    <row r="461" spans="1:19" ht="95.25" customHeight="1">
      <c r="A461" s="770"/>
      <c r="B461" s="770"/>
      <c r="C461" s="100">
        <v>902</v>
      </c>
      <c r="D461" s="101" t="s">
        <v>871</v>
      </c>
      <c r="E461" s="183" t="s">
        <v>880</v>
      </c>
      <c r="F461" s="95">
        <v>6000000</v>
      </c>
      <c r="G461" s="95"/>
      <c r="H461" s="95">
        <v>500000</v>
      </c>
      <c r="I461" s="102">
        <f t="shared" si="265"/>
        <v>6500000</v>
      </c>
      <c r="J461" s="375"/>
      <c r="K461" s="361">
        <v>0</v>
      </c>
      <c r="L461" s="376">
        <f t="shared" si="263"/>
        <v>6000000</v>
      </c>
      <c r="M461" s="376">
        <f t="shared" si="264"/>
        <v>-500000</v>
      </c>
      <c r="N461" s="749" t="str">
        <f t="shared" si="239"/>
        <v>-</v>
      </c>
      <c r="O461" s="259" t="s">
        <v>1016</v>
      </c>
      <c r="P461" s="378" t="s">
        <v>97</v>
      </c>
      <c r="Q461" s="103"/>
      <c r="R461" s="661">
        <f t="shared" si="268"/>
        <v>0</v>
      </c>
      <c r="S461" s="104" t="str">
        <f t="shared" si="231"/>
        <v>검토</v>
      </c>
    </row>
    <row r="462" spans="1:19" ht="31.5" customHeight="1">
      <c r="A462" s="770"/>
      <c r="B462" s="770">
        <v>0</v>
      </c>
      <c r="C462" s="100" t="s">
        <v>94</v>
      </c>
      <c r="D462" s="101" t="s">
        <v>871</v>
      </c>
      <c r="E462" s="101" t="s">
        <v>881</v>
      </c>
      <c r="F462" s="95"/>
      <c r="G462" s="95"/>
      <c r="H462" s="95">
        <v>2000000</v>
      </c>
      <c r="I462" s="376">
        <f t="shared" si="265"/>
        <v>2000000</v>
      </c>
      <c r="J462" s="375"/>
      <c r="K462" s="361">
        <v>1500000</v>
      </c>
      <c r="L462" s="376">
        <f t="shared" si="263"/>
        <v>1500000</v>
      </c>
      <c r="M462" s="376">
        <f t="shared" si="264"/>
        <v>-500000</v>
      </c>
      <c r="N462" s="749" t="str">
        <f t="shared" si="239"/>
        <v>-</v>
      </c>
      <c r="O462" s="259" t="s">
        <v>882</v>
      </c>
      <c r="P462" s="378" t="s">
        <v>97</v>
      </c>
      <c r="Q462" s="103"/>
      <c r="R462" s="661">
        <f t="shared" si="268"/>
        <v>1500000</v>
      </c>
      <c r="S462" s="104" t="str">
        <f t="shared" si="231"/>
        <v>검토</v>
      </c>
    </row>
    <row r="463" spans="1:19" ht="31.5" customHeight="1">
      <c r="A463" s="770"/>
      <c r="B463" s="770">
        <v>0</v>
      </c>
      <c r="C463" s="100" t="s">
        <v>94</v>
      </c>
      <c r="D463" s="101" t="s">
        <v>871</v>
      </c>
      <c r="E463" s="101" t="s">
        <v>883</v>
      </c>
      <c r="F463" s="95"/>
      <c r="G463" s="95"/>
      <c r="H463" s="95">
        <v>2000000</v>
      </c>
      <c r="I463" s="376">
        <f t="shared" si="265"/>
        <v>2000000</v>
      </c>
      <c r="J463" s="375"/>
      <c r="K463" s="361">
        <v>1500000</v>
      </c>
      <c r="L463" s="376">
        <f t="shared" si="263"/>
        <v>1500000</v>
      </c>
      <c r="M463" s="376">
        <f t="shared" si="264"/>
        <v>-500000</v>
      </c>
      <c r="N463" s="749" t="str">
        <f t="shared" si="239"/>
        <v>-</v>
      </c>
      <c r="O463" s="259" t="s">
        <v>884</v>
      </c>
      <c r="P463" s="378" t="s">
        <v>97</v>
      </c>
      <c r="Q463" s="103"/>
      <c r="R463" s="661">
        <f t="shared" si="268"/>
        <v>1500000</v>
      </c>
      <c r="S463" s="104" t="str">
        <f t="shared" si="231"/>
        <v>검토</v>
      </c>
    </row>
    <row r="464" spans="1:19" ht="31.5" customHeight="1">
      <c r="A464" s="770"/>
      <c r="B464" s="770">
        <v>0</v>
      </c>
      <c r="C464" s="100" t="s">
        <v>94</v>
      </c>
      <c r="D464" s="101" t="s">
        <v>871</v>
      </c>
      <c r="E464" s="101" t="s">
        <v>885</v>
      </c>
      <c r="F464" s="95"/>
      <c r="G464" s="95"/>
      <c r="H464" s="95">
        <v>500000</v>
      </c>
      <c r="I464" s="376">
        <f t="shared" si="265"/>
        <v>500000</v>
      </c>
      <c r="J464" s="375"/>
      <c r="K464" s="361">
        <v>250000</v>
      </c>
      <c r="L464" s="376">
        <f t="shared" si="263"/>
        <v>250000</v>
      </c>
      <c r="M464" s="376">
        <f t="shared" si="264"/>
        <v>-250000</v>
      </c>
      <c r="N464" s="749" t="str">
        <f t="shared" si="239"/>
        <v>-</v>
      </c>
      <c r="O464" s="259" t="s">
        <v>886</v>
      </c>
      <c r="P464" s="378" t="s">
        <v>97</v>
      </c>
      <c r="Q464" s="103"/>
      <c r="R464" s="661">
        <f t="shared" si="268"/>
        <v>250000</v>
      </c>
      <c r="S464" s="104" t="str">
        <f t="shared" si="231"/>
        <v>검토</v>
      </c>
    </row>
    <row r="465" spans="1:19" ht="31.5" customHeight="1">
      <c r="A465" s="770"/>
      <c r="B465" s="770"/>
      <c r="C465" s="100">
        <v>886</v>
      </c>
      <c r="D465" s="101" t="s">
        <v>178</v>
      </c>
      <c r="E465" s="101" t="s">
        <v>887</v>
      </c>
      <c r="F465" s="95">
        <v>2084646</v>
      </c>
      <c r="G465" s="95"/>
      <c r="H465" s="95">
        <v>545000</v>
      </c>
      <c r="I465" s="376">
        <f t="shared" si="265"/>
        <v>2629646</v>
      </c>
      <c r="J465" s="375"/>
      <c r="K465" s="361">
        <v>545000</v>
      </c>
      <c r="L465" s="376">
        <f t="shared" si="263"/>
        <v>2629646</v>
      </c>
      <c r="M465" s="376">
        <f t="shared" si="264"/>
        <v>0</v>
      </c>
      <c r="N465" s="749" t="str">
        <f t="shared" si="239"/>
        <v>-</v>
      </c>
      <c r="O465" s="259" t="s">
        <v>888</v>
      </c>
      <c r="P465" s="378" t="s">
        <v>97</v>
      </c>
      <c r="Q465" s="103"/>
      <c r="R465" s="661">
        <f t="shared" si="268"/>
        <v>545000</v>
      </c>
      <c r="S465" s="104" t="str">
        <f t="shared" si="231"/>
        <v>ok</v>
      </c>
    </row>
    <row r="466" spans="1:19" s="673" customFormat="1" ht="46.5" customHeight="1">
      <c r="A466" s="770"/>
      <c r="B466" s="770"/>
      <c r="C466" s="662" t="s">
        <v>94</v>
      </c>
      <c r="D466" s="658" t="s">
        <v>1231</v>
      </c>
      <c r="E466" s="288" t="s">
        <v>1524</v>
      </c>
      <c r="F466" s="658"/>
      <c r="G466" s="658"/>
      <c r="H466" s="658">
        <v>1500000</v>
      </c>
      <c r="I466" s="665">
        <f>F466+G466+H466</f>
        <v>1500000</v>
      </c>
      <c r="J466" s="658"/>
      <c r="K466" s="641">
        <v>0</v>
      </c>
      <c r="L466" s="665">
        <f>F466+J466+K466</f>
        <v>0</v>
      </c>
      <c r="M466" s="665">
        <f>L466-I466</f>
        <v>-1500000</v>
      </c>
      <c r="N466" s="749" t="str">
        <f t="shared" si="239"/>
        <v>-</v>
      </c>
      <c r="O466" s="336" t="s">
        <v>1042</v>
      </c>
      <c r="P466" s="653" t="s">
        <v>1223</v>
      </c>
      <c r="Q466" s="658"/>
      <c r="R466" s="661">
        <f t="shared" si="268"/>
        <v>0</v>
      </c>
      <c r="S466" s="648" t="str">
        <f>IF((G466+H466)=(Q466+R466),"ok","검토")</f>
        <v>검토</v>
      </c>
    </row>
    <row r="467" spans="1:19" s="673" customFormat="1" ht="31.5" customHeight="1">
      <c r="A467" s="770">
        <v>1</v>
      </c>
      <c r="B467" s="770"/>
      <c r="C467" s="644">
        <v>894</v>
      </c>
      <c r="D467" s="659" t="s">
        <v>1453</v>
      </c>
      <c r="E467" s="659" t="s">
        <v>1348</v>
      </c>
      <c r="F467" s="657">
        <v>1200000</v>
      </c>
      <c r="G467" s="657"/>
      <c r="H467" s="657"/>
      <c r="I467" s="665">
        <f t="shared" si="265"/>
        <v>1200000</v>
      </c>
      <c r="J467" s="657"/>
      <c r="K467" s="636">
        <v>200000</v>
      </c>
      <c r="L467" s="665">
        <f t="shared" ref="L467" si="269">F467+J467+K467</f>
        <v>1400000</v>
      </c>
      <c r="M467" s="665">
        <f t="shared" ref="M467" si="270">L467-I467</f>
        <v>200000</v>
      </c>
      <c r="N467" s="749" t="str">
        <f t="shared" si="239"/>
        <v>-</v>
      </c>
      <c r="O467" s="649"/>
      <c r="P467" s="648" t="s">
        <v>1344</v>
      </c>
      <c r="Q467" s="661"/>
      <c r="R467" s="661">
        <f>K467</f>
        <v>200000</v>
      </c>
      <c r="S467" s="648"/>
    </row>
    <row r="468" spans="1:19" ht="31.5" customHeight="1">
      <c r="A468" s="770"/>
      <c r="B468" s="612" t="s">
        <v>181</v>
      </c>
      <c r="C468" s="628"/>
      <c r="D468" s="31"/>
      <c r="E468" s="31"/>
      <c r="F468" s="32">
        <f>SUM(F469:F477)</f>
        <v>101636051</v>
      </c>
      <c r="G468" s="32">
        <f t="shared" ref="G468:I468" si="271">SUM(G469:G477)</f>
        <v>-2807051</v>
      </c>
      <c r="H468" s="32">
        <f t="shared" si="271"/>
        <v>6000000</v>
      </c>
      <c r="I468" s="32">
        <f t="shared" si="271"/>
        <v>104829000</v>
      </c>
      <c r="J468" s="370">
        <f t="shared" ref="J468:K468" si="272">SUM(J469:J477)</f>
        <v>0</v>
      </c>
      <c r="K468" s="370">
        <f t="shared" si="272"/>
        <v>4445000</v>
      </c>
      <c r="L468" s="370">
        <f t="shared" si="263"/>
        <v>106081051</v>
      </c>
      <c r="M468" s="370">
        <f t="shared" si="264"/>
        <v>1252051</v>
      </c>
      <c r="N468" s="628" t="str">
        <f t="shared" si="239"/>
        <v>-</v>
      </c>
      <c r="O468" s="335"/>
      <c r="P468" s="30"/>
      <c r="Q468" s="32">
        <f t="shared" ref="Q468:R468" si="273">SUM(Q469:Q477)</f>
        <v>0</v>
      </c>
      <c r="R468" s="32">
        <f t="shared" si="273"/>
        <v>4000000</v>
      </c>
      <c r="S468" s="30" t="str">
        <f t="shared" si="231"/>
        <v>검토</v>
      </c>
    </row>
    <row r="469" spans="1:19" s="673" customFormat="1" ht="69.75" customHeight="1">
      <c r="A469" s="770"/>
      <c r="B469" s="770"/>
      <c r="C469" s="662">
        <v>936</v>
      </c>
      <c r="D469" s="658" t="s">
        <v>183</v>
      </c>
      <c r="E469" s="288" t="s">
        <v>1532</v>
      </c>
      <c r="F469" s="658">
        <v>2000000</v>
      </c>
      <c r="G469" s="658">
        <v>-800000</v>
      </c>
      <c r="H469" s="658"/>
      <c r="I469" s="665">
        <f t="shared" ref="I469:I477" si="274">F469+G469+H469</f>
        <v>1200000</v>
      </c>
      <c r="J469" s="658">
        <v>0</v>
      </c>
      <c r="K469" s="641"/>
      <c r="L469" s="665">
        <f t="shared" si="263"/>
        <v>2000000</v>
      </c>
      <c r="M469" s="665">
        <f t="shared" si="264"/>
        <v>800000</v>
      </c>
      <c r="N469" s="749" t="str">
        <f t="shared" si="239"/>
        <v>검토</v>
      </c>
      <c r="O469" s="336" t="s">
        <v>889</v>
      </c>
      <c r="P469" s="653" t="s">
        <v>1223</v>
      </c>
      <c r="Q469" s="658"/>
      <c r="R469" s="661">
        <f t="shared" ref="R469:R471" si="275">J469</f>
        <v>0</v>
      </c>
      <c r="S469" s="648" t="str">
        <f t="shared" si="231"/>
        <v>검토</v>
      </c>
    </row>
    <row r="470" spans="1:19" s="673" customFormat="1" ht="63.75" customHeight="1">
      <c r="A470" s="770"/>
      <c r="B470" s="770"/>
      <c r="C470" s="662">
        <v>936</v>
      </c>
      <c r="D470" s="658" t="s">
        <v>183</v>
      </c>
      <c r="E470" s="288" t="s">
        <v>1533</v>
      </c>
      <c r="F470" s="658">
        <v>500000</v>
      </c>
      <c r="G470" s="658">
        <v>-200000</v>
      </c>
      <c r="H470" s="658"/>
      <c r="I470" s="665">
        <f t="shared" si="274"/>
        <v>300000</v>
      </c>
      <c r="J470" s="658">
        <v>0</v>
      </c>
      <c r="K470" s="641"/>
      <c r="L470" s="665">
        <f t="shared" si="263"/>
        <v>500000</v>
      </c>
      <c r="M470" s="665">
        <f t="shared" si="264"/>
        <v>200000</v>
      </c>
      <c r="N470" s="749" t="str">
        <f t="shared" si="239"/>
        <v>검토</v>
      </c>
      <c r="O470" s="336" t="s">
        <v>889</v>
      </c>
      <c r="P470" s="653" t="s">
        <v>1223</v>
      </c>
      <c r="Q470" s="658"/>
      <c r="R470" s="661">
        <f t="shared" si="275"/>
        <v>0</v>
      </c>
      <c r="S470" s="648" t="str">
        <f t="shared" si="231"/>
        <v>검토</v>
      </c>
    </row>
    <row r="471" spans="1:19" ht="325.5" customHeight="1">
      <c r="A471" s="770"/>
      <c r="B471" s="770"/>
      <c r="C471" s="100">
        <v>938</v>
      </c>
      <c r="D471" s="101" t="s">
        <v>183</v>
      </c>
      <c r="E471" s="101" t="s">
        <v>890</v>
      </c>
      <c r="F471" s="95">
        <v>10857051</v>
      </c>
      <c r="G471" s="126">
        <v>-1807051</v>
      </c>
      <c r="H471" s="126"/>
      <c r="I471" s="376">
        <f t="shared" si="274"/>
        <v>9050000</v>
      </c>
      <c r="J471" s="361"/>
      <c r="K471" s="630">
        <v>445000</v>
      </c>
      <c r="L471" s="376">
        <f t="shared" si="263"/>
        <v>11302051</v>
      </c>
      <c r="M471" s="376">
        <f t="shared" si="264"/>
        <v>2252051</v>
      </c>
      <c r="N471" s="749" t="str">
        <f t="shared" si="239"/>
        <v>검토</v>
      </c>
      <c r="O471" s="702" t="s">
        <v>1307</v>
      </c>
      <c r="P471" s="378" t="s">
        <v>97</v>
      </c>
      <c r="Q471" s="103"/>
      <c r="R471" s="661">
        <f t="shared" si="275"/>
        <v>0</v>
      </c>
      <c r="S471" s="104" t="str">
        <f t="shared" si="231"/>
        <v>검토</v>
      </c>
    </row>
    <row r="472" spans="1:19" ht="31.5" customHeight="1">
      <c r="A472" s="770"/>
      <c r="B472" s="770"/>
      <c r="C472" s="100" t="s">
        <v>253</v>
      </c>
      <c r="D472" s="101" t="s">
        <v>891</v>
      </c>
      <c r="E472" s="101" t="s">
        <v>892</v>
      </c>
      <c r="F472" s="95"/>
      <c r="G472" s="95"/>
      <c r="H472" s="95">
        <v>1500000</v>
      </c>
      <c r="I472" s="376">
        <f t="shared" si="274"/>
        <v>1500000</v>
      </c>
      <c r="J472" s="375"/>
      <c r="K472" s="375">
        <v>1500000</v>
      </c>
      <c r="L472" s="376">
        <f t="shared" si="263"/>
        <v>1500000</v>
      </c>
      <c r="M472" s="376">
        <f t="shared" si="264"/>
        <v>0</v>
      </c>
      <c r="N472" s="749" t="str">
        <f t="shared" si="239"/>
        <v>-</v>
      </c>
      <c r="O472" s="259" t="s">
        <v>893</v>
      </c>
      <c r="P472" s="378" t="s">
        <v>97</v>
      </c>
      <c r="Q472" s="103"/>
      <c r="R472" s="661">
        <f>K472</f>
        <v>1500000</v>
      </c>
      <c r="S472" s="104" t="str">
        <f t="shared" si="231"/>
        <v>ok</v>
      </c>
    </row>
    <row r="473" spans="1:19" s="673" customFormat="1" ht="31.5" customHeight="1">
      <c r="A473" s="770">
        <v>1</v>
      </c>
      <c r="B473" s="770"/>
      <c r="C473" s="644">
        <v>923</v>
      </c>
      <c r="D473" s="659" t="s">
        <v>1292</v>
      </c>
      <c r="E473" s="659" t="s">
        <v>1293</v>
      </c>
      <c r="F473" s="634">
        <v>5000000</v>
      </c>
      <c r="G473" s="634"/>
      <c r="H473" s="168"/>
      <c r="I473" s="665">
        <f t="shared" si="274"/>
        <v>5000000</v>
      </c>
      <c r="J473" s="634">
        <v>0</v>
      </c>
      <c r="K473" s="168"/>
      <c r="L473" s="665">
        <f t="shared" si="263"/>
        <v>5000000</v>
      </c>
      <c r="M473" s="665">
        <f t="shared" si="264"/>
        <v>0</v>
      </c>
      <c r="N473" s="749" t="str">
        <f t="shared" si="239"/>
        <v>-</v>
      </c>
      <c r="O473" s="367"/>
      <c r="P473" s="648" t="s">
        <v>1344</v>
      </c>
      <c r="Q473" s="634"/>
      <c r="R473" s="661">
        <f>K473</f>
        <v>0</v>
      </c>
      <c r="S473" s="648" t="str">
        <f t="shared" si="231"/>
        <v>ok</v>
      </c>
    </row>
    <row r="474" spans="1:19" s="673" customFormat="1" ht="31.5" customHeight="1">
      <c r="A474" s="770"/>
      <c r="B474" s="770"/>
      <c r="C474" s="644" t="s">
        <v>1621</v>
      </c>
      <c r="D474" s="659" t="s">
        <v>1306</v>
      </c>
      <c r="E474" s="659" t="s">
        <v>1183</v>
      </c>
      <c r="F474" s="634"/>
      <c r="G474" s="634"/>
      <c r="H474" s="168"/>
      <c r="I474" s="665">
        <f t="shared" si="274"/>
        <v>0</v>
      </c>
      <c r="J474" s="634"/>
      <c r="K474" s="168">
        <v>500000</v>
      </c>
      <c r="L474" s="665">
        <f>F474+J474+K474</f>
        <v>500000</v>
      </c>
      <c r="M474" s="665">
        <f>L474-I474</f>
        <v>500000</v>
      </c>
      <c r="N474" s="749" t="str">
        <f t="shared" si="239"/>
        <v>-</v>
      </c>
      <c r="O474" s="367"/>
      <c r="P474" s="648" t="s">
        <v>1344</v>
      </c>
      <c r="Q474" s="634"/>
      <c r="R474" s="661">
        <f>K474</f>
        <v>500000</v>
      </c>
      <c r="S474" s="648" t="str">
        <f t="shared" si="231"/>
        <v>검토</v>
      </c>
    </row>
    <row r="475" spans="1:19" ht="31.5" customHeight="1">
      <c r="A475" s="770"/>
      <c r="B475" s="770">
        <v>0</v>
      </c>
      <c r="C475" s="100" t="s">
        <v>253</v>
      </c>
      <c r="D475" s="101" t="s">
        <v>894</v>
      </c>
      <c r="E475" s="101" t="s">
        <v>895</v>
      </c>
      <c r="F475" s="111"/>
      <c r="G475" s="111"/>
      <c r="H475" s="168">
        <v>2000000</v>
      </c>
      <c r="I475" s="376">
        <f t="shared" si="274"/>
        <v>2000000</v>
      </c>
      <c r="J475" s="111"/>
      <c r="K475" s="168">
        <v>2000000</v>
      </c>
      <c r="L475" s="376">
        <f t="shared" si="263"/>
        <v>2000000</v>
      </c>
      <c r="M475" s="376">
        <f t="shared" si="264"/>
        <v>0</v>
      </c>
      <c r="N475" s="749" t="str">
        <f t="shared" si="239"/>
        <v>-</v>
      </c>
      <c r="O475" s="322" t="s">
        <v>896</v>
      </c>
      <c r="P475" s="378" t="s">
        <v>97</v>
      </c>
      <c r="Q475" s="111"/>
      <c r="R475" s="661">
        <f t="shared" ref="R475:R477" si="276">K475</f>
        <v>2000000</v>
      </c>
      <c r="S475" s="104" t="str">
        <f t="shared" si="231"/>
        <v>ok</v>
      </c>
    </row>
    <row r="476" spans="1:19" s="673" customFormat="1" ht="31.5" customHeight="1">
      <c r="A476" s="770"/>
      <c r="B476" s="770"/>
      <c r="C476" s="644">
        <v>937</v>
      </c>
      <c r="D476" s="659" t="s">
        <v>183</v>
      </c>
      <c r="E476" s="659" t="s">
        <v>897</v>
      </c>
      <c r="F476" s="634">
        <v>25029000</v>
      </c>
      <c r="G476" s="634"/>
      <c r="H476" s="168">
        <v>1400000</v>
      </c>
      <c r="I476" s="665">
        <f t="shared" si="274"/>
        <v>26429000</v>
      </c>
      <c r="J476" s="634"/>
      <c r="K476" s="168">
        <v>0</v>
      </c>
      <c r="L476" s="665">
        <f t="shared" si="263"/>
        <v>25029000</v>
      </c>
      <c r="M476" s="665">
        <f t="shared" si="264"/>
        <v>-1400000</v>
      </c>
      <c r="N476" s="749" t="str">
        <f t="shared" si="239"/>
        <v>-</v>
      </c>
      <c r="O476" s="367" t="s">
        <v>898</v>
      </c>
      <c r="P476" s="648" t="s">
        <v>97</v>
      </c>
      <c r="Q476" s="634"/>
      <c r="R476" s="661">
        <f t="shared" si="276"/>
        <v>0</v>
      </c>
      <c r="S476" s="648" t="str">
        <f t="shared" si="231"/>
        <v>검토</v>
      </c>
    </row>
    <row r="477" spans="1:19" s="673" customFormat="1" ht="31.5" customHeight="1">
      <c r="A477" s="770"/>
      <c r="B477" s="770"/>
      <c r="C477" s="644">
        <v>933</v>
      </c>
      <c r="D477" s="659" t="s">
        <v>183</v>
      </c>
      <c r="E477" s="659" t="s">
        <v>899</v>
      </c>
      <c r="F477" s="634">
        <v>58250000</v>
      </c>
      <c r="G477" s="634"/>
      <c r="H477" s="168">
        <v>1100000</v>
      </c>
      <c r="I477" s="665">
        <f t="shared" si="274"/>
        <v>59350000</v>
      </c>
      <c r="J477" s="634"/>
      <c r="K477" s="168">
        <v>0</v>
      </c>
      <c r="L477" s="665">
        <f t="shared" si="263"/>
        <v>58250000</v>
      </c>
      <c r="M477" s="665">
        <f t="shared" si="264"/>
        <v>-1100000</v>
      </c>
      <c r="N477" s="749" t="str">
        <f t="shared" si="239"/>
        <v>-</v>
      </c>
      <c r="O477" s="367" t="s">
        <v>900</v>
      </c>
      <c r="P477" s="648" t="s">
        <v>97</v>
      </c>
      <c r="Q477" s="634"/>
      <c r="R477" s="661">
        <f t="shared" si="276"/>
        <v>0</v>
      </c>
      <c r="S477" s="648" t="str">
        <f t="shared" si="231"/>
        <v>검토</v>
      </c>
    </row>
    <row r="478" spans="1:19" ht="31.5" customHeight="1">
      <c r="A478" s="445" t="s">
        <v>186</v>
      </c>
      <c r="B478" s="772"/>
      <c r="C478" s="26"/>
      <c r="D478" s="26"/>
      <c r="E478" s="26"/>
      <c r="F478" s="27">
        <f t="shared" ref="F478:K478" si="277">SUM(F479:F531)/2</f>
        <v>82963572</v>
      </c>
      <c r="G478" s="27">
        <f t="shared" si="277"/>
        <v>-1354620</v>
      </c>
      <c r="H478" s="27">
        <f t="shared" si="277"/>
        <v>10479540</v>
      </c>
      <c r="I478" s="27">
        <f t="shared" si="277"/>
        <v>92088492</v>
      </c>
      <c r="J478" s="369">
        <f t="shared" si="277"/>
        <v>-554620</v>
      </c>
      <c r="K478" s="369">
        <f t="shared" si="277"/>
        <v>8726390</v>
      </c>
      <c r="L478" s="369">
        <f t="shared" si="263"/>
        <v>91135342</v>
      </c>
      <c r="M478" s="369">
        <f t="shared" si="264"/>
        <v>-953150</v>
      </c>
      <c r="N478" s="626" t="str">
        <f t="shared" si="239"/>
        <v>-</v>
      </c>
      <c r="O478" s="257"/>
      <c r="P478" s="26"/>
      <c r="Q478" s="27">
        <f>SUM(Q479:Q531)/2</f>
        <v>0</v>
      </c>
      <c r="R478" s="27">
        <f>SUM(R479:R531)/2</f>
        <v>8196770</v>
      </c>
      <c r="S478" s="26" t="str">
        <f t="shared" si="231"/>
        <v>검토</v>
      </c>
    </row>
    <row r="479" spans="1:19" ht="31.5" customHeight="1">
      <c r="A479" s="770"/>
      <c r="B479" s="612" t="s">
        <v>187</v>
      </c>
      <c r="C479" s="628"/>
      <c r="D479" s="31"/>
      <c r="E479" s="31"/>
      <c r="F479" s="32">
        <f>SUM(F480:F492)</f>
        <v>19985620</v>
      </c>
      <c r="G479" s="32">
        <f t="shared" ref="G479:I479" si="278">SUM(G480:G492)</f>
        <v>-472620</v>
      </c>
      <c r="H479" s="32">
        <f t="shared" si="278"/>
        <v>2882500</v>
      </c>
      <c r="I479" s="32">
        <f t="shared" si="278"/>
        <v>22395500</v>
      </c>
      <c r="J479" s="370">
        <f t="shared" ref="J479:K479" si="279">SUM(J480:J492)</f>
        <v>-272620</v>
      </c>
      <c r="K479" s="370">
        <f t="shared" si="279"/>
        <v>2554500</v>
      </c>
      <c r="L479" s="370">
        <f t="shared" si="263"/>
        <v>22267500</v>
      </c>
      <c r="M479" s="370">
        <f t="shared" si="264"/>
        <v>-128000</v>
      </c>
      <c r="N479" s="628" t="str">
        <f t="shared" si="239"/>
        <v>-</v>
      </c>
      <c r="O479" s="258"/>
      <c r="P479" s="30"/>
      <c r="Q479" s="32">
        <f t="shared" ref="Q479:R479" si="280">SUM(Q480:Q492)</f>
        <v>0</v>
      </c>
      <c r="R479" s="32">
        <f t="shared" si="280"/>
        <v>2281880</v>
      </c>
      <c r="S479" s="30" t="str">
        <f t="shared" si="231"/>
        <v>검토</v>
      </c>
    </row>
    <row r="480" spans="1:19" ht="54" customHeight="1">
      <c r="A480" s="770"/>
      <c r="B480" s="770"/>
      <c r="C480" s="100">
        <v>962</v>
      </c>
      <c r="D480" s="101" t="s">
        <v>901</v>
      </c>
      <c r="E480" s="286" t="s">
        <v>902</v>
      </c>
      <c r="F480" s="95">
        <v>40000</v>
      </c>
      <c r="G480" s="95"/>
      <c r="H480" s="95"/>
      <c r="I480" s="376">
        <f t="shared" ref="I480:I492" si="281">F480+G480+H480</f>
        <v>40000</v>
      </c>
      <c r="J480" s="375"/>
      <c r="K480" s="375"/>
      <c r="L480" s="376">
        <f t="shared" si="263"/>
        <v>40000</v>
      </c>
      <c r="M480" s="376">
        <f t="shared" si="264"/>
        <v>0</v>
      </c>
      <c r="N480" s="749" t="str">
        <f t="shared" si="239"/>
        <v>-</v>
      </c>
      <c r="O480" s="262" t="s">
        <v>1017</v>
      </c>
      <c r="P480" s="378" t="s">
        <v>97</v>
      </c>
      <c r="Q480" s="103"/>
      <c r="R480" s="103"/>
      <c r="S480" s="104" t="str">
        <f t="shared" si="231"/>
        <v>ok</v>
      </c>
    </row>
    <row r="481" spans="1:19" ht="31.5" customHeight="1">
      <c r="A481" s="770"/>
      <c r="B481" s="770"/>
      <c r="C481" s="100">
        <v>962</v>
      </c>
      <c r="D481" s="101" t="s">
        <v>901</v>
      </c>
      <c r="E481" s="296" t="s">
        <v>903</v>
      </c>
      <c r="F481" s="95">
        <v>10000</v>
      </c>
      <c r="G481" s="95">
        <v>-10000</v>
      </c>
      <c r="H481" s="95"/>
      <c r="I481" s="376">
        <f t="shared" si="281"/>
        <v>0</v>
      </c>
      <c r="J481" s="375">
        <v>-10000</v>
      </c>
      <c r="K481" s="375"/>
      <c r="L481" s="376">
        <f t="shared" si="263"/>
        <v>0</v>
      </c>
      <c r="M481" s="376">
        <f t="shared" si="264"/>
        <v>0</v>
      </c>
      <c r="N481" s="749" t="str">
        <f t="shared" si="239"/>
        <v>-</v>
      </c>
      <c r="O481" s="259" t="s">
        <v>904</v>
      </c>
      <c r="P481" s="378" t="s">
        <v>97</v>
      </c>
      <c r="Q481" s="103"/>
      <c r="R481" s="661">
        <f t="shared" ref="R481:R482" si="282">J481</f>
        <v>-10000</v>
      </c>
      <c r="S481" s="104" t="str">
        <f t="shared" si="231"/>
        <v>ok</v>
      </c>
    </row>
    <row r="482" spans="1:19" s="673" customFormat="1" ht="61.5" customHeight="1">
      <c r="A482" s="770"/>
      <c r="B482" s="770"/>
      <c r="C482" s="644">
        <v>962</v>
      </c>
      <c r="D482" s="659" t="s">
        <v>901</v>
      </c>
      <c r="E482" s="183" t="s">
        <v>1622</v>
      </c>
      <c r="F482" s="634">
        <v>250000</v>
      </c>
      <c r="G482" s="634">
        <v>-250000</v>
      </c>
      <c r="H482" s="168"/>
      <c r="I482" s="665">
        <f t="shared" si="281"/>
        <v>0</v>
      </c>
      <c r="J482" s="634">
        <v>-150000</v>
      </c>
      <c r="K482" s="168"/>
      <c r="L482" s="665">
        <f t="shared" si="263"/>
        <v>100000</v>
      </c>
      <c r="M482" s="665">
        <f t="shared" si="264"/>
        <v>100000</v>
      </c>
      <c r="N482" s="749" t="str">
        <f t="shared" si="239"/>
        <v>검토</v>
      </c>
      <c r="O482" s="367" t="s">
        <v>904</v>
      </c>
      <c r="P482" s="648" t="s">
        <v>97</v>
      </c>
      <c r="Q482" s="634"/>
      <c r="R482" s="661">
        <f t="shared" si="282"/>
        <v>-150000</v>
      </c>
      <c r="S482" s="648" t="str">
        <f t="shared" si="231"/>
        <v>검토</v>
      </c>
    </row>
    <row r="483" spans="1:19" ht="31.5" customHeight="1">
      <c r="A483" s="770"/>
      <c r="B483" s="770"/>
      <c r="C483" s="100">
        <v>963</v>
      </c>
      <c r="D483" s="101" t="s">
        <v>901</v>
      </c>
      <c r="E483" s="286" t="s">
        <v>905</v>
      </c>
      <c r="F483" s="95">
        <v>148000</v>
      </c>
      <c r="G483" s="95">
        <v>-14500</v>
      </c>
      <c r="H483" s="95"/>
      <c r="I483" s="376">
        <f t="shared" si="281"/>
        <v>133500</v>
      </c>
      <c r="J483" s="375">
        <v>-14500</v>
      </c>
      <c r="K483" s="375"/>
      <c r="L483" s="376">
        <f t="shared" si="263"/>
        <v>133500</v>
      </c>
      <c r="M483" s="376">
        <f t="shared" si="264"/>
        <v>0</v>
      </c>
      <c r="N483" s="749" t="str">
        <f t="shared" si="239"/>
        <v>-</v>
      </c>
      <c r="O483" s="259" t="s">
        <v>906</v>
      </c>
      <c r="P483" s="378" t="s">
        <v>907</v>
      </c>
      <c r="Q483" s="103">
        <v>-14500</v>
      </c>
      <c r="R483" s="103"/>
      <c r="S483" s="104" t="str">
        <f t="shared" si="231"/>
        <v>ok</v>
      </c>
    </row>
    <row r="484" spans="1:19" ht="31.5" customHeight="1">
      <c r="A484" s="770"/>
      <c r="B484" s="770"/>
      <c r="C484" s="100">
        <v>963</v>
      </c>
      <c r="D484" s="101" t="s">
        <v>901</v>
      </c>
      <c r="E484" s="286" t="s">
        <v>908</v>
      </c>
      <c r="F484" s="95">
        <v>3000</v>
      </c>
      <c r="G484" s="95"/>
      <c r="H484" s="95">
        <v>7000</v>
      </c>
      <c r="I484" s="376">
        <f t="shared" si="281"/>
        <v>10000</v>
      </c>
      <c r="J484" s="375"/>
      <c r="K484" s="375">
        <v>7000</v>
      </c>
      <c r="L484" s="376">
        <f t="shared" si="263"/>
        <v>10000</v>
      </c>
      <c r="M484" s="376">
        <f t="shared" si="264"/>
        <v>0</v>
      </c>
      <c r="N484" s="749" t="str">
        <f t="shared" si="239"/>
        <v>-</v>
      </c>
      <c r="O484" s="259" t="s">
        <v>906</v>
      </c>
      <c r="P484" s="378" t="s">
        <v>907</v>
      </c>
      <c r="Q484" s="103">
        <v>7000</v>
      </c>
      <c r="R484" s="103"/>
      <c r="S484" s="104" t="str">
        <f t="shared" si="231"/>
        <v>ok</v>
      </c>
    </row>
    <row r="485" spans="1:19" ht="31.5" customHeight="1">
      <c r="A485" s="770"/>
      <c r="B485" s="770"/>
      <c r="C485" s="100">
        <v>963</v>
      </c>
      <c r="D485" s="101" t="s">
        <v>901</v>
      </c>
      <c r="E485" s="286" t="s">
        <v>909</v>
      </c>
      <c r="F485" s="95">
        <v>2500</v>
      </c>
      <c r="G485" s="95"/>
      <c r="H485" s="95">
        <v>7500</v>
      </c>
      <c r="I485" s="376">
        <f t="shared" si="281"/>
        <v>10000</v>
      </c>
      <c r="J485" s="375"/>
      <c r="K485" s="375">
        <v>7500</v>
      </c>
      <c r="L485" s="376">
        <f t="shared" si="263"/>
        <v>10000</v>
      </c>
      <c r="M485" s="376">
        <f t="shared" si="264"/>
        <v>0</v>
      </c>
      <c r="N485" s="749" t="str">
        <f t="shared" si="239"/>
        <v>-</v>
      </c>
      <c r="O485" s="259" t="s">
        <v>906</v>
      </c>
      <c r="P485" s="378" t="s">
        <v>907</v>
      </c>
      <c r="Q485" s="103">
        <v>7500</v>
      </c>
      <c r="R485" s="103"/>
      <c r="S485" s="104" t="str">
        <f t="shared" si="231"/>
        <v>ok</v>
      </c>
    </row>
    <row r="486" spans="1:19" ht="31.5" customHeight="1">
      <c r="A486" s="770"/>
      <c r="B486" s="770"/>
      <c r="C486" s="100">
        <v>968</v>
      </c>
      <c r="D486" s="101" t="s">
        <v>910</v>
      </c>
      <c r="E486" s="297" t="s">
        <v>911</v>
      </c>
      <c r="F486" s="95">
        <v>9182000</v>
      </c>
      <c r="G486" s="95"/>
      <c r="H486" s="95">
        <v>662000</v>
      </c>
      <c r="I486" s="376">
        <f t="shared" si="281"/>
        <v>9844000</v>
      </c>
      <c r="J486" s="375"/>
      <c r="K486" s="375">
        <v>662000</v>
      </c>
      <c r="L486" s="376">
        <f t="shared" si="263"/>
        <v>9844000</v>
      </c>
      <c r="M486" s="376">
        <f t="shared" si="264"/>
        <v>0</v>
      </c>
      <c r="N486" s="749" t="str">
        <f t="shared" si="239"/>
        <v>-</v>
      </c>
      <c r="O486" s="259" t="s">
        <v>912</v>
      </c>
      <c r="P486" s="378" t="s">
        <v>907</v>
      </c>
      <c r="Q486" s="103"/>
      <c r="R486" s="128">
        <v>662000</v>
      </c>
      <c r="S486" s="104" t="str">
        <f t="shared" si="231"/>
        <v>ok</v>
      </c>
    </row>
    <row r="487" spans="1:19" ht="31.5" customHeight="1">
      <c r="A487" s="770"/>
      <c r="B487" s="770"/>
      <c r="C487" s="100">
        <v>971</v>
      </c>
      <c r="D487" s="101" t="s">
        <v>913</v>
      </c>
      <c r="E487" s="297" t="s">
        <v>914</v>
      </c>
      <c r="F487" s="95">
        <v>900000</v>
      </c>
      <c r="G487" s="95"/>
      <c r="H487" s="95">
        <v>1268000</v>
      </c>
      <c r="I487" s="376">
        <f t="shared" si="281"/>
        <v>2168000</v>
      </c>
      <c r="J487" s="375"/>
      <c r="K487" s="636">
        <v>900000</v>
      </c>
      <c r="L487" s="376">
        <f t="shared" si="263"/>
        <v>1800000</v>
      </c>
      <c r="M487" s="376">
        <f t="shared" si="264"/>
        <v>-368000</v>
      </c>
      <c r="N487" s="749" t="str">
        <f t="shared" si="239"/>
        <v>-</v>
      </c>
      <c r="O487" s="259" t="s">
        <v>53</v>
      </c>
      <c r="P487" s="378" t="s">
        <v>97</v>
      </c>
      <c r="Q487" s="103"/>
      <c r="R487" s="661">
        <f t="shared" ref="R487:R488" si="283">K487</f>
        <v>900000</v>
      </c>
      <c r="S487" s="104" t="str">
        <f t="shared" ref="S487:S552" si="284">IF((G487+H487)=(Q487+R487),"ok","검토")</f>
        <v>검토</v>
      </c>
    </row>
    <row r="488" spans="1:19" ht="72.75" customHeight="1">
      <c r="A488" s="770"/>
      <c r="B488" s="770"/>
      <c r="C488" s="100">
        <v>971</v>
      </c>
      <c r="D488" s="101" t="s">
        <v>913</v>
      </c>
      <c r="E488" s="296" t="s">
        <v>915</v>
      </c>
      <c r="F488" s="95">
        <v>200000</v>
      </c>
      <c r="G488" s="95"/>
      <c r="H488" s="95">
        <v>200000</v>
      </c>
      <c r="I488" s="376">
        <f t="shared" si="281"/>
        <v>400000</v>
      </c>
      <c r="J488" s="375"/>
      <c r="K488" s="375">
        <v>200000</v>
      </c>
      <c r="L488" s="376">
        <f t="shared" si="263"/>
        <v>400000</v>
      </c>
      <c r="M488" s="376">
        <f t="shared" si="264"/>
        <v>0</v>
      </c>
      <c r="N488" s="749" t="str">
        <f t="shared" si="239"/>
        <v>-</v>
      </c>
      <c r="O488" s="259" t="s">
        <v>1018</v>
      </c>
      <c r="P488" s="378" t="s">
        <v>97</v>
      </c>
      <c r="Q488" s="103"/>
      <c r="R488" s="661">
        <f t="shared" si="283"/>
        <v>200000</v>
      </c>
      <c r="S488" s="104" t="str">
        <f t="shared" si="284"/>
        <v>ok</v>
      </c>
    </row>
    <row r="489" spans="1:19" ht="31.5" customHeight="1">
      <c r="A489" s="770"/>
      <c r="B489" s="770"/>
      <c r="C489" s="100">
        <v>972</v>
      </c>
      <c r="D489" s="101" t="s">
        <v>913</v>
      </c>
      <c r="E489" s="297" t="s">
        <v>911</v>
      </c>
      <c r="F489" s="95">
        <v>8842000</v>
      </c>
      <c r="G489" s="95"/>
      <c r="H489" s="95">
        <v>638000</v>
      </c>
      <c r="I489" s="376">
        <f t="shared" si="281"/>
        <v>9480000</v>
      </c>
      <c r="J489" s="375"/>
      <c r="K489" s="375">
        <v>638000</v>
      </c>
      <c r="L489" s="376">
        <f t="shared" si="263"/>
        <v>9480000</v>
      </c>
      <c r="M489" s="376">
        <f t="shared" si="264"/>
        <v>0</v>
      </c>
      <c r="N489" s="749" t="str">
        <f t="shared" si="239"/>
        <v>-</v>
      </c>
      <c r="O489" s="259" t="s">
        <v>912</v>
      </c>
      <c r="P489" s="378" t="s">
        <v>907</v>
      </c>
      <c r="Q489" s="103"/>
      <c r="R489" s="128">
        <v>638000</v>
      </c>
      <c r="S489" s="104" t="str">
        <f t="shared" si="284"/>
        <v>ok</v>
      </c>
    </row>
    <row r="490" spans="1:19" ht="123" customHeight="1">
      <c r="A490" s="770"/>
      <c r="B490" s="770"/>
      <c r="C490" s="100">
        <v>978</v>
      </c>
      <c r="D490" s="101" t="s">
        <v>188</v>
      </c>
      <c r="E490" s="296" t="s">
        <v>916</v>
      </c>
      <c r="F490" s="95">
        <v>398120</v>
      </c>
      <c r="G490" s="95">
        <v>-198120</v>
      </c>
      <c r="H490" s="95"/>
      <c r="I490" s="376">
        <f t="shared" si="281"/>
        <v>200000</v>
      </c>
      <c r="J490" s="636">
        <v>-98120</v>
      </c>
      <c r="K490" s="375"/>
      <c r="L490" s="376">
        <f t="shared" si="263"/>
        <v>300000</v>
      </c>
      <c r="M490" s="376">
        <f t="shared" si="264"/>
        <v>100000</v>
      </c>
      <c r="N490" s="749" t="str">
        <f t="shared" si="239"/>
        <v>검토</v>
      </c>
      <c r="O490" s="262" t="s">
        <v>1019</v>
      </c>
      <c r="P490" s="378" t="s">
        <v>97</v>
      </c>
      <c r="Q490" s="103"/>
      <c r="R490" s="661">
        <f>J490</f>
        <v>-98120</v>
      </c>
      <c r="S490" s="104" t="str">
        <f t="shared" si="284"/>
        <v>검토</v>
      </c>
    </row>
    <row r="491" spans="1:19" s="372" customFormat="1" ht="31.5" customHeight="1">
      <c r="A491" s="770"/>
      <c r="B491" s="770"/>
      <c r="C491" s="371" t="s">
        <v>94</v>
      </c>
      <c r="D491" s="183" t="s">
        <v>917</v>
      </c>
      <c r="E491" s="183" t="s">
        <v>918</v>
      </c>
      <c r="F491" s="375"/>
      <c r="G491" s="375"/>
      <c r="H491" s="375">
        <v>100000</v>
      </c>
      <c r="I491" s="376">
        <f t="shared" si="281"/>
        <v>100000</v>
      </c>
      <c r="J491" s="375"/>
      <c r="K491" s="375">
        <v>100000</v>
      </c>
      <c r="L491" s="376">
        <f t="shared" si="263"/>
        <v>100000</v>
      </c>
      <c r="M491" s="376">
        <f t="shared" si="264"/>
        <v>0</v>
      </c>
      <c r="N491" s="749" t="str">
        <f t="shared" si="239"/>
        <v>-</v>
      </c>
      <c r="O491" s="413" t="s">
        <v>919</v>
      </c>
      <c r="P491" s="378" t="s">
        <v>97</v>
      </c>
      <c r="Q491" s="377"/>
      <c r="R491" s="661">
        <f>K491</f>
        <v>100000</v>
      </c>
      <c r="S491" s="378" t="str">
        <f t="shared" si="284"/>
        <v>ok</v>
      </c>
    </row>
    <row r="492" spans="1:19" ht="31.5" customHeight="1">
      <c r="A492" s="770"/>
      <c r="B492" s="770"/>
      <c r="C492" s="100"/>
      <c r="D492" s="183" t="s">
        <v>1163</v>
      </c>
      <c r="E492" s="183" t="s">
        <v>1164</v>
      </c>
      <c r="F492" s="95">
        <v>10000</v>
      </c>
      <c r="G492" s="95"/>
      <c r="H492" s="95"/>
      <c r="I492" s="376">
        <f t="shared" si="281"/>
        <v>10000</v>
      </c>
      <c r="J492" s="375"/>
      <c r="K492" s="375">
        <v>40000</v>
      </c>
      <c r="L492" s="376">
        <f t="shared" si="263"/>
        <v>50000</v>
      </c>
      <c r="M492" s="376">
        <f t="shared" si="264"/>
        <v>40000</v>
      </c>
      <c r="N492" s="749" t="str">
        <f t="shared" si="239"/>
        <v>-</v>
      </c>
      <c r="O492" s="259"/>
      <c r="P492" s="648" t="s">
        <v>1344</v>
      </c>
      <c r="Q492" s="103"/>
      <c r="R492" s="103">
        <f>K492</f>
        <v>40000</v>
      </c>
      <c r="S492" s="104" t="str">
        <f t="shared" si="284"/>
        <v>검토</v>
      </c>
    </row>
    <row r="493" spans="1:19" ht="31.5" customHeight="1">
      <c r="A493" s="770"/>
      <c r="B493" s="612" t="s">
        <v>920</v>
      </c>
      <c r="C493" s="628"/>
      <c r="D493" s="31"/>
      <c r="E493" s="31"/>
      <c r="F493" s="32">
        <f t="shared" ref="F493:K493" si="285">SUM(F494:F508)</f>
        <v>5985360</v>
      </c>
      <c r="G493" s="32">
        <f t="shared" si="285"/>
        <v>-422000</v>
      </c>
      <c r="H493" s="32">
        <f t="shared" si="285"/>
        <v>2539040</v>
      </c>
      <c r="I493" s="32">
        <f t="shared" si="285"/>
        <v>8102400</v>
      </c>
      <c r="J493" s="370">
        <f t="shared" si="285"/>
        <v>-222000</v>
      </c>
      <c r="K493" s="370">
        <f t="shared" si="285"/>
        <v>2464040</v>
      </c>
      <c r="L493" s="370">
        <f t="shared" si="263"/>
        <v>8227400</v>
      </c>
      <c r="M493" s="370">
        <f t="shared" si="264"/>
        <v>125000</v>
      </c>
      <c r="N493" s="628" t="str">
        <f t="shared" si="239"/>
        <v>-</v>
      </c>
      <c r="O493" s="258"/>
      <c r="P493" s="30"/>
      <c r="Q493" s="32">
        <f>SUM(Q494:Q508)</f>
        <v>0</v>
      </c>
      <c r="R493" s="32">
        <f>SUM(R494:R508)</f>
        <v>2267040</v>
      </c>
      <c r="S493" s="30" t="str">
        <f t="shared" si="284"/>
        <v>검토</v>
      </c>
    </row>
    <row r="494" spans="1:19" s="673" customFormat="1" ht="38.25" customHeight="1">
      <c r="A494" s="770">
        <v>1</v>
      </c>
      <c r="B494" s="770"/>
      <c r="C494" s="662">
        <v>997</v>
      </c>
      <c r="D494" s="658" t="s">
        <v>921</v>
      </c>
      <c r="E494" s="288" t="s">
        <v>1551</v>
      </c>
      <c r="F494" s="658">
        <v>32000</v>
      </c>
      <c r="G494" s="658"/>
      <c r="H494" s="658">
        <v>118000</v>
      </c>
      <c r="I494" s="665">
        <f t="shared" ref="I494:I505" si="286">F494+G494+H494</f>
        <v>150000</v>
      </c>
      <c r="J494" s="658"/>
      <c r="K494" s="641">
        <v>118000</v>
      </c>
      <c r="L494" s="665">
        <f t="shared" si="263"/>
        <v>150000</v>
      </c>
      <c r="M494" s="665">
        <f t="shared" si="264"/>
        <v>0</v>
      </c>
      <c r="N494" s="749" t="str">
        <f t="shared" si="239"/>
        <v>-</v>
      </c>
      <c r="O494" s="336" t="s">
        <v>922</v>
      </c>
      <c r="P494" s="653" t="s">
        <v>1223</v>
      </c>
      <c r="Q494" s="658"/>
      <c r="R494" s="661">
        <f>K494</f>
        <v>118000</v>
      </c>
      <c r="S494" s="648" t="str">
        <f t="shared" si="284"/>
        <v>ok</v>
      </c>
    </row>
    <row r="495" spans="1:19" s="673" customFormat="1" ht="38.25" customHeight="1">
      <c r="A495" s="770">
        <v>1</v>
      </c>
      <c r="B495" s="770"/>
      <c r="C495" s="662">
        <v>997</v>
      </c>
      <c r="D495" s="658" t="s">
        <v>921</v>
      </c>
      <c r="E495" s="288" t="s">
        <v>1692</v>
      </c>
      <c r="F495" s="658">
        <v>2420000</v>
      </c>
      <c r="G495" s="658"/>
      <c r="H495" s="658">
        <v>750000</v>
      </c>
      <c r="I495" s="665">
        <f t="shared" si="286"/>
        <v>3170000</v>
      </c>
      <c r="J495" s="658"/>
      <c r="K495" s="641">
        <v>725000</v>
      </c>
      <c r="L495" s="665">
        <f t="shared" si="263"/>
        <v>3145000</v>
      </c>
      <c r="M495" s="665">
        <f t="shared" si="264"/>
        <v>-25000</v>
      </c>
      <c r="N495" s="749" t="str">
        <f t="shared" ref="N495:N557" si="287">IF(AND(((G495+H495)&lt;0),(J495+K495)&gt;(G495+H495)),"검토","-")</f>
        <v>-</v>
      </c>
      <c r="O495" s="336" t="s">
        <v>1349</v>
      </c>
      <c r="P495" s="653" t="s">
        <v>1552</v>
      </c>
      <c r="Q495" s="658"/>
      <c r="R495" s="661">
        <v>750000</v>
      </c>
      <c r="S495" s="648" t="str">
        <f t="shared" si="284"/>
        <v>ok</v>
      </c>
    </row>
    <row r="496" spans="1:19" s="673" customFormat="1" ht="38.25" customHeight="1">
      <c r="A496" s="770"/>
      <c r="B496" s="770"/>
      <c r="C496" s="662" t="s">
        <v>94</v>
      </c>
      <c r="D496" s="658" t="s">
        <v>921</v>
      </c>
      <c r="E496" s="288" t="s">
        <v>1553</v>
      </c>
      <c r="F496" s="658"/>
      <c r="G496" s="658"/>
      <c r="H496" s="658">
        <v>100000</v>
      </c>
      <c r="I496" s="665">
        <f t="shared" si="286"/>
        <v>100000</v>
      </c>
      <c r="J496" s="658"/>
      <c r="K496" s="641">
        <v>100000</v>
      </c>
      <c r="L496" s="665">
        <f t="shared" si="263"/>
        <v>100000</v>
      </c>
      <c r="M496" s="665">
        <f t="shared" si="264"/>
        <v>0</v>
      </c>
      <c r="N496" s="749" t="str">
        <f t="shared" si="287"/>
        <v>-</v>
      </c>
      <c r="O496" s="336" t="s">
        <v>53</v>
      </c>
      <c r="P496" s="653" t="s">
        <v>1223</v>
      </c>
      <c r="Q496" s="658"/>
      <c r="R496" s="661">
        <f t="shared" ref="R496:R498" si="288">K496</f>
        <v>100000</v>
      </c>
      <c r="S496" s="648" t="str">
        <f t="shared" si="284"/>
        <v>ok</v>
      </c>
    </row>
    <row r="497" spans="1:19" s="673" customFormat="1" ht="38.25" customHeight="1">
      <c r="A497" s="770"/>
      <c r="B497" s="770"/>
      <c r="C497" s="662" t="s">
        <v>94</v>
      </c>
      <c r="D497" s="658" t="s">
        <v>921</v>
      </c>
      <c r="E497" s="288" t="s">
        <v>1554</v>
      </c>
      <c r="F497" s="658"/>
      <c r="G497" s="658"/>
      <c r="H497" s="658">
        <v>150000</v>
      </c>
      <c r="I497" s="665">
        <f t="shared" si="286"/>
        <v>150000</v>
      </c>
      <c r="J497" s="658"/>
      <c r="K497" s="641">
        <v>150000</v>
      </c>
      <c r="L497" s="665">
        <f t="shared" si="263"/>
        <v>150000</v>
      </c>
      <c r="M497" s="665">
        <f t="shared" si="264"/>
        <v>0</v>
      </c>
      <c r="N497" s="749" t="str">
        <f t="shared" si="287"/>
        <v>-</v>
      </c>
      <c r="O497" s="336" t="s">
        <v>923</v>
      </c>
      <c r="P497" s="653" t="s">
        <v>1223</v>
      </c>
      <c r="Q497" s="658"/>
      <c r="R497" s="661">
        <f t="shared" si="288"/>
        <v>150000</v>
      </c>
      <c r="S497" s="648" t="str">
        <f t="shared" si="284"/>
        <v>ok</v>
      </c>
    </row>
    <row r="498" spans="1:19" s="673" customFormat="1" ht="38.25" customHeight="1">
      <c r="A498" s="770"/>
      <c r="B498" s="770"/>
      <c r="C498" s="662" t="s">
        <v>94</v>
      </c>
      <c r="D498" s="658" t="s">
        <v>921</v>
      </c>
      <c r="E498" s="288" t="s">
        <v>1555</v>
      </c>
      <c r="F498" s="658"/>
      <c r="G498" s="658"/>
      <c r="H498" s="658">
        <v>200000</v>
      </c>
      <c r="I498" s="665">
        <f t="shared" si="286"/>
        <v>200000</v>
      </c>
      <c r="J498" s="658"/>
      <c r="K498" s="641">
        <v>100000</v>
      </c>
      <c r="L498" s="665">
        <f t="shared" si="263"/>
        <v>100000</v>
      </c>
      <c r="M498" s="665">
        <f t="shared" si="264"/>
        <v>-100000</v>
      </c>
      <c r="N498" s="749" t="str">
        <f t="shared" si="287"/>
        <v>-</v>
      </c>
      <c r="O498" s="336" t="s">
        <v>924</v>
      </c>
      <c r="P498" s="653" t="s">
        <v>1223</v>
      </c>
      <c r="Q498" s="658"/>
      <c r="R498" s="661">
        <f t="shared" si="288"/>
        <v>100000</v>
      </c>
      <c r="S498" s="648" t="str">
        <f t="shared" si="284"/>
        <v>검토</v>
      </c>
    </row>
    <row r="499" spans="1:19" s="673" customFormat="1" ht="31.5" customHeight="1">
      <c r="A499" s="770"/>
      <c r="B499" s="770"/>
      <c r="C499" s="662">
        <v>998</v>
      </c>
      <c r="D499" s="658" t="s">
        <v>921</v>
      </c>
      <c r="E499" s="288" t="s">
        <v>1550</v>
      </c>
      <c r="F499" s="658">
        <v>1000000</v>
      </c>
      <c r="G499" s="658">
        <v>-400000</v>
      </c>
      <c r="H499" s="658"/>
      <c r="I499" s="665">
        <f t="shared" si="286"/>
        <v>600000</v>
      </c>
      <c r="J499" s="658">
        <v>-200000</v>
      </c>
      <c r="K499" s="641"/>
      <c r="L499" s="665">
        <f t="shared" si="263"/>
        <v>800000</v>
      </c>
      <c r="M499" s="665">
        <f t="shared" si="264"/>
        <v>200000</v>
      </c>
      <c r="N499" s="749" t="str">
        <f t="shared" si="287"/>
        <v>검토</v>
      </c>
      <c r="O499" s="336" t="s">
        <v>925</v>
      </c>
      <c r="P499" s="653" t="s">
        <v>1223</v>
      </c>
      <c r="Q499" s="658"/>
      <c r="R499" s="661">
        <f>J499</f>
        <v>-200000</v>
      </c>
      <c r="S499" s="648" t="str">
        <f t="shared" si="284"/>
        <v>검토</v>
      </c>
    </row>
    <row r="500" spans="1:19" ht="31.5" customHeight="1">
      <c r="A500" s="770"/>
      <c r="B500" s="770"/>
      <c r="C500" s="100">
        <v>999</v>
      </c>
      <c r="D500" s="101" t="s">
        <v>921</v>
      </c>
      <c r="E500" s="298" t="s">
        <v>926</v>
      </c>
      <c r="F500" s="299">
        <v>50000</v>
      </c>
      <c r="G500" s="95"/>
      <c r="H500" s="95">
        <v>100000</v>
      </c>
      <c r="I500" s="376">
        <f t="shared" si="286"/>
        <v>150000</v>
      </c>
      <c r="J500" s="375"/>
      <c r="K500" s="375">
        <v>100000</v>
      </c>
      <c r="L500" s="376">
        <f t="shared" si="263"/>
        <v>150000</v>
      </c>
      <c r="M500" s="376">
        <f t="shared" si="264"/>
        <v>0</v>
      </c>
      <c r="N500" s="749" t="str">
        <f t="shared" si="287"/>
        <v>-</v>
      </c>
      <c r="O500" s="259" t="s">
        <v>927</v>
      </c>
      <c r="P500" s="378" t="s">
        <v>97</v>
      </c>
      <c r="Q500" s="103"/>
      <c r="R500" s="661">
        <f>K500</f>
        <v>100000</v>
      </c>
      <c r="S500" s="104" t="str">
        <f t="shared" si="284"/>
        <v>ok</v>
      </c>
    </row>
    <row r="501" spans="1:19" ht="31.5" customHeight="1">
      <c r="A501" s="770"/>
      <c r="B501" s="770"/>
      <c r="C501" s="100">
        <v>1000</v>
      </c>
      <c r="D501" s="101" t="s">
        <v>921</v>
      </c>
      <c r="E501" s="298" t="s">
        <v>928</v>
      </c>
      <c r="F501" s="299">
        <v>404000</v>
      </c>
      <c r="G501" s="95"/>
      <c r="H501" s="95">
        <v>150000</v>
      </c>
      <c r="I501" s="376">
        <f t="shared" si="286"/>
        <v>554000</v>
      </c>
      <c r="J501" s="375"/>
      <c r="K501" s="375">
        <v>150000</v>
      </c>
      <c r="L501" s="376">
        <f t="shared" si="263"/>
        <v>554000</v>
      </c>
      <c r="M501" s="376">
        <f t="shared" si="264"/>
        <v>0</v>
      </c>
      <c r="N501" s="749" t="str">
        <f t="shared" si="287"/>
        <v>-</v>
      </c>
      <c r="O501" s="259" t="s">
        <v>53</v>
      </c>
      <c r="P501" s="378" t="s">
        <v>90</v>
      </c>
      <c r="Q501" s="103"/>
      <c r="R501" s="128">
        <v>150000</v>
      </c>
      <c r="S501" s="104" t="str">
        <f t="shared" si="284"/>
        <v>ok</v>
      </c>
    </row>
    <row r="502" spans="1:19" ht="31.5" customHeight="1">
      <c r="A502" s="770"/>
      <c r="B502" s="770"/>
      <c r="C502" s="100">
        <v>1004</v>
      </c>
      <c r="D502" s="101" t="s">
        <v>929</v>
      </c>
      <c r="E502" s="298" t="s">
        <v>930</v>
      </c>
      <c r="F502" s="299">
        <v>1962360</v>
      </c>
      <c r="G502" s="95"/>
      <c r="H502" s="95">
        <v>544040</v>
      </c>
      <c r="I502" s="376">
        <f t="shared" si="286"/>
        <v>2506400</v>
      </c>
      <c r="J502" s="375"/>
      <c r="K502" s="375">
        <v>544040</v>
      </c>
      <c r="L502" s="376">
        <f t="shared" si="263"/>
        <v>2506400</v>
      </c>
      <c r="M502" s="376">
        <f t="shared" si="264"/>
        <v>0</v>
      </c>
      <c r="N502" s="749" t="str">
        <f t="shared" si="287"/>
        <v>-</v>
      </c>
      <c r="O502" s="259" t="s">
        <v>53</v>
      </c>
      <c r="P502" s="378" t="s">
        <v>90</v>
      </c>
      <c r="Q502" s="103"/>
      <c r="R502" s="128">
        <v>544040</v>
      </c>
      <c r="S502" s="104" t="str">
        <f t="shared" si="284"/>
        <v>ok</v>
      </c>
    </row>
    <row r="503" spans="1:19" ht="31.5" customHeight="1">
      <c r="A503" s="773"/>
      <c r="B503" s="773"/>
      <c r="C503" s="108" t="s">
        <v>94</v>
      </c>
      <c r="D503" s="109" t="s">
        <v>929</v>
      </c>
      <c r="E503" s="300" t="s">
        <v>931</v>
      </c>
      <c r="F503" s="301"/>
      <c r="G503" s="110"/>
      <c r="H503" s="110">
        <v>55000</v>
      </c>
      <c r="I503" s="376">
        <f t="shared" si="286"/>
        <v>55000</v>
      </c>
      <c r="J503" s="363"/>
      <c r="K503" s="363">
        <v>55000</v>
      </c>
      <c r="L503" s="376">
        <f t="shared" si="263"/>
        <v>55000</v>
      </c>
      <c r="M503" s="376">
        <f t="shared" si="264"/>
        <v>0</v>
      </c>
      <c r="N503" s="749" t="str">
        <f t="shared" si="287"/>
        <v>-</v>
      </c>
      <c r="O503" s="326" t="s">
        <v>53</v>
      </c>
      <c r="P503" s="378" t="s">
        <v>97</v>
      </c>
      <c r="Q503" s="103"/>
      <c r="R503" s="661">
        <f t="shared" ref="R503:R505" si="289">K503</f>
        <v>55000</v>
      </c>
      <c r="S503" s="104" t="str">
        <f t="shared" si="284"/>
        <v>ok</v>
      </c>
    </row>
    <row r="504" spans="1:19" s="673" customFormat="1" ht="31.5" customHeight="1">
      <c r="A504" s="770"/>
      <c r="B504" s="770"/>
      <c r="C504" s="662" t="s">
        <v>94</v>
      </c>
      <c r="D504" s="658" t="s">
        <v>929</v>
      </c>
      <c r="E504" s="288" t="s">
        <v>1549</v>
      </c>
      <c r="F504" s="658"/>
      <c r="G504" s="658"/>
      <c r="H504" s="658">
        <v>300000</v>
      </c>
      <c r="I504" s="665">
        <f t="shared" si="286"/>
        <v>300000</v>
      </c>
      <c r="J504" s="658"/>
      <c r="K504" s="641">
        <v>150000</v>
      </c>
      <c r="L504" s="665">
        <f t="shared" si="263"/>
        <v>150000</v>
      </c>
      <c r="M504" s="665">
        <f t="shared" si="264"/>
        <v>-150000</v>
      </c>
      <c r="N504" s="749" t="str">
        <f t="shared" si="287"/>
        <v>-</v>
      </c>
      <c r="O504" s="336" t="s">
        <v>53</v>
      </c>
      <c r="P504" s="653" t="s">
        <v>1223</v>
      </c>
      <c r="Q504" s="658"/>
      <c r="R504" s="661">
        <f t="shared" si="289"/>
        <v>150000</v>
      </c>
      <c r="S504" s="648" t="str">
        <f t="shared" si="284"/>
        <v>검토</v>
      </c>
    </row>
    <row r="505" spans="1:19" ht="42" customHeight="1">
      <c r="A505" s="770"/>
      <c r="B505" s="770"/>
      <c r="C505" s="100">
        <v>1010</v>
      </c>
      <c r="D505" s="111" t="s">
        <v>932</v>
      </c>
      <c r="E505" s="298" t="s">
        <v>933</v>
      </c>
      <c r="F505" s="299">
        <v>8000</v>
      </c>
      <c r="G505" s="95"/>
      <c r="H505" s="95">
        <v>42000</v>
      </c>
      <c r="I505" s="376">
        <f t="shared" si="286"/>
        <v>50000</v>
      </c>
      <c r="J505" s="375"/>
      <c r="K505" s="375">
        <v>42000</v>
      </c>
      <c r="L505" s="376">
        <f t="shared" si="263"/>
        <v>50000</v>
      </c>
      <c r="M505" s="376">
        <f t="shared" si="264"/>
        <v>0</v>
      </c>
      <c r="N505" s="749" t="str">
        <f t="shared" si="287"/>
        <v>-</v>
      </c>
      <c r="O505" s="259" t="s">
        <v>934</v>
      </c>
      <c r="P505" s="378" t="s">
        <v>97</v>
      </c>
      <c r="Q505" s="103"/>
      <c r="R505" s="661">
        <f t="shared" si="289"/>
        <v>42000</v>
      </c>
      <c r="S505" s="104" t="str">
        <f t="shared" si="284"/>
        <v>ok</v>
      </c>
    </row>
    <row r="506" spans="1:19" ht="31.5" customHeight="1">
      <c r="A506" s="770"/>
      <c r="B506" s="770"/>
      <c r="C506" s="100">
        <v>1012</v>
      </c>
      <c r="D506" s="101" t="s">
        <v>935</v>
      </c>
      <c r="E506" s="298" t="s">
        <v>936</v>
      </c>
      <c r="F506" s="299">
        <v>22000</v>
      </c>
      <c r="G506" s="95">
        <v>-22000</v>
      </c>
      <c r="H506" s="95"/>
      <c r="I506" s="376">
        <f>F506+G506+H506</f>
        <v>0</v>
      </c>
      <c r="J506" s="375">
        <v>-22000</v>
      </c>
      <c r="K506" s="375"/>
      <c r="L506" s="376">
        <f>F506+J506+K506</f>
        <v>0</v>
      </c>
      <c r="M506" s="376">
        <f>L506-I506</f>
        <v>0</v>
      </c>
      <c r="N506" s="749" t="str">
        <f t="shared" si="287"/>
        <v>-</v>
      </c>
      <c r="O506" s="259" t="s">
        <v>904</v>
      </c>
      <c r="P506" s="378" t="s">
        <v>97</v>
      </c>
      <c r="Q506" s="103"/>
      <c r="R506" s="661">
        <f>J506</f>
        <v>-22000</v>
      </c>
      <c r="S506" s="104" t="str">
        <f>IF((G506+H506)=(Q506+R506),"ok","검토")</f>
        <v>ok</v>
      </c>
    </row>
    <row r="507" spans="1:19" ht="31.5" customHeight="1">
      <c r="A507" s="770"/>
      <c r="B507" s="770"/>
      <c r="C507" s="100">
        <v>1020</v>
      </c>
      <c r="D507" s="111" t="s">
        <v>937</v>
      </c>
      <c r="E507" s="298" t="s">
        <v>938</v>
      </c>
      <c r="F507" s="299">
        <v>60000</v>
      </c>
      <c r="G507" s="95"/>
      <c r="H507" s="95">
        <v>30000</v>
      </c>
      <c r="I507" s="376">
        <f>F507+G507+H507</f>
        <v>90000</v>
      </c>
      <c r="J507" s="375"/>
      <c r="K507" s="375">
        <v>30000</v>
      </c>
      <c r="L507" s="376">
        <f>F507+J507+K507</f>
        <v>90000</v>
      </c>
      <c r="M507" s="376">
        <f>L507-I507</f>
        <v>0</v>
      </c>
      <c r="N507" s="749" t="str">
        <f t="shared" si="287"/>
        <v>-</v>
      </c>
      <c r="O507" s="259" t="s">
        <v>53</v>
      </c>
      <c r="P507" s="378" t="s">
        <v>97</v>
      </c>
      <c r="Q507" s="103"/>
      <c r="R507" s="661">
        <f>K507</f>
        <v>30000</v>
      </c>
      <c r="S507" s="104" t="str">
        <f>IF((G507+H507)=(Q507+R507),"ok","검토")</f>
        <v>ok</v>
      </c>
    </row>
    <row r="508" spans="1:19" s="673" customFormat="1" ht="42" customHeight="1">
      <c r="A508" s="770">
        <v>1</v>
      </c>
      <c r="B508" s="770"/>
      <c r="C508" s="683">
        <v>1009</v>
      </c>
      <c r="D508" s="270" t="s">
        <v>1447</v>
      </c>
      <c r="E508" s="799" t="s">
        <v>1448</v>
      </c>
      <c r="F508" s="299">
        <v>27000</v>
      </c>
      <c r="G508" s="657"/>
      <c r="H508" s="657"/>
      <c r="I508" s="665">
        <f>F508+G508+H508</f>
        <v>27000</v>
      </c>
      <c r="J508" s="657"/>
      <c r="K508" s="657">
        <v>200000</v>
      </c>
      <c r="L508" s="665">
        <f>F508+J508+K508</f>
        <v>227000</v>
      </c>
      <c r="M508" s="665">
        <f>L508-I508</f>
        <v>200000</v>
      </c>
      <c r="N508" s="749" t="str">
        <f t="shared" si="287"/>
        <v>-</v>
      </c>
      <c r="O508" s="649"/>
      <c r="P508" s="648" t="s">
        <v>1344</v>
      </c>
      <c r="Q508" s="661"/>
      <c r="R508" s="661">
        <f>K508</f>
        <v>200000</v>
      </c>
      <c r="S508" s="648"/>
    </row>
    <row r="509" spans="1:19" ht="31.5" customHeight="1">
      <c r="A509" s="770"/>
      <c r="B509" s="612" t="s">
        <v>939</v>
      </c>
      <c r="C509" s="628"/>
      <c r="D509" s="31"/>
      <c r="E509" s="31"/>
      <c r="F509" s="32">
        <f>SUM(F510:F519)</f>
        <v>3442000</v>
      </c>
      <c r="G509" s="32">
        <f t="shared" ref="G509:I509" si="290">SUM(G510:G519)</f>
        <v>-350000</v>
      </c>
      <c r="H509" s="32">
        <f t="shared" si="290"/>
        <v>4498000</v>
      </c>
      <c r="I509" s="32">
        <f t="shared" si="290"/>
        <v>7590000</v>
      </c>
      <c r="J509" s="370">
        <f t="shared" ref="J509:K509" si="291">SUM(J510:J519)</f>
        <v>0</v>
      </c>
      <c r="K509" s="370">
        <f t="shared" si="291"/>
        <v>2698000</v>
      </c>
      <c r="L509" s="370">
        <f t="shared" si="263"/>
        <v>6140000</v>
      </c>
      <c r="M509" s="370">
        <f t="shared" si="264"/>
        <v>-1450000</v>
      </c>
      <c r="N509" s="628" t="str">
        <f t="shared" si="287"/>
        <v>-</v>
      </c>
      <c r="O509" s="258"/>
      <c r="P509" s="30"/>
      <c r="Q509" s="32">
        <f t="shared" ref="Q509:R509" si="292">SUM(Q510:Q519)</f>
        <v>0</v>
      </c>
      <c r="R509" s="32">
        <f t="shared" si="292"/>
        <v>2698000</v>
      </c>
      <c r="S509" s="30" t="str">
        <f t="shared" si="284"/>
        <v>검토</v>
      </c>
    </row>
    <row r="510" spans="1:19" ht="87" customHeight="1">
      <c r="A510" s="770"/>
      <c r="B510" s="770"/>
      <c r="C510" s="100">
        <v>1028</v>
      </c>
      <c r="D510" s="101" t="s">
        <v>940</v>
      </c>
      <c r="E510" s="298" t="s">
        <v>941</v>
      </c>
      <c r="F510" s="302">
        <v>1092000</v>
      </c>
      <c r="G510" s="95"/>
      <c r="H510" s="95"/>
      <c r="I510" s="102">
        <f t="shared" ref="I510:I519" si="293">F510+G510+H510</f>
        <v>1092000</v>
      </c>
      <c r="J510" s="375"/>
      <c r="K510" s="375"/>
      <c r="L510" s="376">
        <f t="shared" si="263"/>
        <v>1092000</v>
      </c>
      <c r="M510" s="376">
        <f t="shared" si="264"/>
        <v>0</v>
      </c>
      <c r="N510" s="749" t="str">
        <f t="shared" si="287"/>
        <v>-</v>
      </c>
      <c r="O510" s="261" t="s">
        <v>1020</v>
      </c>
      <c r="P510" s="378" t="s">
        <v>143</v>
      </c>
      <c r="Q510" s="103"/>
      <c r="R510" s="103"/>
      <c r="S510" s="104" t="str">
        <f t="shared" si="284"/>
        <v>ok</v>
      </c>
    </row>
    <row r="511" spans="1:19" s="673" customFormat="1" ht="31.5" customHeight="1">
      <c r="A511" s="770"/>
      <c r="B511" s="770"/>
      <c r="C511" s="662">
        <v>1029</v>
      </c>
      <c r="D511" s="658" t="s">
        <v>940</v>
      </c>
      <c r="E511" s="288" t="s">
        <v>1546</v>
      </c>
      <c r="F511" s="658">
        <v>350000</v>
      </c>
      <c r="G511" s="658">
        <v>-350000</v>
      </c>
      <c r="H511" s="658"/>
      <c r="I511" s="665">
        <f t="shared" si="293"/>
        <v>0</v>
      </c>
      <c r="J511" s="658">
        <v>0</v>
      </c>
      <c r="K511" s="641"/>
      <c r="L511" s="665">
        <f t="shared" si="263"/>
        <v>350000</v>
      </c>
      <c r="M511" s="665">
        <f t="shared" si="264"/>
        <v>350000</v>
      </c>
      <c r="N511" s="749" t="str">
        <f t="shared" si="287"/>
        <v>검토</v>
      </c>
      <c r="O511" s="336" t="s">
        <v>904</v>
      </c>
      <c r="P511" s="653" t="s">
        <v>1223</v>
      </c>
      <c r="Q511" s="658"/>
      <c r="R511" s="661">
        <f>J511</f>
        <v>0</v>
      </c>
      <c r="S511" s="648" t="str">
        <f t="shared" si="284"/>
        <v>검토</v>
      </c>
    </row>
    <row r="512" spans="1:19" s="673" customFormat="1" ht="31.5" customHeight="1">
      <c r="A512" s="770"/>
      <c r="B512" s="770"/>
      <c r="C512" s="662">
        <v>1030</v>
      </c>
      <c r="D512" s="658" t="s">
        <v>940</v>
      </c>
      <c r="E512" s="288" t="s">
        <v>1547</v>
      </c>
      <c r="F512" s="658">
        <v>2000000</v>
      </c>
      <c r="G512" s="658"/>
      <c r="H512" s="658">
        <v>1000000</v>
      </c>
      <c r="I512" s="665">
        <f t="shared" si="293"/>
        <v>3000000</v>
      </c>
      <c r="J512" s="658"/>
      <c r="K512" s="641">
        <v>0</v>
      </c>
      <c r="L512" s="665">
        <f t="shared" si="263"/>
        <v>2000000</v>
      </c>
      <c r="M512" s="665">
        <f t="shared" si="264"/>
        <v>-1000000</v>
      </c>
      <c r="N512" s="749" t="str">
        <f t="shared" si="287"/>
        <v>-</v>
      </c>
      <c r="O512" s="336"/>
      <c r="P512" s="653" t="s">
        <v>1223</v>
      </c>
      <c r="Q512" s="658"/>
      <c r="R512" s="661">
        <f t="shared" ref="R512:R519" si="294">K512</f>
        <v>0</v>
      </c>
      <c r="S512" s="648" t="str">
        <f t="shared" si="284"/>
        <v>검토</v>
      </c>
    </row>
    <row r="513" spans="1:19" ht="31.5" customHeight="1">
      <c r="A513" s="770"/>
      <c r="B513" s="770"/>
      <c r="C513" s="100" t="s">
        <v>94</v>
      </c>
      <c r="D513" s="101" t="s">
        <v>940</v>
      </c>
      <c r="E513" s="297" t="s">
        <v>942</v>
      </c>
      <c r="F513" s="95"/>
      <c r="G513" s="95"/>
      <c r="H513" s="95">
        <v>98000</v>
      </c>
      <c r="I513" s="102">
        <f t="shared" si="293"/>
        <v>98000</v>
      </c>
      <c r="J513" s="375"/>
      <c r="K513" s="375">
        <v>98000</v>
      </c>
      <c r="L513" s="376">
        <f t="shared" si="263"/>
        <v>98000</v>
      </c>
      <c r="M513" s="376">
        <f t="shared" si="264"/>
        <v>0</v>
      </c>
      <c r="N513" s="749" t="str">
        <f t="shared" si="287"/>
        <v>-</v>
      </c>
      <c r="O513" s="259" t="s">
        <v>943</v>
      </c>
      <c r="P513" s="378" t="s">
        <v>97</v>
      </c>
      <c r="Q513" s="103"/>
      <c r="R513" s="661">
        <f t="shared" si="294"/>
        <v>98000</v>
      </c>
      <c r="S513" s="104" t="str">
        <f t="shared" si="284"/>
        <v>ok</v>
      </c>
    </row>
    <row r="514" spans="1:19" ht="31.5" customHeight="1">
      <c r="A514" s="770"/>
      <c r="B514" s="770"/>
      <c r="C514" s="100" t="s">
        <v>94</v>
      </c>
      <c r="D514" s="101" t="s">
        <v>940</v>
      </c>
      <c r="E514" s="296" t="s">
        <v>944</v>
      </c>
      <c r="F514" s="95"/>
      <c r="G514" s="95"/>
      <c r="H514" s="95">
        <v>100000</v>
      </c>
      <c r="I514" s="102">
        <f t="shared" si="293"/>
        <v>100000</v>
      </c>
      <c r="J514" s="375"/>
      <c r="K514" s="375">
        <v>100000</v>
      </c>
      <c r="L514" s="376">
        <f t="shared" si="263"/>
        <v>100000</v>
      </c>
      <c r="M514" s="376">
        <f t="shared" si="264"/>
        <v>0</v>
      </c>
      <c r="N514" s="749" t="str">
        <f t="shared" si="287"/>
        <v>-</v>
      </c>
      <c r="O514" s="259" t="s">
        <v>53</v>
      </c>
      <c r="P514" s="378" t="s">
        <v>97</v>
      </c>
      <c r="Q514" s="103"/>
      <c r="R514" s="661">
        <f t="shared" si="294"/>
        <v>100000</v>
      </c>
      <c r="S514" s="104" t="str">
        <f t="shared" si="284"/>
        <v>ok</v>
      </c>
    </row>
    <row r="515" spans="1:19" ht="31.5" customHeight="1">
      <c r="A515" s="770"/>
      <c r="B515" s="770"/>
      <c r="C515" s="100" t="s">
        <v>94</v>
      </c>
      <c r="D515" s="101" t="s">
        <v>940</v>
      </c>
      <c r="E515" s="298" t="s">
        <v>945</v>
      </c>
      <c r="F515" s="299"/>
      <c r="G515" s="95"/>
      <c r="H515" s="95">
        <v>50000</v>
      </c>
      <c r="I515" s="102">
        <f t="shared" si="293"/>
        <v>50000</v>
      </c>
      <c r="J515" s="375"/>
      <c r="K515" s="375">
        <v>50000</v>
      </c>
      <c r="L515" s="376">
        <f t="shared" si="263"/>
        <v>50000</v>
      </c>
      <c r="M515" s="376">
        <f t="shared" si="264"/>
        <v>0</v>
      </c>
      <c r="N515" s="749" t="str">
        <f t="shared" si="287"/>
        <v>-</v>
      </c>
      <c r="O515" s="259" t="s">
        <v>946</v>
      </c>
      <c r="P515" s="378" t="s">
        <v>97</v>
      </c>
      <c r="Q515" s="103"/>
      <c r="R515" s="661">
        <f t="shared" si="294"/>
        <v>50000</v>
      </c>
      <c r="S515" s="104" t="str">
        <f t="shared" si="284"/>
        <v>ok</v>
      </c>
    </row>
    <row r="516" spans="1:19" s="673" customFormat="1" ht="31.5" customHeight="1">
      <c r="A516" s="770"/>
      <c r="B516" s="770"/>
      <c r="C516" s="662" t="s">
        <v>94</v>
      </c>
      <c r="D516" s="658" t="s">
        <v>940</v>
      </c>
      <c r="E516" s="288" t="s">
        <v>1548</v>
      </c>
      <c r="F516" s="658"/>
      <c r="G516" s="658"/>
      <c r="H516" s="658">
        <v>2000000</v>
      </c>
      <c r="I516" s="665">
        <f t="shared" si="293"/>
        <v>2000000</v>
      </c>
      <c r="J516" s="658"/>
      <c r="K516" s="641">
        <v>1200000</v>
      </c>
      <c r="L516" s="665">
        <f t="shared" si="263"/>
        <v>1200000</v>
      </c>
      <c r="M516" s="665">
        <f t="shared" si="264"/>
        <v>-800000</v>
      </c>
      <c r="N516" s="749" t="str">
        <f t="shared" si="287"/>
        <v>-</v>
      </c>
      <c r="O516" s="336" t="s">
        <v>53</v>
      </c>
      <c r="P516" s="653" t="s">
        <v>1223</v>
      </c>
      <c r="Q516" s="658"/>
      <c r="R516" s="661">
        <f t="shared" si="294"/>
        <v>1200000</v>
      </c>
      <c r="S516" s="648" t="str">
        <f t="shared" si="284"/>
        <v>검토</v>
      </c>
    </row>
    <row r="517" spans="1:19" ht="31.5" customHeight="1">
      <c r="A517" s="770"/>
      <c r="B517" s="770"/>
      <c r="C517" s="100" t="s">
        <v>94</v>
      </c>
      <c r="D517" s="101" t="s">
        <v>940</v>
      </c>
      <c r="E517" s="298" t="s">
        <v>947</v>
      </c>
      <c r="F517" s="299"/>
      <c r="G517" s="95"/>
      <c r="H517" s="95">
        <v>1000000</v>
      </c>
      <c r="I517" s="102">
        <f t="shared" si="293"/>
        <v>1000000</v>
      </c>
      <c r="J517" s="375"/>
      <c r="K517" s="375">
        <v>1000000</v>
      </c>
      <c r="L517" s="376">
        <f t="shared" si="263"/>
        <v>1000000</v>
      </c>
      <c r="M517" s="376">
        <f t="shared" si="264"/>
        <v>0</v>
      </c>
      <c r="N517" s="749" t="str">
        <f t="shared" si="287"/>
        <v>-</v>
      </c>
      <c r="O517" s="259" t="s">
        <v>53</v>
      </c>
      <c r="P517" s="378" t="s">
        <v>97</v>
      </c>
      <c r="Q517" s="103"/>
      <c r="R517" s="661">
        <f t="shared" si="294"/>
        <v>1000000</v>
      </c>
      <c r="S517" s="104" t="str">
        <f t="shared" si="284"/>
        <v>ok</v>
      </c>
    </row>
    <row r="518" spans="1:19" ht="31.5" customHeight="1">
      <c r="A518" s="770"/>
      <c r="B518" s="770"/>
      <c r="C518" s="100" t="s">
        <v>94</v>
      </c>
      <c r="D518" s="101" t="s">
        <v>940</v>
      </c>
      <c r="E518" s="298" t="s">
        <v>948</v>
      </c>
      <c r="F518" s="299"/>
      <c r="G518" s="95"/>
      <c r="H518" s="95">
        <v>50000</v>
      </c>
      <c r="I518" s="102">
        <f t="shared" si="293"/>
        <v>50000</v>
      </c>
      <c r="J518" s="375"/>
      <c r="K518" s="375">
        <v>50000</v>
      </c>
      <c r="L518" s="376">
        <f t="shared" si="263"/>
        <v>50000</v>
      </c>
      <c r="M518" s="376">
        <f t="shared" si="264"/>
        <v>0</v>
      </c>
      <c r="N518" s="749" t="str">
        <f t="shared" si="287"/>
        <v>-</v>
      </c>
      <c r="O518" s="259" t="s">
        <v>53</v>
      </c>
      <c r="P518" s="378" t="s">
        <v>97</v>
      </c>
      <c r="Q518" s="103"/>
      <c r="R518" s="661">
        <f t="shared" si="294"/>
        <v>50000</v>
      </c>
      <c r="S518" s="104" t="str">
        <f t="shared" si="284"/>
        <v>ok</v>
      </c>
    </row>
    <row r="519" spans="1:19" ht="31.5" customHeight="1">
      <c r="A519" s="770"/>
      <c r="B519" s="770"/>
      <c r="C519" s="100" t="s">
        <v>94</v>
      </c>
      <c r="D519" s="101" t="s">
        <v>940</v>
      </c>
      <c r="E519" s="298" t="s">
        <v>949</v>
      </c>
      <c r="F519" s="299"/>
      <c r="G519" s="95"/>
      <c r="H519" s="95">
        <v>200000</v>
      </c>
      <c r="I519" s="102">
        <f t="shared" si="293"/>
        <v>200000</v>
      </c>
      <c r="J519" s="375"/>
      <c r="K519" s="375">
        <v>200000</v>
      </c>
      <c r="L519" s="376">
        <f t="shared" si="263"/>
        <v>200000</v>
      </c>
      <c r="M519" s="376">
        <f t="shared" ref="M519" si="295">L519-I519</f>
        <v>0</v>
      </c>
      <c r="N519" s="749" t="str">
        <f t="shared" si="287"/>
        <v>-</v>
      </c>
      <c r="O519" s="259" t="s">
        <v>950</v>
      </c>
      <c r="P519" s="378" t="s">
        <v>97</v>
      </c>
      <c r="Q519" s="103"/>
      <c r="R519" s="661">
        <f t="shared" si="294"/>
        <v>200000</v>
      </c>
      <c r="S519" s="104" t="str">
        <f t="shared" si="284"/>
        <v>ok</v>
      </c>
    </row>
    <row r="520" spans="1:19" ht="31.5" customHeight="1">
      <c r="A520" s="770"/>
      <c r="B520" s="612" t="s">
        <v>192</v>
      </c>
      <c r="C520" s="628"/>
      <c r="D520" s="31"/>
      <c r="E520" s="31"/>
      <c r="F520" s="32">
        <f t="shared" ref="F520:K520" si="296">SUM(F521:F531)</f>
        <v>53550592</v>
      </c>
      <c r="G520" s="32">
        <f t="shared" si="296"/>
        <v>-110000</v>
      </c>
      <c r="H520" s="32">
        <f t="shared" si="296"/>
        <v>560000</v>
      </c>
      <c r="I520" s="32">
        <f t="shared" si="296"/>
        <v>54000592</v>
      </c>
      <c r="J520" s="370">
        <f t="shared" si="296"/>
        <v>-60000</v>
      </c>
      <c r="K520" s="370">
        <f t="shared" si="296"/>
        <v>1009850</v>
      </c>
      <c r="L520" s="370">
        <f t="shared" si="263"/>
        <v>54500442</v>
      </c>
      <c r="M520" s="370">
        <f t="shared" ref="M520:M596" si="297">L520-I520</f>
        <v>499850</v>
      </c>
      <c r="N520" s="628" t="str">
        <f t="shared" si="287"/>
        <v>-</v>
      </c>
      <c r="O520" s="258"/>
      <c r="P520" s="30"/>
      <c r="Q520" s="32">
        <f>SUM(Q521:Q531)</f>
        <v>0</v>
      </c>
      <c r="R520" s="32">
        <f>SUM(R521:R531)</f>
        <v>949850</v>
      </c>
      <c r="S520" s="30" t="str">
        <f t="shared" si="284"/>
        <v>검토</v>
      </c>
    </row>
    <row r="521" spans="1:19" s="673" customFormat="1" ht="31.5" customHeight="1">
      <c r="A521" s="770"/>
      <c r="B521" s="770"/>
      <c r="C521" s="662" t="s">
        <v>94</v>
      </c>
      <c r="D521" s="658" t="s">
        <v>951</v>
      </c>
      <c r="E521" s="288" t="s">
        <v>1542</v>
      </c>
      <c r="F521" s="658"/>
      <c r="G521" s="658"/>
      <c r="H521" s="658">
        <v>50000</v>
      </c>
      <c r="I521" s="665">
        <f t="shared" ref="I521:I531" si="298">F521+G521+H521</f>
        <v>50000</v>
      </c>
      <c r="J521" s="658"/>
      <c r="K521" s="641">
        <v>100000</v>
      </c>
      <c r="L521" s="665">
        <f t="shared" si="263"/>
        <v>100000</v>
      </c>
      <c r="M521" s="665">
        <f t="shared" si="297"/>
        <v>50000</v>
      </c>
      <c r="N521" s="749" t="str">
        <f t="shared" si="287"/>
        <v>-</v>
      </c>
      <c r="O521" s="336" t="s">
        <v>952</v>
      </c>
      <c r="P521" s="653" t="s">
        <v>1223</v>
      </c>
      <c r="Q521" s="658"/>
      <c r="R521" s="661">
        <f>K521</f>
        <v>100000</v>
      </c>
      <c r="S521" s="648" t="str">
        <f t="shared" si="284"/>
        <v>검토</v>
      </c>
    </row>
    <row r="522" spans="1:19" ht="31.5" customHeight="1">
      <c r="A522" s="770"/>
      <c r="B522" s="770"/>
      <c r="C522" s="100">
        <v>1065</v>
      </c>
      <c r="D522" s="101" t="s">
        <v>196</v>
      </c>
      <c r="E522" s="303" t="s">
        <v>953</v>
      </c>
      <c r="F522" s="299">
        <v>59400</v>
      </c>
      <c r="G522" s="95"/>
      <c r="H522" s="95">
        <v>14850</v>
      </c>
      <c r="I522" s="102">
        <f t="shared" si="298"/>
        <v>74250</v>
      </c>
      <c r="J522" s="375"/>
      <c r="K522" s="375">
        <v>14850</v>
      </c>
      <c r="L522" s="376">
        <f t="shared" ref="L522:L527" si="299">F522+J522+K522</f>
        <v>74250</v>
      </c>
      <c r="M522" s="376">
        <f t="shared" si="297"/>
        <v>0</v>
      </c>
      <c r="N522" s="749" t="str">
        <f t="shared" si="287"/>
        <v>-</v>
      </c>
      <c r="O522" s="259" t="s">
        <v>53</v>
      </c>
      <c r="P522" s="378" t="s">
        <v>90</v>
      </c>
      <c r="Q522" s="103"/>
      <c r="R522" s="304">
        <v>14850</v>
      </c>
      <c r="S522" s="104" t="str">
        <f t="shared" si="284"/>
        <v>ok</v>
      </c>
    </row>
    <row r="523" spans="1:19" s="673" customFormat="1" ht="31.5" customHeight="1">
      <c r="A523" s="770"/>
      <c r="B523" s="770"/>
      <c r="C523" s="662" t="s">
        <v>253</v>
      </c>
      <c r="D523" s="658" t="s">
        <v>196</v>
      </c>
      <c r="E523" s="288" t="s">
        <v>1543</v>
      </c>
      <c r="F523" s="658"/>
      <c r="G523" s="658"/>
      <c r="H523" s="658">
        <v>485150</v>
      </c>
      <c r="I523" s="665">
        <f t="shared" si="298"/>
        <v>485150</v>
      </c>
      <c r="J523" s="658"/>
      <c r="K523" s="641">
        <v>200000</v>
      </c>
      <c r="L523" s="665">
        <f t="shared" si="299"/>
        <v>200000</v>
      </c>
      <c r="M523" s="665">
        <f t="shared" si="297"/>
        <v>-285150</v>
      </c>
      <c r="N523" s="749" t="str">
        <f t="shared" si="287"/>
        <v>-</v>
      </c>
      <c r="O523" s="336" t="s">
        <v>53</v>
      </c>
      <c r="P523" s="653" t="s">
        <v>1223</v>
      </c>
      <c r="Q523" s="658"/>
      <c r="R523" s="661">
        <f>K523</f>
        <v>200000</v>
      </c>
      <c r="S523" s="648" t="str">
        <f t="shared" si="284"/>
        <v>검토</v>
      </c>
    </row>
    <row r="524" spans="1:19" s="673" customFormat="1" ht="31.5" customHeight="1">
      <c r="A524" s="770"/>
      <c r="B524" s="770">
        <v>0</v>
      </c>
      <c r="C524" s="662">
        <v>1067</v>
      </c>
      <c r="D524" s="658" t="s">
        <v>196</v>
      </c>
      <c r="E524" s="288" t="s">
        <v>1541</v>
      </c>
      <c r="F524" s="658">
        <v>10000</v>
      </c>
      <c r="G524" s="658">
        <v>-10000</v>
      </c>
      <c r="H524" s="658"/>
      <c r="I524" s="665">
        <f t="shared" si="298"/>
        <v>0</v>
      </c>
      <c r="J524" s="658">
        <f>G524</f>
        <v>-10000</v>
      </c>
      <c r="K524" s="641"/>
      <c r="L524" s="665">
        <f t="shared" si="299"/>
        <v>0</v>
      </c>
      <c r="M524" s="665">
        <f t="shared" si="297"/>
        <v>0</v>
      </c>
      <c r="N524" s="749" t="str">
        <f t="shared" si="287"/>
        <v>-</v>
      </c>
      <c r="O524" s="336" t="s">
        <v>904</v>
      </c>
      <c r="P524" s="653" t="s">
        <v>1223</v>
      </c>
      <c r="Q524" s="658"/>
      <c r="R524" s="661">
        <f t="shared" ref="R524:R527" si="300">J524</f>
        <v>-10000</v>
      </c>
      <c r="S524" s="648" t="str">
        <f t="shared" si="284"/>
        <v>ok</v>
      </c>
    </row>
    <row r="525" spans="1:19" s="673" customFormat="1" ht="45.75" customHeight="1">
      <c r="A525" s="770"/>
      <c r="B525" s="770">
        <v>0</v>
      </c>
      <c r="C525" s="662">
        <v>1067</v>
      </c>
      <c r="D525" s="658" t="s">
        <v>196</v>
      </c>
      <c r="E525" s="288" t="s">
        <v>1544</v>
      </c>
      <c r="F525" s="658">
        <v>30000</v>
      </c>
      <c r="G525" s="658">
        <v>-30000</v>
      </c>
      <c r="H525" s="658"/>
      <c r="I525" s="665">
        <f t="shared" si="298"/>
        <v>0</v>
      </c>
      <c r="J525" s="658">
        <f t="shared" ref="J525:J526" si="301">G525</f>
        <v>-30000</v>
      </c>
      <c r="K525" s="641"/>
      <c r="L525" s="665">
        <f t="shared" si="299"/>
        <v>0</v>
      </c>
      <c r="M525" s="665">
        <f t="shared" si="297"/>
        <v>0</v>
      </c>
      <c r="N525" s="749" t="str">
        <f t="shared" si="287"/>
        <v>-</v>
      </c>
      <c r="O525" s="336" t="s">
        <v>904</v>
      </c>
      <c r="P525" s="653" t="s">
        <v>1223</v>
      </c>
      <c r="Q525" s="658"/>
      <c r="R525" s="661">
        <f t="shared" si="300"/>
        <v>-30000</v>
      </c>
      <c r="S525" s="648" t="str">
        <f t="shared" si="284"/>
        <v>ok</v>
      </c>
    </row>
    <row r="526" spans="1:19" s="673" customFormat="1" ht="45.75" customHeight="1">
      <c r="A526" s="770"/>
      <c r="B526" s="770">
        <v>0</v>
      </c>
      <c r="C526" s="662">
        <v>1067</v>
      </c>
      <c r="D526" s="658" t="s">
        <v>196</v>
      </c>
      <c r="E526" s="288" t="s">
        <v>1545</v>
      </c>
      <c r="F526" s="658">
        <v>20000</v>
      </c>
      <c r="G526" s="658">
        <v>-20000</v>
      </c>
      <c r="H526" s="658"/>
      <c r="I526" s="665">
        <f t="shared" si="298"/>
        <v>0</v>
      </c>
      <c r="J526" s="658">
        <f t="shared" si="301"/>
        <v>-20000</v>
      </c>
      <c r="K526" s="641"/>
      <c r="L526" s="665">
        <f t="shared" si="299"/>
        <v>0</v>
      </c>
      <c r="M526" s="665">
        <f t="shared" si="297"/>
        <v>0</v>
      </c>
      <c r="N526" s="749" t="str">
        <f t="shared" si="287"/>
        <v>-</v>
      </c>
      <c r="O526" s="336" t="s">
        <v>904</v>
      </c>
      <c r="P526" s="653" t="s">
        <v>1223</v>
      </c>
      <c r="Q526" s="658"/>
      <c r="R526" s="661">
        <f t="shared" si="300"/>
        <v>-20000</v>
      </c>
      <c r="S526" s="648" t="str">
        <f t="shared" si="284"/>
        <v>ok</v>
      </c>
    </row>
    <row r="527" spans="1:19" ht="45.75" customHeight="1">
      <c r="A527" s="770"/>
      <c r="B527" s="770">
        <v>0</v>
      </c>
      <c r="C527" s="100">
        <v>1068</v>
      </c>
      <c r="D527" s="101" t="s">
        <v>196</v>
      </c>
      <c r="E527" s="303" t="s">
        <v>954</v>
      </c>
      <c r="F527" s="299">
        <v>50000</v>
      </c>
      <c r="G527" s="95">
        <v>-50000</v>
      </c>
      <c r="H527" s="95"/>
      <c r="I527" s="102">
        <f t="shared" si="298"/>
        <v>0</v>
      </c>
      <c r="J527" s="375"/>
      <c r="K527" s="375"/>
      <c r="L527" s="376">
        <f t="shared" si="299"/>
        <v>50000</v>
      </c>
      <c r="M527" s="376">
        <f t="shared" si="297"/>
        <v>50000</v>
      </c>
      <c r="N527" s="749" t="str">
        <f t="shared" si="287"/>
        <v>검토</v>
      </c>
      <c r="O527" s="259" t="s">
        <v>904</v>
      </c>
      <c r="P527" s="378" t="s">
        <v>97</v>
      </c>
      <c r="Q527" s="103"/>
      <c r="R527" s="661">
        <f t="shared" si="300"/>
        <v>0</v>
      </c>
      <c r="S527" s="104" t="str">
        <f t="shared" si="284"/>
        <v>검토</v>
      </c>
    </row>
    <row r="528" spans="1:19" s="673" customFormat="1" ht="31.5" customHeight="1">
      <c r="A528" s="770"/>
      <c r="B528" s="770"/>
      <c r="C528" s="662">
        <v>1065</v>
      </c>
      <c r="D528" s="658" t="s">
        <v>196</v>
      </c>
      <c r="E528" s="288" t="s">
        <v>1523</v>
      </c>
      <c r="F528" s="658">
        <v>1628932</v>
      </c>
      <c r="G528" s="658"/>
      <c r="H528" s="658"/>
      <c r="I528" s="665">
        <f t="shared" si="298"/>
        <v>1628932</v>
      </c>
      <c r="J528" s="658"/>
      <c r="K528" s="641">
        <v>165000</v>
      </c>
      <c r="L528" s="665">
        <f t="shared" ref="L528:L531" si="302">F528+J528+K528</f>
        <v>1793932</v>
      </c>
      <c r="M528" s="665">
        <f t="shared" ref="M528:M531" si="303">L528-I528</f>
        <v>165000</v>
      </c>
      <c r="N528" s="749" t="str">
        <f t="shared" si="287"/>
        <v>-</v>
      </c>
      <c r="O528" s="336"/>
      <c r="P528" s="653" t="s">
        <v>1223</v>
      </c>
      <c r="Q528" s="658"/>
      <c r="R528" s="661">
        <f>K528</f>
        <v>165000</v>
      </c>
      <c r="S528" s="648" t="str">
        <f t="shared" si="284"/>
        <v>검토</v>
      </c>
    </row>
    <row r="529" spans="1:19" s="372" customFormat="1" ht="31.5" customHeight="1">
      <c r="A529" s="770"/>
      <c r="B529" s="770"/>
      <c r="C529" s="371" t="s">
        <v>94</v>
      </c>
      <c r="D529" s="379" t="s">
        <v>955</v>
      </c>
      <c r="E529" s="298" t="s">
        <v>956</v>
      </c>
      <c r="F529" s="299"/>
      <c r="G529" s="375"/>
      <c r="H529" s="375">
        <v>10000</v>
      </c>
      <c r="I529" s="376">
        <f t="shared" ref="I529" si="304">F529+G529+H529</f>
        <v>10000</v>
      </c>
      <c r="J529" s="375"/>
      <c r="K529" s="375">
        <v>10000</v>
      </c>
      <c r="L529" s="376">
        <f t="shared" ref="L529:L530" si="305">F529+J529+K529</f>
        <v>10000</v>
      </c>
      <c r="M529" s="376">
        <f t="shared" ref="M529" si="306">L529-I529</f>
        <v>0</v>
      </c>
      <c r="N529" s="749" t="str">
        <f t="shared" si="287"/>
        <v>-</v>
      </c>
      <c r="O529" s="413" t="s">
        <v>957</v>
      </c>
      <c r="P529" s="378" t="s">
        <v>97</v>
      </c>
      <c r="Q529" s="377"/>
      <c r="R529" s="661">
        <f>K529</f>
        <v>10000</v>
      </c>
      <c r="S529" s="378" t="str">
        <f>IF((G529+H529)=(Q529+R529),"ok","검토")</f>
        <v>ok</v>
      </c>
    </row>
    <row r="530" spans="1:19" s="672" customFormat="1" ht="31.5" customHeight="1">
      <c r="A530" s="771">
        <v>1</v>
      </c>
      <c r="B530" s="771"/>
      <c r="C530" s="311">
        <v>1068</v>
      </c>
      <c r="D530" s="798" t="s">
        <v>1691</v>
      </c>
      <c r="E530" s="572" t="s">
        <v>1309</v>
      </c>
      <c r="F530" s="701">
        <v>19260</v>
      </c>
      <c r="G530" s="636"/>
      <c r="H530" s="636"/>
      <c r="I530" s="636">
        <f t="shared" ref="I530" si="307">F530+G530+H530</f>
        <v>19260</v>
      </c>
      <c r="J530" s="636"/>
      <c r="K530" s="630">
        <v>20000</v>
      </c>
      <c r="L530" s="665">
        <f t="shared" si="305"/>
        <v>39260</v>
      </c>
      <c r="M530" s="636">
        <f t="shared" ref="M530" si="308">L530-I530</f>
        <v>20000</v>
      </c>
      <c r="N530" s="750" t="str">
        <f t="shared" si="287"/>
        <v>-</v>
      </c>
      <c r="O530" s="263"/>
      <c r="P530" s="648" t="s">
        <v>1344</v>
      </c>
      <c r="Q530" s="671"/>
      <c r="R530" s="671">
        <f>K530</f>
        <v>20000</v>
      </c>
      <c r="S530" s="670" t="str">
        <f>IF((G530+H530)=(Q530+R530),"ok","검토")</f>
        <v>검토</v>
      </c>
    </row>
    <row r="531" spans="1:19" s="673" customFormat="1" ht="31.5" customHeight="1">
      <c r="A531" s="770"/>
      <c r="B531" s="770"/>
      <c r="C531" s="662">
        <v>1062</v>
      </c>
      <c r="D531" s="658" t="s">
        <v>1693</v>
      </c>
      <c r="E531" s="288" t="s">
        <v>1534</v>
      </c>
      <c r="F531" s="658">
        <v>51733000</v>
      </c>
      <c r="G531" s="658"/>
      <c r="H531" s="658"/>
      <c r="I531" s="665">
        <f t="shared" si="298"/>
        <v>51733000</v>
      </c>
      <c r="J531" s="658"/>
      <c r="K531" s="641">
        <v>500000</v>
      </c>
      <c r="L531" s="665">
        <f t="shared" si="302"/>
        <v>52233000</v>
      </c>
      <c r="M531" s="665">
        <f t="shared" si="303"/>
        <v>500000</v>
      </c>
      <c r="N531" s="749" t="str">
        <f t="shared" si="287"/>
        <v>-</v>
      </c>
      <c r="O531" s="336"/>
      <c r="P531" s="653" t="s">
        <v>1535</v>
      </c>
      <c r="Q531" s="658"/>
      <c r="R531" s="661">
        <f>K531</f>
        <v>500000</v>
      </c>
      <c r="S531" s="648" t="str">
        <f t="shared" ref="S531" si="309">IF((G531+H531)=(Q531+R531),"ok","검토")</f>
        <v>검토</v>
      </c>
    </row>
    <row r="532" spans="1:19" ht="31.5" customHeight="1">
      <c r="A532" s="445" t="s">
        <v>201</v>
      </c>
      <c r="B532" s="772"/>
      <c r="C532" s="26"/>
      <c r="D532" s="26"/>
      <c r="E532" s="26"/>
      <c r="F532" s="27">
        <f t="shared" ref="F532:K532" si="310">SUM(F533:F597)/2</f>
        <v>38700021</v>
      </c>
      <c r="G532" s="27">
        <f t="shared" si="310"/>
        <v>-997500</v>
      </c>
      <c r="H532" s="27">
        <f t="shared" si="310"/>
        <v>22667521</v>
      </c>
      <c r="I532" s="27">
        <f t="shared" si="310"/>
        <v>60370042</v>
      </c>
      <c r="J532" s="369">
        <f t="shared" si="310"/>
        <v>-737500</v>
      </c>
      <c r="K532" s="369">
        <f t="shared" si="310"/>
        <v>17437521</v>
      </c>
      <c r="L532" s="369">
        <f t="shared" ref="L532:L597" si="311">F532+J532+K532</f>
        <v>55400042</v>
      </c>
      <c r="M532" s="369">
        <f t="shared" si="297"/>
        <v>-4970000</v>
      </c>
      <c r="N532" s="626" t="str">
        <f t="shared" si="287"/>
        <v>-</v>
      </c>
      <c r="O532" s="320"/>
      <c r="P532" s="26"/>
      <c r="Q532" s="27">
        <f>SUM(Q533:Q597)/2</f>
        <v>731000</v>
      </c>
      <c r="R532" s="27">
        <f>SUM(R533:R597)/2</f>
        <v>15969021</v>
      </c>
      <c r="S532" s="26" t="str">
        <f t="shared" si="284"/>
        <v>검토</v>
      </c>
    </row>
    <row r="533" spans="1:19" ht="31.5" customHeight="1">
      <c r="A533" s="770"/>
      <c r="B533" s="612" t="s">
        <v>202</v>
      </c>
      <c r="C533" s="628"/>
      <c r="D533" s="31"/>
      <c r="E533" s="31"/>
      <c r="F533" s="32">
        <f t="shared" ref="F533:K533" si="312">SUM(F534:F571)</f>
        <v>17124397</v>
      </c>
      <c r="G533" s="32">
        <f t="shared" si="312"/>
        <v>-401781</v>
      </c>
      <c r="H533" s="32">
        <f t="shared" si="312"/>
        <v>7094870</v>
      </c>
      <c r="I533" s="32">
        <f t="shared" si="312"/>
        <v>23817486</v>
      </c>
      <c r="J533" s="370">
        <f t="shared" si="312"/>
        <v>-341781</v>
      </c>
      <c r="K533" s="370">
        <f t="shared" si="312"/>
        <v>7624870</v>
      </c>
      <c r="L533" s="370">
        <f t="shared" si="311"/>
        <v>24407486</v>
      </c>
      <c r="M533" s="370">
        <f t="shared" si="297"/>
        <v>590000</v>
      </c>
      <c r="N533" s="628" t="str">
        <f t="shared" si="287"/>
        <v>-</v>
      </c>
      <c r="O533" s="321"/>
      <c r="P533" s="30"/>
      <c r="Q533" s="32">
        <f>SUM(Q534:Q571)</f>
        <v>411000</v>
      </c>
      <c r="R533" s="32">
        <f>SUM(R534:R571)</f>
        <v>6872089</v>
      </c>
      <c r="S533" s="30" t="str">
        <f t="shared" si="284"/>
        <v>검토</v>
      </c>
    </row>
    <row r="534" spans="1:19" ht="61.5" customHeight="1">
      <c r="A534" s="770"/>
      <c r="B534" s="770"/>
      <c r="C534" s="147">
        <v>1102</v>
      </c>
      <c r="D534" s="147" t="s">
        <v>65</v>
      </c>
      <c r="E534" s="305" t="s">
        <v>958</v>
      </c>
      <c r="F534" s="154">
        <v>8629716</v>
      </c>
      <c r="G534" s="158"/>
      <c r="H534" s="154"/>
      <c r="I534" s="102">
        <f t="shared" ref="I534:I568" si="313">F534+G534+H534</f>
        <v>8629716</v>
      </c>
      <c r="J534" s="158"/>
      <c r="K534" s="154"/>
      <c r="L534" s="376">
        <f t="shared" si="311"/>
        <v>8629716</v>
      </c>
      <c r="M534" s="376">
        <f t="shared" si="297"/>
        <v>0</v>
      </c>
      <c r="N534" s="749" t="str">
        <f t="shared" si="287"/>
        <v>-</v>
      </c>
      <c r="O534" s="261" t="s">
        <v>1021</v>
      </c>
      <c r="P534" s="378" t="s">
        <v>959</v>
      </c>
      <c r="Q534" s="103"/>
      <c r="R534" s="103"/>
      <c r="S534" s="104" t="str">
        <f t="shared" si="284"/>
        <v>ok</v>
      </c>
    </row>
    <row r="535" spans="1:19" ht="61.5" customHeight="1">
      <c r="A535" s="770"/>
      <c r="B535" s="770"/>
      <c r="C535" s="147">
        <v>1102</v>
      </c>
      <c r="D535" s="147" t="s">
        <v>65</v>
      </c>
      <c r="E535" s="305" t="s">
        <v>960</v>
      </c>
      <c r="F535" s="154">
        <v>364939</v>
      </c>
      <c r="G535" s="154"/>
      <c r="H535" s="154"/>
      <c r="I535" s="102">
        <f t="shared" si="313"/>
        <v>364939</v>
      </c>
      <c r="J535" s="154"/>
      <c r="K535" s="154"/>
      <c r="L535" s="376">
        <f t="shared" si="311"/>
        <v>364939</v>
      </c>
      <c r="M535" s="376">
        <f t="shared" si="297"/>
        <v>0</v>
      </c>
      <c r="N535" s="749" t="str">
        <f t="shared" si="287"/>
        <v>-</v>
      </c>
      <c r="O535" s="261" t="s">
        <v>1021</v>
      </c>
      <c r="P535" s="378" t="s">
        <v>959</v>
      </c>
      <c r="Q535" s="103"/>
      <c r="R535" s="103"/>
      <c r="S535" s="104" t="str">
        <f t="shared" si="284"/>
        <v>ok</v>
      </c>
    </row>
    <row r="536" spans="1:19" ht="61.5" customHeight="1">
      <c r="A536" s="770"/>
      <c r="B536" s="770"/>
      <c r="C536" s="147">
        <v>1103</v>
      </c>
      <c r="D536" s="147" t="s">
        <v>65</v>
      </c>
      <c r="E536" s="305" t="s">
        <v>961</v>
      </c>
      <c r="F536" s="154">
        <v>30475</v>
      </c>
      <c r="G536" s="154"/>
      <c r="H536" s="154"/>
      <c r="I536" s="102">
        <f t="shared" si="313"/>
        <v>30475</v>
      </c>
      <c r="J536" s="154"/>
      <c r="K536" s="154"/>
      <c r="L536" s="376">
        <f t="shared" si="311"/>
        <v>30475</v>
      </c>
      <c r="M536" s="376">
        <f t="shared" si="297"/>
        <v>0</v>
      </c>
      <c r="N536" s="749" t="str">
        <f t="shared" si="287"/>
        <v>-</v>
      </c>
      <c r="O536" s="261" t="s">
        <v>1021</v>
      </c>
      <c r="P536" s="378" t="s">
        <v>959</v>
      </c>
      <c r="Q536" s="103"/>
      <c r="R536" s="103"/>
      <c r="S536" s="104" t="str">
        <f t="shared" si="284"/>
        <v>ok</v>
      </c>
    </row>
    <row r="537" spans="1:19" ht="61.5" customHeight="1">
      <c r="A537" s="770"/>
      <c r="B537" s="770"/>
      <c r="C537" s="147">
        <v>1103</v>
      </c>
      <c r="D537" s="147" t="s">
        <v>65</v>
      </c>
      <c r="E537" s="306" t="s">
        <v>962</v>
      </c>
      <c r="F537" s="158">
        <v>51323</v>
      </c>
      <c r="G537" s="158"/>
      <c r="H537" s="158"/>
      <c r="I537" s="102">
        <f t="shared" si="313"/>
        <v>51323</v>
      </c>
      <c r="J537" s="158"/>
      <c r="K537" s="158"/>
      <c r="L537" s="376">
        <f t="shared" si="311"/>
        <v>51323</v>
      </c>
      <c r="M537" s="376">
        <f t="shared" si="297"/>
        <v>0</v>
      </c>
      <c r="N537" s="749" t="str">
        <f t="shared" si="287"/>
        <v>-</v>
      </c>
      <c r="O537" s="261" t="s">
        <v>1021</v>
      </c>
      <c r="P537" s="378" t="s">
        <v>959</v>
      </c>
      <c r="Q537" s="103"/>
      <c r="R537" s="103"/>
      <c r="S537" s="104" t="str">
        <f t="shared" si="284"/>
        <v>ok</v>
      </c>
    </row>
    <row r="538" spans="1:19" ht="61.5" customHeight="1">
      <c r="A538" s="770"/>
      <c r="B538" s="770"/>
      <c r="C538" s="147">
        <v>1103</v>
      </c>
      <c r="D538" s="147" t="s">
        <v>65</v>
      </c>
      <c r="E538" s="305" t="s">
        <v>963</v>
      </c>
      <c r="F538" s="154">
        <v>312788</v>
      </c>
      <c r="G538" s="154"/>
      <c r="H538" s="154"/>
      <c r="I538" s="102">
        <f t="shared" si="313"/>
        <v>312788</v>
      </c>
      <c r="J538" s="154"/>
      <c r="K538" s="154"/>
      <c r="L538" s="376">
        <f t="shared" si="311"/>
        <v>312788</v>
      </c>
      <c r="M538" s="376">
        <f t="shared" si="297"/>
        <v>0</v>
      </c>
      <c r="N538" s="749" t="str">
        <f t="shared" si="287"/>
        <v>-</v>
      </c>
      <c r="O538" s="261" t="s">
        <v>1021</v>
      </c>
      <c r="P538" s="378" t="s">
        <v>959</v>
      </c>
      <c r="Q538" s="103"/>
      <c r="R538" s="103"/>
      <c r="S538" s="104" t="str">
        <f t="shared" si="284"/>
        <v>ok</v>
      </c>
    </row>
    <row r="539" spans="1:19" ht="31.5" customHeight="1">
      <c r="A539" s="770"/>
      <c r="B539" s="770"/>
      <c r="C539" s="147">
        <v>1112</v>
      </c>
      <c r="D539" s="147" t="s">
        <v>65</v>
      </c>
      <c r="E539" s="305" t="s">
        <v>964</v>
      </c>
      <c r="F539" s="154">
        <v>8000</v>
      </c>
      <c r="G539" s="154"/>
      <c r="H539" s="154">
        <v>7000</v>
      </c>
      <c r="I539" s="102">
        <f t="shared" si="313"/>
        <v>15000</v>
      </c>
      <c r="J539" s="154"/>
      <c r="K539" s="154">
        <v>7000</v>
      </c>
      <c r="L539" s="376">
        <f t="shared" si="311"/>
        <v>15000</v>
      </c>
      <c r="M539" s="376">
        <f t="shared" si="297"/>
        <v>0</v>
      </c>
      <c r="N539" s="749" t="str">
        <f t="shared" si="287"/>
        <v>-</v>
      </c>
      <c r="O539" s="259"/>
      <c r="P539" s="410" t="s">
        <v>231</v>
      </c>
      <c r="Q539" s="103"/>
      <c r="R539" s="661">
        <f t="shared" ref="R539:R543" si="314">K539</f>
        <v>7000</v>
      </c>
      <c r="S539" s="104" t="str">
        <f t="shared" si="284"/>
        <v>ok</v>
      </c>
    </row>
    <row r="540" spans="1:19" ht="31.5" customHeight="1">
      <c r="A540" s="770"/>
      <c r="B540" s="770"/>
      <c r="C540" s="147">
        <v>1112</v>
      </c>
      <c r="D540" s="147" t="s">
        <v>65</v>
      </c>
      <c r="E540" s="305" t="s">
        <v>965</v>
      </c>
      <c r="F540" s="154">
        <v>20000</v>
      </c>
      <c r="G540" s="154"/>
      <c r="H540" s="154">
        <v>9000</v>
      </c>
      <c r="I540" s="102">
        <f t="shared" si="313"/>
        <v>29000</v>
      </c>
      <c r="J540" s="154"/>
      <c r="K540" s="154">
        <v>9000</v>
      </c>
      <c r="L540" s="376">
        <f t="shared" si="311"/>
        <v>29000</v>
      </c>
      <c r="M540" s="376">
        <f t="shared" si="297"/>
        <v>0</v>
      </c>
      <c r="N540" s="749" t="str">
        <f t="shared" si="287"/>
        <v>-</v>
      </c>
      <c r="O540" s="259"/>
      <c r="P540" s="410" t="s">
        <v>231</v>
      </c>
      <c r="Q540" s="103"/>
      <c r="R540" s="661">
        <f t="shared" si="314"/>
        <v>9000</v>
      </c>
      <c r="S540" s="104" t="str">
        <f t="shared" si="284"/>
        <v>ok</v>
      </c>
    </row>
    <row r="541" spans="1:19" ht="31.5" customHeight="1">
      <c r="A541" s="770"/>
      <c r="B541" s="770"/>
      <c r="C541" s="147" t="s">
        <v>253</v>
      </c>
      <c r="D541" s="147" t="s">
        <v>65</v>
      </c>
      <c r="E541" s="305" t="s">
        <v>966</v>
      </c>
      <c r="F541" s="154"/>
      <c r="G541" s="154"/>
      <c r="H541" s="154">
        <v>52000</v>
      </c>
      <c r="I541" s="102">
        <f t="shared" si="313"/>
        <v>52000</v>
      </c>
      <c r="J541" s="154"/>
      <c r="K541" s="154">
        <v>52000</v>
      </c>
      <c r="L541" s="376">
        <f t="shared" si="311"/>
        <v>52000</v>
      </c>
      <c r="M541" s="376">
        <f t="shared" si="297"/>
        <v>0</v>
      </c>
      <c r="N541" s="749" t="str">
        <f t="shared" si="287"/>
        <v>-</v>
      </c>
      <c r="O541" s="259"/>
      <c r="P541" s="410" t="s">
        <v>231</v>
      </c>
      <c r="Q541" s="103"/>
      <c r="R541" s="661">
        <f t="shared" si="314"/>
        <v>52000</v>
      </c>
      <c r="S541" s="104" t="str">
        <f t="shared" si="284"/>
        <v>ok</v>
      </c>
    </row>
    <row r="542" spans="1:19" ht="31.5" customHeight="1">
      <c r="A542" s="770"/>
      <c r="B542" s="770"/>
      <c r="C542" s="147" t="s">
        <v>253</v>
      </c>
      <c r="D542" s="147" t="s">
        <v>65</v>
      </c>
      <c r="E542" s="305" t="s">
        <v>967</v>
      </c>
      <c r="F542" s="154"/>
      <c r="G542" s="154"/>
      <c r="H542" s="154">
        <v>4000</v>
      </c>
      <c r="I542" s="102">
        <f t="shared" si="313"/>
        <v>4000</v>
      </c>
      <c r="J542" s="154"/>
      <c r="K542" s="154">
        <v>4000</v>
      </c>
      <c r="L542" s="376">
        <f t="shared" si="311"/>
        <v>4000</v>
      </c>
      <c r="M542" s="376">
        <f t="shared" si="297"/>
        <v>0</v>
      </c>
      <c r="N542" s="749" t="str">
        <f t="shared" si="287"/>
        <v>-</v>
      </c>
      <c r="O542" s="259"/>
      <c r="P542" s="410" t="s">
        <v>231</v>
      </c>
      <c r="Q542" s="103"/>
      <c r="R542" s="661">
        <f t="shared" si="314"/>
        <v>4000</v>
      </c>
      <c r="S542" s="104" t="str">
        <f t="shared" si="284"/>
        <v>ok</v>
      </c>
    </row>
    <row r="543" spans="1:19" ht="31.5" customHeight="1">
      <c r="A543" s="770"/>
      <c r="B543" s="770"/>
      <c r="C543" s="147" t="s">
        <v>253</v>
      </c>
      <c r="D543" s="147" t="s">
        <v>65</v>
      </c>
      <c r="E543" s="305" t="s">
        <v>968</v>
      </c>
      <c r="F543" s="154"/>
      <c r="G543" s="154"/>
      <c r="H543" s="154">
        <v>20000</v>
      </c>
      <c r="I543" s="376">
        <f t="shared" si="313"/>
        <v>20000</v>
      </c>
      <c r="J543" s="154"/>
      <c r="K543" s="154">
        <v>20000</v>
      </c>
      <c r="L543" s="376">
        <f t="shared" si="311"/>
        <v>20000</v>
      </c>
      <c r="M543" s="376">
        <f t="shared" si="297"/>
        <v>0</v>
      </c>
      <c r="N543" s="749" t="str">
        <f t="shared" si="287"/>
        <v>-</v>
      </c>
      <c r="O543" s="259"/>
      <c r="P543" s="410" t="s">
        <v>231</v>
      </c>
      <c r="Q543" s="103"/>
      <c r="R543" s="661">
        <f t="shared" si="314"/>
        <v>20000</v>
      </c>
      <c r="S543" s="104" t="str">
        <f t="shared" si="284"/>
        <v>ok</v>
      </c>
    </row>
    <row r="544" spans="1:19" ht="31.5" customHeight="1">
      <c r="A544" s="770"/>
      <c r="B544" s="770"/>
      <c r="C544" s="147">
        <v>1115</v>
      </c>
      <c r="D544" s="147" t="s">
        <v>65</v>
      </c>
      <c r="E544" s="305" t="s">
        <v>969</v>
      </c>
      <c r="F544" s="154">
        <v>50000</v>
      </c>
      <c r="G544" s="154">
        <v>-50000</v>
      </c>
      <c r="H544" s="154"/>
      <c r="I544" s="376">
        <f t="shared" si="313"/>
        <v>0</v>
      </c>
      <c r="J544" s="154">
        <v>-50000</v>
      </c>
      <c r="K544" s="154"/>
      <c r="L544" s="376">
        <f t="shared" si="311"/>
        <v>0</v>
      </c>
      <c r="M544" s="376">
        <f t="shared" si="297"/>
        <v>0</v>
      </c>
      <c r="N544" s="749" t="str">
        <f t="shared" si="287"/>
        <v>-</v>
      </c>
      <c r="O544" s="259"/>
      <c r="P544" s="410" t="s">
        <v>231</v>
      </c>
      <c r="Q544" s="103"/>
      <c r="R544" s="661">
        <f>J544</f>
        <v>-50000</v>
      </c>
      <c r="S544" s="104" t="str">
        <f t="shared" si="284"/>
        <v>ok</v>
      </c>
    </row>
    <row r="545" spans="1:19" s="673" customFormat="1" ht="31.5" customHeight="1">
      <c r="A545" s="771">
        <v>1</v>
      </c>
      <c r="B545" s="771"/>
      <c r="C545" s="147">
        <v>1114</v>
      </c>
      <c r="D545" s="147" t="s">
        <v>65</v>
      </c>
      <c r="E545" s="572" t="s">
        <v>1310</v>
      </c>
      <c r="F545" s="154">
        <v>2380000</v>
      </c>
      <c r="G545" s="154"/>
      <c r="H545" s="154"/>
      <c r="I545" s="636">
        <f t="shared" ref="I545" si="315">F545+G545+H545</f>
        <v>2380000</v>
      </c>
      <c r="J545" s="154"/>
      <c r="K545" s="154">
        <v>200000</v>
      </c>
      <c r="L545" s="636">
        <f t="shared" ref="L545" si="316">F545+J545+K545</f>
        <v>2580000</v>
      </c>
      <c r="M545" s="636">
        <f t="shared" ref="M545" si="317">L545-I545</f>
        <v>200000</v>
      </c>
      <c r="N545" s="750" t="str">
        <f t="shared" si="287"/>
        <v>-</v>
      </c>
      <c r="O545" s="702" t="s">
        <v>1311</v>
      </c>
      <c r="P545" s="648" t="s">
        <v>1344</v>
      </c>
      <c r="Q545" s="671"/>
      <c r="R545" s="671">
        <f>K545</f>
        <v>200000</v>
      </c>
      <c r="S545" s="670" t="str">
        <f t="shared" ref="S545" si="318">IF((G545+H545)=(Q545+R545),"ok","검토")</f>
        <v>검토</v>
      </c>
    </row>
    <row r="546" spans="1:19" ht="31.5" customHeight="1">
      <c r="A546" s="770"/>
      <c r="B546" s="770"/>
      <c r="C546" s="147" t="s">
        <v>253</v>
      </c>
      <c r="D546" s="147" t="s">
        <v>69</v>
      </c>
      <c r="E546" s="305" t="s">
        <v>970</v>
      </c>
      <c r="F546" s="154"/>
      <c r="G546" s="154"/>
      <c r="H546" s="154">
        <v>20000</v>
      </c>
      <c r="I546" s="376">
        <f t="shared" si="313"/>
        <v>20000</v>
      </c>
      <c r="J546" s="154"/>
      <c r="K546" s="154">
        <v>20000</v>
      </c>
      <c r="L546" s="376">
        <f t="shared" si="311"/>
        <v>20000</v>
      </c>
      <c r="M546" s="376">
        <f t="shared" si="297"/>
        <v>0</v>
      </c>
      <c r="N546" s="749" t="str">
        <f t="shared" si="287"/>
        <v>-</v>
      </c>
      <c r="O546" s="259"/>
      <c r="P546" s="410" t="s">
        <v>231</v>
      </c>
      <c r="Q546" s="103"/>
      <c r="R546" s="661">
        <f>K546</f>
        <v>20000</v>
      </c>
      <c r="S546" s="104" t="str">
        <f t="shared" si="284"/>
        <v>ok</v>
      </c>
    </row>
    <row r="547" spans="1:19" s="673" customFormat="1" ht="31.5" customHeight="1">
      <c r="A547" s="770"/>
      <c r="B547" s="770"/>
      <c r="C547" s="662" t="s">
        <v>1287</v>
      </c>
      <c r="D547" s="662" t="s">
        <v>1161</v>
      </c>
      <c r="E547" s="288" t="s">
        <v>1518</v>
      </c>
      <c r="F547" s="658"/>
      <c r="G547" s="658"/>
      <c r="H547" s="658"/>
      <c r="I547" s="665">
        <f t="shared" si="313"/>
        <v>0</v>
      </c>
      <c r="J547" s="658"/>
      <c r="K547" s="641">
        <v>100000</v>
      </c>
      <c r="L547" s="665">
        <f t="shared" si="311"/>
        <v>100000</v>
      </c>
      <c r="M547" s="665">
        <f t="shared" si="297"/>
        <v>100000</v>
      </c>
      <c r="N547" s="749" t="str">
        <f t="shared" si="287"/>
        <v>-</v>
      </c>
      <c r="O547" s="336"/>
      <c r="P547" s="653" t="s">
        <v>1223</v>
      </c>
      <c r="Q547" s="658"/>
      <c r="R547" s="661">
        <f>K547</f>
        <v>100000</v>
      </c>
      <c r="S547" s="648" t="str">
        <f t="shared" si="284"/>
        <v>검토</v>
      </c>
    </row>
    <row r="548" spans="1:19" ht="31.5" customHeight="1">
      <c r="A548" s="770"/>
      <c r="B548" s="770"/>
      <c r="C548" s="147" t="s">
        <v>253</v>
      </c>
      <c r="D548" s="797" t="s">
        <v>1690</v>
      </c>
      <c r="E548" s="305" t="s">
        <v>971</v>
      </c>
      <c r="F548" s="154"/>
      <c r="G548" s="154"/>
      <c r="H548" s="154">
        <v>10000</v>
      </c>
      <c r="I548" s="376">
        <f t="shared" si="313"/>
        <v>10000</v>
      </c>
      <c r="J548" s="154"/>
      <c r="K548" s="154">
        <v>10000</v>
      </c>
      <c r="L548" s="376">
        <f t="shared" si="311"/>
        <v>10000</v>
      </c>
      <c r="M548" s="376">
        <f t="shared" si="297"/>
        <v>0</v>
      </c>
      <c r="N548" s="749" t="str">
        <f t="shared" si="287"/>
        <v>-</v>
      </c>
      <c r="O548" s="259"/>
      <c r="P548" s="410" t="s">
        <v>231</v>
      </c>
      <c r="Q548" s="103"/>
      <c r="R548" s="661">
        <f t="shared" ref="R548:R549" si="319">K548</f>
        <v>10000</v>
      </c>
      <c r="S548" s="104" t="str">
        <f t="shared" si="284"/>
        <v>ok</v>
      </c>
    </row>
    <row r="549" spans="1:19" ht="31.5" customHeight="1">
      <c r="A549" s="770"/>
      <c r="B549" s="770"/>
      <c r="C549" s="141" t="s">
        <v>253</v>
      </c>
      <c r="D549" s="141" t="s">
        <v>69</v>
      </c>
      <c r="E549" s="307" t="s">
        <v>972</v>
      </c>
      <c r="F549" s="54"/>
      <c r="G549" s="54"/>
      <c r="H549" s="54">
        <v>180010</v>
      </c>
      <c r="I549" s="376">
        <f t="shared" si="313"/>
        <v>180010</v>
      </c>
      <c r="J549" s="54"/>
      <c r="K549" s="54">
        <v>180010</v>
      </c>
      <c r="L549" s="376">
        <f t="shared" si="311"/>
        <v>180010</v>
      </c>
      <c r="M549" s="376">
        <f t="shared" si="297"/>
        <v>0</v>
      </c>
      <c r="N549" s="749" t="str">
        <f t="shared" si="287"/>
        <v>-</v>
      </c>
      <c r="O549" s="260"/>
      <c r="P549" s="410" t="s">
        <v>231</v>
      </c>
      <c r="Q549" s="136"/>
      <c r="R549" s="661">
        <f t="shared" si="319"/>
        <v>180010</v>
      </c>
      <c r="S549" s="104" t="str">
        <f t="shared" si="284"/>
        <v>ok</v>
      </c>
    </row>
    <row r="550" spans="1:19" ht="31.5" customHeight="1">
      <c r="A550" s="770"/>
      <c r="B550" s="770"/>
      <c r="C550" s="147">
        <v>1120</v>
      </c>
      <c r="D550" s="147" t="s">
        <v>69</v>
      </c>
      <c r="E550" s="305" t="s">
        <v>70</v>
      </c>
      <c r="F550" s="130">
        <v>678000</v>
      </c>
      <c r="G550" s="53">
        <v>-272341</v>
      </c>
      <c r="H550" s="154"/>
      <c r="I550" s="102">
        <f>F550+G550+H550</f>
        <v>405659</v>
      </c>
      <c r="J550" s="53">
        <v>-272341</v>
      </c>
      <c r="K550" s="154"/>
      <c r="L550" s="376">
        <f t="shared" si="311"/>
        <v>405659</v>
      </c>
      <c r="M550" s="376">
        <f t="shared" si="297"/>
        <v>0</v>
      </c>
      <c r="N550" s="749" t="str">
        <f t="shared" si="287"/>
        <v>-</v>
      </c>
      <c r="O550" s="259"/>
      <c r="P550" s="410" t="s">
        <v>231</v>
      </c>
      <c r="Q550" s="304"/>
      <c r="R550" s="661">
        <f>J550</f>
        <v>-272341</v>
      </c>
      <c r="S550" s="104" t="str">
        <f t="shared" si="284"/>
        <v>ok</v>
      </c>
    </row>
    <row r="551" spans="1:19" ht="51" customHeight="1">
      <c r="A551" s="770"/>
      <c r="B551" s="770"/>
      <c r="C551" s="147">
        <v>1126</v>
      </c>
      <c r="D551" s="147" t="s">
        <v>212</v>
      </c>
      <c r="E551" s="305" t="s">
        <v>973</v>
      </c>
      <c r="F551" s="130">
        <v>2760000</v>
      </c>
      <c r="G551" s="53"/>
      <c r="H551" s="154">
        <v>411000</v>
      </c>
      <c r="I551" s="102">
        <f t="shared" si="313"/>
        <v>3171000</v>
      </c>
      <c r="J551" s="53"/>
      <c r="K551" s="154">
        <v>411000</v>
      </c>
      <c r="L551" s="376">
        <f t="shared" si="311"/>
        <v>3171000</v>
      </c>
      <c r="M551" s="376">
        <f t="shared" si="297"/>
        <v>0</v>
      </c>
      <c r="N551" s="749" t="str">
        <f t="shared" si="287"/>
        <v>-</v>
      </c>
      <c r="O551" s="259" t="s">
        <v>974</v>
      </c>
      <c r="P551" s="378" t="s">
        <v>90</v>
      </c>
      <c r="Q551" s="304">
        <v>411000</v>
      </c>
      <c r="R551" s="304"/>
      <c r="S551" s="104" t="str">
        <f t="shared" si="284"/>
        <v>ok</v>
      </c>
    </row>
    <row r="552" spans="1:19" ht="51" customHeight="1">
      <c r="A552" s="770"/>
      <c r="B552" s="770"/>
      <c r="C552" s="147">
        <v>1131</v>
      </c>
      <c r="D552" s="147" t="s">
        <v>212</v>
      </c>
      <c r="E552" s="305" t="s">
        <v>975</v>
      </c>
      <c r="F552" s="130">
        <v>489760</v>
      </c>
      <c r="G552" s="53"/>
      <c r="H552" s="154">
        <v>9720</v>
      </c>
      <c r="I552" s="376">
        <f t="shared" si="313"/>
        <v>499480</v>
      </c>
      <c r="J552" s="53"/>
      <c r="K552" s="154">
        <v>9720</v>
      </c>
      <c r="L552" s="376">
        <f t="shared" si="311"/>
        <v>499480</v>
      </c>
      <c r="M552" s="376">
        <f t="shared" si="297"/>
        <v>0</v>
      </c>
      <c r="N552" s="749" t="str">
        <f t="shared" si="287"/>
        <v>-</v>
      </c>
      <c r="O552" s="259" t="s">
        <v>976</v>
      </c>
      <c r="P552" s="378" t="s">
        <v>90</v>
      </c>
      <c r="Q552" s="304">
        <v>9720</v>
      </c>
      <c r="R552" s="304"/>
      <c r="S552" s="104" t="str">
        <f t="shared" si="284"/>
        <v>ok</v>
      </c>
    </row>
    <row r="553" spans="1:19" ht="51" customHeight="1">
      <c r="A553" s="770"/>
      <c r="B553" s="770"/>
      <c r="C553" s="147">
        <v>1132</v>
      </c>
      <c r="D553" s="147" t="s">
        <v>212</v>
      </c>
      <c r="E553" s="305" t="s">
        <v>977</v>
      </c>
      <c r="F553" s="130">
        <v>19440</v>
      </c>
      <c r="G553" s="53">
        <v>-19440</v>
      </c>
      <c r="H553" s="154"/>
      <c r="I553" s="376">
        <f t="shared" si="313"/>
        <v>0</v>
      </c>
      <c r="J553" s="53">
        <v>-19440</v>
      </c>
      <c r="K553" s="154"/>
      <c r="L553" s="376">
        <f t="shared" si="311"/>
        <v>0</v>
      </c>
      <c r="M553" s="376">
        <f t="shared" si="297"/>
        <v>0</v>
      </c>
      <c r="N553" s="749" t="str">
        <f t="shared" si="287"/>
        <v>-</v>
      </c>
      <c r="O553" s="259" t="s">
        <v>976</v>
      </c>
      <c r="P553" s="378" t="s">
        <v>739</v>
      </c>
      <c r="Q553" s="304">
        <v>-9720</v>
      </c>
      <c r="R553" s="304">
        <v>-9720</v>
      </c>
      <c r="S553" s="104" t="str">
        <f t="shared" ref="S553:S597" si="320">IF((G553+H553)=(Q553+R553),"ok","검토")</f>
        <v>ok</v>
      </c>
    </row>
    <row r="554" spans="1:19" ht="31.5" customHeight="1">
      <c r="A554" s="770"/>
      <c r="B554" s="770"/>
      <c r="C554" s="100">
        <v>1132</v>
      </c>
      <c r="D554" s="101" t="s">
        <v>212</v>
      </c>
      <c r="E554" s="140" t="s">
        <v>978</v>
      </c>
      <c r="F554" s="95">
        <v>360000</v>
      </c>
      <c r="G554" s="53">
        <v>-60000</v>
      </c>
      <c r="H554" s="95"/>
      <c r="I554" s="102">
        <f>F554+G554+H554</f>
        <v>300000</v>
      </c>
      <c r="J554" s="53"/>
      <c r="K554" s="375"/>
      <c r="L554" s="376">
        <f t="shared" si="311"/>
        <v>360000</v>
      </c>
      <c r="M554" s="376">
        <f t="shared" si="297"/>
        <v>60000</v>
      </c>
      <c r="N554" s="749" t="str">
        <f t="shared" si="287"/>
        <v>검토</v>
      </c>
      <c r="O554" s="333"/>
      <c r="P554" s="378" t="s">
        <v>231</v>
      </c>
      <c r="Q554" s="103"/>
      <c r="R554" s="661">
        <f>J554</f>
        <v>0</v>
      </c>
      <c r="S554" s="104" t="str">
        <f t="shared" si="320"/>
        <v>검토</v>
      </c>
    </row>
    <row r="555" spans="1:19" ht="31.5" customHeight="1">
      <c r="A555" s="770"/>
      <c r="B555" s="770"/>
      <c r="C555" s="147">
        <v>1134</v>
      </c>
      <c r="D555" s="147" t="s">
        <v>212</v>
      </c>
      <c r="E555" s="305" t="s">
        <v>979</v>
      </c>
      <c r="F555" s="154">
        <v>191799</v>
      </c>
      <c r="G555" s="154"/>
      <c r="H555" s="154">
        <v>111089</v>
      </c>
      <c r="I555" s="102">
        <f t="shared" si="313"/>
        <v>302888</v>
      </c>
      <c r="J555" s="154"/>
      <c r="K555" s="154">
        <v>111089</v>
      </c>
      <c r="L555" s="376">
        <f t="shared" si="311"/>
        <v>302888</v>
      </c>
      <c r="M555" s="376">
        <f t="shared" si="297"/>
        <v>0</v>
      </c>
      <c r="N555" s="749" t="str">
        <f t="shared" si="287"/>
        <v>-</v>
      </c>
      <c r="O555" s="259" t="s">
        <v>980</v>
      </c>
      <c r="P555" s="378" t="s">
        <v>231</v>
      </c>
      <c r="Q555" s="304"/>
      <c r="R555" s="661">
        <f t="shared" ref="R555:R558" si="321">K555</f>
        <v>111089</v>
      </c>
      <c r="S555" s="104" t="str">
        <f t="shared" si="320"/>
        <v>ok</v>
      </c>
    </row>
    <row r="556" spans="1:19" ht="31.5" customHeight="1">
      <c r="A556" s="770"/>
      <c r="B556" s="770"/>
      <c r="C556" s="147" t="s">
        <v>253</v>
      </c>
      <c r="D556" s="147" t="s">
        <v>212</v>
      </c>
      <c r="E556" s="306" t="s">
        <v>981</v>
      </c>
      <c r="F556" s="158"/>
      <c r="G556" s="158"/>
      <c r="H556" s="158">
        <v>58320</v>
      </c>
      <c r="I556" s="102">
        <f t="shared" si="313"/>
        <v>58320</v>
      </c>
      <c r="J556" s="158"/>
      <c r="K556" s="158">
        <v>58320</v>
      </c>
      <c r="L556" s="376">
        <f t="shared" si="311"/>
        <v>58320</v>
      </c>
      <c r="M556" s="376">
        <f t="shared" si="297"/>
        <v>0</v>
      </c>
      <c r="N556" s="749" t="str">
        <f t="shared" si="287"/>
        <v>-</v>
      </c>
      <c r="O556" s="259" t="s">
        <v>980</v>
      </c>
      <c r="P556" s="378" t="s">
        <v>231</v>
      </c>
      <c r="Q556" s="304"/>
      <c r="R556" s="661">
        <f t="shared" si="321"/>
        <v>58320</v>
      </c>
      <c r="S556" s="104" t="str">
        <f t="shared" si="320"/>
        <v>ok</v>
      </c>
    </row>
    <row r="557" spans="1:19" ht="31.5" customHeight="1">
      <c r="A557" s="770"/>
      <c r="B557" s="770"/>
      <c r="C557" s="147">
        <v>1134</v>
      </c>
      <c r="D557" s="147" t="s">
        <v>212</v>
      </c>
      <c r="E557" s="306" t="s">
        <v>982</v>
      </c>
      <c r="F557" s="158">
        <v>225504</v>
      </c>
      <c r="G557" s="158"/>
      <c r="H557" s="158">
        <v>56376</v>
      </c>
      <c r="I557" s="376">
        <f t="shared" si="313"/>
        <v>281880</v>
      </c>
      <c r="J557" s="158"/>
      <c r="K557" s="158">
        <v>56376</v>
      </c>
      <c r="L557" s="376">
        <f t="shared" si="311"/>
        <v>281880</v>
      </c>
      <c r="M557" s="376">
        <f t="shared" si="297"/>
        <v>0</v>
      </c>
      <c r="N557" s="749" t="str">
        <f t="shared" si="287"/>
        <v>-</v>
      </c>
      <c r="O557" s="259" t="s">
        <v>980</v>
      </c>
      <c r="P557" s="378" t="s">
        <v>231</v>
      </c>
      <c r="Q557" s="304"/>
      <c r="R557" s="661">
        <f t="shared" si="321"/>
        <v>56376</v>
      </c>
      <c r="S557" s="104" t="str">
        <f t="shared" si="320"/>
        <v>ok</v>
      </c>
    </row>
    <row r="558" spans="1:19" s="673" customFormat="1" ht="31.5" customHeight="1">
      <c r="A558" s="770"/>
      <c r="B558" s="770"/>
      <c r="C558" s="662" t="s">
        <v>94</v>
      </c>
      <c r="D558" s="658" t="s">
        <v>212</v>
      </c>
      <c r="E558" s="288" t="s">
        <v>1536</v>
      </c>
      <c r="F558" s="658"/>
      <c r="G558" s="658"/>
      <c r="H558" s="658">
        <v>20000</v>
      </c>
      <c r="I558" s="665">
        <f t="shared" si="313"/>
        <v>20000</v>
      </c>
      <c r="J558" s="658"/>
      <c r="K558" s="641">
        <v>20000</v>
      </c>
      <c r="L558" s="665">
        <f t="shared" si="311"/>
        <v>20000</v>
      </c>
      <c r="M558" s="665">
        <f t="shared" si="297"/>
        <v>0</v>
      </c>
      <c r="N558" s="749" t="str">
        <f t="shared" ref="N558:N597" si="322">IF(AND(((G558+H558)&lt;0),(J558+K558)&gt;(G558+H558)),"검토","-")</f>
        <v>-</v>
      </c>
      <c r="O558" s="336"/>
      <c r="P558" s="653" t="s">
        <v>1223</v>
      </c>
      <c r="Q558" s="658"/>
      <c r="R558" s="661">
        <f t="shared" si="321"/>
        <v>20000</v>
      </c>
      <c r="S558" s="648" t="str">
        <f t="shared" si="320"/>
        <v>ok</v>
      </c>
    </row>
    <row r="559" spans="1:19" s="673" customFormat="1" ht="31.5" customHeight="1">
      <c r="A559" s="770"/>
      <c r="B559" s="770"/>
      <c r="C559" s="662" t="s">
        <v>94</v>
      </c>
      <c r="D559" s="658" t="s">
        <v>212</v>
      </c>
      <c r="E559" s="288" t="s">
        <v>1520</v>
      </c>
      <c r="F559" s="658"/>
      <c r="G559" s="658"/>
      <c r="H559" s="658"/>
      <c r="I559" s="665">
        <f t="shared" si="313"/>
        <v>0</v>
      </c>
      <c r="J559" s="658"/>
      <c r="K559" s="641">
        <v>70000</v>
      </c>
      <c r="L559" s="665">
        <f t="shared" si="311"/>
        <v>70000</v>
      </c>
      <c r="M559" s="665">
        <f t="shared" si="297"/>
        <v>70000</v>
      </c>
      <c r="N559" s="749" t="str">
        <f t="shared" si="322"/>
        <v>-</v>
      </c>
      <c r="O559" s="336"/>
      <c r="P559" s="653" t="s">
        <v>1223</v>
      </c>
      <c r="Q559" s="658"/>
      <c r="R559" s="661">
        <f>K559</f>
        <v>70000</v>
      </c>
      <c r="S559" s="648" t="str">
        <f t="shared" si="320"/>
        <v>검토</v>
      </c>
    </row>
    <row r="560" spans="1:19" ht="31.5" customHeight="1">
      <c r="A560" s="770"/>
      <c r="B560" s="770"/>
      <c r="C560" s="147" t="s">
        <v>94</v>
      </c>
      <c r="D560" s="147" t="s">
        <v>65</v>
      </c>
      <c r="E560" s="305" t="s">
        <v>66</v>
      </c>
      <c r="F560" s="130"/>
      <c r="G560" s="53"/>
      <c r="H560" s="154">
        <v>122925</v>
      </c>
      <c r="I560" s="376">
        <f t="shared" si="313"/>
        <v>122925</v>
      </c>
      <c r="J560" s="53"/>
      <c r="K560" s="154">
        <v>122925</v>
      </c>
      <c r="L560" s="376">
        <f t="shared" si="311"/>
        <v>122925</v>
      </c>
      <c r="M560" s="376">
        <f t="shared" si="297"/>
        <v>0</v>
      </c>
      <c r="N560" s="749" t="str">
        <f t="shared" si="322"/>
        <v>-</v>
      </c>
      <c r="O560" s="259" t="s">
        <v>67</v>
      </c>
      <c r="P560" s="378" t="s">
        <v>231</v>
      </c>
      <c r="Q560" s="304"/>
      <c r="R560" s="661">
        <f t="shared" ref="R560:R564" si="323">K560</f>
        <v>122925</v>
      </c>
      <c r="S560" s="104" t="str">
        <f t="shared" si="320"/>
        <v>ok</v>
      </c>
    </row>
    <row r="561" spans="1:19" ht="31.5" customHeight="1">
      <c r="A561" s="770"/>
      <c r="B561" s="770"/>
      <c r="C561" s="147" t="s">
        <v>94</v>
      </c>
      <c r="D561" s="147" t="s">
        <v>65</v>
      </c>
      <c r="E561" s="305" t="s">
        <v>68</v>
      </c>
      <c r="F561" s="130"/>
      <c r="G561" s="53"/>
      <c r="H561" s="154">
        <v>36000</v>
      </c>
      <c r="I561" s="376">
        <f t="shared" si="313"/>
        <v>36000</v>
      </c>
      <c r="J561" s="53"/>
      <c r="K561" s="154">
        <v>36000</v>
      </c>
      <c r="L561" s="376">
        <f t="shared" si="311"/>
        <v>36000</v>
      </c>
      <c r="M561" s="376">
        <f t="shared" si="297"/>
        <v>0</v>
      </c>
      <c r="N561" s="749" t="str">
        <f t="shared" si="322"/>
        <v>-</v>
      </c>
      <c r="O561" s="259"/>
      <c r="P561" s="378" t="s">
        <v>231</v>
      </c>
      <c r="Q561" s="304"/>
      <c r="R561" s="661">
        <f t="shared" si="323"/>
        <v>36000</v>
      </c>
      <c r="S561" s="104" t="str">
        <f t="shared" si="320"/>
        <v>ok</v>
      </c>
    </row>
    <row r="562" spans="1:19" ht="31.5" customHeight="1">
      <c r="A562" s="770"/>
      <c r="B562" s="770"/>
      <c r="C562" s="147" t="s">
        <v>94</v>
      </c>
      <c r="D562" s="147" t="s">
        <v>71</v>
      </c>
      <c r="E562" s="305" t="s">
        <v>72</v>
      </c>
      <c r="F562" s="154"/>
      <c r="G562" s="154"/>
      <c r="H562" s="154">
        <v>80000</v>
      </c>
      <c r="I562" s="102">
        <f t="shared" si="313"/>
        <v>80000</v>
      </c>
      <c r="J562" s="154"/>
      <c r="K562" s="154">
        <v>80000</v>
      </c>
      <c r="L562" s="376">
        <f t="shared" si="311"/>
        <v>80000</v>
      </c>
      <c r="M562" s="376">
        <f t="shared" si="297"/>
        <v>0</v>
      </c>
      <c r="N562" s="749" t="str">
        <f t="shared" si="322"/>
        <v>-</v>
      </c>
      <c r="O562" s="259"/>
      <c r="P562" s="378" t="s">
        <v>231</v>
      </c>
      <c r="Q562" s="304"/>
      <c r="R562" s="661">
        <f t="shared" si="323"/>
        <v>80000</v>
      </c>
      <c r="S562" s="104" t="str">
        <f t="shared" si="320"/>
        <v>ok</v>
      </c>
    </row>
    <row r="563" spans="1:19" ht="31.5" customHeight="1">
      <c r="A563" s="770"/>
      <c r="B563" s="770"/>
      <c r="C563" s="100">
        <v>1141</v>
      </c>
      <c r="D563" s="101" t="s">
        <v>983</v>
      </c>
      <c r="E563" s="183" t="s">
        <v>984</v>
      </c>
      <c r="F563" s="95">
        <v>30000</v>
      </c>
      <c r="G563" s="95"/>
      <c r="H563" s="95">
        <v>20000</v>
      </c>
      <c r="I563" s="102">
        <f>F563+G563+H563</f>
        <v>50000</v>
      </c>
      <c r="J563" s="375"/>
      <c r="K563" s="375">
        <v>20000</v>
      </c>
      <c r="L563" s="376">
        <f t="shared" si="311"/>
        <v>50000</v>
      </c>
      <c r="M563" s="376">
        <f t="shared" si="297"/>
        <v>0</v>
      </c>
      <c r="N563" s="749" t="str">
        <f t="shared" si="322"/>
        <v>-</v>
      </c>
      <c r="O563" s="333"/>
      <c r="P563" s="378" t="s">
        <v>231</v>
      </c>
      <c r="Q563" s="103"/>
      <c r="R563" s="661">
        <f t="shared" si="323"/>
        <v>20000</v>
      </c>
      <c r="S563" s="104" t="str">
        <f t="shared" si="320"/>
        <v>ok</v>
      </c>
    </row>
    <row r="564" spans="1:19" s="372" customFormat="1" ht="31.5" customHeight="1">
      <c r="A564" s="770"/>
      <c r="B564" s="770"/>
      <c r="C564" s="371">
        <v>1141</v>
      </c>
      <c r="D564" s="379" t="s">
        <v>983</v>
      </c>
      <c r="E564" s="183" t="s">
        <v>1041</v>
      </c>
      <c r="F564" s="375">
        <v>30000</v>
      </c>
      <c r="G564" s="375"/>
      <c r="H564" s="375">
        <v>30000</v>
      </c>
      <c r="I564" s="376">
        <f t="shared" ref="I564:I565" si="324">F564+G564+H564</f>
        <v>60000</v>
      </c>
      <c r="J564" s="375"/>
      <c r="K564" s="375">
        <v>30000</v>
      </c>
      <c r="L564" s="376">
        <f t="shared" si="311"/>
        <v>60000</v>
      </c>
      <c r="M564" s="376">
        <f t="shared" si="297"/>
        <v>0</v>
      </c>
      <c r="N564" s="749" t="str">
        <f t="shared" si="322"/>
        <v>-</v>
      </c>
      <c r="O564" s="333"/>
      <c r="P564" s="378" t="s">
        <v>27</v>
      </c>
      <c r="Q564" s="377"/>
      <c r="R564" s="661">
        <f t="shared" si="323"/>
        <v>30000</v>
      </c>
      <c r="S564" s="378" t="str">
        <f t="shared" si="320"/>
        <v>ok</v>
      </c>
    </row>
    <row r="565" spans="1:19" s="673" customFormat="1" ht="31.5" customHeight="1">
      <c r="A565" s="770"/>
      <c r="B565" s="770"/>
      <c r="C565" s="662" t="s">
        <v>94</v>
      </c>
      <c r="D565" s="658" t="s">
        <v>983</v>
      </c>
      <c r="E565" s="288" t="s">
        <v>1521</v>
      </c>
      <c r="F565" s="658"/>
      <c r="G565" s="658"/>
      <c r="H565" s="658"/>
      <c r="I565" s="665">
        <f t="shared" si="324"/>
        <v>0</v>
      </c>
      <c r="J565" s="658"/>
      <c r="K565" s="641">
        <v>100000</v>
      </c>
      <c r="L565" s="665">
        <f t="shared" si="311"/>
        <v>100000</v>
      </c>
      <c r="M565" s="665">
        <f t="shared" si="297"/>
        <v>100000</v>
      </c>
      <c r="N565" s="749" t="str">
        <f t="shared" si="322"/>
        <v>-</v>
      </c>
      <c r="O565" s="336"/>
      <c r="P565" s="653" t="s">
        <v>1223</v>
      </c>
      <c r="Q565" s="658"/>
      <c r="R565" s="661">
        <f>K565</f>
        <v>100000</v>
      </c>
      <c r="S565" s="648" t="str">
        <f t="shared" si="320"/>
        <v>검토</v>
      </c>
    </row>
    <row r="566" spans="1:19" ht="31.5" customHeight="1">
      <c r="A566" s="770"/>
      <c r="B566" s="770">
        <v>0</v>
      </c>
      <c r="C566" s="100" t="s">
        <v>94</v>
      </c>
      <c r="D566" s="101" t="s">
        <v>69</v>
      </c>
      <c r="E566" s="183" t="s">
        <v>985</v>
      </c>
      <c r="F566" s="95"/>
      <c r="G566" s="95"/>
      <c r="H566" s="95">
        <v>5738148</v>
      </c>
      <c r="I566" s="102">
        <f>F566+G566+H566</f>
        <v>5738148</v>
      </c>
      <c r="J566" s="375"/>
      <c r="K566" s="375">
        <v>5738148</v>
      </c>
      <c r="L566" s="376">
        <f t="shared" si="311"/>
        <v>5738148</v>
      </c>
      <c r="M566" s="376">
        <f t="shared" si="297"/>
        <v>0</v>
      </c>
      <c r="N566" s="749" t="str">
        <f t="shared" si="322"/>
        <v>-</v>
      </c>
      <c r="O566" s="333"/>
      <c r="P566" s="378" t="s">
        <v>231</v>
      </c>
      <c r="Q566" s="103"/>
      <c r="R566" s="661">
        <f t="shared" ref="R566:R570" si="325">K566</f>
        <v>5738148</v>
      </c>
      <c r="S566" s="104" t="str">
        <f t="shared" si="320"/>
        <v>ok</v>
      </c>
    </row>
    <row r="567" spans="1:19" ht="31.5" customHeight="1">
      <c r="A567" s="770"/>
      <c r="B567" s="770"/>
      <c r="C567" s="100">
        <v>1146</v>
      </c>
      <c r="D567" s="101" t="s">
        <v>71</v>
      </c>
      <c r="E567" s="183" t="s">
        <v>986</v>
      </c>
      <c r="F567" s="95">
        <v>17000</v>
      </c>
      <c r="G567" s="95"/>
      <c r="H567" s="95">
        <v>13000</v>
      </c>
      <c r="I567" s="102">
        <f>F567+G567+H567</f>
        <v>30000</v>
      </c>
      <c r="J567" s="375"/>
      <c r="K567" s="375">
        <v>13000</v>
      </c>
      <c r="L567" s="376">
        <f t="shared" si="311"/>
        <v>30000</v>
      </c>
      <c r="M567" s="376">
        <f t="shared" si="297"/>
        <v>0</v>
      </c>
      <c r="N567" s="749" t="str">
        <f t="shared" si="322"/>
        <v>-</v>
      </c>
      <c r="O567" s="333"/>
      <c r="P567" s="378" t="s">
        <v>231</v>
      </c>
      <c r="Q567" s="103"/>
      <c r="R567" s="661">
        <f t="shared" si="325"/>
        <v>13000</v>
      </c>
      <c r="S567" s="104" t="str">
        <f t="shared" si="320"/>
        <v>ok</v>
      </c>
    </row>
    <row r="568" spans="1:19" ht="31.5" customHeight="1">
      <c r="A568" s="770"/>
      <c r="B568" s="770"/>
      <c r="C568" s="100">
        <v>1148</v>
      </c>
      <c r="D568" s="101" t="s">
        <v>71</v>
      </c>
      <c r="E568" s="183" t="s">
        <v>987</v>
      </c>
      <c r="F568" s="95">
        <v>40000</v>
      </c>
      <c r="G568" s="95"/>
      <c r="H568" s="95">
        <v>20000</v>
      </c>
      <c r="I568" s="102">
        <f t="shared" si="313"/>
        <v>60000</v>
      </c>
      <c r="J568" s="375"/>
      <c r="K568" s="375">
        <v>20000</v>
      </c>
      <c r="L568" s="376">
        <f t="shared" si="311"/>
        <v>60000</v>
      </c>
      <c r="M568" s="376">
        <f t="shared" si="297"/>
        <v>0</v>
      </c>
      <c r="N568" s="749" t="str">
        <f t="shared" si="322"/>
        <v>-</v>
      </c>
      <c r="O568" s="333"/>
      <c r="P568" s="378" t="s">
        <v>231</v>
      </c>
      <c r="Q568" s="103"/>
      <c r="R568" s="661">
        <f t="shared" si="325"/>
        <v>20000</v>
      </c>
      <c r="S568" s="104" t="str">
        <f t="shared" si="320"/>
        <v>ok</v>
      </c>
    </row>
    <row r="569" spans="1:19" ht="31.5" customHeight="1">
      <c r="A569" s="770"/>
      <c r="B569" s="770"/>
      <c r="C569" s="100">
        <v>1157</v>
      </c>
      <c r="D569" s="101" t="s">
        <v>988</v>
      </c>
      <c r="E569" s="183" t="s">
        <v>989</v>
      </c>
      <c r="F569" s="95">
        <v>73000</v>
      </c>
      <c r="G569" s="95"/>
      <c r="H569" s="95">
        <v>18935</v>
      </c>
      <c r="I569" s="102">
        <f>F569+G569+H569</f>
        <v>91935</v>
      </c>
      <c r="J569" s="375"/>
      <c r="K569" s="375">
        <v>18935</v>
      </c>
      <c r="L569" s="376">
        <f t="shared" si="311"/>
        <v>91935</v>
      </c>
      <c r="M569" s="376">
        <f t="shared" si="297"/>
        <v>0</v>
      </c>
      <c r="N569" s="749" t="str">
        <f t="shared" si="322"/>
        <v>-</v>
      </c>
      <c r="O569" s="333"/>
      <c r="P569" s="378" t="s">
        <v>231</v>
      </c>
      <c r="Q569" s="103"/>
      <c r="R569" s="661">
        <f t="shared" si="325"/>
        <v>18935</v>
      </c>
      <c r="S569" s="104" t="str">
        <f t="shared" si="320"/>
        <v>ok</v>
      </c>
    </row>
    <row r="570" spans="1:19" s="372" customFormat="1" ht="48" customHeight="1">
      <c r="A570" s="770"/>
      <c r="B570" s="770"/>
      <c r="C570" s="371">
        <v>1160</v>
      </c>
      <c r="D570" s="379" t="s">
        <v>988</v>
      </c>
      <c r="E570" s="183" t="s">
        <v>990</v>
      </c>
      <c r="F570" s="375">
        <v>82653</v>
      </c>
      <c r="G570" s="375"/>
      <c r="H570" s="375">
        <v>47347</v>
      </c>
      <c r="I570" s="376">
        <f t="shared" ref="I570" si="326">F570+G570+H570</f>
        <v>130000</v>
      </c>
      <c r="J570" s="375"/>
      <c r="K570" s="375">
        <v>47347</v>
      </c>
      <c r="L570" s="376">
        <f t="shared" si="311"/>
        <v>130000</v>
      </c>
      <c r="M570" s="376">
        <f t="shared" si="297"/>
        <v>0</v>
      </c>
      <c r="N570" s="749" t="str">
        <f t="shared" si="322"/>
        <v>-</v>
      </c>
      <c r="O570" s="333"/>
      <c r="P570" s="378" t="s">
        <v>27</v>
      </c>
      <c r="Q570" s="377"/>
      <c r="R570" s="661">
        <f t="shared" si="325"/>
        <v>47347</v>
      </c>
      <c r="S570" s="378" t="str">
        <f t="shared" si="320"/>
        <v>ok</v>
      </c>
    </row>
    <row r="571" spans="1:19" s="673" customFormat="1" ht="31.5" customHeight="1">
      <c r="A571" s="770"/>
      <c r="B571" s="770"/>
      <c r="C571" s="662">
        <v>1157</v>
      </c>
      <c r="D571" s="658" t="s">
        <v>988</v>
      </c>
      <c r="E571" s="288" t="s">
        <v>1522</v>
      </c>
      <c r="F571" s="658">
        <v>280000</v>
      </c>
      <c r="G571" s="658"/>
      <c r="H571" s="658"/>
      <c r="I571" s="665">
        <f>F571+G571+H571</f>
        <v>280000</v>
      </c>
      <c r="J571" s="658"/>
      <c r="K571" s="641">
        <v>60000</v>
      </c>
      <c r="L571" s="665">
        <f>F571+J571+K571</f>
        <v>340000</v>
      </c>
      <c r="M571" s="665">
        <f>L571-I571</f>
        <v>60000</v>
      </c>
      <c r="N571" s="749" t="str">
        <f>IF(AND(((G571+H571)&lt;0),(J571+K571)&gt;(G571+H571)),"검토","-")</f>
        <v>-</v>
      </c>
      <c r="O571" s="336"/>
      <c r="P571" s="653" t="s">
        <v>1223</v>
      </c>
      <c r="Q571" s="658"/>
      <c r="R571" s="661">
        <f>K571</f>
        <v>60000</v>
      </c>
      <c r="S571" s="648" t="str">
        <f>IF((G571+H571)=(Q571+R571),"ok","검토")</f>
        <v>검토</v>
      </c>
    </row>
    <row r="572" spans="1:19" ht="31.5" customHeight="1">
      <c r="A572" s="770"/>
      <c r="B572" s="612" t="s">
        <v>166</v>
      </c>
      <c r="C572" s="628"/>
      <c r="D572" s="31"/>
      <c r="E572" s="31"/>
      <c r="F572" s="32">
        <f t="shared" ref="F572:K572" si="327">SUM(F573:F584)</f>
        <v>4337299</v>
      </c>
      <c r="G572" s="32">
        <f t="shared" si="327"/>
        <v>-65719</v>
      </c>
      <c r="H572" s="32">
        <f t="shared" si="327"/>
        <v>3822651</v>
      </c>
      <c r="I572" s="32">
        <f t="shared" si="327"/>
        <v>8094231</v>
      </c>
      <c r="J572" s="370">
        <f t="shared" si="327"/>
        <v>-65719</v>
      </c>
      <c r="K572" s="370">
        <f t="shared" si="327"/>
        <v>4372651</v>
      </c>
      <c r="L572" s="370">
        <f t="shared" si="311"/>
        <v>8644231</v>
      </c>
      <c r="M572" s="370">
        <f t="shared" si="297"/>
        <v>550000</v>
      </c>
      <c r="N572" s="628" t="str">
        <f t="shared" si="322"/>
        <v>-</v>
      </c>
      <c r="O572" s="321"/>
      <c r="P572" s="30"/>
      <c r="Q572" s="32">
        <f>SUM(Q573:Q584)</f>
        <v>320000</v>
      </c>
      <c r="R572" s="32">
        <f>SUM(R573:R584)</f>
        <v>3986932</v>
      </c>
      <c r="S572" s="30" t="str">
        <f t="shared" si="320"/>
        <v>검토</v>
      </c>
    </row>
    <row r="573" spans="1:19" ht="66" customHeight="1">
      <c r="A573" s="770"/>
      <c r="B573" s="770"/>
      <c r="C573" s="308">
        <v>1169</v>
      </c>
      <c r="D573" s="309" t="s">
        <v>73</v>
      </c>
      <c r="E573" s="278" t="s">
        <v>991</v>
      </c>
      <c r="F573" s="53">
        <v>4018830</v>
      </c>
      <c r="G573" s="53"/>
      <c r="H573" s="53"/>
      <c r="I573" s="102">
        <f t="shared" ref="I573:I581" si="328">F573+G573+H573</f>
        <v>4018830</v>
      </c>
      <c r="J573" s="53"/>
      <c r="K573" s="53"/>
      <c r="L573" s="376">
        <f t="shared" si="311"/>
        <v>4018830</v>
      </c>
      <c r="M573" s="376">
        <f t="shared" si="297"/>
        <v>0</v>
      </c>
      <c r="N573" s="749" t="str">
        <f t="shared" si="322"/>
        <v>-</v>
      </c>
      <c r="O573" s="261" t="s">
        <v>1021</v>
      </c>
      <c r="P573" s="378" t="s">
        <v>90</v>
      </c>
      <c r="Q573" s="126"/>
      <c r="R573" s="126"/>
      <c r="S573" s="104" t="str">
        <f t="shared" si="320"/>
        <v>ok</v>
      </c>
    </row>
    <row r="574" spans="1:19" ht="110.25" customHeight="1">
      <c r="A574" s="770"/>
      <c r="B574" s="770"/>
      <c r="C574" s="147">
        <v>1170</v>
      </c>
      <c r="D574" s="309" t="s">
        <v>73</v>
      </c>
      <c r="E574" s="310" t="s">
        <v>992</v>
      </c>
      <c r="F574" s="53">
        <v>11054</v>
      </c>
      <c r="G574" s="53"/>
      <c r="H574" s="53"/>
      <c r="I574" s="102">
        <f t="shared" si="328"/>
        <v>11054</v>
      </c>
      <c r="J574" s="53"/>
      <c r="K574" s="53"/>
      <c r="L574" s="376">
        <f t="shared" si="311"/>
        <v>11054</v>
      </c>
      <c r="M574" s="376">
        <f t="shared" si="297"/>
        <v>0</v>
      </c>
      <c r="N574" s="749" t="str">
        <f t="shared" si="322"/>
        <v>-</v>
      </c>
      <c r="O574" s="261" t="s">
        <v>1022</v>
      </c>
      <c r="P574" s="378" t="s">
        <v>90</v>
      </c>
      <c r="Q574" s="53"/>
      <c r="R574" s="53"/>
      <c r="S574" s="104" t="str">
        <f t="shared" si="320"/>
        <v>ok</v>
      </c>
    </row>
    <row r="575" spans="1:19" ht="31.5" customHeight="1">
      <c r="A575" s="770"/>
      <c r="B575" s="770"/>
      <c r="C575" s="311" t="s">
        <v>253</v>
      </c>
      <c r="D575" s="309" t="s">
        <v>73</v>
      </c>
      <c r="E575" s="278" t="s">
        <v>993</v>
      </c>
      <c r="F575" s="55"/>
      <c r="G575" s="55"/>
      <c r="H575" s="55">
        <v>480000</v>
      </c>
      <c r="I575" s="102">
        <f t="shared" si="328"/>
        <v>480000</v>
      </c>
      <c r="J575" s="55"/>
      <c r="K575" s="55">
        <v>480000</v>
      </c>
      <c r="L575" s="376">
        <f t="shared" si="311"/>
        <v>480000</v>
      </c>
      <c r="M575" s="376">
        <f t="shared" si="297"/>
        <v>0</v>
      </c>
      <c r="N575" s="749" t="str">
        <f t="shared" si="322"/>
        <v>-</v>
      </c>
      <c r="O575" s="259" t="s">
        <v>994</v>
      </c>
      <c r="P575" s="378" t="s">
        <v>143</v>
      </c>
      <c r="Q575" s="56">
        <v>320000</v>
      </c>
      <c r="R575" s="56">
        <v>160000</v>
      </c>
      <c r="S575" s="104" t="str">
        <f t="shared" si="320"/>
        <v>ok</v>
      </c>
    </row>
    <row r="576" spans="1:19" ht="31.5" customHeight="1">
      <c r="A576" s="770"/>
      <c r="B576" s="770"/>
      <c r="C576" s="311" t="s">
        <v>253</v>
      </c>
      <c r="D576" s="309" t="s">
        <v>74</v>
      </c>
      <c r="E576" s="278" t="s">
        <v>995</v>
      </c>
      <c r="F576" s="55"/>
      <c r="G576" s="57"/>
      <c r="H576" s="55">
        <v>63451</v>
      </c>
      <c r="I576" s="102">
        <f t="shared" si="328"/>
        <v>63451</v>
      </c>
      <c r="J576" s="57"/>
      <c r="K576" s="55">
        <v>63451</v>
      </c>
      <c r="L576" s="376">
        <f t="shared" si="311"/>
        <v>63451</v>
      </c>
      <c r="M576" s="376">
        <f t="shared" si="297"/>
        <v>0</v>
      </c>
      <c r="N576" s="749" t="str">
        <f t="shared" si="322"/>
        <v>-</v>
      </c>
      <c r="O576" s="322"/>
      <c r="P576" s="378" t="s">
        <v>97</v>
      </c>
      <c r="Q576" s="58"/>
      <c r="R576" s="661">
        <f>K576</f>
        <v>63451</v>
      </c>
      <c r="S576" s="104" t="str">
        <f t="shared" si="320"/>
        <v>ok</v>
      </c>
    </row>
    <row r="577" spans="1:19" ht="31.5" customHeight="1">
      <c r="A577" s="770"/>
      <c r="B577" s="770"/>
      <c r="C577" s="147">
        <v>1185</v>
      </c>
      <c r="D577" s="309" t="s">
        <v>74</v>
      </c>
      <c r="E577" s="305" t="s">
        <v>75</v>
      </c>
      <c r="F577" s="53">
        <v>212855</v>
      </c>
      <c r="G577" s="53">
        <v>-65719</v>
      </c>
      <c r="H577" s="53"/>
      <c r="I577" s="102">
        <f>F577+G577+H577</f>
        <v>147136</v>
      </c>
      <c r="J577" s="53">
        <v>-65719</v>
      </c>
      <c r="K577" s="53"/>
      <c r="L577" s="376">
        <f t="shared" si="311"/>
        <v>147136</v>
      </c>
      <c r="M577" s="376">
        <f t="shared" si="297"/>
        <v>0</v>
      </c>
      <c r="N577" s="749" t="str">
        <f t="shared" si="322"/>
        <v>-</v>
      </c>
      <c r="O577" s="259"/>
      <c r="P577" s="378" t="s">
        <v>231</v>
      </c>
      <c r="Q577" s="136"/>
      <c r="R577" s="661">
        <f>J577</f>
        <v>-65719</v>
      </c>
      <c r="S577" s="104" t="str">
        <f t="shared" si="320"/>
        <v>ok</v>
      </c>
    </row>
    <row r="578" spans="1:19" ht="31.5" customHeight="1">
      <c r="A578" s="770"/>
      <c r="B578" s="770">
        <v>0</v>
      </c>
      <c r="C578" s="147" t="s">
        <v>253</v>
      </c>
      <c r="D578" s="309" t="s">
        <v>74</v>
      </c>
      <c r="E578" s="183" t="s">
        <v>985</v>
      </c>
      <c r="F578" s="53"/>
      <c r="G578" s="53"/>
      <c r="H578" s="53">
        <v>3171420</v>
      </c>
      <c r="I578" s="102">
        <f>F578+G578+H578</f>
        <v>3171420</v>
      </c>
      <c r="J578" s="53"/>
      <c r="K578" s="53">
        <v>3171420</v>
      </c>
      <c r="L578" s="376">
        <f t="shared" si="311"/>
        <v>3171420</v>
      </c>
      <c r="M578" s="376">
        <f t="shared" si="297"/>
        <v>0</v>
      </c>
      <c r="N578" s="749" t="str">
        <f t="shared" si="322"/>
        <v>-</v>
      </c>
      <c r="O578" s="259"/>
      <c r="P578" s="378" t="s">
        <v>231</v>
      </c>
      <c r="Q578" s="136"/>
      <c r="R578" s="661">
        <f t="shared" ref="R578:R582" si="329">K578</f>
        <v>3171420</v>
      </c>
      <c r="S578" s="104" t="str">
        <f t="shared" si="320"/>
        <v>ok</v>
      </c>
    </row>
    <row r="579" spans="1:19" ht="31.5" customHeight="1">
      <c r="A579" s="770"/>
      <c r="B579" s="770"/>
      <c r="C579" s="147">
        <v>1193</v>
      </c>
      <c r="D579" s="309" t="s">
        <v>74</v>
      </c>
      <c r="E579" s="278" t="s">
        <v>996</v>
      </c>
      <c r="F579" s="55">
        <v>94560</v>
      </c>
      <c r="G579" s="55"/>
      <c r="H579" s="55">
        <v>23640</v>
      </c>
      <c r="I579" s="102">
        <f>F579+G579+H579</f>
        <v>118200</v>
      </c>
      <c r="J579" s="55"/>
      <c r="K579" s="55">
        <v>23640</v>
      </c>
      <c r="L579" s="376">
        <f t="shared" si="311"/>
        <v>118200</v>
      </c>
      <c r="M579" s="376">
        <f t="shared" si="297"/>
        <v>0</v>
      </c>
      <c r="N579" s="749" t="str">
        <f t="shared" si="322"/>
        <v>-</v>
      </c>
      <c r="O579" s="322" t="s">
        <v>980</v>
      </c>
      <c r="P579" s="378" t="s">
        <v>231</v>
      </c>
      <c r="Q579" s="53"/>
      <c r="R579" s="661">
        <f t="shared" si="329"/>
        <v>23640</v>
      </c>
      <c r="S579" s="104" t="str">
        <f t="shared" si="320"/>
        <v>ok</v>
      </c>
    </row>
    <row r="580" spans="1:19" ht="31.5" customHeight="1">
      <c r="A580" s="770"/>
      <c r="B580" s="770"/>
      <c r="C580" s="147" t="s">
        <v>253</v>
      </c>
      <c r="D580" s="309" t="s">
        <v>74</v>
      </c>
      <c r="E580" s="278" t="s">
        <v>997</v>
      </c>
      <c r="F580" s="55"/>
      <c r="G580" s="55"/>
      <c r="H580" s="55">
        <v>45360</v>
      </c>
      <c r="I580" s="102">
        <f t="shared" si="328"/>
        <v>45360</v>
      </c>
      <c r="J580" s="55"/>
      <c r="K580" s="55">
        <v>45360</v>
      </c>
      <c r="L580" s="376">
        <f t="shared" si="311"/>
        <v>45360</v>
      </c>
      <c r="M580" s="376">
        <f t="shared" si="297"/>
        <v>0</v>
      </c>
      <c r="N580" s="749" t="str">
        <f t="shared" si="322"/>
        <v>-</v>
      </c>
      <c r="O580" s="322" t="s">
        <v>998</v>
      </c>
      <c r="P580" s="378" t="s">
        <v>97</v>
      </c>
      <c r="Q580" s="53"/>
      <c r="R580" s="661">
        <f t="shared" si="329"/>
        <v>45360</v>
      </c>
      <c r="S580" s="104" t="str">
        <f t="shared" si="320"/>
        <v>ok</v>
      </c>
    </row>
    <row r="581" spans="1:19" ht="31.5" customHeight="1">
      <c r="A581" s="770"/>
      <c r="B581" s="770"/>
      <c r="C581" s="147" t="s">
        <v>94</v>
      </c>
      <c r="D581" s="309" t="s">
        <v>73</v>
      </c>
      <c r="E581" s="305" t="s">
        <v>66</v>
      </c>
      <c r="F581" s="130"/>
      <c r="G581" s="53"/>
      <c r="H581" s="154">
        <v>32780</v>
      </c>
      <c r="I581" s="102">
        <f t="shared" si="328"/>
        <v>32780</v>
      </c>
      <c r="J581" s="53"/>
      <c r="K581" s="154">
        <v>32780</v>
      </c>
      <c r="L581" s="376">
        <f t="shared" si="311"/>
        <v>32780</v>
      </c>
      <c r="M581" s="376">
        <f t="shared" si="297"/>
        <v>0</v>
      </c>
      <c r="N581" s="749" t="str">
        <f t="shared" si="322"/>
        <v>-</v>
      </c>
      <c r="O581" s="259" t="s">
        <v>67</v>
      </c>
      <c r="P581" s="378" t="s">
        <v>231</v>
      </c>
      <c r="Q581" s="304"/>
      <c r="R581" s="661">
        <f t="shared" si="329"/>
        <v>32780</v>
      </c>
      <c r="S581" s="104" t="str">
        <f t="shared" si="320"/>
        <v>ok</v>
      </c>
    </row>
    <row r="582" spans="1:19" ht="31.5" customHeight="1">
      <c r="A582" s="770"/>
      <c r="B582" s="770"/>
      <c r="C582" s="147" t="s">
        <v>94</v>
      </c>
      <c r="D582" s="309" t="s">
        <v>73</v>
      </c>
      <c r="E582" s="305" t="s">
        <v>68</v>
      </c>
      <c r="F582" s="53"/>
      <c r="G582" s="53"/>
      <c r="H582" s="53">
        <v>6000</v>
      </c>
      <c r="I582" s="102">
        <f>F582+G582+H582</f>
        <v>6000</v>
      </c>
      <c r="J582" s="53"/>
      <c r="K582" s="53">
        <v>6000</v>
      </c>
      <c r="L582" s="376">
        <f>F582+J582+K582</f>
        <v>6000</v>
      </c>
      <c r="M582" s="376">
        <f>L582-I582</f>
        <v>0</v>
      </c>
      <c r="N582" s="749" t="str">
        <f t="shared" si="322"/>
        <v>-</v>
      </c>
      <c r="O582" s="259"/>
      <c r="P582" s="378" t="s">
        <v>231</v>
      </c>
      <c r="Q582" s="136"/>
      <c r="R582" s="661">
        <f t="shared" si="329"/>
        <v>6000</v>
      </c>
      <c r="S582" s="104" t="str">
        <f>IF((G582+H582)=(Q582+R582),"ok","검토")</f>
        <v>ok</v>
      </c>
    </row>
    <row r="583" spans="1:19" s="673" customFormat="1" ht="31.5" customHeight="1">
      <c r="A583" s="770"/>
      <c r="B583" s="770"/>
      <c r="C583" s="662" t="s">
        <v>1287</v>
      </c>
      <c r="D583" s="309" t="s">
        <v>1288</v>
      </c>
      <c r="E583" s="288" t="s">
        <v>1518</v>
      </c>
      <c r="F583" s="658"/>
      <c r="G583" s="658"/>
      <c r="H583" s="658"/>
      <c r="I583" s="665">
        <f>F583+G583+H583</f>
        <v>0</v>
      </c>
      <c r="J583" s="658"/>
      <c r="K583" s="641">
        <v>50000</v>
      </c>
      <c r="L583" s="665">
        <f>F583+J583+K583</f>
        <v>50000</v>
      </c>
      <c r="M583" s="665">
        <f>L583-I583</f>
        <v>50000</v>
      </c>
      <c r="N583" s="749" t="str">
        <f>IF(AND(((G583+H583)&lt;0),(J583+K583)&gt;(G583+H583)),"검토","-")</f>
        <v>-</v>
      </c>
      <c r="O583" s="336"/>
      <c r="P583" s="653" t="s">
        <v>1223</v>
      </c>
      <c r="Q583" s="658"/>
      <c r="R583" s="661">
        <f>K583</f>
        <v>50000</v>
      </c>
      <c r="S583" s="648" t="str">
        <f>IF((G583+H583)=(Q583+R583),"ok","검토")</f>
        <v>검토</v>
      </c>
    </row>
    <row r="584" spans="1:19" s="673" customFormat="1" ht="31.5" customHeight="1">
      <c r="A584" s="770">
        <v>1</v>
      </c>
      <c r="B584" s="770"/>
      <c r="C584" s="662" t="s">
        <v>1492</v>
      </c>
      <c r="D584" s="309" t="s">
        <v>1494</v>
      </c>
      <c r="E584" s="288" t="s">
        <v>1519</v>
      </c>
      <c r="F584" s="658"/>
      <c r="G584" s="658"/>
      <c r="H584" s="658"/>
      <c r="I584" s="665">
        <f>F584+G584+H584</f>
        <v>0</v>
      </c>
      <c r="J584" s="658"/>
      <c r="K584" s="641">
        <v>500000</v>
      </c>
      <c r="L584" s="665">
        <f>F584+J584+K584</f>
        <v>500000</v>
      </c>
      <c r="M584" s="665">
        <f>L584-I584</f>
        <v>500000</v>
      </c>
      <c r="N584" s="749" t="str">
        <f>IF(AND(((G584+H584)&lt;0),(J584+K584)&gt;(G584+H584)),"검토","-")</f>
        <v>-</v>
      </c>
      <c r="O584" s="336"/>
      <c r="P584" s="653" t="s">
        <v>1223</v>
      </c>
      <c r="Q584" s="658"/>
      <c r="R584" s="661">
        <f>K584</f>
        <v>500000</v>
      </c>
      <c r="S584" s="648" t="str">
        <f>IF((G584+H584)=(Q584+R584),"ok","검토")</f>
        <v>검토</v>
      </c>
    </row>
    <row r="585" spans="1:19" ht="31.5" customHeight="1">
      <c r="A585" s="770"/>
      <c r="B585" s="612" t="s">
        <v>215</v>
      </c>
      <c r="C585" s="628"/>
      <c r="D585" s="31"/>
      <c r="E585" s="31"/>
      <c r="F585" s="32">
        <f t="shared" ref="F585:K585" si="330">SUM(F586:F597)</f>
        <v>17238325</v>
      </c>
      <c r="G585" s="32">
        <f t="shared" si="330"/>
        <v>-530000</v>
      </c>
      <c r="H585" s="32">
        <f t="shared" si="330"/>
        <v>11750000</v>
      </c>
      <c r="I585" s="32">
        <f t="shared" si="330"/>
        <v>28458325</v>
      </c>
      <c r="J585" s="370">
        <f t="shared" si="330"/>
        <v>-330000</v>
      </c>
      <c r="K585" s="370">
        <f t="shared" si="330"/>
        <v>5440000</v>
      </c>
      <c r="L585" s="370">
        <f t="shared" si="311"/>
        <v>22348325</v>
      </c>
      <c r="M585" s="370">
        <f t="shared" si="297"/>
        <v>-6110000</v>
      </c>
      <c r="N585" s="628" t="str">
        <f t="shared" si="322"/>
        <v>-</v>
      </c>
      <c r="O585" s="321"/>
      <c r="P585" s="30"/>
      <c r="Q585" s="32">
        <f>SUM(Q586:Q597)</f>
        <v>0</v>
      </c>
      <c r="R585" s="32">
        <f>SUM(R586:R597)</f>
        <v>5110000</v>
      </c>
      <c r="S585" s="30" t="str">
        <f t="shared" si="320"/>
        <v>검토</v>
      </c>
    </row>
    <row r="586" spans="1:19" ht="31.5" customHeight="1">
      <c r="A586" s="770"/>
      <c r="B586" s="770"/>
      <c r="C586" s="279">
        <v>1212</v>
      </c>
      <c r="D586" s="99" t="s">
        <v>999</v>
      </c>
      <c r="E586" s="288" t="s">
        <v>1000</v>
      </c>
      <c r="F586" s="99">
        <v>3475000</v>
      </c>
      <c r="G586" s="53">
        <v>-330000</v>
      </c>
      <c r="H586" s="99"/>
      <c r="I586" s="376">
        <f t="shared" ref="I586:I592" si="331">F586+G586+H586</f>
        <v>3145000</v>
      </c>
      <c r="J586" s="53">
        <v>-130000</v>
      </c>
      <c r="K586" s="374"/>
      <c r="L586" s="376">
        <f t="shared" si="311"/>
        <v>3345000</v>
      </c>
      <c r="M586" s="376">
        <f t="shared" si="297"/>
        <v>200000</v>
      </c>
      <c r="N586" s="749" t="str">
        <f t="shared" si="322"/>
        <v>검토</v>
      </c>
      <c r="O586" s="336"/>
      <c r="P586" s="291" t="s">
        <v>97</v>
      </c>
      <c r="Q586" s="99"/>
      <c r="R586" s="661">
        <f>J586</f>
        <v>-130000</v>
      </c>
      <c r="S586" s="104" t="str">
        <f t="shared" si="320"/>
        <v>검토</v>
      </c>
    </row>
    <row r="587" spans="1:19" s="673" customFormat="1" ht="31.5" customHeight="1">
      <c r="A587" s="770"/>
      <c r="B587" s="770"/>
      <c r="C587" s="662" t="s">
        <v>1496</v>
      </c>
      <c r="D587" s="658" t="s">
        <v>999</v>
      </c>
      <c r="E587" s="288" t="s">
        <v>1537</v>
      </c>
      <c r="F587" s="658"/>
      <c r="G587" s="658"/>
      <c r="H587" s="658"/>
      <c r="I587" s="665">
        <f t="shared" si="331"/>
        <v>0</v>
      </c>
      <c r="J587" s="658"/>
      <c r="K587" s="641">
        <v>250000</v>
      </c>
      <c r="L587" s="665">
        <f t="shared" si="311"/>
        <v>250000</v>
      </c>
      <c r="M587" s="665">
        <f t="shared" si="297"/>
        <v>250000</v>
      </c>
      <c r="N587" s="749" t="str">
        <f t="shared" si="322"/>
        <v>-</v>
      </c>
      <c r="O587" s="336"/>
      <c r="P587" s="653" t="s">
        <v>1535</v>
      </c>
      <c r="Q587" s="658"/>
      <c r="R587" s="661">
        <f>K587</f>
        <v>250000</v>
      </c>
      <c r="S587" s="648" t="str">
        <f t="shared" si="320"/>
        <v>검토</v>
      </c>
    </row>
    <row r="588" spans="1:19" ht="31.5" customHeight="1">
      <c r="A588" s="770"/>
      <c r="B588" s="770"/>
      <c r="C588" s="279">
        <v>1212</v>
      </c>
      <c r="D588" s="99" t="s">
        <v>999</v>
      </c>
      <c r="E588" s="288" t="s">
        <v>1001</v>
      </c>
      <c r="F588" s="99">
        <v>1000000</v>
      </c>
      <c r="G588" s="53"/>
      <c r="H588" s="99">
        <v>1000000</v>
      </c>
      <c r="I588" s="376">
        <f t="shared" si="331"/>
        <v>2000000</v>
      </c>
      <c r="J588" s="53"/>
      <c r="K588" s="374">
        <v>1000000</v>
      </c>
      <c r="L588" s="376">
        <f t="shared" si="311"/>
        <v>2000000</v>
      </c>
      <c r="M588" s="376">
        <f t="shared" si="297"/>
        <v>0</v>
      </c>
      <c r="N588" s="749" t="str">
        <f t="shared" si="322"/>
        <v>-</v>
      </c>
      <c r="O588" s="336"/>
      <c r="P588" s="291" t="s">
        <v>97</v>
      </c>
      <c r="Q588" s="99"/>
      <c r="R588" s="661">
        <f t="shared" ref="R588:R589" si="332">K588</f>
        <v>1000000</v>
      </c>
      <c r="S588" s="104" t="str">
        <f t="shared" si="320"/>
        <v>ok</v>
      </c>
    </row>
    <row r="589" spans="1:19" ht="41.25" customHeight="1">
      <c r="A589" s="770"/>
      <c r="B589" s="770">
        <v>0</v>
      </c>
      <c r="C589" s="279" t="s">
        <v>253</v>
      </c>
      <c r="D589" s="99" t="s">
        <v>999</v>
      </c>
      <c r="E589" s="288" t="s">
        <v>1474</v>
      </c>
      <c r="F589" s="99"/>
      <c r="G589" s="99"/>
      <c r="H589" s="99">
        <v>7000000</v>
      </c>
      <c r="I589" s="376">
        <f t="shared" si="331"/>
        <v>7000000</v>
      </c>
      <c r="J589" s="374"/>
      <c r="K589" s="374"/>
      <c r="L589" s="376">
        <f t="shared" si="311"/>
        <v>0</v>
      </c>
      <c r="M589" s="376">
        <f t="shared" si="297"/>
        <v>-7000000</v>
      </c>
      <c r="N589" s="749" t="str">
        <f t="shared" si="322"/>
        <v>-</v>
      </c>
      <c r="O589" s="336" t="s">
        <v>1446</v>
      </c>
      <c r="P589" s="291" t="s">
        <v>97</v>
      </c>
      <c r="Q589" s="99"/>
      <c r="R589" s="661">
        <f t="shared" si="332"/>
        <v>0</v>
      </c>
      <c r="S589" s="104" t="str">
        <f t="shared" si="320"/>
        <v>검토</v>
      </c>
    </row>
    <row r="590" spans="1:19" s="673" customFormat="1" ht="31.5" customHeight="1">
      <c r="A590" s="770"/>
      <c r="B590" s="770"/>
      <c r="C590" s="662" t="s">
        <v>1491</v>
      </c>
      <c r="D590" s="658" t="s">
        <v>1160</v>
      </c>
      <c r="E590" s="288" t="s">
        <v>1517</v>
      </c>
      <c r="F590" s="658"/>
      <c r="G590" s="658"/>
      <c r="H590" s="658"/>
      <c r="I590" s="665">
        <f t="shared" si="331"/>
        <v>0</v>
      </c>
      <c r="J590" s="658"/>
      <c r="K590" s="641">
        <v>100000</v>
      </c>
      <c r="L590" s="665">
        <f t="shared" si="311"/>
        <v>100000</v>
      </c>
      <c r="M590" s="665">
        <f t="shared" si="297"/>
        <v>100000</v>
      </c>
      <c r="N590" s="749" t="str">
        <f t="shared" si="322"/>
        <v>-</v>
      </c>
      <c r="O590" s="336"/>
      <c r="P590" s="653" t="s">
        <v>1223</v>
      </c>
      <c r="Q590" s="658"/>
      <c r="R590" s="661">
        <f>K590</f>
        <v>100000</v>
      </c>
      <c r="S590" s="648" t="str">
        <f t="shared" si="320"/>
        <v>검토</v>
      </c>
    </row>
    <row r="591" spans="1:19" s="673" customFormat="1" ht="31.5" customHeight="1">
      <c r="A591" s="770"/>
      <c r="B591" s="770"/>
      <c r="C591" s="662">
        <v>1213</v>
      </c>
      <c r="D591" s="658" t="s">
        <v>999</v>
      </c>
      <c r="E591" s="288" t="s">
        <v>1538</v>
      </c>
      <c r="F591" s="658">
        <v>500000</v>
      </c>
      <c r="G591" s="658"/>
      <c r="H591" s="658"/>
      <c r="I591" s="665">
        <f t="shared" si="331"/>
        <v>500000</v>
      </c>
      <c r="J591" s="658"/>
      <c r="K591" s="641">
        <v>100000</v>
      </c>
      <c r="L591" s="665">
        <f t="shared" si="311"/>
        <v>600000</v>
      </c>
      <c r="M591" s="665">
        <f t="shared" si="297"/>
        <v>100000</v>
      </c>
      <c r="N591" s="749" t="str">
        <f t="shared" si="322"/>
        <v>-</v>
      </c>
      <c r="O591" s="336"/>
      <c r="P591" s="653" t="s">
        <v>1223</v>
      </c>
      <c r="Q591" s="658"/>
      <c r="R591" s="661">
        <f>K591</f>
        <v>100000</v>
      </c>
      <c r="S591" s="648" t="str">
        <f t="shared" si="320"/>
        <v>검토</v>
      </c>
    </row>
    <row r="592" spans="1:19" s="673" customFormat="1" ht="31.5" customHeight="1">
      <c r="A592" s="770"/>
      <c r="B592" s="770"/>
      <c r="C592" s="662" t="s">
        <v>94</v>
      </c>
      <c r="D592" s="658" t="s">
        <v>1308</v>
      </c>
      <c r="E592" s="288" t="s">
        <v>1539</v>
      </c>
      <c r="F592" s="658"/>
      <c r="G592" s="658"/>
      <c r="H592" s="658"/>
      <c r="I592" s="665">
        <f t="shared" si="331"/>
        <v>0</v>
      </c>
      <c r="J592" s="658"/>
      <c r="K592" s="641">
        <v>100000</v>
      </c>
      <c r="L592" s="665">
        <f t="shared" ref="L592" si="333">F592+J592+K592</f>
        <v>100000</v>
      </c>
      <c r="M592" s="665">
        <f t="shared" ref="M592" si="334">L592-I592</f>
        <v>100000</v>
      </c>
      <c r="N592" s="749" t="str">
        <f t="shared" si="322"/>
        <v>-</v>
      </c>
      <c r="O592" s="336"/>
      <c r="P592" s="653" t="s">
        <v>1223</v>
      </c>
      <c r="Q592" s="658"/>
      <c r="R592" s="661">
        <f t="shared" ref="R592:R596" si="335">K592</f>
        <v>100000</v>
      </c>
      <c r="S592" s="648" t="str">
        <f t="shared" ref="S592" si="336">IF((G592+H592)=(Q592+R592),"ok","검토")</f>
        <v>검토</v>
      </c>
    </row>
    <row r="593" spans="1:19" ht="31.5" customHeight="1">
      <c r="A593" s="770"/>
      <c r="B593" s="770"/>
      <c r="C593" s="279">
        <v>1217</v>
      </c>
      <c r="D593" s="99" t="s">
        <v>216</v>
      </c>
      <c r="E593" s="99" t="s">
        <v>1002</v>
      </c>
      <c r="F593" s="99">
        <v>10971325</v>
      </c>
      <c r="G593" s="99"/>
      <c r="H593" s="99">
        <v>3500000</v>
      </c>
      <c r="I593" s="102">
        <f t="shared" ref="I593" si="337">F593+G593+H593</f>
        <v>14471325</v>
      </c>
      <c r="J593" s="374"/>
      <c r="K593" s="374">
        <v>3500000</v>
      </c>
      <c r="L593" s="376">
        <f t="shared" si="311"/>
        <v>14471325</v>
      </c>
      <c r="M593" s="376">
        <f t="shared" si="297"/>
        <v>0</v>
      </c>
      <c r="N593" s="749" t="str">
        <f t="shared" si="322"/>
        <v>-</v>
      </c>
      <c r="O593" s="336"/>
      <c r="P593" s="291" t="s">
        <v>97</v>
      </c>
      <c r="Q593" s="99"/>
      <c r="R593" s="661">
        <f t="shared" si="335"/>
        <v>3500000</v>
      </c>
      <c r="S593" s="104" t="str">
        <f t="shared" si="320"/>
        <v>ok</v>
      </c>
    </row>
    <row r="594" spans="1:19" ht="31.5" customHeight="1">
      <c r="A594" s="770"/>
      <c r="B594" s="770"/>
      <c r="C594" s="279">
        <v>1219</v>
      </c>
      <c r="D594" s="99" t="s">
        <v>216</v>
      </c>
      <c r="E594" s="288" t="s">
        <v>1475</v>
      </c>
      <c r="F594" s="99">
        <v>586000</v>
      </c>
      <c r="G594" s="99"/>
      <c r="H594" s="99">
        <v>100000</v>
      </c>
      <c r="I594" s="102">
        <f>F594+G594+H594</f>
        <v>686000</v>
      </c>
      <c r="J594" s="374"/>
      <c r="K594" s="374">
        <v>190000</v>
      </c>
      <c r="L594" s="376">
        <f t="shared" si="311"/>
        <v>776000</v>
      </c>
      <c r="M594" s="376">
        <f t="shared" si="297"/>
        <v>90000</v>
      </c>
      <c r="N594" s="749" t="str">
        <f t="shared" si="322"/>
        <v>-</v>
      </c>
      <c r="O594" s="336"/>
      <c r="P594" s="291" t="s">
        <v>97</v>
      </c>
      <c r="Q594" s="99"/>
      <c r="R594" s="661">
        <f t="shared" si="335"/>
        <v>190000</v>
      </c>
      <c r="S594" s="104" t="str">
        <f t="shared" si="320"/>
        <v>검토</v>
      </c>
    </row>
    <row r="595" spans="1:19" s="673" customFormat="1" ht="31.5" customHeight="1">
      <c r="A595" s="770"/>
      <c r="B595" s="770"/>
      <c r="C595" s="662">
        <v>1220</v>
      </c>
      <c r="D595" s="658" t="s">
        <v>216</v>
      </c>
      <c r="E595" s="288" t="s">
        <v>1540</v>
      </c>
      <c r="F595" s="658">
        <v>108000</v>
      </c>
      <c r="G595" s="658"/>
      <c r="H595" s="658">
        <v>50000</v>
      </c>
      <c r="I595" s="665">
        <f>F595+G595+H595</f>
        <v>158000</v>
      </c>
      <c r="J595" s="658"/>
      <c r="K595" s="641">
        <v>100000</v>
      </c>
      <c r="L595" s="665">
        <f t="shared" si="311"/>
        <v>208000</v>
      </c>
      <c r="M595" s="665">
        <f t="shared" si="297"/>
        <v>50000</v>
      </c>
      <c r="N595" s="749" t="str">
        <f t="shared" si="322"/>
        <v>-</v>
      </c>
      <c r="O595" s="336"/>
      <c r="P595" s="653" t="s">
        <v>1223</v>
      </c>
      <c r="Q595" s="658"/>
      <c r="R595" s="661">
        <f t="shared" si="335"/>
        <v>100000</v>
      </c>
      <c r="S595" s="648" t="str">
        <f t="shared" si="320"/>
        <v>검토</v>
      </c>
    </row>
    <row r="596" spans="1:19" ht="31.5" customHeight="1">
      <c r="A596" s="770"/>
      <c r="B596" s="770"/>
      <c r="C596" s="279">
        <v>1220</v>
      </c>
      <c r="D596" s="99" t="s">
        <v>216</v>
      </c>
      <c r="E596" s="99" t="s">
        <v>1003</v>
      </c>
      <c r="F596" s="99">
        <v>298000</v>
      </c>
      <c r="G596" s="99"/>
      <c r="H596" s="99">
        <v>100000</v>
      </c>
      <c r="I596" s="376">
        <f t="shared" ref="I596:I597" si="338">F596+G596+H596</f>
        <v>398000</v>
      </c>
      <c r="J596" s="374"/>
      <c r="K596" s="374">
        <v>100000</v>
      </c>
      <c r="L596" s="376">
        <f t="shared" si="311"/>
        <v>398000</v>
      </c>
      <c r="M596" s="376">
        <f t="shared" si="297"/>
        <v>0</v>
      </c>
      <c r="N596" s="749" t="str">
        <f t="shared" si="322"/>
        <v>-</v>
      </c>
      <c r="O596" s="336"/>
      <c r="P596" s="291" t="s">
        <v>97</v>
      </c>
      <c r="Q596" s="99"/>
      <c r="R596" s="661">
        <f t="shared" si="335"/>
        <v>100000</v>
      </c>
      <c r="S596" s="104" t="str">
        <f t="shared" si="320"/>
        <v>ok</v>
      </c>
    </row>
    <row r="597" spans="1:19" s="372" customFormat="1" ht="31.5" customHeight="1">
      <c r="A597" s="770"/>
      <c r="B597" s="770"/>
      <c r="C597" s="355">
        <v>1220</v>
      </c>
      <c r="D597" s="374" t="s">
        <v>216</v>
      </c>
      <c r="E597" s="288" t="s">
        <v>1004</v>
      </c>
      <c r="F597" s="374">
        <v>300000</v>
      </c>
      <c r="G597" s="53">
        <v>-200000</v>
      </c>
      <c r="H597" s="374"/>
      <c r="I597" s="376">
        <f t="shared" si="338"/>
        <v>100000</v>
      </c>
      <c r="J597" s="53">
        <v>-200000</v>
      </c>
      <c r="K597" s="374"/>
      <c r="L597" s="376">
        <f t="shared" si="311"/>
        <v>100000</v>
      </c>
      <c r="M597" s="376">
        <f t="shared" ref="M597" si="339">L597-I597</f>
        <v>0</v>
      </c>
      <c r="N597" s="749" t="str">
        <f t="shared" si="322"/>
        <v>-</v>
      </c>
      <c r="O597" s="336"/>
      <c r="P597" s="291" t="s">
        <v>97</v>
      </c>
      <c r="Q597" s="374"/>
      <c r="R597" s="661">
        <f>J597</f>
        <v>-200000</v>
      </c>
      <c r="S597" s="378" t="str">
        <f t="shared" si="320"/>
        <v>ok</v>
      </c>
    </row>
    <row r="598" spans="1:19" ht="31.5" customHeight="1"/>
  </sheetData>
  <autoFilter ref="A6:T597"/>
  <mergeCells count="16">
    <mergeCell ref="O425:O432"/>
    <mergeCell ref="M4:M5"/>
    <mergeCell ref="O4:O5"/>
    <mergeCell ref="P4:P5"/>
    <mergeCell ref="Q4:S4"/>
    <mergeCell ref="N4:N5"/>
    <mergeCell ref="A1:O1"/>
    <mergeCell ref="A4:B5"/>
    <mergeCell ref="C4:C5"/>
    <mergeCell ref="D4:D5"/>
    <mergeCell ref="E4:E5"/>
    <mergeCell ref="F4:F5"/>
    <mergeCell ref="G4:H4"/>
    <mergeCell ref="I4:I5"/>
    <mergeCell ref="J4:K4"/>
    <mergeCell ref="L4:L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1" orientation="portrait" cellComments="asDisplayed" r:id="rId1"/>
  <headerFooter>
    <oddFooter>&amp;C&amp;P/&amp;N</oddFooter>
  </headerFooter>
  <colBreaks count="1" manualBreakCount="1">
    <brk id="1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showGridLines="0" view="pageBreakPreview" zoomScale="85" zoomScaleNormal="90" zoomScaleSheetLayoutView="85" workbookViewId="0">
      <selection sqref="A1:N1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>
      <c r="A1" s="855" t="s">
        <v>23</v>
      </c>
      <c r="B1" s="856"/>
      <c r="C1" s="856"/>
      <c r="D1" s="856"/>
      <c r="E1" s="856"/>
      <c r="F1" s="856"/>
      <c r="G1" s="856"/>
      <c r="H1" s="856"/>
      <c r="I1" s="856"/>
      <c r="J1" s="856"/>
      <c r="K1" s="856"/>
      <c r="L1" s="856"/>
      <c r="M1" s="856"/>
      <c r="N1" s="856"/>
    </row>
    <row r="2" spans="1:22" ht="22.5" customHeight="1">
      <c r="A2" s="14" t="s">
        <v>14</v>
      </c>
      <c r="B2" s="14"/>
    </row>
    <row r="3" spans="1:22" ht="16.5" customHeight="1">
      <c r="N3" s="45" t="s">
        <v>19</v>
      </c>
    </row>
    <row r="4" spans="1:22" ht="27.75" customHeight="1">
      <c r="A4" s="801" t="s">
        <v>10</v>
      </c>
      <c r="B4" s="801"/>
      <c r="C4" s="804" t="s">
        <v>11</v>
      </c>
      <c r="D4" s="801" t="s">
        <v>9</v>
      </c>
      <c r="E4" s="801" t="s">
        <v>8</v>
      </c>
      <c r="F4" s="804" t="s">
        <v>20</v>
      </c>
      <c r="G4" s="857" t="s">
        <v>21</v>
      </c>
      <c r="H4" s="858"/>
      <c r="I4" s="804" t="s">
        <v>15</v>
      </c>
      <c r="J4" s="857" t="s">
        <v>22</v>
      </c>
      <c r="K4" s="858"/>
      <c r="L4" s="804" t="s">
        <v>16</v>
      </c>
      <c r="M4" s="859" t="s">
        <v>17</v>
      </c>
      <c r="N4" s="801" t="s">
        <v>12</v>
      </c>
      <c r="O4" s="861" t="s">
        <v>13</v>
      </c>
      <c r="P4" s="858" t="s">
        <v>18</v>
      </c>
      <c r="Q4" s="858"/>
      <c r="R4" s="858"/>
      <c r="S4" s="13"/>
      <c r="T4" s="863" t="s">
        <v>0</v>
      </c>
      <c r="U4" s="864"/>
      <c r="V4" s="854" t="s">
        <v>3</v>
      </c>
    </row>
    <row r="5" spans="1:22" ht="14.25" customHeight="1">
      <c r="A5" s="801"/>
      <c r="B5" s="801"/>
      <c r="C5" s="804"/>
      <c r="D5" s="801"/>
      <c r="E5" s="801"/>
      <c r="F5" s="801"/>
      <c r="G5" s="47" t="s">
        <v>1</v>
      </c>
      <c r="H5" s="47" t="s">
        <v>2</v>
      </c>
      <c r="I5" s="801"/>
      <c r="J5" s="47" t="s">
        <v>1</v>
      </c>
      <c r="K5" s="47" t="s">
        <v>2</v>
      </c>
      <c r="L5" s="801"/>
      <c r="M5" s="860"/>
      <c r="N5" s="801"/>
      <c r="O5" s="862"/>
      <c r="P5" s="47" t="s">
        <v>6</v>
      </c>
      <c r="Q5" s="47" t="s">
        <v>4</v>
      </c>
      <c r="R5" s="47" t="s">
        <v>7</v>
      </c>
      <c r="S5" s="13"/>
      <c r="T5" s="48" t="s">
        <v>1</v>
      </c>
      <c r="U5" s="48" t="s">
        <v>2</v>
      </c>
      <c r="V5" s="854"/>
    </row>
    <row r="6" spans="1:22" ht="20.100000000000001" customHeight="1">
      <c r="A6" s="21"/>
      <c r="B6" s="22" t="s">
        <v>5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5"/>
      <c r="T6" s="3"/>
      <c r="U6" s="3"/>
      <c r="V6" s="46"/>
    </row>
    <row r="7" spans="1:22" ht="20.100000000000001" customHeight="1">
      <c r="A7" s="25"/>
      <c r="B7" s="26"/>
      <c r="C7" s="26"/>
      <c r="D7" s="26"/>
      <c r="E7" s="26"/>
      <c r="F7" s="27">
        <f t="shared" ref="F7:L7" si="0">F8+F13</f>
        <v>0</v>
      </c>
      <c r="G7" s="27">
        <f t="shared" si="0"/>
        <v>0</v>
      </c>
      <c r="H7" s="27">
        <f t="shared" si="0"/>
        <v>0</v>
      </c>
      <c r="I7" s="27">
        <f t="shared" si="0"/>
        <v>0</v>
      </c>
      <c r="J7" s="27">
        <f t="shared" si="0"/>
        <v>-1340000</v>
      </c>
      <c r="K7" s="27">
        <f t="shared" si="0"/>
        <v>750000</v>
      </c>
      <c r="L7" s="27">
        <f t="shared" si="0"/>
        <v>-590000</v>
      </c>
      <c r="M7" s="27"/>
      <c r="N7" s="27"/>
      <c r="O7" s="27"/>
      <c r="P7" s="27"/>
      <c r="Q7" s="27"/>
      <c r="R7" s="26"/>
      <c r="S7" s="16"/>
      <c r="T7" s="9">
        <f>T8+T13</f>
        <v>-200000</v>
      </c>
      <c r="U7" s="9">
        <f>U8+U13</f>
        <v>2000000</v>
      </c>
      <c r="V7" s="9"/>
    </row>
    <row r="8" spans="1:22" ht="20.100000000000001" customHeight="1">
      <c r="A8" s="28"/>
      <c r="B8" s="29"/>
      <c r="C8" s="30"/>
      <c r="D8" s="31"/>
      <c r="E8" s="31"/>
      <c r="F8" s="32">
        <f t="shared" ref="F8:L8" si="1">SUM(F9:F12)</f>
        <v>0</v>
      </c>
      <c r="G8" s="32">
        <f t="shared" si="1"/>
        <v>0</v>
      </c>
      <c r="H8" s="32">
        <f t="shared" si="1"/>
        <v>0</v>
      </c>
      <c r="I8" s="32">
        <f t="shared" si="1"/>
        <v>0</v>
      </c>
      <c r="J8" s="32">
        <f t="shared" si="1"/>
        <v>-1340000</v>
      </c>
      <c r="K8" s="32">
        <f t="shared" si="1"/>
        <v>750000</v>
      </c>
      <c r="L8" s="32">
        <f t="shared" si="1"/>
        <v>-590000</v>
      </c>
      <c r="M8" s="32"/>
      <c r="N8" s="32"/>
      <c r="O8" s="32"/>
      <c r="P8" s="32"/>
      <c r="Q8" s="32"/>
      <c r="R8" s="30"/>
      <c r="S8" s="16"/>
      <c r="T8" s="11">
        <f>SUM(T9:T12)</f>
        <v>-100000</v>
      </c>
      <c r="U8" s="11">
        <f>SUM(U9:U12)</f>
        <v>1000000</v>
      </c>
      <c r="V8" s="11"/>
    </row>
    <row r="9" spans="1:22" ht="20.100000000000001" customHeight="1">
      <c r="A9" s="28"/>
      <c r="B9" s="28"/>
      <c r="C9" s="33"/>
      <c r="D9" s="34"/>
      <c r="E9" s="34"/>
      <c r="F9" s="35"/>
      <c r="G9" s="35"/>
      <c r="H9" s="35"/>
      <c r="I9" s="44">
        <f>F9+G9+H9</f>
        <v>0</v>
      </c>
      <c r="J9" s="36">
        <v>-740000</v>
      </c>
      <c r="K9" s="38"/>
      <c r="L9" s="44">
        <f>F9+J9+K9</f>
        <v>-740000</v>
      </c>
      <c r="M9" s="37" t="str">
        <f>IF(G9-J9&lt;0,"동의필요","-")</f>
        <v>-</v>
      </c>
      <c r="N9" s="36"/>
      <c r="O9" s="36"/>
      <c r="P9" s="36"/>
      <c r="Q9" s="36"/>
      <c r="R9" s="37" t="str">
        <f>IF((G9+H9)=(P9+Q9),"ok","검토")</f>
        <v>ok</v>
      </c>
      <c r="S9" s="17"/>
      <c r="T9" s="8"/>
      <c r="U9" s="8"/>
      <c r="V9" s="7"/>
    </row>
    <row r="10" spans="1:22" ht="20.100000000000001" customHeight="1">
      <c r="A10" s="28"/>
      <c r="B10" s="28"/>
      <c r="C10" s="33"/>
      <c r="D10" s="34"/>
      <c r="E10" s="34"/>
      <c r="F10" s="35"/>
      <c r="G10" s="35"/>
      <c r="H10" s="35"/>
      <c r="I10" s="44">
        <f>F10+G10+H10</f>
        <v>0</v>
      </c>
      <c r="J10" s="36"/>
      <c r="K10" s="38">
        <v>750000</v>
      </c>
      <c r="L10" s="44">
        <f>F10+J10+K10</f>
        <v>750000</v>
      </c>
      <c r="M10" s="37" t="str">
        <f t="shared" ref="M10:M12" si="2">IF(G10-J10&lt;0,"동의필요","-")</f>
        <v>-</v>
      </c>
      <c r="N10" s="36"/>
      <c r="O10" s="36"/>
      <c r="P10" s="36"/>
      <c r="Q10" s="36"/>
      <c r="R10" s="37" t="str">
        <f>IF((G10+H10)=(P10+Q10),"ok","검토")</f>
        <v>ok</v>
      </c>
      <c r="S10" s="17"/>
      <c r="T10" s="8"/>
      <c r="U10" s="8"/>
      <c r="V10" s="7"/>
    </row>
    <row r="11" spans="1:22" ht="20.100000000000001" customHeight="1">
      <c r="A11" s="28"/>
      <c r="B11" s="28"/>
      <c r="C11" s="33"/>
      <c r="D11" s="34"/>
      <c r="E11" s="34"/>
      <c r="F11" s="35"/>
      <c r="G11" s="35"/>
      <c r="H11" s="35"/>
      <c r="I11" s="44">
        <f>F11+G11+H11</f>
        <v>0</v>
      </c>
      <c r="J11" s="36">
        <v>-600000</v>
      </c>
      <c r="K11" s="38"/>
      <c r="L11" s="44">
        <f>F11+J11+K11</f>
        <v>-600000</v>
      </c>
      <c r="M11" s="37" t="str">
        <f t="shared" si="2"/>
        <v>-</v>
      </c>
      <c r="N11" s="38"/>
      <c r="O11" s="38"/>
      <c r="P11" s="36"/>
      <c r="Q11" s="36"/>
      <c r="R11" s="37" t="str">
        <f>IF((G11+H11)=(P11+Q11),"ok","검토")</f>
        <v>ok</v>
      </c>
      <c r="S11" s="16"/>
      <c r="T11" s="8">
        <v>-100000</v>
      </c>
      <c r="U11" s="8"/>
      <c r="V11" s="7"/>
    </row>
    <row r="12" spans="1:22" ht="20.100000000000001" customHeight="1">
      <c r="A12" s="28"/>
      <c r="B12" s="28"/>
      <c r="C12" s="33"/>
      <c r="D12" s="34"/>
      <c r="E12" s="34"/>
      <c r="F12" s="35"/>
      <c r="G12" s="35"/>
      <c r="H12" s="35"/>
      <c r="I12" s="44">
        <f>F12+G12+H12</f>
        <v>0</v>
      </c>
      <c r="J12" s="36"/>
      <c r="K12" s="38"/>
      <c r="L12" s="44">
        <f>F12+J12+K12</f>
        <v>0</v>
      </c>
      <c r="M12" s="37" t="str">
        <f t="shared" si="2"/>
        <v>-</v>
      </c>
      <c r="N12" s="38"/>
      <c r="O12" s="38"/>
      <c r="P12" s="36"/>
      <c r="Q12" s="36"/>
      <c r="R12" s="37" t="str">
        <f>IF((G12+H12)=(P12+Q12),"ok","검토")</f>
        <v>ok</v>
      </c>
      <c r="S12" s="16"/>
      <c r="T12" s="8"/>
      <c r="U12" s="8">
        <v>1000000</v>
      </c>
      <c r="V12" s="7"/>
    </row>
    <row r="13" spans="1:22" ht="20.100000000000001" customHeight="1">
      <c r="A13" s="28"/>
      <c r="B13" s="29"/>
      <c r="C13" s="30"/>
      <c r="D13" s="31"/>
      <c r="E13" s="31"/>
      <c r="F13" s="32">
        <f>SUM(F14:F17)</f>
        <v>0</v>
      </c>
      <c r="G13" s="32">
        <f>SUM(G14:G17)</f>
        <v>0</v>
      </c>
      <c r="H13" s="32">
        <f>SUM(H14:H17)</f>
        <v>0</v>
      </c>
      <c r="I13" s="32">
        <f>SUM(I14:I17)</f>
        <v>0</v>
      </c>
      <c r="J13" s="32"/>
      <c r="K13" s="32"/>
      <c r="L13" s="32"/>
      <c r="M13" s="32"/>
      <c r="N13" s="32"/>
      <c r="O13" s="32"/>
      <c r="P13" s="32"/>
      <c r="Q13" s="32"/>
      <c r="R13" s="30"/>
      <c r="S13" s="16"/>
      <c r="T13" s="11">
        <f>SUM(T14:T17)</f>
        <v>-100000</v>
      </c>
      <c r="U13" s="11">
        <f>SUM(U14:U17)</f>
        <v>1000000</v>
      </c>
      <c r="V13" s="11"/>
    </row>
    <row r="14" spans="1:22" ht="20.100000000000001" customHeight="1">
      <c r="A14" s="28"/>
      <c r="B14" s="28"/>
      <c r="C14" s="33"/>
      <c r="D14" s="34"/>
      <c r="E14" s="34"/>
      <c r="F14" s="35"/>
      <c r="G14" s="35"/>
      <c r="H14" s="35"/>
      <c r="I14" s="44">
        <f>F14+G14+H14</f>
        <v>0</v>
      </c>
      <c r="J14" s="39"/>
      <c r="K14" s="39"/>
      <c r="L14" s="44">
        <f>F14+J14+K14</f>
        <v>0</v>
      </c>
      <c r="M14" s="37" t="str">
        <f t="shared" ref="M14:M17" si="3">IF(G14-J14&lt;0,"동의필요","-")</f>
        <v>-</v>
      </c>
      <c r="N14" s="36"/>
      <c r="O14" s="36"/>
      <c r="P14" s="36"/>
      <c r="Q14" s="36"/>
      <c r="R14" s="37" t="str">
        <f>IF((G14+H14)=(P14+Q14),"ok","검토")</f>
        <v>ok</v>
      </c>
      <c r="S14" s="17"/>
      <c r="T14" s="8"/>
      <c r="U14" s="8"/>
      <c r="V14" s="7"/>
    </row>
    <row r="15" spans="1:22" ht="20.100000000000001" customHeight="1">
      <c r="A15" s="28"/>
      <c r="B15" s="28"/>
      <c r="C15" s="33"/>
      <c r="D15" s="34"/>
      <c r="E15" s="34"/>
      <c r="F15" s="35"/>
      <c r="G15" s="35"/>
      <c r="H15" s="35"/>
      <c r="I15" s="44">
        <f>F15+G15+H15</f>
        <v>0</v>
      </c>
      <c r="J15" s="39"/>
      <c r="K15" s="39"/>
      <c r="L15" s="44">
        <f>F15+J15+K15</f>
        <v>0</v>
      </c>
      <c r="M15" s="37" t="str">
        <f t="shared" si="3"/>
        <v>-</v>
      </c>
      <c r="N15" s="36"/>
      <c r="O15" s="36"/>
      <c r="P15" s="36"/>
      <c r="Q15" s="36"/>
      <c r="R15" s="37" t="str">
        <f>IF((G15+H15)=(P15+Q15),"ok","검토")</f>
        <v>ok</v>
      </c>
      <c r="S15" s="17"/>
      <c r="T15" s="8"/>
      <c r="U15" s="8"/>
      <c r="V15" s="7"/>
    </row>
    <row r="16" spans="1:22" ht="20.100000000000001" customHeight="1">
      <c r="A16" s="28"/>
      <c r="B16" s="28"/>
      <c r="C16" s="33"/>
      <c r="D16" s="34"/>
      <c r="E16" s="34"/>
      <c r="F16" s="35"/>
      <c r="G16" s="35"/>
      <c r="H16" s="35"/>
      <c r="I16" s="44">
        <f>F16+G16+H16</f>
        <v>0</v>
      </c>
      <c r="J16" s="39"/>
      <c r="K16" s="39"/>
      <c r="L16" s="44">
        <f>F16+J16+K16</f>
        <v>0</v>
      </c>
      <c r="M16" s="37" t="str">
        <f t="shared" si="3"/>
        <v>-</v>
      </c>
      <c r="N16" s="38"/>
      <c r="O16" s="38"/>
      <c r="P16" s="36"/>
      <c r="Q16" s="36"/>
      <c r="R16" s="37" t="str">
        <f>IF((G16+H16)=(P16+Q16),"ok","검토")</f>
        <v>ok</v>
      </c>
      <c r="S16" s="16"/>
      <c r="T16" s="8">
        <v>-100000</v>
      </c>
      <c r="U16" s="8"/>
      <c r="V16" s="7"/>
    </row>
    <row r="17" spans="1:22" ht="20.100000000000001" customHeight="1">
      <c r="A17" s="28"/>
      <c r="B17" s="28"/>
      <c r="C17" s="33"/>
      <c r="D17" s="34"/>
      <c r="E17" s="34"/>
      <c r="F17" s="35"/>
      <c r="G17" s="35"/>
      <c r="H17" s="35"/>
      <c r="I17" s="44">
        <f>F17+G17+H17</f>
        <v>0</v>
      </c>
      <c r="J17" s="39"/>
      <c r="K17" s="39"/>
      <c r="L17" s="44">
        <f>F17+J17+K17</f>
        <v>0</v>
      </c>
      <c r="M17" s="37" t="str">
        <f t="shared" si="3"/>
        <v>-</v>
      </c>
      <c r="N17" s="38"/>
      <c r="O17" s="38"/>
      <c r="P17" s="36"/>
      <c r="Q17" s="36"/>
      <c r="R17" s="37" t="str">
        <f>IF((G17+H17)=(P17+Q17),"ok","검토")</f>
        <v>ok</v>
      </c>
      <c r="S17" s="16"/>
      <c r="T17" s="8"/>
      <c r="U17" s="8">
        <v>1000000</v>
      </c>
      <c r="V17" s="7"/>
    </row>
    <row r="18" spans="1:22" ht="20.100000000000001" customHeight="1">
      <c r="A18" s="28"/>
      <c r="B18" s="29"/>
      <c r="C18" s="30"/>
      <c r="D18" s="31"/>
      <c r="E18" s="31"/>
      <c r="F18" s="32">
        <f>SUM(F19:F22)</f>
        <v>0</v>
      </c>
      <c r="G18" s="32">
        <f>SUM(G19:G22)</f>
        <v>0</v>
      </c>
      <c r="H18" s="32">
        <f>SUM(H19:H22)</f>
        <v>0</v>
      </c>
      <c r="I18" s="32">
        <f>SUM(I19:I22)</f>
        <v>0</v>
      </c>
      <c r="J18" s="32"/>
      <c r="K18" s="32"/>
      <c r="L18" s="32"/>
      <c r="M18" s="32"/>
      <c r="N18" s="32"/>
      <c r="O18" s="32"/>
      <c r="P18" s="32"/>
      <c r="Q18" s="32"/>
      <c r="R18" s="30"/>
      <c r="S18" s="16"/>
      <c r="T18" s="11">
        <f>SUM(T19:T22)</f>
        <v>-100000</v>
      </c>
      <c r="U18" s="11">
        <f>SUM(U19:U22)</f>
        <v>1000000</v>
      </c>
      <c r="V18" s="11"/>
    </row>
    <row r="19" spans="1:22" ht="20.100000000000001" customHeight="1">
      <c r="A19" s="28"/>
      <c r="B19" s="28"/>
      <c r="C19" s="33"/>
      <c r="D19" s="34"/>
      <c r="E19" s="34"/>
      <c r="F19" s="35"/>
      <c r="G19" s="35"/>
      <c r="H19" s="35"/>
      <c r="I19" s="44">
        <f>F19+G19+H19</f>
        <v>0</v>
      </c>
      <c r="J19" s="39"/>
      <c r="K19" s="39"/>
      <c r="L19" s="44">
        <f>F19+J19+K19</f>
        <v>0</v>
      </c>
      <c r="M19" s="37" t="str">
        <f t="shared" ref="M19:M22" si="4">IF(G19-J19&lt;0,"동의필요","-")</f>
        <v>-</v>
      </c>
      <c r="N19" s="36"/>
      <c r="O19" s="36"/>
      <c r="P19" s="36"/>
      <c r="Q19" s="36"/>
      <c r="R19" s="37" t="str">
        <f>IF((G19+H19)=(P19+Q19),"ok","검토")</f>
        <v>ok</v>
      </c>
      <c r="S19" s="17"/>
      <c r="T19" s="8"/>
      <c r="U19" s="8"/>
      <c r="V19" s="7"/>
    </row>
    <row r="20" spans="1:22" ht="20.100000000000001" customHeight="1">
      <c r="A20" s="28"/>
      <c r="B20" s="28"/>
      <c r="C20" s="33"/>
      <c r="D20" s="34"/>
      <c r="E20" s="34"/>
      <c r="F20" s="35"/>
      <c r="G20" s="35"/>
      <c r="H20" s="35"/>
      <c r="I20" s="44">
        <f>F20+G20+H20</f>
        <v>0</v>
      </c>
      <c r="J20" s="39"/>
      <c r="K20" s="39"/>
      <c r="L20" s="44">
        <f>F20+J20+K20</f>
        <v>0</v>
      </c>
      <c r="M20" s="37" t="str">
        <f t="shared" si="4"/>
        <v>-</v>
      </c>
      <c r="N20" s="36"/>
      <c r="O20" s="36"/>
      <c r="P20" s="36"/>
      <c r="Q20" s="36"/>
      <c r="R20" s="37" t="str">
        <f>IF((G20+H20)=(P20+Q20),"ok","검토")</f>
        <v>ok</v>
      </c>
      <c r="S20" s="17"/>
      <c r="T20" s="8"/>
      <c r="U20" s="8"/>
      <c r="V20" s="7"/>
    </row>
    <row r="21" spans="1:22" ht="20.100000000000001" customHeight="1">
      <c r="A21" s="28"/>
      <c r="B21" s="28"/>
      <c r="C21" s="33"/>
      <c r="D21" s="34"/>
      <c r="E21" s="34"/>
      <c r="F21" s="35"/>
      <c r="G21" s="35"/>
      <c r="H21" s="35"/>
      <c r="I21" s="44">
        <f>F21+G21+H21</f>
        <v>0</v>
      </c>
      <c r="J21" s="39"/>
      <c r="K21" s="39"/>
      <c r="L21" s="44">
        <f>F21+J21+K21</f>
        <v>0</v>
      </c>
      <c r="M21" s="37" t="str">
        <f t="shared" si="4"/>
        <v>-</v>
      </c>
      <c r="N21" s="38"/>
      <c r="O21" s="38"/>
      <c r="P21" s="36"/>
      <c r="Q21" s="36"/>
      <c r="R21" s="37" t="str">
        <f>IF((G21+H21)=(P21+Q21),"ok","검토")</f>
        <v>ok</v>
      </c>
      <c r="S21" s="16"/>
      <c r="T21" s="8">
        <v>-100000</v>
      </c>
      <c r="U21" s="8"/>
      <c r="V21" s="7"/>
    </row>
    <row r="22" spans="1:22" ht="20.100000000000001" customHeight="1">
      <c r="A22" s="28"/>
      <c r="B22" s="28"/>
      <c r="C22" s="33"/>
      <c r="D22" s="34"/>
      <c r="E22" s="34"/>
      <c r="F22" s="35"/>
      <c r="G22" s="35"/>
      <c r="H22" s="35"/>
      <c r="I22" s="44">
        <f>F22+G22+H22</f>
        <v>0</v>
      </c>
      <c r="J22" s="39"/>
      <c r="K22" s="39"/>
      <c r="L22" s="44">
        <f>F22+J22+K22</f>
        <v>0</v>
      </c>
      <c r="M22" s="37" t="str">
        <f t="shared" si="4"/>
        <v>-</v>
      </c>
      <c r="N22" s="38"/>
      <c r="O22" s="38"/>
      <c r="P22" s="36"/>
      <c r="Q22" s="36"/>
      <c r="R22" s="37" t="str">
        <f>IF((G22+H22)=(P22+Q22),"ok","검토")</f>
        <v>ok</v>
      </c>
      <c r="S22" s="16"/>
      <c r="T22" s="8"/>
      <c r="U22" s="8">
        <v>1000000</v>
      </c>
      <c r="V22" s="7"/>
    </row>
    <row r="23" spans="1:22" ht="20.100000000000001" customHeight="1">
      <c r="A23" s="28"/>
      <c r="B23" s="28"/>
      <c r="C23" s="33"/>
      <c r="D23" s="34"/>
      <c r="E23" s="34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40"/>
      <c r="S23" s="18"/>
      <c r="T23" s="4"/>
      <c r="U23" s="4"/>
      <c r="V23" s="2"/>
    </row>
    <row r="24" spans="1:22" ht="20.100000000000001" customHeight="1">
      <c r="A24" s="28"/>
      <c r="B24" s="28"/>
      <c r="C24" s="33"/>
      <c r="D24" s="34"/>
      <c r="E24" s="34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40"/>
      <c r="S24" s="18"/>
      <c r="T24" s="4"/>
      <c r="U24" s="4"/>
      <c r="V24" s="2"/>
    </row>
    <row r="25" spans="1:22" ht="20.100000000000001" customHeight="1">
      <c r="A25" s="28"/>
      <c r="B25" s="28"/>
      <c r="C25" s="33"/>
      <c r="D25" s="34"/>
      <c r="E25" s="34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40"/>
      <c r="S25" s="18"/>
      <c r="T25" s="4"/>
      <c r="U25" s="4"/>
      <c r="V25" s="2"/>
    </row>
    <row r="26" spans="1:22" ht="20.100000000000001" customHeight="1">
      <c r="A26" s="28"/>
      <c r="B26" s="28"/>
      <c r="C26" s="41"/>
      <c r="D26" s="28"/>
      <c r="E26" s="28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3"/>
      <c r="S26" s="19"/>
      <c r="T26" s="6"/>
      <c r="U26" s="6"/>
      <c r="V26" s="5"/>
    </row>
    <row r="27" spans="1:22" ht="20.100000000000001" customHeight="1">
      <c r="A27" s="28"/>
      <c r="B27" s="28"/>
      <c r="C27" s="41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41"/>
      <c r="S27" s="20"/>
      <c r="T27" s="5"/>
      <c r="U27" s="5"/>
      <c r="V27" s="5"/>
    </row>
    <row r="28" spans="1:22" ht="20.100000000000001" customHeight="1">
      <c r="A28" s="28"/>
      <c r="B28" s="28"/>
      <c r="C28" s="41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41"/>
      <c r="S28" s="20"/>
      <c r="T28" s="5"/>
      <c r="U28" s="5"/>
      <c r="V28" s="5"/>
    </row>
    <row r="29" spans="1:22" ht="20.100000000000001" customHeight="1">
      <c r="A29" s="28"/>
      <c r="B29" s="28"/>
      <c r="C29" s="41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41"/>
      <c r="S29" s="20"/>
      <c r="T29" s="5"/>
      <c r="U29" s="5"/>
      <c r="V29" s="5"/>
    </row>
    <row r="30" spans="1:22" ht="20.100000000000001" customHeight="1">
      <c r="A30" s="28"/>
      <c r="B30" s="28"/>
      <c r="C30" s="41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41"/>
      <c r="S30" s="20"/>
      <c r="T30" s="5"/>
      <c r="U30" s="5"/>
      <c r="V30" s="5"/>
    </row>
    <row r="31" spans="1:22" ht="20.100000000000001" customHeight="1">
      <c r="A31" s="28"/>
      <c r="B31" s="28"/>
      <c r="C31" s="41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41"/>
      <c r="S31" s="20"/>
      <c r="T31" s="5"/>
      <c r="U31" s="5"/>
      <c r="V31" s="5"/>
    </row>
  </sheetData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1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showGridLines="0" view="pageBreakPreview" zoomScale="85" zoomScaleNormal="90" zoomScaleSheetLayoutView="85" workbookViewId="0">
      <selection sqref="A1:N1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>
      <c r="A1" s="855" t="s">
        <v>25</v>
      </c>
      <c r="B1" s="856"/>
      <c r="C1" s="856"/>
      <c r="D1" s="856"/>
      <c r="E1" s="856"/>
      <c r="F1" s="856"/>
      <c r="G1" s="856"/>
      <c r="H1" s="856"/>
      <c r="I1" s="856"/>
      <c r="J1" s="856"/>
      <c r="K1" s="856"/>
      <c r="L1" s="856"/>
      <c r="M1" s="856"/>
      <c r="N1" s="856"/>
    </row>
    <row r="2" spans="1:22" ht="22.5" customHeight="1">
      <c r="A2" s="14" t="s">
        <v>24</v>
      </c>
      <c r="B2" s="14"/>
    </row>
    <row r="3" spans="1:22" ht="16.5" customHeight="1">
      <c r="N3" s="45" t="s">
        <v>19</v>
      </c>
    </row>
    <row r="4" spans="1:22" ht="27.75" customHeight="1">
      <c r="A4" s="801" t="s">
        <v>10</v>
      </c>
      <c r="B4" s="801"/>
      <c r="C4" s="804" t="s">
        <v>11</v>
      </c>
      <c r="D4" s="801" t="s">
        <v>9</v>
      </c>
      <c r="E4" s="801" t="s">
        <v>8</v>
      </c>
      <c r="F4" s="804" t="s">
        <v>20</v>
      </c>
      <c r="G4" s="857" t="s">
        <v>21</v>
      </c>
      <c r="H4" s="858"/>
      <c r="I4" s="804" t="s">
        <v>15</v>
      </c>
      <c r="J4" s="857" t="s">
        <v>22</v>
      </c>
      <c r="K4" s="858"/>
      <c r="L4" s="804" t="s">
        <v>16</v>
      </c>
      <c r="M4" s="859" t="s">
        <v>17</v>
      </c>
      <c r="N4" s="801" t="s">
        <v>12</v>
      </c>
      <c r="O4" s="861" t="s">
        <v>13</v>
      </c>
      <c r="P4" s="858" t="s">
        <v>18</v>
      </c>
      <c r="Q4" s="858"/>
      <c r="R4" s="858"/>
      <c r="S4" s="13"/>
      <c r="T4" s="863" t="s">
        <v>0</v>
      </c>
      <c r="U4" s="864"/>
      <c r="V4" s="854" t="s">
        <v>3</v>
      </c>
    </row>
    <row r="5" spans="1:22" ht="14.25" customHeight="1">
      <c r="A5" s="801"/>
      <c r="B5" s="801"/>
      <c r="C5" s="804"/>
      <c r="D5" s="801"/>
      <c r="E5" s="801"/>
      <c r="F5" s="801"/>
      <c r="G5" s="47" t="s">
        <v>1</v>
      </c>
      <c r="H5" s="47" t="s">
        <v>2</v>
      </c>
      <c r="I5" s="801"/>
      <c r="J5" s="47" t="s">
        <v>1</v>
      </c>
      <c r="K5" s="47" t="s">
        <v>2</v>
      </c>
      <c r="L5" s="801"/>
      <c r="M5" s="860"/>
      <c r="N5" s="801"/>
      <c r="O5" s="862"/>
      <c r="P5" s="47" t="s">
        <v>6</v>
      </c>
      <c r="Q5" s="47" t="s">
        <v>4</v>
      </c>
      <c r="R5" s="47" t="s">
        <v>7</v>
      </c>
      <c r="S5" s="13"/>
      <c r="T5" s="48" t="s">
        <v>1</v>
      </c>
      <c r="U5" s="48" t="s">
        <v>2</v>
      </c>
      <c r="V5" s="854"/>
    </row>
    <row r="6" spans="1:22" ht="20.100000000000001" customHeight="1">
      <c r="A6" s="21"/>
      <c r="B6" s="22" t="s">
        <v>5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5"/>
      <c r="T6" s="3"/>
      <c r="U6" s="3"/>
      <c r="V6" s="46"/>
    </row>
    <row r="7" spans="1:22" ht="20.100000000000001" customHeight="1">
      <c r="A7" s="25"/>
      <c r="B7" s="26"/>
      <c r="C7" s="26"/>
      <c r="D7" s="26"/>
      <c r="E7" s="26"/>
      <c r="F7" s="27">
        <f t="shared" ref="F7:L7" si="0">F8+F13</f>
        <v>0</v>
      </c>
      <c r="G7" s="27">
        <f t="shared" si="0"/>
        <v>0</v>
      </c>
      <c r="H7" s="27">
        <f t="shared" si="0"/>
        <v>0</v>
      </c>
      <c r="I7" s="27">
        <f t="shared" si="0"/>
        <v>0</v>
      </c>
      <c r="J7" s="27">
        <f t="shared" si="0"/>
        <v>-1340000</v>
      </c>
      <c r="K7" s="27">
        <f t="shared" si="0"/>
        <v>750000</v>
      </c>
      <c r="L7" s="27">
        <f t="shared" si="0"/>
        <v>-590000</v>
      </c>
      <c r="M7" s="27"/>
      <c r="N7" s="27"/>
      <c r="O7" s="27"/>
      <c r="P7" s="27"/>
      <c r="Q7" s="27"/>
      <c r="R7" s="26"/>
      <c r="S7" s="16"/>
      <c r="T7" s="9">
        <f>T8+T13</f>
        <v>-200000</v>
      </c>
      <c r="U7" s="9">
        <f>U8+U13</f>
        <v>2000000</v>
      </c>
      <c r="V7" s="9"/>
    </row>
    <row r="8" spans="1:22" ht="20.100000000000001" customHeight="1">
      <c r="A8" s="28"/>
      <c r="B8" s="29"/>
      <c r="C8" s="30"/>
      <c r="D8" s="31"/>
      <c r="E8" s="31"/>
      <c r="F8" s="32">
        <f t="shared" ref="F8:L8" si="1">SUM(F9:F12)</f>
        <v>0</v>
      </c>
      <c r="G8" s="32">
        <f t="shared" si="1"/>
        <v>0</v>
      </c>
      <c r="H8" s="32">
        <f t="shared" si="1"/>
        <v>0</v>
      </c>
      <c r="I8" s="32">
        <f t="shared" si="1"/>
        <v>0</v>
      </c>
      <c r="J8" s="32">
        <f t="shared" si="1"/>
        <v>-1340000</v>
      </c>
      <c r="K8" s="32">
        <f t="shared" si="1"/>
        <v>750000</v>
      </c>
      <c r="L8" s="32">
        <f t="shared" si="1"/>
        <v>-590000</v>
      </c>
      <c r="M8" s="32"/>
      <c r="N8" s="32"/>
      <c r="O8" s="32"/>
      <c r="P8" s="32"/>
      <c r="Q8" s="32"/>
      <c r="R8" s="30"/>
      <c r="S8" s="16"/>
      <c r="T8" s="11">
        <f>SUM(T9:T12)</f>
        <v>-100000</v>
      </c>
      <c r="U8" s="11">
        <f>SUM(U9:U12)</f>
        <v>1000000</v>
      </c>
      <c r="V8" s="11"/>
    </row>
    <row r="9" spans="1:22" ht="20.100000000000001" customHeight="1">
      <c r="A9" s="28"/>
      <c r="B9" s="28"/>
      <c r="C9" s="33"/>
      <c r="D9" s="34"/>
      <c r="E9" s="34"/>
      <c r="F9" s="35"/>
      <c r="G9" s="35"/>
      <c r="H9" s="35"/>
      <c r="I9" s="44">
        <f>F9+G9+H9</f>
        <v>0</v>
      </c>
      <c r="J9" s="36">
        <v>-740000</v>
      </c>
      <c r="K9" s="38"/>
      <c r="L9" s="44">
        <f>F9+J9+K9</f>
        <v>-740000</v>
      </c>
      <c r="M9" s="37" t="str">
        <f>IF(G9-J9&lt;0,"동의필요","-")</f>
        <v>-</v>
      </c>
      <c r="N9" s="36"/>
      <c r="O9" s="36"/>
      <c r="P9" s="36"/>
      <c r="Q9" s="36"/>
      <c r="R9" s="37" t="str">
        <f>IF((G9+H9)=(P9+Q9),"ok","검토")</f>
        <v>ok</v>
      </c>
      <c r="S9" s="17"/>
      <c r="T9" s="8"/>
      <c r="U9" s="8"/>
      <c r="V9" s="7"/>
    </row>
    <row r="10" spans="1:22" ht="20.100000000000001" customHeight="1">
      <c r="A10" s="28"/>
      <c r="B10" s="28"/>
      <c r="C10" s="33"/>
      <c r="D10" s="34"/>
      <c r="E10" s="34"/>
      <c r="F10" s="35"/>
      <c r="G10" s="35"/>
      <c r="H10" s="35"/>
      <c r="I10" s="44">
        <f>F10+G10+H10</f>
        <v>0</v>
      </c>
      <c r="J10" s="36"/>
      <c r="K10" s="38">
        <v>750000</v>
      </c>
      <c r="L10" s="44">
        <f>F10+J10+K10</f>
        <v>750000</v>
      </c>
      <c r="M10" s="37" t="str">
        <f t="shared" ref="M10:M12" si="2">IF(G10-J10&lt;0,"동의필요","-")</f>
        <v>-</v>
      </c>
      <c r="N10" s="36"/>
      <c r="O10" s="36"/>
      <c r="P10" s="36"/>
      <c r="Q10" s="36"/>
      <c r="R10" s="37" t="str">
        <f>IF((G10+H10)=(P10+Q10),"ok","검토")</f>
        <v>ok</v>
      </c>
      <c r="S10" s="17"/>
      <c r="T10" s="8"/>
      <c r="U10" s="8"/>
      <c r="V10" s="7"/>
    </row>
    <row r="11" spans="1:22" ht="20.100000000000001" customHeight="1">
      <c r="A11" s="28"/>
      <c r="B11" s="28"/>
      <c r="C11" s="33"/>
      <c r="D11" s="34"/>
      <c r="E11" s="34"/>
      <c r="F11" s="35"/>
      <c r="G11" s="35"/>
      <c r="H11" s="35"/>
      <c r="I11" s="44">
        <f>F11+G11+H11</f>
        <v>0</v>
      </c>
      <c r="J11" s="36">
        <v>-600000</v>
      </c>
      <c r="K11" s="38"/>
      <c r="L11" s="44">
        <f>F11+J11+K11</f>
        <v>-600000</v>
      </c>
      <c r="M11" s="37" t="str">
        <f t="shared" si="2"/>
        <v>-</v>
      </c>
      <c r="N11" s="38"/>
      <c r="O11" s="38"/>
      <c r="P11" s="36"/>
      <c r="Q11" s="36"/>
      <c r="R11" s="37" t="str">
        <f>IF((G11+H11)=(P11+Q11),"ok","검토")</f>
        <v>ok</v>
      </c>
      <c r="S11" s="16"/>
      <c r="T11" s="8">
        <v>-100000</v>
      </c>
      <c r="U11" s="8"/>
      <c r="V11" s="7"/>
    </row>
    <row r="12" spans="1:22" ht="20.100000000000001" customHeight="1">
      <c r="A12" s="28"/>
      <c r="B12" s="28"/>
      <c r="C12" s="33"/>
      <c r="D12" s="34"/>
      <c r="E12" s="34"/>
      <c r="F12" s="35"/>
      <c r="G12" s="35"/>
      <c r="H12" s="35"/>
      <c r="I12" s="44">
        <f>F12+G12+H12</f>
        <v>0</v>
      </c>
      <c r="J12" s="36"/>
      <c r="K12" s="38"/>
      <c r="L12" s="44">
        <f>F12+J12+K12</f>
        <v>0</v>
      </c>
      <c r="M12" s="37" t="str">
        <f t="shared" si="2"/>
        <v>-</v>
      </c>
      <c r="N12" s="38"/>
      <c r="O12" s="38"/>
      <c r="P12" s="36"/>
      <c r="Q12" s="36"/>
      <c r="R12" s="37" t="str">
        <f>IF((G12+H12)=(P12+Q12),"ok","검토")</f>
        <v>ok</v>
      </c>
      <c r="S12" s="16"/>
      <c r="T12" s="8"/>
      <c r="U12" s="8">
        <v>1000000</v>
      </c>
      <c r="V12" s="7"/>
    </row>
    <row r="13" spans="1:22" ht="20.100000000000001" customHeight="1">
      <c r="A13" s="28"/>
      <c r="B13" s="29"/>
      <c r="C13" s="30"/>
      <c r="D13" s="31"/>
      <c r="E13" s="31"/>
      <c r="F13" s="32">
        <f>SUM(F14:F17)</f>
        <v>0</v>
      </c>
      <c r="G13" s="32">
        <f>SUM(G14:G17)</f>
        <v>0</v>
      </c>
      <c r="H13" s="32">
        <f>SUM(H14:H17)</f>
        <v>0</v>
      </c>
      <c r="I13" s="32">
        <f>SUM(I14:I17)</f>
        <v>0</v>
      </c>
      <c r="J13" s="32"/>
      <c r="K13" s="32"/>
      <c r="L13" s="32"/>
      <c r="M13" s="32"/>
      <c r="N13" s="32"/>
      <c r="O13" s="32"/>
      <c r="P13" s="32"/>
      <c r="Q13" s="32"/>
      <c r="R13" s="30"/>
      <c r="S13" s="16"/>
      <c r="T13" s="11">
        <f>SUM(T14:T17)</f>
        <v>-100000</v>
      </c>
      <c r="U13" s="11">
        <f>SUM(U14:U17)</f>
        <v>1000000</v>
      </c>
      <c r="V13" s="11"/>
    </row>
    <row r="14" spans="1:22" ht="20.100000000000001" customHeight="1">
      <c r="A14" s="28"/>
      <c r="B14" s="28"/>
      <c r="C14" s="33"/>
      <c r="D14" s="34"/>
      <c r="E14" s="34"/>
      <c r="F14" s="35"/>
      <c r="G14" s="35"/>
      <c r="H14" s="35"/>
      <c r="I14" s="44">
        <f>F14+G14+H14</f>
        <v>0</v>
      </c>
      <c r="J14" s="39"/>
      <c r="K14" s="39"/>
      <c r="L14" s="44">
        <f>F14+J14+K14</f>
        <v>0</v>
      </c>
      <c r="M14" s="37" t="str">
        <f t="shared" ref="M14:M17" si="3">IF(G14-J14&lt;0,"동의필요","-")</f>
        <v>-</v>
      </c>
      <c r="N14" s="36"/>
      <c r="O14" s="36"/>
      <c r="P14" s="36"/>
      <c r="Q14" s="36"/>
      <c r="R14" s="37" t="str">
        <f>IF((G14+H14)=(P14+Q14),"ok","검토")</f>
        <v>ok</v>
      </c>
      <c r="S14" s="17"/>
      <c r="T14" s="8"/>
      <c r="U14" s="8"/>
      <c r="V14" s="7"/>
    </row>
    <row r="15" spans="1:22" ht="20.100000000000001" customHeight="1">
      <c r="A15" s="28"/>
      <c r="B15" s="28"/>
      <c r="C15" s="33"/>
      <c r="D15" s="34"/>
      <c r="E15" s="34"/>
      <c r="F15" s="35"/>
      <c r="G15" s="35"/>
      <c r="H15" s="35"/>
      <c r="I15" s="44">
        <f>F15+G15+H15</f>
        <v>0</v>
      </c>
      <c r="J15" s="39"/>
      <c r="K15" s="39"/>
      <c r="L15" s="44">
        <f>F15+J15+K15</f>
        <v>0</v>
      </c>
      <c r="M15" s="37" t="str">
        <f t="shared" si="3"/>
        <v>-</v>
      </c>
      <c r="N15" s="36"/>
      <c r="O15" s="36"/>
      <c r="P15" s="36"/>
      <c r="Q15" s="36"/>
      <c r="R15" s="37" t="str">
        <f>IF((G15+H15)=(P15+Q15),"ok","검토")</f>
        <v>ok</v>
      </c>
      <c r="S15" s="17"/>
      <c r="T15" s="8"/>
      <c r="U15" s="8"/>
      <c r="V15" s="7"/>
    </row>
    <row r="16" spans="1:22" ht="20.100000000000001" customHeight="1">
      <c r="A16" s="28"/>
      <c r="B16" s="28"/>
      <c r="C16" s="33"/>
      <c r="D16" s="34"/>
      <c r="E16" s="34"/>
      <c r="F16" s="35"/>
      <c r="G16" s="35"/>
      <c r="H16" s="35"/>
      <c r="I16" s="44">
        <f>F16+G16+H16</f>
        <v>0</v>
      </c>
      <c r="J16" s="39"/>
      <c r="K16" s="39"/>
      <c r="L16" s="44">
        <f>F16+J16+K16</f>
        <v>0</v>
      </c>
      <c r="M16" s="37" t="str">
        <f t="shared" si="3"/>
        <v>-</v>
      </c>
      <c r="N16" s="38"/>
      <c r="O16" s="38"/>
      <c r="P16" s="36"/>
      <c r="Q16" s="36"/>
      <c r="R16" s="37" t="str">
        <f>IF((G16+H16)=(P16+Q16),"ok","검토")</f>
        <v>ok</v>
      </c>
      <c r="S16" s="16"/>
      <c r="T16" s="8">
        <v>-100000</v>
      </c>
      <c r="U16" s="8"/>
      <c r="V16" s="7"/>
    </row>
    <row r="17" spans="1:22" ht="20.100000000000001" customHeight="1">
      <c r="A17" s="28"/>
      <c r="B17" s="28"/>
      <c r="C17" s="33"/>
      <c r="D17" s="34"/>
      <c r="E17" s="34"/>
      <c r="F17" s="35"/>
      <c r="G17" s="35"/>
      <c r="H17" s="35"/>
      <c r="I17" s="44">
        <f>F17+G17+H17</f>
        <v>0</v>
      </c>
      <c r="J17" s="39"/>
      <c r="K17" s="39"/>
      <c r="L17" s="44">
        <f>F17+J17+K17</f>
        <v>0</v>
      </c>
      <c r="M17" s="37" t="str">
        <f t="shared" si="3"/>
        <v>-</v>
      </c>
      <c r="N17" s="38"/>
      <c r="O17" s="38"/>
      <c r="P17" s="36"/>
      <c r="Q17" s="36"/>
      <c r="R17" s="37" t="str">
        <f>IF((G17+H17)=(P17+Q17),"ok","검토")</f>
        <v>ok</v>
      </c>
      <c r="S17" s="16"/>
      <c r="T17" s="8"/>
      <c r="U17" s="8">
        <v>1000000</v>
      </c>
      <c r="V17" s="7"/>
    </row>
    <row r="18" spans="1:22" ht="20.100000000000001" customHeight="1">
      <c r="A18" s="28"/>
      <c r="B18" s="29"/>
      <c r="C18" s="30"/>
      <c r="D18" s="31"/>
      <c r="E18" s="31"/>
      <c r="F18" s="32">
        <f>SUM(F19:F22)</f>
        <v>0</v>
      </c>
      <c r="G18" s="32">
        <f>SUM(G19:G22)</f>
        <v>0</v>
      </c>
      <c r="H18" s="32">
        <f>SUM(H19:H22)</f>
        <v>0</v>
      </c>
      <c r="I18" s="32">
        <f>SUM(I19:I22)</f>
        <v>0</v>
      </c>
      <c r="J18" s="32"/>
      <c r="K18" s="32"/>
      <c r="L18" s="32"/>
      <c r="M18" s="32"/>
      <c r="N18" s="32"/>
      <c r="O18" s="32"/>
      <c r="P18" s="32"/>
      <c r="Q18" s="32"/>
      <c r="R18" s="30"/>
      <c r="S18" s="16"/>
      <c r="T18" s="11">
        <f>SUM(T19:T22)</f>
        <v>-100000</v>
      </c>
      <c r="U18" s="11">
        <f>SUM(U19:U22)</f>
        <v>1000000</v>
      </c>
      <c r="V18" s="11"/>
    </row>
    <row r="19" spans="1:22" ht="20.100000000000001" customHeight="1">
      <c r="A19" s="28"/>
      <c r="B19" s="28"/>
      <c r="C19" s="33"/>
      <c r="D19" s="34"/>
      <c r="E19" s="34"/>
      <c r="F19" s="35"/>
      <c r="G19" s="35"/>
      <c r="H19" s="35"/>
      <c r="I19" s="44">
        <f>F19+G19+H19</f>
        <v>0</v>
      </c>
      <c r="J19" s="39"/>
      <c r="K19" s="39"/>
      <c r="L19" s="44">
        <f>F19+J19+K19</f>
        <v>0</v>
      </c>
      <c r="M19" s="37" t="str">
        <f t="shared" ref="M19:M22" si="4">IF(G19-J19&lt;0,"동의필요","-")</f>
        <v>-</v>
      </c>
      <c r="N19" s="36"/>
      <c r="O19" s="36"/>
      <c r="P19" s="36"/>
      <c r="Q19" s="36"/>
      <c r="R19" s="37" t="str">
        <f>IF((G19+H19)=(P19+Q19),"ok","검토")</f>
        <v>ok</v>
      </c>
      <c r="S19" s="17"/>
      <c r="T19" s="8"/>
      <c r="U19" s="8"/>
      <c r="V19" s="7"/>
    </row>
    <row r="20" spans="1:22" ht="20.100000000000001" customHeight="1">
      <c r="A20" s="28"/>
      <c r="B20" s="28"/>
      <c r="C20" s="33"/>
      <c r="D20" s="34"/>
      <c r="E20" s="34"/>
      <c r="F20" s="35"/>
      <c r="G20" s="35"/>
      <c r="H20" s="35"/>
      <c r="I20" s="44">
        <f>F20+G20+H20</f>
        <v>0</v>
      </c>
      <c r="J20" s="39"/>
      <c r="K20" s="39"/>
      <c r="L20" s="44">
        <f>F20+J20+K20</f>
        <v>0</v>
      </c>
      <c r="M20" s="37" t="str">
        <f t="shared" si="4"/>
        <v>-</v>
      </c>
      <c r="N20" s="36"/>
      <c r="O20" s="36"/>
      <c r="P20" s="36"/>
      <c r="Q20" s="36"/>
      <c r="R20" s="37" t="str">
        <f>IF((G20+H20)=(P20+Q20),"ok","검토")</f>
        <v>ok</v>
      </c>
      <c r="S20" s="17"/>
      <c r="T20" s="8"/>
      <c r="U20" s="8"/>
      <c r="V20" s="7"/>
    </row>
    <row r="21" spans="1:22" ht="20.100000000000001" customHeight="1">
      <c r="A21" s="28"/>
      <c r="B21" s="28"/>
      <c r="C21" s="33"/>
      <c r="D21" s="34"/>
      <c r="E21" s="34"/>
      <c r="F21" s="35"/>
      <c r="G21" s="35"/>
      <c r="H21" s="35"/>
      <c r="I21" s="44">
        <f>F21+G21+H21</f>
        <v>0</v>
      </c>
      <c r="J21" s="39"/>
      <c r="K21" s="39"/>
      <c r="L21" s="44">
        <f>F21+J21+K21</f>
        <v>0</v>
      </c>
      <c r="M21" s="37" t="str">
        <f t="shared" si="4"/>
        <v>-</v>
      </c>
      <c r="N21" s="38"/>
      <c r="O21" s="38"/>
      <c r="P21" s="36"/>
      <c r="Q21" s="36"/>
      <c r="R21" s="37" t="str">
        <f>IF((G21+H21)=(P21+Q21),"ok","검토")</f>
        <v>ok</v>
      </c>
      <c r="S21" s="16"/>
      <c r="T21" s="8">
        <v>-100000</v>
      </c>
      <c r="U21" s="8"/>
      <c r="V21" s="7"/>
    </row>
    <row r="22" spans="1:22" ht="20.100000000000001" customHeight="1">
      <c r="A22" s="28"/>
      <c r="B22" s="28"/>
      <c r="C22" s="33"/>
      <c r="D22" s="34"/>
      <c r="E22" s="34"/>
      <c r="F22" s="35"/>
      <c r="G22" s="35"/>
      <c r="H22" s="35"/>
      <c r="I22" s="44">
        <f>F22+G22+H22</f>
        <v>0</v>
      </c>
      <c r="J22" s="39"/>
      <c r="K22" s="39"/>
      <c r="L22" s="44">
        <f>F22+J22+K22</f>
        <v>0</v>
      </c>
      <c r="M22" s="37" t="str">
        <f t="shared" si="4"/>
        <v>-</v>
      </c>
      <c r="N22" s="38"/>
      <c r="O22" s="38"/>
      <c r="P22" s="36"/>
      <c r="Q22" s="36"/>
      <c r="R22" s="37" t="str">
        <f>IF((G22+H22)=(P22+Q22),"ok","검토")</f>
        <v>ok</v>
      </c>
      <c r="S22" s="16"/>
      <c r="T22" s="8"/>
      <c r="U22" s="8">
        <v>1000000</v>
      </c>
      <c r="V22" s="7"/>
    </row>
    <row r="23" spans="1:22" ht="20.100000000000001" customHeight="1">
      <c r="A23" s="28"/>
      <c r="B23" s="28"/>
      <c r="C23" s="33"/>
      <c r="D23" s="34"/>
      <c r="E23" s="34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40"/>
      <c r="S23" s="18"/>
      <c r="T23" s="4"/>
      <c r="U23" s="4"/>
      <c r="V23" s="2"/>
    </row>
    <row r="24" spans="1:22" ht="20.100000000000001" customHeight="1">
      <c r="A24" s="28"/>
      <c r="B24" s="28"/>
      <c r="C24" s="33"/>
      <c r="D24" s="34"/>
      <c r="E24" s="34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40"/>
      <c r="S24" s="18"/>
      <c r="T24" s="4"/>
      <c r="U24" s="4"/>
      <c r="V24" s="2"/>
    </row>
    <row r="25" spans="1:22" ht="20.100000000000001" customHeight="1">
      <c r="A25" s="28"/>
      <c r="B25" s="28"/>
      <c r="C25" s="33"/>
      <c r="D25" s="34"/>
      <c r="E25" s="34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40"/>
      <c r="S25" s="18"/>
      <c r="T25" s="4"/>
      <c r="U25" s="4"/>
      <c r="V25" s="2"/>
    </row>
    <row r="26" spans="1:22" ht="20.100000000000001" customHeight="1">
      <c r="A26" s="28"/>
      <c r="B26" s="28"/>
      <c r="C26" s="41"/>
      <c r="D26" s="28"/>
      <c r="E26" s="28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3"/>
      <c r="S26" s="19"/>
      <c r="T26" s="6"/>
      <c r="U26" s="6"/>
      <c r="V26" s="5"/>
    </row>
    <row r="27" spans="1:22" ht="20.100000000000001" customHeight="1">
      <c r="A27" s="28"/>
      <c r="B27" s="28"/>
      <c r="C27" s="41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41"/>
      <c r="S27" s="20"/>
      <c r="T27" s="5"/>
      <c r="U27" s="5"/>
      <c r="V27" s="5"/>
    </row>
    <row r="28" spans="1:22" ht="20.100000000000001" customHeight="1">
      <c r="A28" s="28"/>
      <c r="B28" s="28"/>
      <c r="C28" s="41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41"/>
      <c r="S28" s="20"/>
      <c r="T28" s="5"/>
      <c r="U28" s="5"/>
      <c r="V28" s="5"/>
    </row>
    <row r="29" spans="1:22" ht="20.100000000000001" customHeight="1">
      <c r="A29" s="28"/>
      <c r="B29" s="28"/>
      <c r="C29" s="41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41"/>
      <c r="S29" s="20"/>
      <c r="T29" s="5"/>
      <c r="U29" s="5"/>
      <c r="V29" s="5"/>
    </row>
    <row r="30" spans="1:22" ht="20.100000000000001" customHeight="1">
      <c r="A30" s="28"/>
      <c r="B30" s="28"/>
      <c r="C30" s="41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41"/>
      <c r="S30" s="20"/>
      <c r="T30" s="5"/>
      <c r="U30" s="5"/>
      <c r="V30" s="5"/>
    </row>
    <row r="31" spans="1:22" ht="20.100000000000001" customHeight="1">
      <c r="A31" s="28"/>
      <c r="B31" s="28"/>
      <c r="C31" s="41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41"/>
      <c r="S31" s="20"/>
      <c r="T31" s="5"/>
      <c r="U31" s="5"/>
      <c r="V31" s="5"/>
    </row>
  </sheetData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1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8"/>
  <sheetViews>
    <sheetView view="pageBreakPreview" zoomScaleNormal="100" zoomScaleSheetLayoutView="100" workbookViewId="0">
      <selection activeCell="B1" sqref="B1:K1"/>
    </sheetView>
  </sheetViews>
  <sheetFormatPr defaultRowHeight="13.5"/>
  <cols>
    <col min="1" max="10" width="8.125" style="385" customWidth="1"/>
    <col min="11" max="16384" width="9" style="385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386" t="s">
        <v>1471</v>
      </c>
      <c r="C5" s="387"/>
      <c r="D5" s="387"/>
      <c r="E5" s="387"/>
      <c r="F5" s="387"/>
      <c r="G5" s="387"/>
      <c r="H5" s="387"/>
      <c r="I5" s="387"/>
    </row>
    <row r="6" spans="2:9" ht="18.75">
      <c r="B6" s="388"/>
      <c r="C6" s="389"/>
      <c r="E6" s="390"/>
      <c r="F6" s="389"/>
      <c r="G6" s="389"/>
      <c r="H6" s="389"/>
      <c r="I6" s="389"/>
    </row>
    <row r="7" spans="2:9" ht="46.5">
      <c r="B7" s="391" t="s">
        <v>1479</v>
      </c>
      <c r="C7" s="392"/>
      <c r="D7" s="392"/>
      <c r="E7" s="392"/>
      <c r="F7" s="392"/>
      <c r="G7" s="392"/>
      <c r="H7" s="392"/>
      <c r="I7" s="392"/>
    </row>
    <row r="8" spans="2:9" ht="19.5">
      <c r="B8" s="393"/>
      <c r="C8" s="392"/>
      <c r="D8" s="392"/>
      <c r="E8" s="392"/>
      <c r="F8" s="392"/>
      <c r="G8" s="392"/>
      <c r="H8" s="392"/>
      <c r="I8" s="392"/>
    </row>
    <row r="9" spans="2:9" ht="19.5">
      <c r="B9" s="393"/>
      <c r="C9" s="392"/>
      <c r="D9" s="392"/>
      <c r="E9" s="392"/>
      <c r="F9" s="392"/>
      <c r="G9" s="392"/>
      <c r="H9" s="392"/>
      <c r="I9" s="392"/>
    </row>
    <row r="10" spans="2:9" ht="19.5">
      <c r="B10" s="393"/>
      <c r="C10" s="392"/>
      <c r="D10" s="392"/>
      <c r="E10" s="392"/>
      <c r="F10" s="392"/>
      <c r="G10" s="392"/>
      <c r="H10" s="392"/>
      <c r="I10" s="392"/>
    </row>
    <row r="11" spans="2:9" ht="19.5">
      <c r="B11" s="393"/>
      <c r="C11" s="392"/>
      <c r="D11" s="392"/>
      <c r="E11" s="392"/>
      <c r="F11" s="392"/>
      <c r="G11" s="392"/>
      <c r="H11" s="392"/>
      <c r="I11" s="392"/>
    </row>
    <row r="12" spans="2:9" ht="19.5">
      <c r="B12" s="393"/>
      <c r="C12" s="392"/>
      <c r="D12" s="392"/>
      <c r="E12" s="392"/>
      <c r="F12" s="392"/>
      <c r="G12" s="392"/>
      <c r="H12" s="392"/>
      <c r="I12" s="392"/>
    </row>
    <row r="13" spans="2:9" ht="19.5">
      <c r="B13" s="393"/>
      <c r="C13" s="392"/>
      <c r="D13" s="392"/>
      <c r="E13" s="392"/>
      <c r="F13" s="392"/>
      <c r="G13" s="392"/>
      <c r="H13" s="392"/>
      <c r="I13" s="392"/>
    </row>
    <row r="14" spans="2:9">
      <c r="B14" s="392"/>
      <c r="C14" s="392"/>
      <c r="D14" s="392"/>
      <c r="E14" s="392"/>
      <c r="F14" s="392"/>
      <c r="G14" s="392"/>
      <c r="H14" s="392"/>
      <c r="I14" s="392"/>
    </row>
    <row r="15" spans="2:9">
      <c r="B15" s="392"/>
      <c r="C15" s="392"/>
      <c r="D15" s="392"/>
      <c r="E15" s="392"/>
      <c r="F15" s="392"/>
      <c r="G15" s="392"/>
      <c r="H15" s="392"/>
      <c r="I15" s="392"/>
    </row>
    <row r="16" spans="2:9">
      <c r="B16" s="392"/>
      <c r="C16" s="392"/>
      <c r="D16" s="392"/>
      <c r="E16" s="392"/>
      <c r="F16" s="392"/>
      <c r="G16" s="392"/>
      <c r="H16" s="392"/>
      <c r="I16" s="392"/>
    </row>
    <row r="17" spans="2:9">
      <c r="B17" s="392"/>
      <c r="C17" s="392"/>
      <c r="D17" s="392"/>
      <c r="E17" s="392"/>
      <c r="F17" s="392"/>
      <c r="G17" s="392"/>
      <c r="H17" s="392"/>
      <c r="I17" s="392"/>
    </row>
    <row r="18" spans="2:9">
      <c r="B18" s="392"/>
      <c r="C18" s="392"/>
      <c r="D18" s="392"/>
      <c r="E18" s="392"/>
      <c r="F18" s="392"/>
      <c r="G18" s="392"/>
      <c r="H18" s="392"/>
      <c r="I18" s="392"/>
    </row>
    <row r="19" spans="2:9">
      <c r="B19" s="392"/>
      <c r="C19" s="392"/>
      <c r="D19" s="392"/>
      <c r="E19" s="392"/>
      <c r="F19" s="392"/>
      <c r="G19" s="392"/>
      <c r="H19" s="392"/>
      <c r="I19" s="392"/>
    </row>
    <row r="20" spans="2:9">
      <c r="B20" s="392"/>
      <c r="C20" s="392"/>
      <c r="D20" s="392"/>
      <c r="E20" s="392"/>
      <c r="F20" s="392"/>
      <c r="G20" s="392"/>
      <c r="H20" s="392"/>
      <c r="I20" s="392"/>
    </row>
    <row r="21" spans="2:9">
      <c r="B21" s="392"/>
      <c r="C21" s="392"/>
      <c r="D21" s="392"/>
      <c r="E21" s="392"/>
      <c r="F21" s="392"/>
      <c r="G21" s="392"/>
      <c r="H21" s="392"/>
      <c r="I21" s="392"/>
    </row>
    <row r="22" spans="2:9">
      <c r="B22" s="392"/>
      <c r="C22" s="392"/>
      <c r="D22" s="392"/>
      <c r="E22" s="392"/>
      <c r="F22" s="392"/>
      <c r="G22" s="392"/>
      <c r="H22" s="392"/>
      <c r="I22" s="392"/>
    </row>
    <row r="23" spans="2:9">
      <c r="B23" s="392"/>
      <c r="C23" s="392"/>
      <c r="D23" s="392"/>
      <c r="E23" s="392"/>
      <c r="F23" s="392"/>
      <c r="G23" s="392"/>
      <c r="H23" s="392"/>
      <c r="I23" s="392"/>
    </row>
    <row r="24" spans="2:9">
      <c r="B24" s="392"/>
      <c r="C24" s="392"/>
      <c r="D24" s="392"/>
      <c r="E24" s="392"/>
      <c r="F24" s="392"/>
      <c r="G24" s="392"/>
      <c r="H24" s="392"/>
      <c r="I24" s="392"/>
    </row>
    <row r="25" spans="2:9">
      <c r="B25" s="392"/>
      <c r="C25" s="392"/>
      <c r="D25" s="392"/>
      <c r="E25" s="392"/>
      <c r="F25" s="392"/>
      <c r="G25" s="392"/>
      <c r="H25" s="392"/>
      <c r="I25" s="392"/>
    </row>
    <row r="26" spans="2:9">
      <c r="B26" s="392"/>
      <c r="C26" s="392"/>
      <c r="D26" s="392"/>
      <c r="E26" s="392"/>
      <c r="F26" s="392"/>
      <c r="G26" s="392"/>
      <c r="H26" s="392"/>
      <c r="I26" s="392"/>
    </row>
    <row r="27" spans="2:9">
      <c r="B27" s="392"/>
      <c r="C27" s="392"/>
      <c r="D27" s="392"/>
      <c r="E27" s="392"/>
      <c r="F27" s="392"/>
      <c r="G27" s="392"/>
      <c r="H27" s="392"/>
      <c r="I27" s="392"/>
    </row>
    <row r="28" spans="2:9">
      <c r="B28" s="392"/>
      <c r="C28" s="392"/>
      <c r="D28" s="392"/>
      <c r="E28" s="392"/>
      <c r="F28" s="392"/>
      <c r="G28" s="392"/>
      <c r="H28" s="392"/>
      <c r="I28" s="392"/>
    </row>
    <row r="29" spans="2:9">
      <c r="B29" s="392"/>
      <c r="C29" s="392"/>
      <c r="D29" s="392"/>
      <c r="E29" s="392"/>
      <c r="F29" s="392"/>
      <c r="G29" s="392"/>
      <c r="H29" s="392"/>
      <c r="I29" s="392"/>
    </row>
    <row r="30" spans="2:9">
      <c r="B30" s="392"/>
      <c r="C30" s="392"/>
      <c r="D30" s="392"/>
      <c r="E30" s="392"/>
      <c r="F30" s="392"/>
      <c r="G30" s="392"/>
      <c r="H30" s="392"/>
      <c r="I30" s="392"/>
    </row>
    <row r="31" spans="2:9">
      <c r="B31" s="392"/>
      <c r="C31" s="392"/>
      <c r="D31" s="392"/>
      <c r="E31" s="392"/>
      <c r="F31" s="392"/>
      <c r="G31" s="392"/>
      <c r="H31" s="392"/>
      <c r="I31" s="392"/>
    </row>
    <row r="32" spans="2:9">
      <c r="B32" s="392"/>
      <c r="C32" s="392"/>
      <c r="D32" s="392"/>
      <c r="E32" s="392"/>
      <c r="F32" s="392"/>
      <c r="G32" s="392"/>
      <c r="H32" s="392"/>
      <c r="I32" s="392"/>
    </row>
    <row r="33" spans="2:9" s="394" customFormat="1" ht="33.75">
      <c r="B33" s="807" t="s">
        <v>1484</v>
      </c>
      <c r="C33" s="807"/>
      <c r="D33" s="807"/>
      <c r="E33" s="807"/>
      <c r="F33" s="807"/>
      <c r="G33" s="807"/>
      <c r="H33" s="807"/>
      <c r="I33" s="807"/>
    </row>
    <row r="34" spans="2:9">
      <c r="B34" s="392"/>
      <c r="C34" s="392"/>
      <c r="D34" s="392"/>
      <c r="E34" s="392"/>
      <c r="F34" s="392"/>
      <c r="G34" s="392"/>
      <c r="H34" s="392"/>
      <c r="I34" s="392"/>
    </row>
    <row r="35" spans="2:9" ht="46.5">
      <c r="B35" s="391"/>
      <c r="C35" s="392"/>
      <c r="D35" s="392"/>
      <c r="E35" s="392"/>
      <c r="F35" s="392"/>
      <c r="G35" s="392"/>
      <c r="H35" s="392"/>
      <c r="I35" s="392"/>
    </row>
    <row r="36" spans="2:9">
      <c r="B36" s="392"/>
      <c r="C36" s="392"/>
      <c r="D36" s="392"/>
      <c r="E36" s="392"/>
      <c r="F36" s="392"/>
      <c r="G36" s="392"/>
      <c r="H36" s="392"/>
      <c r="I36" s="392"/>
    </row>
    <row r="37" spans="2:9">
      <c r="B37" s="392"/>
      <c r="C37" s="392"/>
      <c r="D37" s="392"/>
      <c r="E37" s="392"/>
      <c r="F37" s="392"/>
      <c r="G37" s="392"/>
      <c r="H37" s="392"/>
      <c r="I37" s="392"/>
    </row>
    <row r="38" spans="2:9">
      <c r="B38" s="392"/>
      <c r="C38" s="392"/>
      <c r="D38" s="392"/>
      <c r="E38" s="392"/>
      <c r="F38" s="392"/>
      <c r="G38" s="392"/>
      <c r="H38" s="392"/>
      <c r="I38" s="392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97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showGridLines="0" view="pageBreakPreview" zoomScale="80" zoomScaleNormal="93" zoomScaleSheetLayoutView="80" workbookViewId="0">
      <selection activeCell="B1" sqref="B1:K1"/>
    </sheetView>
  </sheetViews>
  <sheetFormatPr defaultColWidth="8.75" defaultRowHeight="13.5"/>
  <cols>
    <col min="1" max="1" width="2.5" style="383" customWidth="1"/>
    <col min="2" max="2" width="3.5" style="383" customWidth="1"/>
    <col min="3" max="3" width="6.75" style="384" customWidth="1"/>
    <col min="4" max="4" width="11" style="383" hidden="1" customWidth="1"/>
    <col min="5" max="5" width="33.125" style="383" customWidth="1"/>
    <col min="6" max="6" width="10.25" style="383" customWidth="1"/>
    <col min="7" max="7" width="10.75" style="383" hidden="1" customWidth="1"/>
    <col min="8" max="9" width="11.125" style="383" hidden="1" customWidth="1"/>
    <col min="10" max="11" width="11.125" style="383" customWidth="1"/>
    <col min="12" max="12" width="12.875" style="383" customWidth="1"/>
    <col min="13" max="13" width="9.25" style="383" hidden="1" customWidth="1"/>
    <col min="14" max="14" width="16.125" style="383" customWidth="1"/>
    <col min="15" max="15" width="4" style="383" hidden="1" customWidth="1"/>
    <col min="16" max="17" width="9.25" style="383" hidden="1" customWidth="1"/>
    <col min="18" max="18" width="6" style="384" hidden="1" customWidth="1"/>
    <col min="19" max="19" width="8.25" style="12" hidden="1" customWidth="1"/>
    <col min="20" max="21" width="9.25" style="383" hidden="1" customWidth="1"/>
    <col min="22" max="22" width="8.75" style="383" hidden="1" customWidth="1"/>
    <col min="23" max="23" width="0" style="383" hidden="1" customWidth="1"/>
    <col min="24" max="16384" width="8.75" style="383"/>
  </cols>
  <sheetData>
    <row r="1" spans="1:22" ht="29.25" customHeight="1">
      <c r="A1" s="865" t="s">
        <v>1501</v>
      </c>
      <c r="B1" s="865"/>
      <c r="C1" s="865"/>
      <c r="D1" s="865"/>
      <c r="E1" s="865"/>
      <c r="F1" s="865"/>
      <c r="G1" s="865"/>
      <c r="H1" s="865"/>
      <c r="I1" s="865"/>
      <c r="J1" s="865"/>
      <c r="K1" s="865"/>
      <c r="L1" s="865"/>
      <c r="M1" s="865"/>
      <c r="N1" s="865"/>
    </row>
    <row r="2" spans="1:22" ht="22.5" customHeight="1">
      <c r="A2" s="14" t="s">
        <v>1456</v>
      </c>
      <c r="B2" s="14"/>
    </row>
    <row r="3" spans="1:22" ht="16.5" customHeight="1">
      <c r="H3" s="673">
        <f>G6+H6</f>
        <v>0</v>
      </c>
      <c r="N3" s="45" t="s">
        <v>19</v>
      </c>
    </row>
    <row r="4" spans="1:22" ht="27.75" customHeight="1">
      <c r="A4" s="801" t="s">
        <v>10</v>
      </c>
      <c r="B4" s="801"/>
      <c r="C4" s="804" t="s">
        <v>11</v>
      </c>
      <c r="D4" s="801" t="s">
        <v>9</v>
      </c>
      <c r="E4" s="801" t="s">
        <v>1131</v>
      </c>
      <c r="F4" s="804" t="s">
        <v>20</v>
      </c>
      <c r="G4" s="857" t="s">
        <v>21</v>
      </c>
      <c r="H4" s="858"/>
      <c r="I4" s="804" t="s">
        <v>15</v>
      </c>
      <c r="J4" s="857" t="s">
        <v>22</v>
      </c>
      <c r="K4" s="858"/>
      <c r="L4" s="804" t="s">
        <v>16</v>
      </c>
      <c r="M4" s="859" t="s">
        <v>17</v>
      </c>
      <c r="N4" s="801" t="s">
        <v>12</v>
      </c>
      <c r="O4" s="861" t="s">
        <v>13</v>
      </c>
      <c r="P4" s="858" t="s">
        <v>18</v>
      </c>
      <c r="Q4" s="858"/>
      <c r="R4" s="858"/>
      <c r="S4" s="13"/>
      <c r="T4" s="863" t="s">
        <v>0</v>
      </c>
      <c r="U4" s="864"/>
      <c r="V4" s="854" t="s">
        <v>3</v>
      </c>
    </row>
    <row r="5" spans="1:22" ht="14.25" customHeight="1">
      <c r="A5" s="801"/>
      <c r="B5" s="801"/>
      <c r="C5" s="804"/>
      <c r="D5" s="801"/>
      <c r="E5" s="801"/>
      <c r="F5" s="801"/>
      <c r="G5" s="689" t="s">
        <v>1</v>
      </c>
      <c r="H5" s="689" t="s">
        <v>2</v>
      </c>
      <c r="I5" s="801"/>
      <c r="J5" s="689" t="s">
        <v>1</v>
      </c>
      <c r="K5" s="689" t="s">
        <v>2</v>
      </c>
      <c r="L5" s="801"/>
      <c r="M5" s="860"/>
      <c r="N5" s="801"/>
      <c r="O5" s="862"/>
      <c r="P5" s="689" t="s">
        <v>343</v>
      </c>
      <c r="Q5" s="689" t="s">
        <v>4</v>
      </c>
      <c r="R5" s="689" t="s">
        <v>7</v>
      </c>
      <c r="S5" s="13"/>
      <c r="T5" s="690" t="s">
        <v>1</v>
      </c>
      <c r="U5" s="690" t="s">
        <v>2</v>
      </c>
      <c r="V5" s="854"/>
    </row>
    <row r="6" spans="1:22" ht="28.5" customHeight="1">
      <c r="A6" s="21"/>
      <c r="B6" s="22" t="s">
        <v>5</v>
      </c>
      <c r="C6" s="23"/>
      <c r="D6" s="23"/>
      <c r="E6" s="23"/>
      <c r="F6" s="62">
        <f t="shared" ref="F6:M7" si="0">F7</f>
        <v>118063889</v>
      </c>
      <c r="G6" s="62">
        <f t="shared" si="0"/>
        <v>0</v>
      </c>
      <c r="H6" s="62">
        <f t="shared" si="0"/>
        <v>0</v>
      </c>
      <c r="I6" s="62">
        <f t="shared" si="0"/>
        <v>118063889</v>
      </c>
      <c r="J6" s="62">
        <f t="shared" si="0"/>
        <v>-10000000</v>
      </c>
      <c r="K6" s="62">
        <f t="shared" si="0"/>
        <v>0</v>
      </c>
      <c r="L6" s="62">
        <f t="shared" si="0"/>
        <v>108063889</v>
      </c>
      <c r="M6" s="62">
        <f t="shared" si="0"/>
        <v>0</v>
      </c>
      <c r="N6" s="62"/>
      <c r="O6" s="62"/>
      <c r="P6" s="62">
        <f>P7</f>
        <v>0</v>
      </c>
      <c r="Q6" s="62">
        <f>Q7</f>
        <v>0</v>
      </c>
      <c r="R6" s="37" t="str">
        <f>IF((G6+H6)=(P6+Q6),"ok","검토")</f>
        <v>ok</v>
      </c>
      <c r="S6" s="15"/>
      <c r="T6" s="3"/>
      <c r="U6" s="3"/>
      <c r="V6" s="688"/>
    </row>
    <row r="7" spans="1:22" ht="28.5" customHeight="1">
      <c r="A7" s="445" t="s">
        <v>1465</v>
      </c>
      <c r="B7" s="626"/>
      <c r="C7" s="626"/>
      <c r="D7" s="626"/>
      <c r="E7" s="626"/>
      <c r="F7" s="627">
        <f t="shared" si="0"/>
        <v>118063889</v>
      </c>
      <c r="G7" s="627">
        <f t="shared" si="0"/>
        <v>0</v>
      </c>
      <c r="H7" s="627">
        <f t="shared" si="0"/>
        <v>0</v>
      </c>
      <c r="I7" s="627">
        <f t="shared" si="0"/>
        <v>118063889</v>
      </c>
      <c r="J7" s="627">
        <f t="shared" si="0"/>
        <v>-10000000</v>
      </c>
      <c r="K7" s="627">
        <f t="shared" si="0"/>
        <v>0</v>
      </c>
      <c r="L7" s="627">
        <f t="shared" si="0"/>
        <v>108063889</v>
      </c>
      <c r="M7" s="627">
        <f t="shared" si="0"/>
        <v>0</v>
      </c>
      <c r="N7" s="627"/>
      <c r="O7" s="627"/>
      <c r="P7" s="627">
        <f>P8</f>
        <v>0</v>
      </c>
      <c r="Q7" s="627">
        <f>Q8</f>
        <v>0</v>
      </c>
      <c r="R7" s="37" t="str">
        <f>IF((G7+H7)=(P7+Q7),"ok","검토")</f>
        <v>ok</v>
      </c>
      <c r="S7" s="16"/>
      <c r="T7" s="9" t="e">
        <f>T8+#REF!</f>
        <v>#REF!</v>
      </c>
      <c r="U7" s="9" t="e">
        <f>U8+#REF!</f>
        <v>#REF!</v>
      </c>
      <c r="V7" s="9"/>
    </row>
    <row r="8" spans="1:22" ht="28.5" customHeight="1">
      <c r="A8" s="28"/>
      <c r="B8" s="612" t="s">
        <v>1466</v>
      </c>
      <c r="C8" s="628"/>
      <c r="D8" s="613"/>
      <c r="E8" s="628" t="s">
        <v>1460</v>
      </c>
      <c r="F8" s="629">
        <f t="shared" ref="F8:Q8" si="1">SUM(F9:F9)</f>
        <v>118063889</v>
      </c>
      <c r="G8" s="629">
        <f t="shared" si="1"/>
        <v>0</v>
      </c>
      <c r="H8" s="629">
        <f t="shared" si="1"/>
        <v>0</v>
      </c>
      <c r="I8" s="629">
        <f t="shared" si="1"/>
        <v>118063889</v>
      </c>
      <c r="J8" s="629">
        <f t="shared" si="1"/>
        <v>-10000000</v>
      </c>
      <c r="K8" s="629">
        <f t="shared" si="1"/>
        <v>0</v>
      </c>
      <c r="L8" s="629">
        <f t="shared" si="1"/>
        <v>108063889</v>
      </c>
      <c r="M8" s="629">
        <f t="shared" si="1"/>
        <v>0</v>
      </c>
      <c r="N8" s="629">
        <f t="shared" si="1"/>
        <v>0</v>
      </c>
      <c r="O8" s="629">
        <f t="shared" si="1"/>
        <v>0</v>
      </c>
      <c r="P8" s="629">
        <f t="shared" si="1"/>
        <v>0</v>
      </c>
      <c r="Q8" s="629">
        <f t="shared" si="1"/>
        <v>0</v>
      </c>
      <c r="R8" s="37" t="str">
        <f>IF((G8+H8)=(P8+Q8),"ok","검토")</f>
        <v>ok</v>
      </c>
      <c r="S8" s="16"/>
      <c r="T8" s="611">
        <f>SUM(T9:T9)</f>
        <v>0</v>
      </c>
      <c r="U8" s="611">
        <f>SUM(U9:U9)</f>
        <v>0</v>
      </c>
      <c r="V8" s="611"/>
    </row>
    <row r="9" spans="1:22" ht="35.25" customHeight="1">
      <c r="A9" s="28"/>
      <c r="B9" s="28"/>
      <c r="C9" s="33">
        <v>861</v>
      </c>
      <c r="D9" s="34" t="s">
        <v>1459</v>
      </c>
      <c r="E9" s="51" t="s">
        <v>1461</v>
      </c>
      <c r="F9" s="35">
        <v>118063889</v>
      </c>
      <c r="G9" s="35"/>
      <c r="H9" s="35"/>
      <c r="I9" s="359">
        <f>F9+G9+H9</f>
        <v>118063889</v>
      </c>
      <c r="J9" s="35">
        <v>-10000000</v>
      </c>
      <c r="K9" s="35">
        <v>0</v>
      </c>
      <c r="L9" s="359">
        <f>F9+J9+K9</f>
        <v>108063889</v>
      </c>
      <c r="M9" s="37" t="str">
        <f>IF(G9-J9&lt;0,"동의필요","-")</f>
        <v>-</v>
      </c>
      <c r="N9" s="421"/>
      <c r="O9" s="36"/>
      <c r="P9" s="36"/>
      <c r="Q9" s="36"/>
      <c r="R9" s="37" t="str">
        <f>IF((G9+H9)=(P9+Q9),"ok","검토")</f>
        <v>ok</v>
      </c>
      <c r="S9" s="17"/>
      <c r="T9" s="8"/>
      <c r="U9" s="8"/>
      <c r="V9" s="7"/>
    </row>
    <row r="11" spans="1:22" ht="22.5" customHeight="1">
      <c r="A11" s="14" t="s">
        <v>1457</v>
      </c>
      <c r="B11" s="14"/>
    </row>
    <row r="12" spans="1:22" ht="16.5" customHeight="1">
      <c r="H12" s="673">
        <f>G15+H15</f>
        <v>0</v>
      </c>
      <c r="N12" s="45" t="s">
        <v>19</v>
      </c>
    </row>
    <row r="13" spans="1:22" ht="27.75" customHeight="1">
      <c r="A13" s="801" t="s">
        <v>10</v>
      </c>
      <c r="B13" s="801"/>
      <c r="C13" s="804" t="s">
        <v>11</v>
      </c>
      <c r="D13" s="801" t="s">
        <v>9</v>
      </c>
      <c r="E13" s="801" t="s">
        <v>1131</v>
      </c>
      <c r="F13" s="804" t="s">
        <v>20</v>
      </c>
      <c r="G13" s="857" t="s">
        <v>21</v>
      </c>
      <c r="H13" s="858"/>
      <c r="I13" s="804" t="s">
        <v>15</v>
      </c>
      <c r="J13" s="857" t="s">
        <v>22</v>
      </c>
      <c r="K13" s="858"/>
      <c r="L13" s="804" t="s">
        <v>16</v>
      </c>
      <c r="M13" s="859" t="s">
        <v>17</v>
      </c>
      <c r="N13" s="801" t="s">
        <v>12</v>
      </c>
      <c r="O13" s="861" t="s">
        <v>13</v>
      </c>
      <c r="P13" s="858" t="s">
        <v>18</v>
      </c>
      <c r="Q13" s="858"/>
      <c r="R13" s="858"/>
      <c r="S13" s="13"/>
      <c r="T13" s="863" t="s">
        <v>0</v>
      </c>
      <c r="U13" s="864"/>
      <c r="V13" s="854" t="s">
        <v>3</v>
      </c>
    </row>
    <row r="14" spans="1:22" ht="14.25" customHeight="1">
      <c r="A14" s="801"/>
      <c r="B14" s="801"/>
      <c r="C14" s="804"/>
      <c r="D14" s="801"/>
      <c r="E14" s="801"/>
      <c r="F14" s="801"/>
      <c r="G14" s="689" t="s">
        <v>1</v>
      </c>
      <c r="H14" s="689" t="s">
        <v>2</v>
      </c>
      <c r="I14" s="801"/>
      <c r="J14" s="689" t="s">
        <v>1</v>
      </c>
      <c r="K14" s="689" t="s">
        <v>2</v>
      </c>
      <c r="L14" s="801"/>
      <c r="M14" s="860"/>
      <c r="N14" s="801"/>
      <c r="O14" s="862"/>
      <c r="P14" s="689" t="s">
        <v>343</v>
      </c>
      <c r="Q14" s="689" t="s">
        <v>4</v>
      </c>
      <c r="R14" s="689" t="s">
        <v>7</v>
      </c>
      <c r="S14" s="13"/>
      <c r="T14" s="690" t="s">
        <v>1</v>
      </c>
      <c r="U14" s="690" t="s">
        <v>2</v>
      </c>
      <c r="V14" s="854"/>
    </row>
    <row r="15" spans="1:22" ht="34.5" customHeight="1">
      <c r="A15" s="21"/>
      <c r="B15" s="22" t="s">
        <v>5</v>
      </c>
      <c r="C15" s="23"/>
      <c r="D15" s="23"/>
      <c r="E15" s="23"/>
      <c r="F15" s="62">
        <f>SUM(F16:F18)/3</f>
        <v>824639858</v>
      </c>
      <c r="G15" s="62">
        <f t="shared" ref="G15:L15" si="2">SUM(G16:G18)/3</f>
        <v>0</v>
      </c>
      <c r="H15" s="62">
        <f t="shared" si="2"/>
        <v>0</v>
      </c>
      <c r="I15" s="62">
        <f t="shared" si="2"/>
        <v>824639858</v>
      </c>
      <c r="J15" s="62">
        <f t="shared" si="2"/>
        <v>-10000000</v>
      </c>
      <c r="K15" s="62">
        <f t="shared" si="2"/>
        <v>0</v>
      </c>
      <c r="L15" s="62">
        <f t="shared" si="2"/>
        <v>814639858</v>
      </c>
      <c r="M15" s="62">
        <f>M16</f>
        <v>0</v>
      </c>
      <c r="N15" s="62"/>
      <c r="O15" s="62"/>
      <c r="P15" s="62">
        <f>P16</f>
        <v>0</v>
      </c>
      <c r="Q15" s="62">
        <f>Q16</f>
        <v>-10000000</v>
      </c>
      <c r="R15" s="37" t="str">
        <f t="shared" ref="R15:R18" si="3">IF((G15+H15)=(P15+Q15),"ok","검토")</f>
        <v>검토</v>
      </c>
      <c r="S15" s="15"/>
      <c r="T15" s="3"/>
      <c r="U15" s="3"/>
      <c r="V15" s="688"/>
    </row>
    <row r="16" spans="1:22" ht="34.5" customHeight="1">
      <c r="A16" s="445" t="s">
        <v>1465</v>
      </c>
      <c r="B16" s="626"/>
      <c r="C16" s="626"/>
      <c r="D16" s="626"/>
      <c r="E16" s="626"/>
      <c r="F16" s="627">
        <f t="shared" ref="F16:L16" si="4">F17</f>
        <v>824639858</v>
      </c>
      <c r="G16" s="627">
        <f t="shared" si="4"/>
        <v>0</v>
      </c>
      <c r="H16" s="627">
        <f t="shared" si="4"/>
        <v>0</v>
      </c>
      <c r="I16" s="627">
        <f t="shared" si="4"/>
        <v>824639858</v>
      </c>
      <c r="J16" s="627">
        <f t="shared" si="4"/>
        <v>-10000000</v>
      </c>
      <c r="K16" s="627">
        <f t="shared" si="4"/>
        <v>0</v>
      </c>
      <c r="L16" s="627">
        <f t="shared" si="4"/>
        <v>814639858</v>
      </c>
      <c r="M16" s="627">
        <f>M17</f>
        <v>0</v>
      </c>
      <c r="N16" s="627"/>
      <c r="O16" s="627"/>
      <c r="P16" s="627">
        <f>P17</f>
        <v>0</v>
      </c>
      <c r="Q16" s="627">
        <f>Q17</f>
        <v>-10000000</v>
      </c>
      <c r="R16" s="37" t="str">
        <f t="shared" si="3"/>
        <v>검토</v>
      </c>
      <c r="S16" s="627">
        <f>S17</f>
        <v>0</v>
      </c>
      <c r="T16" s="627">
        <f>T17</f>
        <v>0</v>
      </c>
      <c r="U16" s="627">
        <f>U17</f>
        <v>0</v>
      </c>
      <c r="V16" s="627">
        <f>V17</f>
        <v>0</v>
      </c>
    </row>
    <row r="17" spans="1:22" ht="34.5" customHeight="1">
      <c r="A17" s="28"/>
      <c r="B17" s="612" t="s">
        <v>1466</v>
      </c>
      <c r="C17" s="628"/>
      <c r="D17" s="613"/>
      <c r="E17" s="628" t="s">
        <v>1322</v>
      </c>
      <c r="F17" s="629">
        <f t="shared" ref="F17:M17" si="5">SUM(F18:F18)</f>
        <v>824639858</v>
      </c>
      <c r="G17" s="629">
        <f t="shared" si="5"/>
        <v>0</v>
      </c>
      <c r="H17" s="629">
        <f t="shared" si="5"/>
        <v>0</v>
      </c>
      <c r="I17" s="629">
        <f t="shared" si="5"/>
        <v>824639858</v>
      </c>
      <c r="J17" s="629">
        <f t="shared" si="5"/>
        <v>-10000000</v>
      </c>
      <c r="K17" s="629">
        <f t="shared" si="5"/>
        <v>0</v>
      </c>
      <c r="L17" s="629">
        <f t="shared" si="5"/>
        <v>814639858</v>
      </c>
      <c r="M17" s="629">
        <f t="shared" si="5"/>
        <v>0</v>
      </c>
      <c r="N17" s="629"/>
      <c r="O17" s="629"/>
      <c r="P17" s="629">
        <f>SUM(P18:P18)</f>
        <v>0</v>
      </c>
      <c r="Q17" s="629">
        <f>SUM(Q18:Q18)</f>
        <v>-10000000</v>
      </c>
      <c r="R17" s="37" t="str">
        <f t="shared" si="3"/>
        <v>검토</v>
      </c>
      <c r="S17" s="629">
        <f>SUM(S18:S18)</f>
        <v>0</v>
      </c>
      <c r="T17" s="629">
        <f>SUM(T18:T18)</f>
        <v>0</v>
      </c>
      <c r="U17" s="629">
        <f>SUM(U18:U18)</f>
        <v>0</v>
      </c>
      <c r="V17" s="629">
        <f>SUM(V18:V18)</f>
        <v>0</v>
      </c>
    </row>
    <row r="18" spans="1:22" ht="30" customHeight="1">
      <c r="A18" s="28"/>
      <c r="B18" s="28"/>
      <c r="C18" s="33">
        <v>862</v>
      </c>
      <c r="D18" s="34" t="s">
        <v>1459</v>
      </c>
      <c r="E18" s="51" t="s">
        <v>1463</v>
      </c>
      <c r="F18" s="35">
        <v>824639858</v>
      </c>
      <c r="G18" s="35">
        <v>0</v>
      </c>
      <c r="H18" s="35"/>
      <c r="I18" s="359">
        <f>F18+G18+H18</f>
        <v>824639858</v>
      </c>
      <c r="J18" s="35">
        <v>-10000000</v>
      </c>
      <c r="K18" s="35"/>
      <c r="L18" s="359">
        <f>F18+J18+K18</f>
        <v>814639858</v>
      </c>
      <c r="M18" s="37" t="str">
        <f>IF(G18-J18&lt;0,"동의필요","-")</f>
        <v>-</v>
      </c>
      <c r="N18" s="421" t="s">
        <v>1464</v>
      </c>
      <c r="O18" s="36"/>
      <c r="P18" s="36"/>
      <c r="Q18" s="36">
        <f>J18</f>
        <v>-10000000</v>
      </c>
      <c r="R18" s="37" t="str">
        <f t="shared" si="3"/>
        <v>검토</v>
      </c>
      <c r="S18" s="17"/>
      <c r="T18" s="8"/>
      <c r="U18" s="8"/>
      <c r="V18" s="7"/>
    </row>
  </sheetData>
  <mergeCells count="31">
    <mergeCell ref="T13:U13"/>
    <mergeCell ref="V13:V14"/>
    <mergeCell ref="I13:I14"/>
    <mergeCell ref="J13:K13"/>
    <mergeCell ref="L13:L14"/>
    <mergeCell ref="M13:M14"/>
    <mergeCell ref="N13:N14"/>
    <mergeCell ref="O13:O14"/>
    <mergeCell ref="A13:B14"/>
    <mergeCell ref="C13:C14"/>
    <mergeCell ref="D13:D14"/>
    <mergeCell ref="E13:E14"/>
    <mergeCell ref="F13:F14"/>
    <mergeCell ref="G13:H13"/>
    <mergeCell ref="M4:M5"/>
    <mergeCell ref="N4:N5"/>
    <mergeCell ref="O4:O5"/>
    <mergeCell ref="P4:R4"/>
    <mergeCell ref="P13:R13"/>
    <mergeCell ref="T4:U4"/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7" orientation="portrait" cellComments="asDisplayed" r:id="rId1"/>
  <headerFooter>
    <oddFooter>&amp;C&amp;P/&amp;N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8"/>
  <sheetViews>
    <sheetView view="pageBreakPreview" zoomScaleNormal="100" zoomScaleSheetLayoutView="100" workbookViewId="0">
      <selection activeCell="B1" sqref="B1:K1"/>
    </sheetView>
  </sheetViews>
  <sheetFormatPr defaultRowHeight="13.5"/>
  <cols>
    <col min="1" max="10" width="8.125" style="69" customWidth="1"/>
    <col min="11" max="16384" width="9" style="69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70" t="s">
        <v>348</v>
      </c>
      <c r="C5" s="71"/>
      <c r="D5" s="71"/>
      <c r="E5" s="71"/>
      <c r="F5" s="71"/>
      <c r="G5" s="71"/>
      <c r="H5" s="71"/>
      <c r="I5" s="71"/>
    </row>
    <row r="6" spans="2:9" ht="18.75">
      <c r="B6" s="72"/>
      <c r="C6" s="73"/>
      <c r="E6" s="74"/>
      <c r="F6" s="73"/>
      <c r="G6" s="73"/>
      <c r="H6" s="73"/>
      <c r="I6" s="73"/>
    </row>
    <row r="7" spans="2:9" ht="46.5">
      <c r="B7" s="391" t="s">
        <v>1479</v>
      </c>
      <c r="C7" s="76"/>
      <c r="D7" s="76"/>
      <c r="E7" s="76"/>
      <c r="F7" s="76"/>
      <c r="G7" s="76"/>
      <c r="H7" s="76"/>
      <c r="I7" s="76"/>
    </row>
    <row r="8" spans="2:9" ht="19.5">
      <c r="B8" s="77"/>
      <c r="C8" s="76"/>
      <c r="D8" s="76"/>
      <c r="E8" s="76"/>
      <c r="F8" s="76"/>
      <c r="G8" s="76"/>
      <c r="H8" s="76"/>
      <c r="I8" s="76"/>
    </row>
    <row r="9" spans="2:9" ht="19.5">
      <c r="B9" s="77"/>
      <c r="C9" s="76"/>
      <c r="D9" s="76"/>
      <c r="E9" s="76"/>
      <c r="F9" s="76"/>
      <c r="G9" s="76"/>
      <c r="H9" s="76"/>
      <c r="I9" s="76"/>
    </row>
    <row r="10" spans="2:9" ht="19.5">
      <c r="B10" s="77"/>
      <c r="C10" s="76"/>
      <c r="D10" s="76"/>
      <c r="E10" s="76"/>
      <c r="F10" s="76"/>
      <c r="G10" s="76"/>
      <c r="H10" s="76"/>
      <c r="I10" s="76"/>
    </row>
    <row r="11" spans="2:9" ht="19.5">
      <c r="B11" s="77"/>
      <c r="C11" s="76"/>
      <c r="D11" s="76"/>
      <c r="E11" s="76"/>
      <c r="F11" s="76"/>
      <c r="G11" s="76"/>
      <c r="H11" s="76"/>
      <c r="I11" s="76"/>
    </row>
    <row r="12" spans="2:9" ht="19.5">
      <c r="B12" s="77"/>
      <c r="C12" s="76"/>
      <c r="D12" s="76"/>
      <c r="E12" s="76"/>
      <c r="F12" s="76"/>
      <c r="G12" s="76"/>
      <c r="H12" s="76"/>
      <c r="I12" s="76"/>
    </row>
    <row r="13" spans="2:9" ht="19.5">
      <c r="B13" s="77"/>
      <c r="C13" s="76"/>
      <c r="D13" s="76"/>
      <c r="E13" s="76"/>
      <c r="F13" s="76"/>
      <c r="G13" s="76"/>
      <c r="H13" s="76"/>
      <c r="I13" s="76"/>
    </row>
    <row r="14" spans="2:9">
      <c r="B14" s="76"/>
      <c r="C14" s="76"/>
      <c r="D14" s="76"/>
      <c r="E14" s="76"/>
      <c r="F14" s="76"/>
      <c r="G14" s="76"/>
      <c r="H14" s="76"/>
      <c r="I14" s="76"/>
    </row>
    <row r="15" spans="2:9">
      <c r="B15" s="76"/>
      <c r="C15" s="76"/>
      <c r="D15" s="76"/>
      <c r="E15" s="76"/>
      <c r="F15" s="76"/>
      <c r="G15" s="76"/>
      <c r="H15" s="76"/>
      <c r="I15" s="76"/>
    </row>
    <row r="16" spans="2:9">
      <c r="B16" s="76"/>
      <c r="C16" s="76"/>
      <c r="D16" s="76"/>
      <c r="E16" s="76"/>
      <c r="F16" s="76"/>
      <c r="G16" s="76"/>
      <c r="H16" s="76"/>
      <c r="I16" s="76"/>
    </row>
    <row r="17" spans="2:9">
      <c r="B17" s="76"/>
      <c r="C17" s="76"/>
      <c r="D17" s="76"/>
      <c r="E17" s="76"/>
      <c r="F17" s="76"/>
      <c r="G17" s="76"/>
      <c r="H17" s="76"/>
      <c r="I17" s="76"/>
    </row>
    <row r="18" spans="2:9">
      <c r="B18" s="76"/>
      <c r="C18" s="76"/>
      <c r="D18" s="76"/>
      <c r="E18" s="76"/>
      <c r="F18" s="76"/>
      <c r="G18" s="76"/>
      <c r="H18" s="76"/>
      <c r="I18" s="76"/>
    </row>
    <row r="19" spans="2:9">
      <c r="B19" s="76"/>
      <c r="C19" s="76"/>
      <c r="D19" s="76"/>
      <c r="E19" s="76"/>
      <c r="F19" s="76"/>
      <c r="G19" s="76"/>
      <c r="H19" s="76"/>
      <c r="I19" s="76"/>
    </row>
    <row r="20" spans="2:9">
      <c r="B20" s="76"/>
      <c r="C20" s="76"/>
      <c r="D20" s="76"/>
      <c r="E20" s="76"/>
      <c r="F20" s="76"/>
      <c r="G20" s="76"/>
      <c r="H20" s="76"/>
      <c r="I20" s="76"/>
    </row>
    <row r="21" spans="2:9">
      <c r="B21" s="76"/>
      <c r="C21" s="76"/>
      <c r="D21" s="76"/>
      <c r="E21" s="76"/>
      <c r="F21" s="76"/>
      <c r="G21" s="76"/>
      <c r="H21" s="76"/>
      <c r="I21" s="76"/>
    </row>
    <row r="22" spans="2:9">
      <c r="B22" s="76"/>
      <c r="C22" s="76"/>
      <c r="D22" s="76"/>
      <c r="E22" s="76"/>
      <c r="F22" s="76"/>
      <c r="G22" s="76"/>
      <c r="H22" s="76"/>
      <c r="I22" s="76"/>
    </row>
    <row r="23" spans="2:9">
      <c r="B23" s="76"/>
      <c r="C23" s="76"/>
      <c r="D23" s="76"/>
      <c r="E23" s="76"/>
      <c r="F23" s="76"/>
      <c r="G23" s="76"/>
      <c r="H23" s="76"/>
      <c r="I23" s="76"/>
    </row>
    <row r="24" spans="2:9">
      <c r="B24" s="76"/>
      <c r="C24" s="76"/>
      <c r="D24" s="76"/>
      <c r="E24" s="76"/>
      <c r="F24" s="76"/>
      <c r="G24" s="76"/>
      <c r="H24" s="76"/>
      <c r="I24" s="76"/>
    </row>
    <row r="25" spans="2:9">
      <c r="B25" s="76"/>
      <c r="C25" s="76"/>
      <c r="D25" s="76"/>
      <c r="E25" s="76"/>
      <c r="F25" s="76"/>
      <c r="G25" s="76"/>
      <c r="H25" s="76"/>
      <c r="I25" s="76"/>
    </row>
    <row r="26" spans="2:9">
      <c r="B26" s="76"/>
      <c r="C26" s="76"/>
      <c r="D26" s="76"/>
      <c r="E26" s="76"/>
      <c r="F26" s="76"/>
      <c r="G26" s="76"/>
      <c r="H26" s="76"/>
      <c r="I26" s="76"/>
    </row>
    <row r="27" spans="2:9">
      <c r="B27" s="76"/>
      <c r="C27" s="76"/>
      <c r="D27" s="76"/>
      <c r="E27" s="76"/>
      <c r="F27" s="76"/>
      <c r="G27" s="76"/>
      <c r="H27" s="76"/>
      <c r="I27" s="76"/>
    </row>
    <row r="28" spans="2:9">
      <c r="B28" s="76"/>
      <c r="C28" s="76"/>
      <c r="D28" s="76"/>
      <c r="E28" s="76"/>
      <c r="F28" s="76"/>
      <c r="G28" s="76"/>
      <c r="H28" s="76"/>
      <c r="I28" s="76"/>
    </row>
    <row r="29" spans="2:9">
      <c r="B29" s="76"/>
      <c r="C29" s="76"/>
      <c r="D29" s="76"/>
      <c r="E29" s="76"/>
      <c r="F29" s="76"/>
      <c r="G29" s="76"/>
      <c r="H29" s="76"/>
      <c r="I29" s="76"/>
    </row>
    <row r="30" spans="2:9">
      <c r="B30" s="76"/>
      <c r="C30" s="76"/>
      <c r="D30" s="76"/>
      <c r="E30" s="76"/>
      <c r="F30" s="76"/>
      <c r="G30" s="76"/>
      <c r="H30" s="76"/>
      <c r="I30" s="76"/>
    </row>
    <row r="31" spans="2:9">
      <c r="B31" s="76"/>
      <c r="C31" s="76"/>
      <c r="D31" s="76"/>
      <c r="E31" s="76"/>
      <c r="F31" s="76"/>
      <c r="G31" s="76"/>
      <c r="H31" s="76"/>
      <c r="I31" s="76"/>
    </row>
    <row r="32" spans="2:9">
      <c r="B32" s="76"/>
      <c r="C32" s="76"/>
      <c r="D32" s="76"/>
      <c r="E32" s="76"/>
      <c r="F32" s="76"/>
      <c r="G32" s="76"/>
      <c r="H32" s="76"/>
      <c r="I32" s="76"/>
    </row>
    <row r="33" spans="2:9" s="80" customFormat="1" ht="33.75">
      <c r="B33" s="807" t="s">
        <v>1484</v>
      </c>
      <c r="C33" s="807"/>
      <c r="D33" s="807"/>
      <c r="E33" s="807"/>
      <c r="F33" s="807"/>
      <c r="G33" s="807"/>
      <c r="H33" s="807"/>
      <c r="I33" s="807"/>
    </row>
    <row r="34" spans="2:9">
      <c r="B34" s="76"/>
      <c r="C34" s="76"/>
      <c r="D34" s="76"/>
      <c r="E34" s="76"/>
      <c r="F34" s="76"/>
      <c r="G34" s="76"/>
      <c r="H34" s="76"/>
      <c r="I34" s="76"/>
    </row>
    <row r="35" spans="2:9" ht="46.5">
      <c r="B35" s="75"/>
      <c r="C35" s="76"/>
      <c r="D35" s="76"/>
      <c r="E35" s="76"/>
      <c r="F35" s="76"/>
      <c r="G35" s="76"/>
      <c r="H35" s="76"/>
      <c r="I35" s="76"/>
    </row>
    <row r="36" spans="2:9">
      <c r="B36" s="76"/>
      <c r="C36" s="76"/>
      <c r="D36" s="76"/>
      <c r="E36" s="76"/>
      <c r="F36" s="76"/>
      <c r="G36" s="76"/>
      <c r="H36" s="76"/>
      <c r="I36" s="76"/>
    </row>
    <row r="37" spans="2:9">
      <c r="B37" s="76"/>
      <c r="C37" s="76"/>
      <c r="D37" s="76"/>
      <c r="E37" s="76"/>
      <c r="F37" s="76"/>
      <c r="G37" s="76"/>
      <c r="H37" s="76"/>
      <c r="I37" s="76"/>
    </row>
    <row r="38" spans="2:9">
      <c r="B38" s="76"/>
      <c r="C38" s="76"/>
      <c r="D38" s="76"/>
      <c r="E38" s="76"/>
      <c r="F38" s="76"/>
      <c r="G38" s="76"/>
      <c r="H38" s="76"/>
      <c r="I38" s="76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97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showGridLines="0" view="pageBreakPreview" zoomScale="80" zoomScaleNormal="100" zoomScaleSheetLayoutView="80" workbookViewId="0">
      <pane xSplit="3" ySplit="5" topLeftCell="D6" activePane="bottomRight" state="frozen"/>
      <selection activeCell="B1" sqref="B1:K1"/>
      <selection pane="topRight" activeCell="B1" sqref="B1:K1"/>
      <selection pane="bottomLeft" activeCell="B1" sqref="B1:K1"/>
      <selection pane="bottomRight" activeCell="B1" sqref="B1:K1"/>
    </sheetView>
  </sheetViews>
  <sheetFormatPr defaultColWidth="8.75" defaultRowHeight="13.5"/>
  <cols>
    <col min="1" max="1" width="2.5" style="383" customWidth="1"/>
    <col min="2" max="2" width="3.5" style="383" customWidth="1"/>
    <col min="3" max="3" width="6.75" style="384" customWidth="1"/>
    <col min="4" max="4" width="11" style="383" hidden="1" customWidth="1"/>
    <col min="5" max="5" width="33.125" style="383" customWidth="1"/>
    <col min="6" max="6" width="10.25" style="383" customWidth="1"/>
    <col min="7" max="7" width="10.75" style="383" hidden="1" customWidth="1"/>
    <col min="8" max="9" width="11.125" style="383" hidden="1" customWidth="1"/>
    <col min="10" max="11" width="11.125" style="383" customWidth="1"/>
    <col min="12" max="12" width="12.875" style="383" customWidth="1"/>
    <col min="13" max="13" width="9.25" style="383" hidden="1" customWidth="1"/>
    <col min="14" max="14" width="16.125" style="383" customWidth="1"/>
    <col min="15" max="15" width="4" style="383" hidden="1" customWidth="1"/>
    <col min="16" max="17" width="9.25" style="383" hidden="1" customWidth="1"/>
    <col min="18" max="18" width="6" style="384" hidden="1" customWidth="1"/>
    <col min="19" max="19" width="8.25" style="12" hidden="1" customWidth="1"/>
    <col min="20" max="21" width="9.25" style="383" hidden="1" customWidth="1"/>
    <col min="22" max="22" width="8.75" style="383" hidden="1" customWidth="1"/>
    <col min="23" max="23" width="0" style="383" hidden="1" customWidth="1"/>
    <col min="24" max="16384" width="8.75" style="383"/>
  </cols>
  <sheetData>
    <row r="1" spans="1:22" ht="29.25" customHeight="1">
      <c r="A1" s="865" t="s">
        <v>1500</v>
      </c>
      <c r="B1" s="865"/>
      <c r="C1" s="865"/>
      <c r="D1" s="865"/>
      <c r="E1" s="865"/>
      <c r="F1" s="865"/>
      <c r="G1" s="865"/>
      <c r="H1" s="865"/>
      <c r="I1" s="865"/>
      <c r="J1" s="865"/>
      <c r="K1" s="865"/>
      <c r="L1" s="865"/>
      <c r="M1" s="865"/>
      <c r="N1" s="865"/>
    </row>
    <row r="2" spans="1:22" ht="22.5" customHeight="1">
      <c r="A2" s="14" t="s">
        <v>1312</v>
      </c>
      <c r="B2" s="14"/>
    </row>
    <row r="3" spans="1:22" ht="16.5" customHeight="1">
      <c r="H3" s="673">
        <f>G6+H6</f>
        <v>15000000</v>
      </c>
      <c r="N3" s="45" t="s">
        <v>1313</v>
      </c>
    </row>
    <row r="4" spans="1:22" ht="27.75" customHeight="1">
      <c r="A4" s="801" t="s">
        <v>1314</v>
      </c>
      <c r="B4" s="801"/>
      <c r="C4" s="804" t="s">
        <v>32</v>
      </c>
      <c r="D4" s="801" t="s">
        <v>9</v>
      </c>
      <c r="E4" s="801" t="s">
        <v>1131</v>
      </c>
      <c r="F4" s="804" t="s">
        <v>1315</v>
      </c>
      <c r="G4" s="857" t="s">
        <v>33</v>
      </c>
      <c r="H4" s="858"/>
      <c r="I4" s="804" t="s">
        <v>42</v>
      </c>
      <c r="J4" s="857" t="s">
        <v>414</v>
      </c>
      <c r="K4" s="858"/>
      <c r="L4" s="804" t="s">
        <v>1316</v>
      </c>
      <c r="M4" s="859" t="s">
        <v>1317</v>
      </c>
      <c r="N4" s="801" t="s">
        <v>1318</v>
      </c>
      <c r="O4" s="861" t="s">
        <v>35</v>
      </c>
      <c r="P4" s="858" t="s">
        <v>1319</v>
      </c>
      <c r="Q4" s="858"/>
      <c r="R4" s="858"/>
      <c r="S4" s="13"/>
      <c r="T4" s="863" t="s">
        <v>0</v>
      </c>
      <c r="U4" s="864"/>
      <c r="V4" s="854" t="s">
        <v>3</v>
      </c>
    </row>
    <row r="5" spans="1:22" ht="14.25" customHeight="1">
      <c r="A5" s="801"/>
      <c r="B5" s="801"/>
      <c r="C5" s="804"/>
      <c r="D5" s="801"/>
      <c r="E5" s="801"/>
      <c r="F5" s="801"/>
      <c r="G5" s="423" t="s">
        <v>1</v>
      </c>
      <c r="H5" s="423" t="s">
        <v>91</v>
      </c>
      <c r="I5" s="801"/>
      <c r="J5" s="423" t="s">
        <v>1</v>
      </c>
      <c r="K5" s="423" t="s">
        <v>91</v>
      </c>
      <c r="L5" s="801"/>
      <c r="M5" s="860"/>
      <c r="N5" s="801"/>
      <c r="O5" s="862"/>
      <c r="P5" s="423" t="s">
        <v>343</v>
      </c>
      <c r="Q5" s="423" t="s">
        <v>4</v>
      </c>
      <c r="R5" s="423" t="s">
        <v>7</v>
      </c>
      <c r="S5" s="13"/>
      <c r="T5" s="424" t="s">
        <v>1</v>
      </c>
      <c r="U5" s="424" t="s">
        <v>91</v>
      </c>
      <c r="V5" s="854"/>
    </row>
    <row r="6" spans="1:22" ht="28.5" customHeight="1">
      <c r="A6" s="21"/>
      <c r="B6" s="22" t="s">
        <v>5</v>
      </c>
      <c r="C6" s="23"/>
      <c r="D6" s="23"/>
      <c r="E6" s="23"/>
      <c r="F6" s="62">
        <f t="shared" ref="F6:M7" si="0">F7</f>
        <v>35000000</v>
      </c>
      <c r="G6" s="62">
        <f t="shared" si="0"/>
        <v>0</v>
      </c>
      <c r="H6" s="62">
        <f t="shared" si="0"/>
        <v>15000000</v>
      </c>
      <c r="I6" s="62">
        <f t="shared" si="0"/>
        <v>50000000</v>
      </c>
      <c r="J6" s="62">
        <f t="shared" si="0"/>
        <v>0</v>
      </c>
      <c r="K6" s="62">
        <f t="shared" si="0"/>
        <v>0</v>
      </c>
      <c r="L6" s="62">
        <f t="shared" si="0"/>
        <v>35000000</v>
      </c>
      <c r="M6" s="62">
        <f t="shared" si="0"/>
        <v>0</v>
      </c>
      <c r="N6" s="62"/>
      <c r="O6" s="62"/>
      <c r="P6" s="62">
        <f>P7</f>
        <v>0</v>
      </c>
      <c r="Q6" s="62">
        <f>Q7</f>
        <v>15000000</v>
      </c>
      <c r="R6" s="37" t="str">
        <f>IF((G6+H6)=(P6+Q6),"ok","검토")</f>
        <v>ok</v>
      </c>
      <c r="S6" s="15"/>
      <c r="T6" s="3"/>
      <c r="U6" s="3"/>
      <c r="V6" s="422"/>
    </row>
    <row r="7" spans="1:22" ht="28.5" customHeight="1">
      <c r="A7" s="445" t="s">
        <v>1320</v>
      </c>
      <c r="B7" s="626"/>
      <c r="C7" s="626"/>
      <c r="D7" s="626"/>
      <c r="E7" s="626"/>
      <c r="F7" s="627">
        <f t="shared" si="0"/>
        <v>35000000</v>
      </c>
      <c r="G7" s="627">
        <f t="shared" si="0"/>
        <v>0</v>
      </c>
      <c r="H7" s="627">
        <f t="shared" si="0"/>
        <v>15000000</v>
      </c>
      <c r="I7" s="627">
        <f t="shared" si="0"/>
        <v>50000000</v>
      </c>
      <c r="J7" s="627">
        <f t="shared" si="0"/>
        <v>0</v>
      </c>
      <c r="K7" s="627">
        <f t="shared" si="0"/>
        <v>0</v>
      </c>
      <c r="L7" s="627">
        <f t="shared" si="0"/>
        <v>35000000</v>
      </c>
      <c r="M7" s="627">
        <f t="shared" si="0"/>
        <v>0</v>
      </c>
      <c r="N7" s="627"/>
      <c r="O7" s="627"/>
      <c r="P7" s="627">
        <f>P8</f>
        <v>0</v>
      </c>
      <c r="Q7" s="627">
        <f>Q8</f>
        <v>15000000</v>
      </c>
      <c r="R7" s="37" t="str">
        <f>IF((G7+H7)=(P7+Q7),"ok","검토")</f>
        <v>ok</v>
      </c>
      <c r="S7" s="16"/>
      <c r="T7" s="9" t="e">
        <f>T8+#REF!</f>
        <v>#REF!</v>
      </c>
      <c r="U7" s="9" t="e">
        <f>U8+#REF!</f>
        <v>#REF!</v>
      </c>
      <c r="V7" s="9"/>
    </row>
    <row r="8" spans="1:22" ht="28.5" customHeight="1">
      <c r="A8" s="28"/>
      <c r="B8" s="612" t="s">
        <v>1321</v>
      </c>
      <c r="C8" s="628"/>
      <c r="D8" s="613"/>
      <c r="E8" s="628" t="s">
        <v>1515</v>
      </c>
      <c r="F8" s="629">
        <f t="shared" ref="F8:Q8" si="1">SUM(F9:F9)</f>
        <v>35000000</v>
      </c>
      <c r="G8" s="629">
        <f t="shared" si="1"/>
        <v>0</v>
      </c>
      <c r="H8" s="629">
        <f t="shared" si="1"/>
        <v>15000000</v>
      </c>
      <c r="I8" s="629">
        <f t="shared" si="1"/>
        <v>50000000</v>
      </c>
      <c r="J8" s="629">
        <f t="shared" si="1"/>
        <v>0</v>
      </c>
      <c r="K8" s="629">
        <f t="shared" si="1"/>
        <v>0</v>
      </c>
      <c r="L8" s="629">
        <f t="shared" si="1"/>
        <v>35000000</v>
      </c>
      <c r="M8" s="629">
        <f t="shared" si="1"/>
        <v>0</v>
      </c>
      <c r="N8" s="629">
        <f t="shared" si="1"/>
        <v>0</v>
      </c>
      <c r="O8" s="629">
        <f t="shared" si="1"/>
        <v>0</v>
      </c>
      <c r="P8" s="629">
        <f t="shared" si="1"/>
        <v>0</v>
      </c>
      <c r="Q8" s="629">
        <f t="shared" si="1"/>
        <v>15000000</v>
      </c>
      <c r="R8" s="37" t="str">
        <f>IF((G8+H8)=(P8+Q8),"ok","검토")</f>
        <v>ok</v>
      </c>
      <c r="S8" s="16"/>
      <c r="T8" s="611">
        <f>SUM(T9:T9)</f>
        <v>0</v>
      </c>
      <c r="U8" s="611">
        <f>SUM(U9:U9)</f>
        <v>0</v>
      </c>
      <c r="V8" s="611"/>
    </row>
    <row r="9" spans="1:22" ht="35.25" customHeight="1">
      <c r="A9" s="28"/>
      <c r="B9" s="28"/>
      <c r="C9" s="33">
        <v>44</v>
      </c>
      <c r="D9" s="34" t="s">
        <v>1323</v>
      </c>
      <c r="E9" s="51" t="s">
        <v>1516</v>
      </c>
      <c r="F9" s="35">
        <v>35000000</v>
      </c>
      <c r="G9" s="35"/>
      <c r="H9" s="35">
        <v>15000000</v>
      </c>
      <c r="I9" s="359">
        <f>F9+G9+H9</f>
        <v>50000000</v>
      </c>
      <c r="J9" s="35"/>
      <c r="K9" s="35">
        <v>0</v>
      </c>
      <c r="L9" s="359">
        <f>F9+J9+K9</f>
        <v>35000000</v>
      </c>
      <c r="M9" s="37" t="str">
        <f>IF(G9-J9&lt;0,"동의필요","-")</f>
        <v>-</v>
      </c>
      <c r="N9" s="800" t="s">
        <v>1695</v>
      </c>
      <c r="O9" s="36" t="s">
        <v>79</v>
      </c>
      <c r="P9" s="36"/>
      <c r="Q9" s="36">
        <v>15000000</v>
      </c>
      <c r="R9" s="37" t="str">
        <f>IF((G9+H9)=(P9+Q9),"ok","검토")</f>
        <v>ok</v>
      </c>
      <c r="S9" s="17"/>
      <c r="T9" s="8"/>
      <c r="U9" s="8"/>
      <c r="V9" s="7"/>
    </row>
    <row r="11" spans="1:22" ht="22.5" customHeight="1">
      <c r="A11" s="14" t="s">
        <v>1324</v>
      </c>
      <c r="B11" s="14"/>
    </row>
    <row r="12" spans="1:22" ht="16.5" customHeight="1">
      <c r="H12" s="673">
        <f>G15+H15</f>
        <v>15000000</v>
      </c>
      <c r="N12" s="45" t="s">
        <v>1313</v>
      </c>
    </row>
    <row r="13" spans="1:22" ht="27.75" customHeight="1">
      <c r="A13" s="801" t="s">
        <v>1314</v>
      </c>
      <c r="B13" s="801"/>
      <c r="C13" s="804" t="s">
        <v>32</v>
      </c>
      <c r="D13" s="801" t="s">
        <v>9</v>
      </c>
      <c r="E13" s="801" t="s">
        <v>1131</v>
      </c>
      <c r="F13" s="804" t="s">
        <v>1315</v>
      </c>
      <c r="G13" s="857" t="s">
        <v>33</v>
      </c>
      <c r="H13" s="858"/>
      <c r="I13" s="804" t="s">
        <v>42</v>
      </c>
      <c r="J13" s="857" t="s">
        <v>414</v>
      </c>
      <c r="K13" s="858"/>
      <c r="L13" s="804" t="s">
        <v>1316</v>
      </c>
      <c r="M13" s="859" t="s">
        <v>1317</v>
      </c>
      <c r="N13" s="801" t="s">
        <v>1318</v>
      </c>
      <c r="O13" s="861" t="s">
        <v>35</v>
      </c>
      <c r="P13" s="858" t="s">
        <v>1319</v>
      </c>
      <c r="Q13" s="858"/>
      <c r="R13" s="858"/>
      <c r="S13" s="13"/>
      <c r="T13" s="863" t="s">
        <v>0</v>
      </c>
      <c r="U13" s="864"/>
      <c r="V13" s="854" t="s">
        <v>3</v>
      </c>
    </row>
    <row r="14" spans="1:22" ht="14.25" customHeight="1">
      <c r="A14" s="801"/>
      <c r="B14" s="801"/>
      <c r="C14" s="804"/>
      <c r="D14" s="801"/>
      <c r="E14" s="801"/>
      <c r="F14" s="801"/>
      <c r="G14" s="423" t="s">
        <v>1</v>
      </c>
      <c r="H14" s="423" t="s">
        <v>91</v>
      </c>
      <c r="I14" s="801"/>
      <c r="J14" s="423" t="s">
        <v>1</v>
      </c>
      <c r="K14" s="423" t="s">
        <v>91</v>
      </c>
      <c r="L14" s="801"/>
      <c r="M14" s="860"/>
      <c r="N14" s="801"/>
      <c r="O14" s="862"/>
      <c r="P14" s="423" t="s">
        <v>343</v>
      </c>
      <c r="Q14" s="423" t="s">
        <v>4</v>
      </c>
      <c r="R14" s="423" t="s">
        <v>7</v>
      </c>
      <c r="S14" s="13"/>
      <c r="T14" s="424" t="s">
        <v>1</v>
      </c>
      <c r="U14" s="424" t="s">
        <v>91</v>
      </c>
      <c r="V14" s="854"/>
    </row>
    <row r="15" spans="1:22" ht="34.5" customHeight="1">
      <c r="A15" s="21"/>
      <c r="B15" s="22" t="s">
        <v>5</v>
      </c>
      <c r="C15" s="23"/>
      <c r="D15" s="23"/>
      <c r="E15" s="23"/>
      <c r="F15" s="62">
        <f t="shared" ref="F15:L15" si="2">F16+F19</f>
        <v>28926816</v>
      </c>
      <c r="G15" s="62">
        <f t="shared" si="2"/>
        <v>-380000</v>
      </c>
      <c r="H15" s="62">
        <f t="shared" si="2"/>
        <v>15380000</v>
      </c>
      <c r="I15" s="62">
        <f t="shared" si="2"/>
        <v>43926816</v>
      </c>
      <c r="J15" s="62">
        <f t="shared" si="2"/>
        <v>-380000</v>
      </c>
      <c r="K15" s="62">
        <f t="shared" si="2"/>
        <v>380000</v>
      </c>
      <c r="L15" s="62">
        <f t="shared" si="2"/>
        <v>28926816</v>
      </c>
      <c r="M15" s="62">
        <f>M16</f>
        <v>0</v>
      </c>
      <c r="N15" s="62"/>
      <c r="O15" s="62"/>
      <c r="P15" s="62">
        <f>P16</f>
        <v>0</v>
      </c>
      <c r="Q15" s="62">
        <f>Q16</f>
        <v>15000000</v>
      </c>
      <c r="R15" s="37" t="str">
        <f t="shared" ref="R15:R31" si="3">IF((G15+H15)=(P15+Q15),"ok","검토")</f>
        <v>ok</v>
      </c>
      <c r="S15" s="15"/>
      <c r="T15" s="3"/>
      <c r="U15" s="3"/>
      <c r="V15" s="422"/>
    </row>
    <row r="16" spans="1:22" ht="34.5" customHeight="1">
      <c r="A16" s="445" t="s">
        <v>1320</v>
      </c>
      <c r="B16" s="626"/>
      <c r="C16" s="626"/>
      <c r="D16" s="626"/>
      <c r="E16" s="626"/>
      <c r="F16" s="627">
        <f t="shared" ref="F16:L16" si="4">F17</f>
        <v>27326816</v>
      </c>
      <c r="G16" s="627">
        <f t="shared" si="4"/>
        <v>0</v>
      </c>
      <c r="H16" s="627">
        <f t="shared" si="4"/>
        <v>15000000</v>
      </c>
      <c r="I16" s="627">
        <f t="shared" si="4"/>
        <v>42326816</v>
      </c>
      <c r="J16" s="627">
        <f t="shared" si="4"/>
        <v>0</v>
      </c>
      <c r="K16" s="627">
        <f t="shared" si="4"/>
        <v>0</v>
      </c>
      <c r="L16" s="627">
        <f t="shared" si="4"/>
        <v>27326816</v>
      </c>
      <c r="M16" s="627">
        <f>M17</f>
        <v>0</v>
      </c>
      <c r="N16" s="627"/>
      <c r="O16" s="627"/>
      <c r="P16" s="627">
        <f>P17</f>
        <v>0</v>
      </c>
      <c r="Q16" s="627">
        <f>Q17</f>
        <v>15000000</v>
      </c>
      <c r="R16" s="37" t="str">
        <f t="shared" si="3"/>
        <v>ok</v>
      </c>
      <c r="S16" s="627">
        <f>S17</f>
        <v>0</v>
      </c>
      <c r="T16" s="627">
        <f>T17</f>
        <v>0</v>
      </c>
      <c r="U16" s="627">
        <f>U17</f>
        <v>0</v>
      </c>
      <c r="V16" s="627">
        <f>V17</f>
        <v>0</v>
      </c>
    </row>
    <row r="17" spans="1:22" ht="34.5" customHeight="1">
      <c r="A17" s="28"/>
      <c r="B17" s="612" t="s">
        <v>1321</v>
      </c>
      <c r="C17" s="628"/>
      <c r="D17" s="613"/>
      <c r="E17" s="628" t="s">
        <v>1322</v>
      </c>
      <c r="F17" s="629">
        <f t="shared" ref="F17:M17" si="5">SUM(F18:F18)</f>
        <v>27326816</v>
      </c>
      <c r="G17" s="629">
        <f t="shared" si="5"/>
        <v>0</v>
      </c>
      <c r="H17" s="629">
        <f t="shared" si="5"/>
        <v>15000000</v>
      </c>
      <c r="I17" s="629">
        <f t="shared" si="5"/>
        <v>42326816</v>
      </c>
      <c r="J17" s="629">
        <f t="shared" si="5"/>
        <v>0</v>
      </c>
      <c r="K17" s="629">
        <f t="shared" si="5"/>
        <v>0</v>
      </c>
      <c r="L17" s="629">
        <f t="shared" si="5"/>
        <v>27326816</v>
      </c>
      <c r="M17" s="629">
        <f t="shared" si="5"/>
        <v>0</v>
      </c>
      <c r="N17" s="629"/>
      <c r="O17" s="629"/>
      <c r="P17" s="629">
        <f>SUM(P18:P18)</f>
        <v>0</v>
      </c>
      <c r="Q17" s="629">
        <f>SUM(Q18:Q18)</f>
        <v>15000000</v>
      </c>
      <c r="R17" s="37" t="str">
        <f t="shared" si="3"/>
        <v>ok</v>
      </c>
      <c r="S17" s="629">
        <f>SUM(S18:S18)</f>
        <v>0</v>
      </c>
      <c r="T17" s="629">
        <f>SUM(T18:T18)</f>
        <v>0</v>
      </c>
      <c r="U17" s="629">
        <f>SUM(U18:U18)</f>
        <v>0</v>
      </c>
      <c r="V17" s="629">
        <f>SUM(V18:V18)</f>
        <v>0</v>
      </c>
    </row>
    <row r="18" spans="1:22" ht="30" customHeight="1">
      <c r="A18" s="28"/>
      <c r="B18" s="28"/>
      <c r="C18" s="33">
        <v>44</v>
      </c>
      <c r="D18" s="34" t="s">
        <v>1323</v>
      </c>
      <c r="E18" s="34" t="s">
        <v>1325</v>
      </c>
      <c r="F18" s="35">
        <v>27326816</v>
      </c>
      <c r="G18" s="35">
        <v>0</v>
      </c>
      <c r="H18" s="35">
        <v>15000000</v>
      </c>
      <c r="I18" s="359">
        <f>F18+G18+H18</f>
        <v>42326816</v>
      </c>
      <c r="J18" s="35"/>
      <c r="K18" s="35"/>
      <c r="L18" s="359">
        <f>F18+J18+K18</f>
        <v>27326816</v>
      </c>
      <c r="M18" s="37" t="str">
        <f>IF(G18-J18&lt;0,"동의필요","-")</f>
        <v>-</v>
      </c>
      <c r="N18" s="36"/>
      <c r="O18" s="36" t="s">
        <v>79</v>
      </c>
      <c r="P18" s="36"/>
      <c r="Q18" s="36">
        <v>15000000</v>
      </c>
      <c r="R18" s="37" t="str">
        <f t="shared" si="3"/>
        <v>ok</v>
      </c>
      <c r="S18" s="17"/>
      <c r="T18" s="8"/>
      <c r="U18" s="8"/>
      <c r="V18" s="7"/>
    </row>
    <row r="19" spans="1:22" ht="34.5" customHeight="1">
      <c r="A19" s="445" t="s">
        <v>1326</v>
      </c>
      <c r="B19" s="626"/>
      <c r="C19" s="626"/>
      <c r="D19" s="626"/>
      <c r="E19" s="626"/>
      <c r="F19" s="627">
        <f t="shared" ref="F19:M19" si="6">F20</f>
        <v>1600000</v>
      </c>
      <c r="G19" s="627">
        <f t="shared" si="6"/>
        <v>-380000</v>
      </c>
      <c r="H19" s="627">
        <f t="shared" si="6"/>
        <v>380000</v>
      </c>
      <c r="I19" s="627">
        <f t="shared" si="6"/>
        <v>1600000</v>
      </c>
      <c r="J19" s="627">
        <f t="shared" si="6"/>
        <v>-380000</v>
      </c>
      <c r="K19" s="627">
        <f t="shared" si="6"/>
        <v>380000</v>
      </c>
      <c r="L19" s="627">
        <f t="shared" si="6"/>
        <v>1600000</v>
      </c>
      <c r="M19" s="627">
        <f t="shared" si="6"/>
        <v>0</v>
      </c>
      <c r="N19" s="627"/>
      <c r="O19" s="627"/>
      <c r="P19" s="627">
        <f>P20</f>
        <v>0</v>
      </c>
      <c r="Q19" s="627">
        <f>Q20</f>
        <v>0</v>
      </c>
      <c r="R19" s="37" t="str">
        <f t="shared" si="3"/>
        <v>ok</v>
      </c>
      <c r="S19" s="627">
        <f>S20</f>
        <v>0</v>
      </c>
      <c r="T19" s="627">
        <f>T20</f>
        <v>-100000</v>
      </c>
      <c r="U19" s="627">
        <f>U20</f>
        <v>1000000</v>
      </c>
      <c r="V19" s="627">
        <f>V20</f>
        <v>0</v>
      </c>
    </row>
    <row r="20" spans="1:22" ht="26.25" customHeight="1">
      <c r="A20" s="28"/>
      <c r="B20" s="612" t="s">
        <v>77</v>
      </c>
      <c r="C20" s="628"/>
      <c r="D20" s="613"/>
      <c r="E20" s="628" t="s">
        <v>1327</v>
      </c>
      <c r="F20" s="629">
        <f t="shared" ref="F20:L20" si="7">SUM(F21:F31)</f>
        <v>1600000</v>
      </c>
      <c r="G20" s="629">
        <f t="shared" si="7"/>
        <v>-380000</v>
      </c>
      <c r="H20" s="629">
        <f t="shared" si="7"/>
        <v>380000</v>
      </c>
      <c r="I20" s="629">
        <f t="shared" si="7"/>
        <v>1600000</v>
      </c>
      <c r="J20" s="629">
        <f t="shared" si="7"/>
        <v>-380000</v>
      </c>
      <c r="K20" s="629">
        <f t="shared" si="7"/>
        <v>380000</v>
      </c>
      <c r="L20" s="629">
        <f t="shared" si="7"/>
        <v>1600000</v>
      </c>
      <c r="M20" s="629"/>
      <c r="N20" s="629"/>
      <c r="O20" s="629"/>
      <c r="P20" s="629"/>
      <c r="Q20" s="629"/>
      <c r="R20" s="37" t="str">
        <f t="shared" si="3"/>
        <v>ok</v>
      </c>
      <c r="S20" s="16"/>
      <c r="T20" s="611">
        <f>SUM(T21:T25)</f>
        <v>-100000</v>
      </c>
      <c r="U20" s="611">
        <f>SUM(U21:U25)</f>
        <v>1000000</v>
      </c>
      <c r="V20" s="611"/>
    </row>
    <row r="21" spans="1:22" ht="48" customHeight="1">
      <c r="A21" s="28"/>
      <c r="B21" s="28"/>
      <c r="C21" s="33">
        <v>84</v>
      </c>
      <c r="D21" s="34" t="s">
        <v>78</v>
      </c>
      <c r="E21" s="34" t="s">
        <v>1328</v>
      </c>
      <c r="F21" s="35">
        <v>370000</v>
      </c>
      <c r="G21" s="35">
        <v>-70000</v>
      </c>
      <c r="H21" s="35"/>
      <c r="I21" s="359">
        <f t="shared" ref="I21:I31" si="8">F21+G21+H21</f>
        <v>300000</v>
      </c>
      <c r="J21" s="35">
        <v>-70000</v>
      </c>
      <c r="K21" s="35"/>
      <c r="L21" s="359">
        <f t="shared" ref="L21:L31" si="9">F21+J21+K21</f>
        <v>300000</v>
      </c>
      <c r="M21" s="37" t="str">
        <f t="shared" ref="M21:M31" si="10">IF(G21-J21&lt;0,"동의필요","-")</f>
        <v>-</v>
      </c>
      <c r="N21" s="763" t="s">
        <v>1480</v>
      </c>
      <c r="O21" s="36" t="s">
        <v>79</v>
      </c>
      <c r="P21" s="36"/>
      <c r="Q21" s="36">
        <v>-110000</v>
      </c>
      <c r="R21" s="37" t="str">
        <f t="shared" si="3"/>
        <v>검토</v>
      </c>
      <c r="S21" s="17"/>
      <c r="T21" s="8"/>
      <c r="U21" s="8"/>
      <c r="V21" s="7"/>
    </row>
    <row r="22" spans="1:22" ht="26.25" customHeight="1">
      <c r="A22" s="28"/>
      <c r="B22" s="28"/>
      <c r="C22" s="33">
        <v>84</v>
      </c>
      <c r="D22" s="34" t="s">
        <v>78</v>
      </c>
      <c r="E22" s="51" t="s">
        <v>80</v>
      </c>
      <c r="F22" s="35">
        <v>400000</v>
      </c>
      <c r="G22" s="35">
        <v>-100000</v>
      </c>
      <c r="H22" s="35"/>
      <c r="I22" s="359">
        <f t="shared" si="8"/>
        <v>300000</v>
      </c>
      <c r="J22" s="35">
        <v>-100000</v>
      </c>
      <c r="K22" s="35"/>
      <c r="L22" s="359">
        <f t="shared" si="9"/>
        <v>300000</v>
      </c>
      <c r="M22" s="37" t="str">
        <f t="shared" si="10"/>
        <v>-</v>
      </c>
      <c r="N22" s="36"/>
      <c r="O22" s="36" t="s">
        <v>79</v>
      </c>
      <c r="P22" s="36"/>
      <c r="Q22" s="36">
        <v>-100000</v>
      </c>
      <c r="R22" s="37" t="str">
        <f t="shared" si="3"/>
        <v>ok</v>
      </c>
      <c r="S22" s="17"/>
      <c r="T22" s="8"/>
      <c r="U22" s="8"/>
      <c r="V22" s="7"/>
    </row>
    <row r="23" spans="1:22" ht="26.25" customHeight="1">
      <c r="A23" s="28"/>
      <c r="B23" s="28"/>
      <c r="C23" s="33">
        <v>84</v>
      </c>
      <c r="D23" s="34" t="s">
        <v>78</v>
      </c>
      <c r="E23" s="51" t="s">
        <v>1329</v>
      </c>
      <c r="F23" s="35">
        <v>300000</v>
      </c>
      <c r="G23" s="35"/>
      <c r="H23" s="35"/>
      <c r="I23" s="359">
        <f t="shared" si="8"/>
        <v>300000</v>
      </c>
      <c r="J23" s="35"/>
      <c r="K23" s="35"/>
      <c r="L23" s="359">
        <f t="shared" si="9"/>
        <v>300000</v>
      </c>
      <c r="M23" s="37" t="str">
        <f t="shared" si="10"/>
        <v>-</v>
      </c>
      <c r="N23" s="38"/>
      <c r="O23" s="36" t="s">
        <v>79</v>
      </c>
      <c r="P23" s="36"/>
      <c r="Q23" s="36"/>
      <c r="R23" s="37" t="str">
        <f t="shared" si="3"/>
        <v>ok</v>
      </c>
      <c r="S23" s="16"/>
      <c r="T23" s="8">
        <v>-100000</v>
      </c>
      <c r="U23" s="8"/>
      <c r="V23" s="7"/>
    </row>
    <row r="24" spans="1:22" ht="48" customHeight="1">
      <c r="A24" s="358"/>
      <c r="B24" s="358"/>
      <c r="C24" s="354">
        <v>84</v>
      </c>
      <c r="D24" s="353" t="s">
        <v>78</v>
      </c>
      <c r="E24" s="51" t="s">
        <v>1330</v>
      </c>
      <c r="F24" s="35">
        <v>100000</v>
      </c>
      <c r="G24" s="35"/>
      <c r="H24" s="35">
        <v>40000</v>
      </c>
      <c r="I24" s="359">
        <f t="shared" si="8"/>
        <v>140000</v>
      </c>
      <c r="J24" s="35"/>
      <c r="K24" s="35">
        <v>40000</v>
      </c>
      <c r="L24" s="359">
        <f t="shared" si="9"/>
        <v>140000</v>
      </c>
      <c r="M24" s="37" t="str">
        <f t="shared" si="10"/>
        <v>-</v>
      </c>
      <c r="N24" s="763" t="s">
        <v>1481</v>
      </c>
      <c r="O24" s="351" t="s">
        <v>79</v>
      </c>
      <c r="P24" s="351"/>
      <c r="Q24" s="351">
        <v>40000</v>
      </c>
      <c r="R24" s="352" t="str">
        <f t="shared" si="3"/>
        <v>ok</v>
      </c>
      <c r="S24" s="16"/>
      <c r="T24" s="8"/>
      <c r="U24" s="8">
        <v>1000000</v>
      </c>
      <c r="V24" s="7"/>
    </row>
    <row r="25" spans="1:22" ht="26.25" customHeight="1">
      <c r="A25" s="28"/>
      <c r="B25" s="28"/>
      <c r="C25" s="33">
        <v>84</v>
      </c>
      <c r="D25" s="34" t="s">
        <v>78</v>
      </c>
      <c r="E25" s="51" t="s">
        <v>1331</v>
      </c>
      <c r="F25" s="35">
        <v>30000</v>
      </c>
      <c r="G25" s="35">
        <v>-30000</v>
      </c>
      <c r="H25" s="35"/>
      <c r="I25" s="359">
        <f t="shared" si="8"/>
        <v>0</v>
      </c>
      <c r="J25" s="35">
        <v>-30000</v>
      </c>
      <c r="K25" s="35"/>
      <c r="L25" s="359">
        <f t="shared" si="9"/>
        <v>0</v>
      </c>
      <c r="M25" s="37" t="str">
        <f t="shared" si="10"/>
        <v>-</v>
      </c>
      <c r="N25" s="38"/>
      <c r="O25" s="36" t="s">
        <v>79</v>
      </c>
      <c r="P25" s="36"/>
      <c r="Q25" s="35">
        <v>-30000</v>
      </c>
      <c r="R25" s="37" t="str">
        <f t="shared" si="3"/>
        <v>ok</v>
      </c>
      <c r="S25" s="16"/>
      <c r="T25" s="65"/>
      <c r="U25" s="65"/>
      <c r="V25" s="7"/>
    </row>
    <row r="26" spans="1:22" ht="33" customHeight="1">
      <c r="A26" s="28"/>
      <c r="B26" s="28"/>
      <c r="C26" s="33">
        <v>84</v>
      </c>
      <c r="D26" s="34" t="s">
        <v>78</v>
      </c>
      <c r="E26" s="51" t="s">
        <v>1332</v>
      </c>
      <c r="F26" s="35">
        <v>180000</v>
      </c>
      <c r="G26" s="35">
        <v>-180000</v>
      </c>
      <c r="H26" s="35"/>
      <c r="I26" s="359">
        <f t="shared" si="8"/>
        <v>0</v>
      </c>
      <c r="J26" s="35">
        <v>-180000</v>
      </c>
      <c r="K26" s="35"/>
      <c r="L26" s="359">
        <f t="shared" si="9"/>
        <v>0</v>
      </c>
      <c r="M26" s="37" t="str">
        <f t="shared" si="10"/>
        <v>-</v>
      </c>
      <c r="N26" s="39"/>
      <c r="O26" s="36" t="s">
        <v>79</v>
      </c>
      <c r="P26" s="39"/>
      <c r="Q26" s="35">
        <v>-180000</v>
      </c>
      <c r="R26" s="37" t="str">
        <f t="shared" si="3"/>
        <v>ok</v>
      </c>
      <c r="S26" s="18"/>
      <c r="T26" s="4"/>
      <c r="U26" s="4"/>
      <c r="V26" s="2"/>
    </row>
    <row r="27" spans="1:22" ht="33" customHeight="1">
      <c r="A27" s="28"/>
      <c r="B27" s="28"/>
      <c r="C27" s="33">
        <v>84</v>
      </c>
      <c r="D27" s="34" t="s">
        <v>78</v>
      </c>
      <c r="E27" s="51" t="s">
        <v>81</v>
      </c>
      <c r="F27" s="35">
        <v>140000</v>
      </c>
      <c r="G27" s="35"/>
      <c r="H27" s="35">
        <v>20000</v>
      </c>
      <c r="I27" s="359">
        <f t="shared" si="8"/>
        <v>160000</v>
      </c>
      <c r="J27" s="35"/>
      <c r="K27" s="35">
        <v>20000</v>
      </c>
      <c r="L27" s="359">
        <f t="shared" si="9"/>
        <v>160000</v>
      </c>
      <c r="M27" s="37" t="str">
        <f t="shared" si="10"/>
        <v>-</v>
      </c>
      <c r="N27" s="39"/>
      <c r="O27" s="36" t="s">
        <v>79</v>
      </c>
      <c r="P27" s="39"/>
      <c r="Q27" s="66">
        <v>20000</v>
      </c>
      <c r="R27" s="37" t="str">
        <f t="shared" si="3"/>
        <v>ok</v>
      </c>
      <c r="S27" s="18"/>
      <c r="T27" s="4"/>
      <c r="U27" s="4"/>
      <c r="V27" s="2"/>
    </row>
    <row r="28" spans="1:22" ht="47.25" customHeight="1">
      <c r="A28" s="28"/>
      <c r="B28" s="28"/>
      <c r="C28" s="33">
        <v>84</v>
      </c>
      <c r="D28" s="34" t="s">
        <v>78</v>
      </c>
      <c r="E28" s="51" t="s">
        <v>1333</v>
      </c>
      <c r="F28" s="35">
        <v>80000</v>
      </c>
      <c r="G28" s="35"/>
      <c r="H28" s="35"/>
      <c r="I28" s="359">
        <f t="shared" si="8"/>
        <v>80000</v>
      </c>
      <c r="J28" s="35"/>
      <c r="K28" s="35"/>
      <c r="L28" s="359">
        <f t="shared" si="9"/>
        <v>80000</v>
      </c>
      <c r="M28" s="37" t="str">
        <f t="shared" si="10"/>
        <v>-</v>
      </c>
      <c r="N28" s="763" t="s">
        <v>1482</v>
      </c>
      <c r="O28" s="36" t="s">
        <v>79</v>
      </c>
      <c r="P28" s="39"/>
      <c r="Q28" s="66"/>
      <c r="R28" s="37" t="str">
        <f t="shared" si="3"/>
        <v>ok</v>
      </c>
      <c r="S28" s="18"/>
      <c r="T28" s="4"/>
      <c r="U28" s="4"/>
      <c r="V28" s="2"/>
    </row>
    <row r="29" spans="1:22" ht="33" customHeight="1">
      <c r="A29" s="28"/>
      <c r="B29" s="28"/>
      <c r="C29" s="41" t="s">
        <v>28</v>
      </c>
      <c r="D29" s="34" t="s">
        <v>78</v>
      </c>
      <c r="E29" s="52" t="s">
        <v>1334</v>
      </c>
      <c r="F29" s="35"/>
      <c r="G29" s="35"/>
      <c r="H29" s="35">
        <v>150000</v>
      </c>
      <c r="I29" s="359">
        <f t="shared" si="8"/>
        <v>150000</v>
      </c>
      <c r="J29" s="35"/>
      <c r="K29" s="35">
        <v>150000</v>
      </c>
      <c r="L29" s="359">
        <f t="shared" si="9"/>
        <v>150000</v>
      </c>
      <c r="M29" s="37" t="str">
        <f t="shared" si="10"/>
        <v>-</v>
      </c>
      <c r="N29" s="39"/>
      <c r="O29" s="36" t="s">
        <v>79</v>
      </c>
      <c r="P29" s="42"/>
      <c r="Q29" s="67">
        <v>200000</v>
      </c>
      <c r="R29" s="37" t="str">
        <f t="shared" si="3"/>
        <v>검토</v>
      </c>
      <c r="S29" s="19"/>
      <c r="T29" s="6"/>
      <c r="U29" s="6"/>
      <c r="V29" s="5"/>
    </row>
    <row r="30" spans="1:22" ht="33" customHeight="1">
      <c r="A30" s="28"/>
      <c r="B30" s="28"/>
      <c r="C30" s="41" t="s">
        <v>28</v>
      </c>
      <c r="D30" s="34" t="s">
        <v>78</v>
      </c>
      <c r="E30" s="52" t="s">
        <v>1335</v>
      </c>
      <c r="F30" s="35"/>
      <c r="G30" s="35"/>
      <c r="H30" s="35">
        <v>20000</v>
      </c>
      <c r="I30" s="359">
        <f t="shared" si="8"/>
        <v>20000</v>
      </c>
      <c r="J30" s="35"/>
      <c r="K30" s="35">
        <v>20000</v>
      </c>
      <c r="L30" s="359">
        <f t="shared" si="9"/>
        <v>20000</v>
      </c>
      <c r="M30" s="37" t="str">
        <f t="shared" si="10"/>
        <v>-</v>
      </c>
      <c r="N30" s="34"/>
      <c r="O30" s="36" t="s">
        <v>79</v>
      </c>
      <c r="P30" s="28"/>
      <c r="Q30" s="68">
        <v>20000</v>
      </c>
      <c r="R30" s="37" t="str">
        <f t="shared" si="3"/>
        <v>ok</v>
      </c>
      <c r="S30" s="20"/>
      <c r="T30" s="5"/>
      <c r="U30" s="5"/>
      <c r="V30" s="5"/>
    </row>
    <row r="31" spans="1:22" ht="33" customHeight="1">
      <c r="A31" s="28"/>
      <c r="B31" s="28"/>
      <c r="C31" s="41" t="s">
        <v>28</v>
      </c>
      <c r="D31" s="34" t="s">
        <v>78</v>
      </c>
      <c r="E31" s="52" t="s">
        <v>1336</v>
      </c>
      <c r="F31" s="35"/>
      <c r="G31" s="35"/>
      <c r="H31" s="35">
        <v>150000</v>
      </c>
      <c r="I31" s="359">
        <f t="shared" si="8"/>
        <v>150000</v>
      </c>
      <c r="J31" s="35"/>
      <c r="K31" s="35">
        <v>150000</v>
      </c>
      <c r="L31" s="359">
        <f t="shared" si="9"/>
        <v>150000</v>
      </c>
      <c r="M31" s="37" t="str">
        <f t="shared" si="10"/>
        <v>-</v>
      </c>
      <c r="N31" s="34"/>
      <c r="O31" s="36" t="s">
        <v>79</v>
      </c>
      <c r="P31" s="28"/>
      <c r="Q31" s="68">
        <v>140000</v>
      </c>
      <c r="R31" s="37" t="str">
        <f t="shared" si="3"/>
        <v>검토</v>
      </c>
      <c r="S31" s="20"/>
      <c r="T31" s="5"/>
      <c r="U31" s="5"/>
      <c r="V31" s="5"/>
    </row>
  </sheetData>
  <mergeCells count="31">
    <mergeCell ref="T13:U13"/>
    <mergeCell ref="V13:V14"/>
    <mergeCell ref="I13:I14"/>
    <mergeCell ref="J13:K13"/>
    <mergeCell ref="L13:L14"/>
    <mergeCell ref="M13:M14"/>
    <mergeCell ref="N13:N14"/>
    <mergeCell ref="O13:O14"/>
    <mergeCell ref="A13:B14"/>
    <mergeCell ref="C13:C14"/>
    <mergeCell ref="D13:D14"/>
    <mergeCell ref="E13:E14"/>
    <mergeCell ref="F13:F14"/>
    <mergeCell ref="G13:H13"/>
    <mergeCell ref="M4:M5"/>
    <mergeCell ref="N4:N5"/>
    <mergeCell ref="O4:O5"/>
    <mergeCell ref="P4:R4"/>
    <mergeCell ref="P13:R13"/>
    <mergeCell ref="T4:U4"/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7" orientation="portrait" cellComments="asDisplayed" r:id="rId1"/>
  <headerFooter>
    <oddFooter>&amp;C&amp;P/&amp;N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8"/>
  <sheetViews>
    <sheetView view="pageBreakPreview" zoomScaleNormal="100" zoomScaleSheetLayoutView="100" workbookViewId="0">
      <selection activeCell="B1" sqref="B1:K1"/>
    </sheetView>
  </sheetViews>
  <sheetFormatPr defaultRowHeight="13.5"/>
  <cols>
    <col min="1" max="10" width="8.125" style="385" customWidth="1"/>
    <col min="11" max="16384" width="9" style="385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386" t="s">
        <v>1050</v>
      </c>
      <c r="C5" s="387"/>
      <c r="D5" s="387"/>
      <c r="E5" s="387"/>
      <c r="F5" s="387"/>
      <c r="G5" s="387"/>
      <c r="H5" s="387"/>
      <c r="I5" s="387"/>
    </row>
    <row r="6" spans="2:9" ht="18.75">
      <c r="B6" s="388"/>
      <c r="C6" s="389"/>
      <c r="E6" s="390"/>
      <c r="F6" s="389"/>
      <c r="G6" s="389"/>
      <c r="H6" s="389"/>
      <c r="I6" s="389"/>
    </row>
    <row r="7" spans="2:9" ht="46.5">
      <c r="B7" s="391" t="s">
        <v>1483</v>
      </c>
      <c r="C7" s="392"/>
      <c r="D7" s="392"/>
      <c r="E7" s="392"/>
      <c r="F7" s="392"/>
      <c r="G7" s="392"/>
      <c r="H7" s="392"/>
      <c r="I7" s="392"/>
    </row>
    <row r="8" spans="2:9" ht="19.5">
      <c r="B8" s="393"/>
      <c r="C8" s="392"/>
      <c r="D8" s="392"/>
      <c r="E8" s="392"/>
      <c r="F8" s="392"/>
      <c r="G8" s="392"/>
      <c r="H8" s="392"/>
      <c r="I8" s="392"/>
    </row>
    <row r="9" spans="2:9" ht="19.5">
      <c r="B9" s="393"/>
      <c r="C9" s="392"/>
      <c r="D9" s="392"/>
      <c r="E9" s="392"/>
      <c r="F9" s="392"/>
      <c r="G9" s="392"/>
      <c r="H9" s="392"/>
      <c r="I9" s="392"/>
    </row>
    <row r="10" spans="2:9" ht="19.5">
      <c r="B10" s="393"/>
      <c r="C10" s="392"/>
      <c r="D10" s="392"/>
      <c r="E10" s="392"/>
      <c r="F10" s="392"/>
      <c r="G10" s="392"/>
      <c r="H10" s="392"/>
      <c r="I10" s="392"/>
    </row>
    <row r="11" spans="2:9" ht="19.5">
      <c r="B11" s="393"/>
      <c r="C11" s="392"/>
      <c r="D11" s="392"/>
      <c r="E11" s="392"/>
      <c r="F11" s="392"/>
      <c r="G11" s="392"/>
      <c r="H11" s="392"/>
      <c r="I11" s="392"/>
    </row>
    <row r="12" spans="2:9" ht="19.5">
      <c r="B12" s="393"/>
      <c r="C12" s="392"/>
      <c r="D12" s="392"/>
      <c r="E12" s="392"/>
      <c r="F12" s="392"/>
      <c r="G12" s="392"/>
      <c r="H12" s="392"/>
      <c r="I12" s="392"/>
    </row>
    <row r="13" spans="2:9" ht="19.5">
      <c r="B13" s="393"/>
      <c r="C13" s="392"/>
      <c r="D13" s="392"/>
      <c r="E13" s="392"/>
      <c r="F13" s="392"/>
      <c r="G13" s="392"/>
      <c r="H13" s="392"/>
      <c r="I13" s="392"/>
    </row>
    <row r="14" spans="2:9">
      <c r="B14" s="392"/>
      <c r="C14" s="392"/>
      <c r="D14" s="392"/>
      <c r="E14" s="392"/>
      <c r="F14" s="392"/>
      <c r="G14" s="392"/>
      <c r="H14" s="392"/>
      <c r="I14" s="392"/>
    </row>
    <row r="15" spans="2:9">
      <c r="B15" s="392"/>
      <c r="C15" s="392"/>
      <c r="D15" s="392"/>
      <c r="E15" s="392"/>
      <c r="F15" s="392"/>
      <c r="G15" s="392"/>
      <c r="H15" s="392"/>
      <c r="I15" s="392"/>
    </row>
    <row r="16" spans="2:9">
      <c r="B16" s="392"/>
      <c r="C16" s="392"/>
      <c r="D16" s="392"/>
      <c r="E16" s="392"/>
      <c r="F16" s="392"/>
      <c r="G16" s="392"/>
      <c r="H16" s="392"/>
      <c r="I16" s="392"/>
    </row>
    <row r="17" spans="2:9">
      <c r="B17" s="392"/>
      <c r="C17" s="392"/>
      <c r="D17" s="392"/>
      <c r="E17" s="392"/>
      <c r="F17" s="392"/>
      <c r="G17" s="392"/>
      <c r="H17" s="392"/>
      <c r="I17" s="392"/>
    </row>
    <row r="18" spans="2:9">
      <c r="B18" s="392"/>
      <c r="C18" s="392"/>
      <c r="D18" s="392"/>
      <c r="E18" s="392"/>
      <c r="F18" s="392"/>
      <c r="G18" s="392"/>
      <c r="H18" s="392"/>
      <c r="I18" s="392"/>
    </row>
    <row r="19" spans="2:9">
      <c r="B19" s="392"/>
      <c r="C19" s="392"/>
      <c r="D19" s="392"/>
      <c r="E19" s="392"/>
      <c r="F19" s="392"/>
      <c r="G19" s="392"/>
      <c r="H19" s="392"/>
      <c r="I19" s="392"/>
    </row>
    <row r="20" spans="2:9">
      <c r="B20" s="392"/>
      <c r="C20" s="392"/>
      <c r="D20" s="392"/>
      <c r="E20" s="392"/>
      <c r="F20" s="392"/>
      <c r="G20" s="392"/>
      <c r="H20" s="392"/>
      <c r="I20" s="392"/>
    </row>
    <row r="21" spans="2:9">
      <c r="B21" s="392"/>
      <c r="C21" s="392"/>
      <c r="D21" s="392"/>
      <c r="E21" s="392"/>
      <c r="F21" s="392"/>
      <c r="G21" s="392"/>
      <c r="H21" s="392"/>
      <c r="I21" s="392"/>
    </row>
    <row r="22" spans="2:9">
      <c r="B22" s="392"/>
      <c r="C22" s="392"/>
      <c r="D22" s="392"/>
      <c r="E22" s="392"/>
      <c r="F22" s="392"/>
      <c r="G22" s="392"/>
      <c r="H22" s="392"/>
      <c r="I22" s="392"/>
    </row>
    <row r="23" spans="2:9">
      <c r="B23" s="392"/>
      <c r="C23" s="392"/>
      <c r="D23" s="392"/>
      <c r="E23" s="392"/>
      <c r="F23" s="392"/>
      <c r="G23" s="392"/>
      <c r="H23" s="392"/>
      <c r="I23" s="392"/>
    </row>
    <row r="24" spans="2:9">
      <c r="B24" s="392"/>
      <c r="C24" s="392"/>
      <c r="D24" s="392"/>
      <c r="E24" s="392"/>
      <c r="F24" s="392"/>
      <c r="G24" s="392"/>
      <c r="H24" s="392"/>
      <c r="I24" s="392"/>
    </row>
    <row r="25" spans="2:9">
      <c r="B25" s="392"/>
      <c r="C25" s="392"/>
      <c r="D25" s="392"/>
      <c r="E25" s="392"/>
      <c r="F25" s="392"/>
      <c r="G25" s="392"/>
      <c r="H25" s="392"/>
      <c r="I25" s="392"/>
    </row>
    <row r="26" spans="2:9">
      <c r="B26" s="392"/>
      <c r="C26" s="392"/>
      <c r="D26" s="392"/>
      <c r="E26" s="392"/>
      <c r="F26" s="392"/>
      <c r="G26" s="392"/>
      <c r="H26" s="392"/>
      <c r="I26" s="392"/>
    </row>
    <row r="27" spans="2:9">
      <c r="B27" s="392"/>
      <c r="C27" s="392"/>
      <c r="D27" s="392"/>
      <c r="E27" s="392"/>
      <c r="F27" s="392"/>
      <c r="G27" s="392"/>
      <c r="H27" s="392"/>
      <c r="I27" s="392"/>
    </row>
    <row r="28" spans="2:9">
      <c r="B28" s="392"/>
      <c r="C28" s="392"/>
      <c r="D28" s="392"/>
      <c r="E28" s="392"/>
      <c r="F28" s="392"/>
      <c r="G28" s="392"/>
      <c r="H28" s="392"/>
      <c r="I28" s="392"/>
    </row>
    <row r="29" spans="2:9">
      <c r="B29" s="392"/>
      <c r="C29" s="392"/>
      <c r="D29" s="392"/>
      <c r="E29" s="392"/>
      <c r="F29" s="392"/>
      <c r="G29" s="392"/>
      <c r="H29" s="392"/>
      <c r="I29" s="392"/>
    </row>
    <row r="30" spans="2:9">
      <c r="B30" s="392"/>
      <c r="C30" s="392"/>
      <c r="D30" s="392"/>
      <c r="E30" s="392"/>
      <c r="F30" s="392"/>
      <c r="G30" s="392"/>
      <c r="H30" s="392"/>
      <c r="I30" s="392"/>
    </row>
    <row r="31" spans="2:9">
      <c r="B31" s="392"/>
      <c r="C31" s="392"/>
      <c r="D31" s="392"/>
      <c r="E31" s="392"/>
      <c r="F31" s="392"/>
      <c r="G31" s="392"/>
      <c r="H31" s="392"/>
      <c r="I31" s="392"/>
    </row>
    <row r="32" spans="2:9">
      <c r="B32" s="392"/>
      <c r="C32" s="392"/>
      <c r="D32" s="392"/>
      <c r="E32" s="392"/>
      <c r="F32" s="392"/>
      <c r="G32" s="392"/>
      <c r="H32" s="392"/>
      <c r="I32" s="392"/>
    </row>
    <row r="33" spans="2:9" s="394" customFormat="1" ht="33.75">
      <c r="B33" s="807" t="s">
        <v>1484</v>
      </c>
      <c r="C33" s="807"/>
      <c r="D33" s="807"/>
      <c r="E33" s="807"/>
      <c r="F33" s="807"/>
      <c r="G33" s="807"/>
      <c r="H33" s="807"/>
      <c r="I33" s="807"/>
    </row>
    <row r="34" spans="2:9">
      <c r="B34" s="392"/>
      <c r="C34" s="392"/>
      <c r="D34" s="392"/>
      <c r="E34" s="392"/>
      <c r="F34" s="392"/>
      <c r="G34" s="392"/>
      <c r="H34" s="392"/>
      <c r="I34" s="392"/>
    </row>
    <row r="35" spans="2:9" ht="46.5">
      <c r="B35" s="391"/>
      <c r="C35" s="392"/>
      <c r="D35" s="392"/>
      <c r="E35" s="392"/>
      <c r="F35" s="392"/>
      <c r="G35" s="392"/>
      <c r="H35" s="392"/>
      <c r="I35" s="392"/>
    </row>
    <row r="36" spans="2:9">
      <c r="B36" s="392"/>
      <c r="C36" s="392"/>
      <c r="D36" s="392"/>
      <c r="E36" s="392"/>
      <c r="F36" s="392"/>
      <c r="G36" s="392"/>
      <c r="H36" s="392"/>
      <c r="I36" s="392"/>
    </row>
    <row r="37" spans="2:9">
      <c r="B37" s="392"/>
      <c r="C37" s="392"/>
      <c r="D37" s="392"/>
      <c r="E37" s="392"/>
      <c r="F37" s="392"/>
      <c r="G37" s="392"/>
      <c r="H37" s="392"/>
      <c r="I37" s="392"/>
    </row>
    <row r="38" spans="2:9">
      <c r="B38" s="392"/>
      <c r="C38" s="392"/>
      <c r="D38" s="392"/>
      <c r="E38" s="392"/>
      <c r="F38" s="392"/>
      <c r="G38" s="392"/>
      <c r="H38" s="392"/>
      <c r="I38" s="392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97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1"/>
  <sheetViews>
    <sheetView showGridLines="0" view="pageBreakPreview" zoomScale="80" zoomScaleNormal="100" zoomScaleSheetLayoutView="80" workbookViewId="0">
      <selection activeCell="B1" sqref="B1:K1"/>
    </sheetView>
  </sheetViews>
  <sheetFormatPr defaultColWidth="9" defaultRowHeight="13.5"/>
  <cols>
    <col min="1" max="1" width="2" style="383" customWidth="1"/>
    <col min="2" max="2" width="9.875" style="384" customWidth="1"/>
    <col min="3" max="3" width="11.125" style="383" customWidth="1"/>
    <col min="4" max="9" width="9.875" style="383" customWidth="1"/>
    <col min="10" max="16384" width="9" style="383"/>
  </cols>
  <sheetData>
    <row r="2" spans="2:9" ht="29.25" customHeight="1">
      <c r="B2" s="866" t="s">
        <v>1485</v>
      </c>
      <c r="C2" s="866"/>
      <c r="D2" s="866"/>
      <c r="E2" s="866"/>
      <c r="F2" s="866"/>
      <c r="G2" s="866"/>
      <c r="H2" s="866"/>
      <c r="I2" s="866"/>
    </row>
    <row r="3" spans="2:9" ht="38.25" customHeight="1">
      <c r="B3" s="383"/>
      <c r="C3" s="395"/>
      <c r="D3" s="395"/>
      <c r="E3" s="395"/>
      <c r="F3" s="395"/>
      <c r="G3" s="395"/>
      <c r="H3" s="395"/>
      <c r="I3" s="395"/>
    </row>
    <row r="4" spans="2:9" ht="24.75" customHeight="1">
      <c r="B4" s="396" t="s">
        <v>1047</v>
      </c>
      <c r="C4" s="395"/>
      <c r="D4" s="395"/>
      <c r="E4" s="395"/>
      <c r="F4" s="395"/>
      <c r="G4" s="395"/>
      <c r="H4" s="395"/>
      <c r="I4" s="395"/>
    </row>
    <row r="5" spans="2:9" ht="16.5">
      <c r="C5" s="382"/>
      <c r="D5" s="382"/>
      <c r="E5" s="382"/>
      <c r="F5" s="382"/>
    </row>
    <row r="6" spans="2:9" ht="45" customHeight="1">
      <c r="B6" s="400" t="s">
        <v>1055</v>
      </c>
      <c r="C6" s="400" t="s">
        <v>1048</v>
      </c>
      <c r="D6" s="401">
        <v>2013</v>
      </c>
      <c r="E6" s="401">
        <v>2014</v>
      </c>
      <c r="F6" s="401">
        <v>2015</v>
      </c>
      <c r="G6" s="401">
        <v>2016</v>
      </c>
      <c r="H6" s="401">
        <v>2017</v>
      </c>
      <c r="I6" s="400" t="s">
        <v>1049</v>
      </c>
    </row>
    <row r="7" spans="2:9" ht="45" customHeight="1" thickBot="1">
      <c r="B7" s="402" t="s">
        <v>1486</v>
      </c>
      <c r="C7" s="403">
        <v>1922518</v>
      </c>
      <c r="D7" s="403">
        <v>59672</v>
      </c>
      <c r="E7" s="403">
        <v>59850</v>
      </c>
      <c r="F7" s="403">
        <v>600283</v>
      </c>
      <c r="G7" s="403">
        <v>600462</v>
      </c>
      <c r="H7" s="403">
        <v>602251</v>
      </c>
      <c r="I7" s="402"/>
    </row>
    <row r="8" spans="2:9" ht="45" customHeight="1" thickTop="1" thickBot="1">
      <c r="B8" s="404" t="s">
        <v>1487</v>
      </c>
      <c r="C8" s="405">
        <v>300908</v>
      </c>
      <c r="D8" s="406">
        <v>59672</v>
      </c>
      <c r="E8" s="406">
        <v>59850</v>
      </c>
      <c r="F8" s="405">
        <v>60283</v>
      </c>
      <c r="G8" s="405">
        <v>60462</v>
      </c>
      <c r="H8" s="405">
        <v>60641</v>
      </c>
      <c r="I8" s="404"/>
    </row>
    <row r="9" spans="2:9" ht="45" customHeight="1" thickTop="1">
      <c r="B9" s="404" t="s">
        <v>1488</v>
      </c>
      <c r="C9" s="405">
        <v>300908</v>
      </c>
      <c r="D9" s="406">
        <v>59672</v>
      </c>
      <c r="E9" s="406">
        <v>59850</v>
      </c>
      <c r="F9" s="405">
        <v>60283</v>
      </c>
      <c r="G9" s="405">
        <v>60462</v>
      </c>
      <c r="H9" s="405">
        <v>60641</v>
      </c>
      <c r="I9" s="404"/>
    </row>
    <row r="10" spans="2:9" ht="7.5" customHeight="1"/>
    <row r="11" spans="2:9" ht="31.5" customHeight="1">
      <c r="B11" s="397"/>
    </row>
  </sheetData>
  <mergeCells count="1">
    <mergeCell ref="B2:I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cellComments="asDisplayed" r:id="rId1"/>
  <headerFooter>
    <oddFooter>&amp;C&amp;P/&amp;N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>
      <selection activeCell="B1" sqref="B1:K1"/>
    </sheetView>
  </sheetViews>
  <sheetFormatPr defaultRowHeight="13.5"/>
  <cols>
    <col min="1" max="10" width="8.125" style="69" customWidth="1"/>
    <col min="11" max="16384" width="9" style="69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70" t="s">
        <v>350</v>
      </c>
      <c r="C5" s="71"/>
      <c r="D5" s="71"/>
      <c r="E5" s="71"/>
      <c r="F5" s="71"/>
      <c r="G5" s="71"/>
      <c r="H5" s="71"/>
      <c r="I5" s="71"/>
    </row>
    <row r="6" spans="2:9" ht="18.75">
      <c r="B6" s="72"/>
      <c r="C6" s="73"/>
      <c r="E6" s="74"/>
      <c r="F6" s="73"/>
      <c r="G6" s="73"/>
      <c r="H6" s="73"/>
      <c r="I6" s="73"/>
    </row>
    <row r="7" spans="2:9" ht="46.5">
      <c r="B7" s="75" t="s">
        <v>1483</v>
      </c>
      <c r="C7" s="76"/>
      <c r="D7" s="76"/>
      <c r="E7" s="76"/>
      <c r="F7" s="76"/>
      <c r="G7" s="76"/>
      <c r="H7" s="76"/>
      <c r="I7" s="76"/>
    </row>
    <row r="8" spans="2:9" ht="19.5">
      <c r="B8" s="77"/>
      <c r="C8" s="76"/>
      <c r="D8" s="76"/>
      <c r="E8" s="76"/>
      <c r="F8" s="76"/>
      <c r="G8" s="76"/>
      <c r="H8" s="76"/>
      <c r="I8" s="76"/>
    </row>
    <row r="9" spans="2:9" ht="19.5">
      <c r="B9" s="77"/>
      <c r="C9" s="76"/>
      <c r="D9" s="76"/>
      <c r="E9" s="76"/>
      <c r="F9" s="76"/>
      <c r="G9" s="76"/>
      <c r="H9" s="76"/>
      <c r="I9" s="76"/>
    </row>
    <row r="10" spans="2:9" ht="19.5">
      <c r="B10" s="77"/>
      <c r="C10" s="76"/>
      <c r="D10" s="76"/>
      <c r="E10" s="76"/>
      <c r="F10" s="76"/>
      <c r="G10" s="76"/>
      <c r="H10" s="76"/>
      <c r="I10" s="76"/>
    </row>
    <row r="11" spans="2:9" ht="19.5">
      <c r="B11" s="77"/>
      <c r="C11" s="76"/>
      <c r="D11" s="76"/>
      <c r="E11" s="76"/>
      <c r="F11" s="76"/>
      <c r="G11" s="76"/>
      <c r="H11" s="76"/>
      <c r="I11" s="76"/>
    </row>
    <row r="12" spans="2:9" ht="19.5">
      <c r="B12" s="77"/>
      <c r="C12" s="76"/>
      <c r="D12" s="76"/>
      <c r="E12" s="76"/>
      <c r="F12" s="76"/>
      <c r="G12" s="76"/>
      <c r="H12" s="76"/>
      <c r="I12" s="76"/>
    </row>
    <row r="13" spans="2:9" ht="19.5">
      <c r="B13" s="77"/>
      <c r="C13" s="76"/>
      <c r="D13" s="76"/>
      <c r="E13" s="76"/>
      <c r="F13" s="76"/>
      <c r="G13" s="76"/>
      <c r="H13" s="76"/>
      <c r="I13" s="76"/>
    </row>
    <row r="14" spans="2:9">
      <c r="B14" s="76"/>
      <c r="C14" s="76"/>
      <c r="D14" s="76"/>
      <c r="E14" s="76"/>
      <c r="F14" s="76"/>
      <c r="G14" s="76"/>
      <c r="H14" s="76"/>
      <c r="I14" s="76"/>
    </row>
    <row r="15" spans="2:9">
      <c r="B15" s="76"/>
      <c r="C15" s="76"/>
      <c r="D15" s="76"/>
      <c r="E15" s="76"/>
      <c r="F15" s="76"/>
      <c r="G15" s="76"/>
      <c r="H15" s="76"/>
      <c r="I15" s="76"/>
    </row>
    <row r="16" spans="2:9">
      <c r="B16" s="76"/>
      <c r="C16" s="76"/>
      <c r="D16" s="76"/>
      <c r="E16" s="76"/>
      <c r="F16" s="76"/>
      <c r="G16" s="76"/>
      <c r="H16" s="76"/>
      <c r="I16" s="76"/>
    </row>
    <row r="17" spans="2:9">
      <c r="B17" s="76"/>
      <c r="C17" s="76"/>
      <c r="D17" s="76"/>
      <c r="E17" s="76"/>
      <c r="F17" s="76"/>
      <c r="G17" s="76"/>
      <c r="H17" s="76"/>
      <c r="I17" s="76"/>
    </row>
    <row r="18" spans="2:9">
      <c r="B18" s="76"/>
      <c r="C18" s="76"/>
      <c r="D18" s="76"/>
      <c r="E18" s="76"/>
      <c r="F18" s="76"/>
      <c r="G18" s="76"/>
      <c r="H18" s="76"/>
      <c r="I18" s="76"/>
    </row>
    <row r="19" spans="2:9">
      <c r="B19" s="76"/>
      <c r="C19" s="76"/>
      <c r="D19" s="76"/>
      <c r="E19" s="76"/>
      <c r="F19" s="76"/>
      <c r="G19" s="76"/>
      <c r="H19" s="76"/>
      <c r="I19" s="76"/>
    </row>
    <row r="20" spans="2:9">
      <c r="B20" s="76"/>
      <c r="C20" s="76"/>
      <c r="D20" s="76"/>
      <c r="E20" s="76"/>
      <c r="F20" s="76"/>
      <c r="G20" s="76"/>
      <c r="H20" s="76"/>
      <c r="I20" s="76"/>
    </row>
    <row r="21" spans="2:9">
      <c r="B21" s="76"/>
      <c r="C21" s="76"/>
      <c r="D21" s="76"/>
      <c r="E21" s="76"/>
      <c r="F21" s="76"/>
      <c r="G21" s="76"/>
      <c r="H21" s="76"/>
      <c r="I21" s="76"/>
    </row>
    <row r="22" spans="2:9">
      <c r="B22" s="76"/>
      <c r="C22" s="76"/>
      <c r="D22" s="76"/>
      <c r="E22" s="76"/>
      <c r="F22" s="76"/>
      <c r="G22" s="76"/>
      <c r="H22" s="76"/>
      <c r="I22" s="76"/>
    </row>
    <row r="23" spans="2:9">
      <c r="B23" s="76"/>
      <c r="C23" s="76"/>
      <c r="D23" s="76"/>
      <c r="E23" s="76"/>
      <c r="F23" s="76"/>
      <c r="G23" s="76"/>
      <c r="H23" s="76"/>
      <c r="I23" s="76"/>
    </row>
    <row r="24" spans="2:9">
      <c r="B24" s="76"/>
      <c r="C24" s="76"/>
      <c r="D24" s="76"/>
      <c r="E24" s="76"/>
      <c r="F24" s="76"/>
      <c r="G24" s="76"/>
      <c r="H24" s="76"/>
      <c r="I24" s="76"/>
    </row>
    <row r="25" spans="2:9">
      <c r="B25" s="76"/>
      <c r="C25" s="76"/>
      <c r="D25" s="76"/>
      <c r="E25" s="76"/>
      <c r="F25" s="76"/>
      <c r="G25" s="76"/>
      <c r="H25" s="76"/>
      <c r="I25" s="76"/>
    </row>
    <row r="26" spans="2:9">
      <c r="B26" s="76"/>
      <c r="C26" s="76"/>
      <c r="D26" s="76"/>
      <c r="E26" s="76"/>
      <c r="F26" s="76"/>
      <c r="G26" s="76"/>
      <c r="H26" s="76"/>
      <c r="I26" s="76"/>
    </row>
    <row r="27" spans="2:9">
      <c r="B27" s="76"/>
      <c r="C27" s="76"/>
      <c r="D27" s="76"/>
      <c r="E27" s="76"/>
      <c r="F27" s="76"/>
      <c r="G27" s="76"/>
      <c r="H27" s="76"/>
      <c r="I27" s="76"/>
    </row>
    <row r="28" spans="2:9">
      <c r="B28" s="76"/>
      <c r="C28" s="76"/>
      <c r="D28" s="76"/>
      <c r="E28" s="76"/>
      <c r="F28" s="76"/>
      <c r="G28" s="76"/>
      <c r="H28" s="76"/>
      <c r="I28" s="76"/>
    </row>
    <row r="29" spans="2:9">
      <c r="B29" s="76"/>
      <c r="C29" s="76"/>
      <c r="D29" s="76"/>
      <c r="E29" s="76"/>
      <c r="F29" s="76"/>
      <c r="G29" s="76"/>
      <c r="H29" s="76"/>
      <c r="I29" s="76"/>
    </row>
    <row r="30" spans="2:9">
      <c r="B30" s="76"/>
      <c r="C30" s="76"/>
      <c r="D30" s="76"/>
      <c r="E30" s="76"/>
      <c r="F30" s="76"/>
      <c r="G30" s="76"/>
      <c r="H30" s="76"/>
      <c r="I30" s="76"/>
    </row>
    <row r="31" spans="2:9">
      <c r="B31" s="76"/>
      <c r="C31" s="76"/>
      <c r="D31" s="76"/>
      <c r="E31" s="76"/>
      <c r="F31" s="76"/>
      <c r="G31" s="76"/>
      <c r="H31" s="76"/>
      <c r="I31" s="76"/>
    </row>
    <row r="32" spans="2:9">
      <c r="B32" s="76"/>
      <c r="C32" s="76"/>
      <c r="D32" s="76"/>
      <c r="E32" s="76"/>
      <c r="F32" s="76"/>
      <c r="G32" s="76"/>
      <c r="H32" s="76"/>
      <c r="I32" s="76"/>
    </row>
    <row r="33" spans="2:9" s="80" customFormat="1" ht="33.75">
      <c r="B33" s="807" t="s">
        <v>1484</v>
      </c>
      <c r="C33" s="807"/>
      <c r="D33" s="807"/>
      <c r="E33" s="807"/>
      <c r="F33" s="807"/>
      <c r="G33" s="807"/>
      <c r="H33" s="807"/>
      <c r="I33" s="807"/>
    </row>
    <row r="34" spans="2:9">
      <c r="B34" s="76"/>
      <c r="C34" s="76"/>
      <c r="D34" s="76"/>
      <c r="E34" s="76"/>
      <c r="F34" s="76"/>
      <c r="G34" s="76"/>
      <c r="H34" s="76"/>
      <c r="I34" s="76"/>
    </row>
    <row r="35" spans="2:9" ht="46.5">
      <c r="B35" s="75"/>
      <c r="C35" s="76"/>
      <c r="D35" s="76"/>
      <c r="E35" s="76"/>
      <c r="F35" s="76"/>
      <c r="G35" s="76"/>
      <c r="H35" s="76"/>
      <c r="I35" s="76"/>
    </row>
    <row r="36" spans="2:9">
      <c r="B36" s="76"/>
      <c r="C36" s="76"/>
      <c r="D36" s="76"/>
      <c r="E36" s="76"/>
      <c r="F36" s="76"/>
      <c r="G36" s="76"/>
      <c r="H36" s="76"/>
      <c r="I36" s="76"/>
    </row>
    <row r="37" spans="2:9">
      <c r="B37" s="76"/>
      <c r="C37" s="76"/>
      <c r="D37" s="76"/>
      <c r="E37" s="76"/>
      <c r="F37" s="76"/>
      <c r="G37" s="76"/>
      <c r="H37" s="76"/>
      <c r="I37" s="76"/>
    </row>
    <row r="38" spans="2:9">
      <c r="B38" s="76"/>
      <c r="C38" s="76"/>
      <c r="D38" s="76"/>
      <c r="E38" s="76"/>
      <c r="F38" s="76"/>
      <c r="G38" s="76"/>
      <c r="H38" s="76"/>
      <c r="I38" s="76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97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311"/>
  <sheetViews>
    <sheetView zoomScale="80" zoomScaleNormal="80" zoomScaleSheetLayoutView="85" workbookViewId="0">
      <pane xSplit="1" ySplit="6" topLeftCell="B7" activePane="bottomRight" state="frozen"/>
      <selection activeCell="B1" sqref="B1:K1"/>
      <selection pane="topRight" activeCell="B1" sqref="B1:K1"/>
      <selection pane="bottomLeft" activeCell="B1" sqref="B1:K1"/>
      <selection pane="bottomRight" activeCell="B1" sqref="B1:K1"/>
    </sheetView>
  </sheetViews>
  <sheetFormatPr defaultRowHeight="13.5"/>
  <cols>
    <col min="1" max="1" width="1" style="185" customWidth="1"/>
    <col min="2" max="3" width="17.875" style="185" customWidth="1"/>
    <col min="4" max="4" width="14.25" style="185" customWidth="1"/>
    <col min="5" max="5" width="15.875" style="185" customWidth="1"/>
    <col min="6" max="6" width="14.25" style="185" customWidth="1"/>
    <col min="7" max="7" width="13.5" style="185" customWidth="1"/>
    <col min="8" max="8" width="17.25" style="185" customWidth="1"/>
    <col min="9" max="9" width="17.125" style="184" hidden="1" customWidth="1"/>
    <col min="10" max="10" width="16" style="184" hidden="1" customWidth="1"/>
    <col min="11" max="11" width="14.625" style="184" hidden="1" customWidth="1"/>
    <col min="12" max="12" width="21.75" style="184" hidden="1" customWidth="1"/>
    <col min="13" max="14" width="14.75" style="184" hidden="1" customWidth="1"/>
    <col min="15" max="15" width="12.25" style="184" hidden="1" customWidth="1"/>
    <col min="16" max="16" width="13.375" style="184" hidden="1" customWidth="1"/>
    <col min="17" max="16384" width="9" style="185"/>
  </cols>
  <sheetData>
    <row r="1" spans="2:16" ht="33" customHeight="1">
      <c r="B1" s="867" t="s">
        <v>1356</v>
      </c>
      <c r="C1" s="868"/>
      <c r="D1" s="868"/>
      <c r="E1" s="868"/>
      <c r="F1" s="868"/>
      <c r="G1" s="868"/>
      <c r="H1" s="868"/>
    </row>
    <row r="2" spans="2:16" ht="12.75" customHeight="1">
      <c r="B2" s="685"/>
      <c r="C2" s="187"/>
      <c r="D2" s="187"/>
      <c r="E2" s="187"/>
      <c r="F2" s="187"/>
      <c r="G2" s="187"/>
      <c r="H2" s="187"/>
    </row>
    <row r="3" spans="2:16" ht="23.25" customHeight="1">
      <c r="B3" s="188" t="s">
        <v>1357</v>
      </c>
      <c r="C3" s="189"/>
      <c r="D3" s="190"/>
      <c r="E3" s="190"/>
    </row>
    <row r="4" spans="2:16" s="192" customFormat="1" ht="18" customHeight="1" thickBot="1">
      <c r="B4" s="191"/>
      <c r="F4" s="193"/>
      <c r="H4" s="194" t="s">
        <v>1358</v>
      </c>
      <c r="I4" s="195"/>
      <c r="J4" s="196"/>
      <c r="K4" s="196"/>
      <c r="L4" s="196"/>
      <c r="M4" s="197" t="s">
        <v>1359</v>
      </c>
      <c r="N4" s="196"/>
      <c r="O4" s="197" t="s">
        <v>1360</v>
      </c>
      <c r="P4" s="197"/>
    </row>
    <row r="5" spans="2:16" ht="24" customHeight="1">
      <c r="B5" s="809" t="s">
        <v>1361</v>
      </c>
      <c r="C5" s="811" t="s">
        <v>1362</v>
      </c>
      <c r="D5" s="813" t="s">
        <v>1363</v>
      </c>
      <c r="E5" s="813"/>
      <c r="F5" s="813" t="s">
        <v>1364</v>
      </c>
      <c r="G5" s="813"/>
      <c r="H5" s="814" t="s">
        <v>1365</v>
      </c>
      <c r="I5" s="820" t="s">
        <v>1366</v>
      </c>
      <c r="J5" s="820"/>
      <c r="K5" s="816" t="s">
        <v>1367</v>
      </c>
      <c r="L5" s="818" t="s">
        <v>1368</v>
      </c>
      <c r="M5" s="820" t="s">
        <v>1369</v>
      </c>
      <c r="N5" s="821"/>
      <c r="O5" s="822" t="s">
        <v>1370</v>
      </c>
      <c r="P5" s="823"/>
    </row>
    <row r="6" spans="2:16" ht="24" customHeight="1">
      <c r="B6" s="810"/>
      <c r="C6" s="812"/>
      <c r="D6" s="686" t="s">
        <v>1371</v>
      </c>
      <c r="E6" s="686" t="s">
        <v>1372</v>
      </c>
      <c r="F6" s="686" t="s">
        <v>1371</v>
      </c>
      <c r="G6" s="686" t="s">
        <v>1372</v>
      </c>
      <c r="H6" s="815"/>
      <c r="I6" s="691" t="s">
        <v>1373</v>
      </c>
      <c r="J6" s="199" t="s">
        <v>1374</v>
      </c>
      <c r="K6" s="817"/>
      <c r="L6" s="819"/>
      <c r="M6" s="200" t="s">
        <v>1373</v>
      </c>
      <c r="N6" s="201" t="s">
        <v>1374</v>
      </c>
      <c r="O6" s="824"/>
      <c r="P6" s="825"/>
    </row>
    <row r="7" spans="2:16" ht="38.25" customHeight="1" thickBot="1">
      <c r="B7" s="706" t="s">
        <v>1375</v>
      </c>
      <c r="C7" s="707">
        <f t="shared" ref="C7:H7" si="0">SUM(C8:C18)</f>
        <v>16221327381</v>
      </c>
      <c r="D7" s="708">
        <f t="shared" si="0"/>
        <v>-29472439</v>
      </c>
      <c r="E7" s="708">
        <f t="shared" si="0"/>
        <v>23408965</v>
      </c>
      <c r="F7" s="708">
        <f t="shared" si="0"/>
        <v>-65746706</v>
      </c>
      <c r="G7" s="708">
        <f t="shared" si="0"/>
        <v>59683232</v>
      </c>
      <c r="H7" s="709">
        <f t="shared" si="0"/>
        <v>16215263907</v>
      </c>
      <c r="I7" s="202">
        <f>E25+D25</f>
        <v>-6063474</v>
      </c>
      <c r="J7" s="203">
        <f>F25+G25</f>
        <v>-6063474</v>
      </c>
      <c r="K7" s="204">
        <f>I7-J7</f>
        <v>0</v>
      </c>
      <c r="L7" s="205" t="s">
        <v>1376</v>
      </c>
      <c r="M7" s="206">
        <f>D24+E24</f>
        <v>-6063474</v>
      </c>
      <c r="N7" s="207">
        <f>F24+G24</f>
        <v>-6063474</v>
      </c>
      <c r="O7" s="208">
        <v>0</v>
      </c>
      <c r="P7" s="208">
        <f>'[1]13년 1회추경(세출)_기금'!H7+'[1]13년 1회추경(세출)_기금'!I7</f>
        <v>0</v>
      </c>
    </row>
    <row r="8" spans="2:16" ht="38.25" hidden="1" customHeight="1" thickBot="1">
      <c r="B8" s="710" t="s">
        <v>1377</v>
      </c>
      <c r="C8" s="707">
        <v>0</v>
      </c>
      <c r="D8" s="708"/>
      <c r="E8" s="708"/>
      <c r="F8" s="708"/>
      <c r="G8" s="708"/>
      <c r="H8" s="709">
        <f>C8-F8+G8</f>
        <v>0</v>
      </c>
      <c r="I8" s="711">
        <f>D7+E7</f>
        <v>-6063474</v>
      </c>
      <c r="J8" s="712">
        <f>F7+G7</f>
        <v>-6063474</v>
      </c>
      <c r="K8" s="713">
        <f>I8-J8</f>
        <v>0</v>
      </c>
      <c r="L8" s="714"/>
      <c r="M8" s="209"/>
      <c r="N8" s="715"/>
      <c r="O8" s="716"/>
      <c r="P8" s="716"/>
    </row>
    <row r="9" spans="2:16" ht="38.25" customHeight="1">
      <c r="B9" s="717" t="s">
        <v>1378</v>
      </c>
      <c r="C9" s="718">
        <v>29571741</v>
      </c>
      <c r="D9" s="708">
        <f>SUMIF('추 일입'!$A$7:$A$88,"의회운영위원회",'추 일입'!$L$7:$L$88)</f>
        <v>0</v>
      </c>
      <c r="E9" s="708">
        <f>SUMIF('추 일입'!$A$7:$A$88,"의회운영위원회",'추 일입'!$M$7:$M$88)</f>
        <v>0</v>
      </c>
      <c r="F9" s="708">
        <f>SUMIF('추 일출'!$A$7:$A$128,"의회운영위원회",'추 일출'!$L$7:$L$128)</f>
        <v>-105000</v>
      </c>
      <c r="G9" s="708">
        <f>SUMIF('추 일출'!$A$7:$A$128,"의회운영위원회",'추 일출'!$M$7:$M$128)</f>
        <v>0</v>
      </c>
      <c r="H9" s="709">
        <f>C9+F9+G9</f>
        <v>29466741</v>
      </c>
      <c r="I9" s="828" t="s">
        <v>1379</v>
      </c>
      <c r="J9" s="829"/>
      <c r="K9" s="196"/>
      <c r="N9" s="719" t="s">
        <v>1380</v>
      </c>
    </row>
    <row r="10" spans="2:16" ht="38.25" customHeight="1" thickBot="1">
      <c r="B10" s="717" t="s">
        <v>1381</v>
      </c>
      <c r="C10" s="707">
        <v>3898493309</v>
      </c>
      <c r="D10" s="708">
        <f>SUMIF('추 일입'!$A$7:$A$88,"기획재정위원회",'추 일입'!$L$7:$L$88)</f>
        <v>0</v>
      </c>
      <c r="E10" s="708">
        <f>SUMIF('추 일입'!$A$7:$A$88,"기획재정위원회",'추 일입'!$M$7:$M$88)</f>
        <v>0</v>
      </c>
      <c r="F10" s="708">
        <f>SUMIF('추 일출'!$A$7:$A$128,"기획재정위원회",'추 일출'!$L$7:$L$128)</f>
        <v>0</v>
      </c>
      <c r="G10" s="708">
        <f>SUMIF('추 일출'!$A$7:$A$128,"기획재정위원회",'추 일출'!$M$7:$M$128)</f>
        <v>344635</v>
      </c>
      <c r="H10" s="709">
        <f t="shared" ref="H10:H18" si="1">C10+F10+G10</f>
        <v>3898837944</v>
      </c>
      <c r="I10" s="210">
        <f>'추 일입'!L6+'추 일입'!M6</f>
        <v>-6063474</v>
      </c>
      <c r="J10" s="211">
        <f>'추 일출'!L6+'추 일출'!M6</f>
        <v>-6063474</v>
      </c>
      <c r="K10" s="196"/>
      <c r="N10" s="212">
        <f>M7-N7</f>
        <v>0</v>
      </c>
    </row>
    <row r="11" spans="2:16" ht="38.25" customHeight="1">
      <c r="B11" s="717" t="s">
        <v>1382</v>
      </c>
      <c r="C11" s="707">
        <v>568447623</v>
      </c>
      <c r="D11" s="708">
        <f>SUMIF('추 일입'!$A$7:$A$88,"경제과학기술위원회",'추 일입'!$L$7:$L$88)</f>
        <v>0</v>
      </c>
      <c r="E11" s="708">
        <f>SUMIF('추 일입'!$A$7:$A$88,"경제과학기술위원회",'추 일입'!$M$7:$M$88)</f>
        <v>202415</v>
      </c>
      <c r="F11" s="708">
        <f>SUMIF('추 일출'!$A$7:$A$128,"경제과학기술위원회",'추 일출'!$L$7:$L$128)</f>
        <v>0</v>
      </c>
      <c r="G11" s="708">
        <f>SUMIF('추 일출'!$A$7:$A$128,"경제과학기술위원회",'추 일출'!$M$7:$M$128)</f>
        <v>202415</v>
      </c>
      <c r="H11" s="709">
        <f t="shared" si="1"/>
        <v>568650038</v>
      </c>
      <c r="I11" s="213"/>
      <c r="J11" s="214"/>
      <c r="K11" s="215"/>
      <c r="N11" s="213"/>
    </row>
    <row r="12" spans="2:16" ht="38.25" customHeight="1">
      <c r="B12" s="717" t="s">
        <v>1383</v>
      </c>
      <c r="C12" s="707">
        <v>1084349076</v>
      </c>
      <c r="D12" s="708">
        <f>SUMIF('추 일입'!$A$7:$A$88,"행정자치위원회",'추 일입'!$L$7:$L$88)</f>
        <v>0</v>
      </c>
      <c r="E12" s="708">
        <f>SUMIF('추 일입'!$A$7:$A$88,"행정자치위원회",'추 일입'!$M$7:$M$88)</f>
        <v>1648000</v>
      </c>
      <c r="F12" s="708">
        <f>SUMIF('추 일출'!$A$7:$A$128,"행정자치위원회",'추 일출'!$L$7:$L$128)</f>
        <v>0</v>
      </c>
      <c r="G12" s="708">
        <f>SUMIF('추 일출'!$A$7:$A$128,"행정자치위원회",'추 일출'!$M$7:$M$128)</f>
        <v>1648000</v>
      </c>
      <c r="H12" s="709">
        <f t="shared" si="1"/>
        <v>1085997076</v>
      </c>
      <c r="I12" s="213"/>
      <c r="J12" s="720"/>
      <c r="L12" s="721"/>
      <c r="M12" s="721"/>
    </row>
    <row r="13" spans="2:16" ht="38.25" customHeight="1">
      <c r="B13" s="717" t="s">
        <v>1384</v>
      </c>
      <c r="C13" s="707">
        <v>273648191</v>
      </c>
      <c r="D13" s="708">
        <f>SUMIF('추 일입'!$A$7:$A$88,"문화체육관광위원회",'추 일입'!$L$7:$L$88)</f>
        <v>0</v>
      </c>
      <c r="E13" s="708">
        <f>SUMIF('추 일입'!$A$7:$A$88,"문화체육관광위원회",'추 일입'!$M$7:$M$88)</f>
        <v>2000000</v>
      </c>
      <c r="F13" s="708">
        <f>SUMIF('추 일출'!$A$7:$A$128,"문화체육관광위원회",'추 일출'!$L$7:$L$128)</f>
        <v>0</v>
      </c>
      <c r="G13" s="708">
        <f>SUMIF('추 일출'!$A$7:$A$128,"문화체육관광위원회",'추 일출'!$M$7:$M$128)</f>
        <v>2050000</v>
      </c>
      <c r="H13" s="709">
        <f t="shared" si="1"/>
        <v>275698191</v>
      </c>
      <c r="K13" s="216"/>
      <c r="L13" s="217"/>
      <c r="N13" s="184" t="s">
        <v>1385</v>
      </c>
    </row>
    <row r="14" spans="2:16" s="220" customFormat="1" ht="38.25" customHeight="1">
      <c r="B14" s="717" t="s">
        <v>1386</v>
      </c>
      <c r="C14" s="722">
        <v>536493471</v>
      </c>
      <c r="D14" s="708">
        <f>SUMIF('추 일입'!$A$7:$A$88,"농림수산위원회",'추 일입'!$L$7:$L$88)</f>
        <v>-3314524</v>
      </c>
      <c r="E14" s="708">
        <f>SUMIF('추 일입'!$A$7:$A$88,"농림수산위원회",'추 일입'!$M$7:$M$88)</f>
        <v>6924909</v>
      </c>
      <c r="F14" s="708">
        <f>SUMIF('추 일출'!$A$7:$A$128,"농림수산위원회",'추 일출'!$L$7:$L$128)</f>
        <v>-3701586</v>
      </c>
      <c r="G14" s="708">
        <f>SUMIF('추 일출'!$A$7:$A$128,"농림수산위원회",'추 일출'!$M$7:$M$128)</f>
        <v>6419445</v>
      </c>
      <c r="H14" s="709">
        <f t="shared" si="1"/>
        <v>539211330</v>
      </c>
      <c r="I14" s="218"/>
      <c r="J14" s="218"/>
      <c r="K14" s="216"/>
      <c r="L14" s="217"/>
      <c r="M14" s="209"/>
      <c r="N14" s="219">
        <f>N10-K7</f>
        <v>0</v>
      </c>
      <c r="O14" s="218"/>
      <c r="P14" s="218"/>
    </row>
    <row r="15" spans="2:16" s="220" customFormat="1" ht="38.25" customHeight="1">
      <c r="B15" s="717" t="s">
        <v>1387</v>
      </c>
      <c r="C15" s="722">
        <v>2948270941</v>
      </c>
      <c r="D15" s="708">
        <f>SUMIF('추 일입'!$A$7:$A$88,"보건복지공보위원회",'추 일입'!$L$7:$L$88)</f>
        <v>-11526840</v>
      </c>
      <c r="E15" s="708">
        <f>SUMIF('추 일입'!$A$7:$A$88,"보건복지공보위원회",'추 일입'!$M$7:$M$88)</f>
        <v>3108256</v>
      </c>
      <c r="F15" s="708">
        <f>SUMIF('추 일출'!$A$7:$A$128,"보건복지공보위원회",'추 일출'!$L$7:$L$128)</f>
        <v>-11703561</v>
      </c>
      <c r="G15" s="708">
        <f>SUMIF('추 일출'!$A$7:$A$128,"보건복지공보위원회",'추 일출'!$M$7:$M$128)</f>
        <v>3401889</v>
      </c>
      <c r="H15" s="709">
        <f t="shared" si="1"/>
        <v>2939969269</v>
      </c>
      <c r="I15" s="218"/>
      <c r="J15" s="218"/>
      <c r="K15" s="216"/>
      <c r="L15" s="217"/>
      <c r="M15" s="218"/>
      <c r="N15" s="218"/>
      <c r="O15" s="218"/>
      <c r="P15" s="218"/>
    </row>
    <row r="16" spans="2:16" s="220" customFormat="1" ht="38.25" customHeight="1">
      <c r="B16" s="717" t="s">
        <v>1388</v>
      </c>
      <c r="C16" s="722">
        <v>1196035699</v>
      </c>
      <c r="D16" s="708">
        <f>SUMIF('추 일입'!$A$7:$A$88,"건설교통위원회",'추 일입'!$L$7:$L$88)</f>
        <v>-4052000</v>
      </c>
      <c r="E16" s="708">
        <f>SUMIF('추 일입'!$A$7:$A$88,"건설교통위원회",'추 일입'!$M$7:$M$88)</f>
        <v>329000</v>
      </c>
      <c r="F16" s="708">
        <f>SUMIF('추 일출'!$A$7:$A$128,"건설교통위원회",'추 일출'!$L$7:$L$128)</f>
        <v>-4052000</v>
      </c>
      <c r="G16" s="708">
        <f>SUMIF('추 일출'!$A$7:$A$128,"건설교통위원회",'추 일출'!$M$7:$M$128)</f>
        <v>387275</v>
      </c>
      <c r="H16" s="709">
        <f t="shared" si="1"/>
        <v>1192370974</v>
      </c>
      <c r="I16" s="218"/>
      <c r="J16" s="218"/>
      <c r="K16" s="216"/>
      <c r="L16" s="217"/>
      <c r="M16" s="218"/>
      <c r="N16" s="218"/>
      <c r="O16" s="218"/>
      <c r="P16" s="218"/>
    </row>
    <row r="17" spans="2:16" s="222" customFormat="1" ht="38.25" customHeight="1">
      <c r="B17" s="723" t="s">
        <v>1389</v>
      </c>
      <c r="C17" s="724">
        <v>916276929</v>
      </c>
      <c r="D17" s="708">
        <f>SUMIF('추 일입'!$A$7:$A$88,"도시환경위원회",'추 일입'!$L$7:$L$88)</f>
        <v>-5553000</v>
      </c>
      <c r="E17" s="708">
        <f>SUMIF('추 일입'!$A$7:$A$88,"도시환경위원회",'추 일입'!$M$7:$M$88)</f>
        <v>3187800</v>
      </c>
      <c r="F17" s="708">
        <f>SUMIF('추 일출'!$A$7:$A$128,"도시환경위원회",'추 일출'!$L$7:$L$128)</f>
        <v>-5996357</v>
      </c>
      <c r="G17" s="708">
        <f>SUMIF('추 일출'!$A$7:$A$128,"도시환경위원회",'추 일출'!$M$7:$M$128)</f>
        <v>3187800</v>
      </c>
      <c r="H17" s="709">
        <f t="shared" si="1"/>
        <v>913468372</v>
      </c>
      <c r="I17" s="221"/>
      <c r="J17" s="221"/>
      <c r="K17" s="216"/>
      <c r="L17" s="217"/>
      <c r="M17" s="221"/>
      <c r="N17" s="221"/>
      <c r="O17" s="221"/>
      <c r="P17" s="221"/>
    </row>
    <row r="18" spans="2:16" s="220" customFormat="1" ht="38.25" customHeight="1" thickBot="1">
      <c r="B18" s="725" t="s">
        <v>1390</v>
      </c>
      <c r="C18" s="726">
        <v>4769740401</v>
      </c>
      <c r="D18" s="727">
        <f>SUMIF('추 일입'!$A$7:$A$88,"여성가족평생교육위원회",'추 일입'!$L$7:$L$88)</f>
        <v>-5026075</v>
      </c>
      <c r="E18" s="727">
        <f>SUMIF('추 일입'!$A$7:$A$88,"여성가족평생교육위원회",'추 일입'!$M$7:$M$88)</f>
        <v>6008585</v>
      </c>
      <c r="F18" s="727">
        <f>SUMIF('추 일출'!$A$7:$A$128,"여성가족평생교육위원회",'추 일출'!$L$7:$L$128)</f>
        <v>-40188202</v>
      </c>
      <c r="G18" s="727">
        <f>SUMIF('추 일출'!$A$7:$A$128,"여성가족평생교육위원회",'추 일출'!$M$7:$M$128)</f>
        <v>42041773</v>
      </c>
      <c r="H18" s="728">
        <f t="shared" si="1"/>
        <v>4771593972</v>
      </c>
      <c r="I18" s="218"/>
      <c r="J18" s="218"/>
      <c r="K18" s="216"/>
      <c r="L18" s="217"/>
      <c r="M18" s="218"/>
      <c r="N18" s="218"/>
      <c r="O18" s="218"/>
      <c r="P18" s="218"/>
    </row>
    <row r="19" spans="2:16" ht="18" customHeight="1">
      <c r="B19" s="192"/>
      <c r="C19" s="192"/>
      <c r="D19" s="192"/>
      <c r="E19" s="192"/>
      <c r="F19" s="192"/>
      <c r="G19" s="192"/>
      <c r="H19" s="192"/>
      <c r="K19" s="216"/>
      <c r="L19" s="217"/>
    </row>
    <row r="20" spans="2:16" ht="20.25">
      <c r="B20" s="223" t="s">
        <v>1391</v>
      </c>
      <c r="C20" s="188"/>
      <c r="D20" s="188"/>
      <c r="E20" s="188"/>
      <c r="F20" s="188"/>
      <c r="G20" s="188"/>
      <c r="H20" s="224"/>
      <c r="K20" s="216"/>
      <c r="L20" s="217"/>
    </row>
    <row r="21" spans="2:16" ht="19.5" thickBot="1">
      <c r="B21" s="191"/>
      <c r="C21" s="192"/>
      <c r="D21" s="192"/>
      <c r="E21" s="192"/>
      <c r="F21" s="192"/>
      <c r="G21" s="192"/>
      <c r="H21" s="194" t="s">
        <v>368</v>
      </c>
    </row>
    <row r="22" spans="2:16" ht="24.75" customHeight="1">
      <c r="B22" s="809" t="s">
        <v>1392</v>
      </c>
      <c r="C22" s="826" t="s">
        <v>1393</v>
      </c>
      <c r="D22" s="813" t="s">
        <v>1363</v>
      </c>
      <c r="E22" s="813"/>
      <c r="F22" s="813" t="s">
        <v>1364</v>
      </c>
      <c r="G22" s="813"/>
      <c r="H22" s="814" t="s">
        <v>1365</v>
      </c>
    </row>
    <row r="23" spans="2:16" ht="24.75" customHeight="1">
      <c r="B23" s="810"/>
      <c r="C23" s="827"/>
      <c r="D23" s="686" t="s">
        <v>1371</v>
      </c>
      <c r="E23" s="686" t="s">
        <v>1372</v>
      </c>
      <c r="F23" s="686" t="s">
        <v>1371</v>
      </c>
      <c r="G23" s="686" t="s">
        <v>1372</v>
      </c>
      <c r="H23" s="815"/>
      <c r="I23" s="184" t="s">
        <v>1394</v>
      </c>
    </row>
    <row r="24" spans="2:16" ht="36" customHeight="1">
      <c r="B24" s="706" t="s">
        <v>1395</v>
      </c>
      <c r="C24" s="707">
        <f t="shared" ref="C24:G24" si="2">SUM(C25:C26)</f>
        <v>16221327381</v>
      </c>
      <c r="D24" s="708">
        <f t="shared" si="2"/>
        <v>-29472439</v>
      </c>
      <c r="E24" s="707">
        <f t="shared" si="2"/>
        <v>23408965</v>
      </c>
      <c r="F24" s="708">
        <f t="shared" si="2"/>
        <v>-65746706</v>
      </c>
      <c r="G24" s="707">
        <f t="shared" si="2"/>
        <v>59683232</v>
      </c>
      <c r="H24" s="709">
        <f>SUM(H25:H26)</f>
        <v>16215263907</v>
      </c>
      <c r="I24" s="195">
        <f>C24+D24+E24</f>
        <v>16215263907</v>
      </c>
      <c r="J24" s="225">
        <f>I24-H24</f>
        <v>0</v>
      </c>
      <c r="K24" s="196" t="s">
        <v>1396</v>
      </c>
    </row>
    <row r="25" spans="2:16" ht="36" customHeight="1">
      <c r="B25" s="706" t="s">
        <v>371</v>
      </c>
      <c r="C25" s="707">
        <v>13099250390</v>
      </c>
      <c r="D25" s="708">
        <f>'추 일입'!L6</f>
        <v>-29472439</v>
      </c>
      <c r="E25" s="708">
        <f>'추 일입'!M6</f>
        <v>23408965</v>
      </c>
      <c r="F25" s="708">
        <f>'추 일출'!L6</f>
        <v>-65746706</v>
      </c>
      <c r="G25" s="708">
        <f>'추 일출'!M6</f>
        <v>59683232</v>
      </c>
      <c r="H25" s="709">
        <f>C25+F25+G25</f>
        <v>13093186916</v>
      </c>
      <c r="I25" s="195">
        <f>C25+D25+E25</f>
        <v>13093186916</v>
      </c>
      <c r="J25" s="225">
        <f>I25-H25</f>
        <v>0</v>
      </c>
      <c r="K25" s="196" t="s">
        <v>1396</v>
      </c>
    </row>
    <row r="26" spans="2:16" ht="36" customHeight="1" thickBot="1">
      <c r="B26" s="729" t="s">
        <v>1397</v>
      </c>
      <c r="C26" s="730">
        <v>3122076991</v>
      </c>
      <c r="D26" s="727"/>
      <c r="E26" s="727"/>
      <c r="F26" s="727"/>
      <c r="G26" s="727"/>
      <c r="H26" s="728">
        <f>C26+F26+G26</f>
        <v>3122076991</v>
      </c>
      <c r="I26" s="195">
        <f>C26+D26+E26</f>
        <v>3122076991</v>
      </c>
      <c r="J26" s="225">
        <f>I26-H26</f>
        <v>0</v>
      </c>
      <c r="K26" s="196" t="s">
        <v>1396</v>
      </c>
    </row>
    <row r="27" spans="2:16" ht="9" customHeight="1">
      <c r="B27" s="192"/>
      <c r="C27" s="192"/>
      <c r="D27" s="192"/>
      <c r="E27" s="192"/>
      <c r="F27" s="192"/>
      <c r="G27" s="192"/>
      <c r="H27" s="192"/>
    </row>
    <row r="28" spans="2:16" ht="20.25" customHeight="1">
      <c r="H28" s="731"/>
      <c r="J28" s="732"/>
    </row>
    <row r="29" spans="2:16" ht="20.25" customHeight="1"/>
    <row r="30" spans="2:16" ht="14.25">
      <c r="B30" s="226" t="s">
        <v>373</v>
      </c>
      <c r="C30" s="227" t="s">
        <v>1398</v>
      </c>
      <c r="D30" s="229" t="s">
        <v>1399</v>
      </c>
      <c r="E30" s="227" t="s">
        <v>1400</v>
      </c>
      <c r="G30" s="184"/>
      <c r="H30" s="184"/>
      <c r="O30" s="185"/>
      <c r="P30" s="185"/>
    </row>
    <row r="31" spans="2:16" ht="15">
      <c r="B31" s="231" t="s">
        <v>379</v>
      </c>
      <c r="C31" s="733">
        <v>29571741</v>
      </c>
      <c r="D31" s="733"/>
      <c r="E31" s="733">
        <f>SUM(C31:D31)</f>
        <v>29571741</v>
      </c>
      <c r="G31" s="184"/>
      <c r="H31" s="184"/>
      <c r="O31" s="185"/>
      <c r="P31" s="185"/>
    </row>
    <row r="32" spans="2:16" ht="15">
      <c r="B32" s="231" t="s">
        <v>380</v>
      </c>
      <c r="C32" s="733">
        <v>2482731231</v>
      </c>
      <c r="D32" s="733">
        <v>1415762078</v>
      </c>
      <c r="E32" s="733">
        <f t="shared" ref="E32:E41" si="3">SUM(C32:D32)</f>
        <v>3898493309</v>
      </c>
      <c r="G32" s="184"/>
      <c r="H32" s="184"/>
      <c r="O32" s="185"/>
      <c r="P32" s="185"/>
    </row>
    <row r="33" spans="2:16" ht="15">
      <c r="B33" s="231" t="s">
        <v>92</v>
      </c>
      <c r="C33" s="733">
        <v>195073838</v>
      </c>
      <c r="D33" s="733">
        <v>373373785</v>
      </c>
      <c r="E33" s="733">
        <f t="shared" si="3"/>
        <v>568447623</v>
      </c>
      <c r="G33" s="184"/>
      <c r="H33" s="184"/>
      <c r="O33" s="185"/>
      <c r="P33" s="185"/>
    </row>
    <row r="34" spans="2:16" ht="15">
      <c r="B34" s="231" t="s">
        <v>101</v>
      </c>
      <c r="C34" s="733">
        <v>1084349076</v>
      </c>
      <c r="D34" s="733"/>
      <c r="E34" s="733">
        <f t="shared" si="3"/>
        <v>1084349076</v>
      </c>
      <c r="G34" s="184"/>
      <c r="H34" s="184"/>
      <c r="O34" s="185"/>
      <c r="P34" s="185"/>
    </row>
    <row r="35" spans="2:16" ht="15">
      <c r="B35" s="231" t="s">
        <v>227</v>
      </c>
      <c r="C35" s="733">
        <v>257698191</v>
      </c>
      <c r="D35" s="733">
        <v>15950000</v>
      </c>
      <c r="E35" s="733">
        <f t="shared" si="3"/>
        <v>273648191</v>
      </c>
      <c r="G35" s="184"/>
      <c r="H35" s="184"/>
      <c r="O35" s="185"/>
      <c r="P35" s="185"/>
    </row>
    <row r="36" spans="2:16" ht="15">
      <c r="B36" s="231" t="s">
        <v>113</v>
      </c>
      <c r="C36" s="733">
        <v>536493471</v>
      </c>
      <c r="D36" s="733"/>
      <c r="E36" s="733">
        <f t="shared" si="3"/>
        <v>536493471</v>
      </c>
      <c r="G36" s="184"/>
      <c r="H36" s="184"/>
      <c r="O36" s="185"/>
      <c r="P36" s="185"/>
    </row>
    <row r="37" spans="2:16" ht="15">
      <c r="B37" s="231" t="s">
        <v>132</v>
      </c>
      <c r="C37" s="733">
        <v>2948270941</v>
      </c>
      <c r="D37" s="733"/>
      <c r="E37" s="733">
        <f t="shared" si="3"/>
        <v>2948270941</v>
      </c>
      <c r="G37" s="184"/>
      <c r="H37" s="184"/>
      <c r="O37" s="185"/>
      <c r="P37" s="185"/>
    </row>
    <row r="38" spans="2:16" ht="15">
      <c r="B38" s="231" t="s">
        <v>170</v>
      </c>
      <c r="C38" s="733">
        <v>1196035699</v>
      </c>
      <c r="D38" s="733"/>
      <c r="E38" s="733">
        <f t="shared" si="3"/>
        <v>1196035699</v>
      </c>
      <c r="G38" s="184"/>
      <c r="H38" s="184"/>
      <c r="O38" s="185"/>
      <c r="P38" s="185"/>
    </row>
    <row r="39" spans="2:16" ht="15">
      <c r="B39" s="231" t="s">
        <v>186</v>
      </c>
      <c r="C39" s="733">
        <v>870225757</v>
      </c>
      <c r="D39" s="733">
        <v>46051172</v>
      </c>
      <c r="E39" s="733">
        <f t="shared" si="3"/>
        <v>916276929</v>
      </c>
      <c r="G39" s="184"/>
      <c r="H39" s="184"/>
      <c r="O39" s="185"/>
      <c r="P39" s="185"/>
    </row>
    <row r="40" spans="2:16" ht="15">
      <c r="B40" s="231" t="s">
        <v>201</v>
      </c>
      <c r="C40" s="733">
        <v>4769740401</v>
      </c>
      <c r="D40" s="733"/>
      <c r="E40" s="733">
        <f t="shared" si="3"/>
        <v>4769740401</v>
      </c>
      <c r="G40" s="184"/>
      <c r="H40" s="184"/>
      <c r="O40" s="185"/>
      <c r="P40" s="185"/>
    </row>
    <row r="41" spans="2:16" ht="15">
      <c r="B41" s="231" t="s">
        <v>381</v>
      </c>
      <c r="C41" s="733">
        <f>SUM(C31:C40)</f>
        <v>14370190346</v>
      </c>
      <c r="D41" s="733">
        <f>SUM(D31:D40)</f>
        <v>1851137035</v>
      </c>
      <c r="E41" s="733">
        <f t="shared" si="3"/>
        <v>16221327381</v>
      </c>
      <c r="G41" s="184"/>
      <c r="H41" s="184"/>
      <c r="O41" s="185"/>
      <c r="P41" s="185"/>
    </row>
    <row r="43" spans="2:16">
      <c r="B43" s="239" t="s">
        <v>1401</v>
      </c>
      <c r="C43" s="240">
        <f>3922478-221377</f>
        <v>3701101</v>
      </c>
    </row>
    <row r="71" spans="1:16">
      <c r="A71" s="241"/>
      <c r="B71" s="241"/>
      <c r="C71" s="241"/>
      <c r="D71" s="241"/>
      <c r="E71" s="241"/>
      <c r="F71" s="241"/>
      <c r="G71" s="241"/>
      <c r="H71" s="241"/>
      <c r="I71" s="242"/>
      <c r="J71" s="242"/>
      <c r="K71" s="242"/>
      <c r="L71" s="242"/>
      <c r="M71" s="242"/>
      <c r="N71" s="242"/>
      <c r="O71" s="242"/>
      <c r="P71" s="242"/>
    </row>
    <row r="181" spans="9:9" ht="24">
      <c r="I181" s="215" t="s">
        <v>1402</v>
      </c>
    </row>
    <row r="311" spans="9:11">
      <c r="I311" s="243"/>
      <c r="K311" s="184">
        <v>-50000</v>
      </c>
    </row>
  </sheetData>
  <mergeCells count="17"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6" orientation="portrait" r:id="rId1"/>
  <headerFooter alignWithMargins="0">
    <oddFooter>&amp;C&amp;P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  <pageSetUpPr fitToPage="1"/>
  </sheetPr>
  <dimension ref="A1:T313"/>
  <sheetViews>
    <sheetView view="pageBreakPreview" zoomScale="80" zoomScaleNormal="80" zoomScaleSheetLayoutView="80" workbookViewId="0">
      <pane xSplit="1" ySplit="7" topLeftCell="B8" activePane="bottomRight" state="frozen"/>
      <selection activeCell="F7" sqref="F7"/>
      <selection pane="topRight" activeCell="F7" sqref="F7"/>
      <selection pane="bottomLeft" activeCell="F7" sqref="F7"/>
      <selection pane="bottomRight" activeCell="K18" sqref="K17:K18"/>
    </sheetView>
  </sheetViews>
  <sheetFormatPr defaultRowHeight="13.5"/>
  <cols>
    <col min="1" max="1" width="1" style="185" customWidth="1"/>
    <col min="2" max="2" width="15.25" style="185" customWidth="1"/>
    <col min="3" max="3" width="15.125" style="185" customWidth="1"/>
    <col min="4" max="6" width="12.75" style="185" customWidth="1"/>
    <col min="7" max="7" width="16.25" style="185" customWidth="1"/>
    <col min="8" max="8" width="15.125" style="185" customWidth="1"/>
    <col min="9" max="11" width="12.75" style="185" customWidth="1"/>
    <col min="12" max="12" width="15.125" style="185" customWidth="1"/>
    <col min="13" max="13" width="17.125" style="184" hidden="1" customWidth="1"/>
    <col min="14" max="14" width="16" style="184" hidden="1" customWidth="1"/>
    <col min="15" max="15" width="14.625" style="184" hidden="1" customWidth="1"/>
    <col min="16" max="16" width="20.375" style="184" hidden="1" customWidth="1"/>
    <col min="17" max="18" width="14.75" style="184" hidden="1" customWidth="1"/>
    <col min="19" max="19" width="12.25" style="184" hidden="1" customWidth="1"/>
    <col min="20" max="20" width="13.375" style="184" hidden="1" customWidth="1"/>
    <col min="21" max="16384" width="9" style="185"/>
  </cols>
  <sheetData>
    <row r="1" spans="1:20" ht="33" customHeight="1">
      <c r="B1" s="869" t="s">
        <v>387</v>
      </c>
      <c r="C1" s="870"/>
      <c r="D1" s="870"/>
      <c r="E1" s="870"/>
      <c r="F1" s="870"/>
      <c r="G1" s="870"/>
      <c r="H1" s="870"/>
      <c r="I1" s="870"/>
      <c r="J1" s="870"/>
      <c r="K1" s="870"/>
      <c r="L1" s="870"/>
    </row>
    <row r="2" spans="1:20" ht="12.75" customHeight="1">
      <c r="B2" s="186"/>
      <c r="C2" s="187"/>
      <c r="D2" s="187"/>
      <c r="E2" s="187"/>
      <c r="F2" s="187"/>
      <c r="G2" s="187"/>
      <c r="H2" s="187"/>
      <c r="I2" s="187"/>
      <c r="J2" s="187"/>
      <c r="K2" s="187"/>
      <c r="L2" s="187"/>
    </row>
    <row r="3" spans="1:20" ht="23.25" customHeight="1">
      <c r="B3" s="188" t="s">
        <v>384</v>
      </c>
      <c r="C3" s="189"/>
      <c r="D3" s="189"/>
      <c r="E3" s="190"/>
      <c r="F3" s="190"/>
      <c r="G3" s="190"/>
      <c r="H3" s="190"/>
      <c r="I3" s="190"/>
    </row>
    <row r="4" spans="1:20" s="192" customFormat="1" ht="18" customHeight="1" thickBot="1">
      <c r="B4" s="191"/>
      <c r="J4" s="193"/>
      <c r="L4" s="194" t="s">
        <v>351</v>
      </c>
      <c r="M4" s="195"/>
      <c r="N4" s="196"/>
      <c r="O4" s="196"/>
      <c r="P4" s="196"/>
      <c r="Q4" s="197" t="s">
        <v>352</v>
      </c>
      <c r="R4" s="196"/>
      <c r="S4" s="197" t="s">
        <v>353</v>
      </c>
      <c r="T4" s="197"/>
    </row>
    <row r="5" spans="1:20" ht="18.75" customHeight="1">
      <c r="A5" s="246"/>
      <c r="B5" s="833" t="s">
        <v>354</v>
      </c>
      <c r="C5" s="833" t="s">
        <v>355</v>
      </c>
      <c r="D5" s="833"/>
      <c r="E5" s="833"/>
      <c r="F5" s="833"/>
      <c r="G5" s="833"/>
      <c r="H5" s="833" t="s">
        <v>356</v>
      </c>
      <c r="I5" s="833"/>
      <c r="J5" s="833"/>
      <c r="K5" s="833"/>
      <c r="L5" s="833"/>
      <c r="M5" s="820" t="s">
        <v>357</v>
      </c>
      <c r="N5" s="820"/>
      <c r="O5" s="816" t="s">
        <v>358</v>
      </c>
      <c r="P5" s="818" t="s">
        <v>359</v>
      </c>
      <c r="Q5" s="820" t="s">
        <v>360</v>
      </c>
      <c r="R5" s="821"/>
      <c r="S5" s="822" t="s">
        <v>361</v>
      </c>
      <c r="T5" s="823"/>
    </row>
    <row r="6" spans="1:20" ht="18.75" customHeight="1">
      <c r="A6" s="246"/>
      <c r="B6" s="833"/>
      <c r="C6" s="842" t="s">
        <v>397</v>
      </c>
      <c r="D6" s="834" t="s">
        <v>402</v>
      </c>
      <c r="E6" s="835"/>
      <c r="F6" s="836"/>
      <c r="G6" s="837" t="s">
        <v>403</v>
      </c>
      <c r="H6" s="842" t="s">
        <v>399</v>
      </c>
      <c r="I6" s="834" t="s">
        <v>402</v>
      </c>
      <c r="J6" s="835"/>
      <c r="K6" s="836"/>
      <c r="L6" s="837" t="s">
        <v>401</v>
      </c>
      <c r="M6" s="266"/>
      <c r="N6" s="266"/>
      <c r="O6" s="872"/>
      <c r="P6" s="871"/>
      <c r="Q6" s="266"/>
      <c r="R6" s="198"/>
      <c r="S6" s="824"/>
      <c r="T6" s="825"/>
    </row>
    <row r="7" spans="1:20" ht="33" customHeight="1">
      <c r="A7" s="246"/>
      <c r="B7" s="833"/>
      <c r="C7" s="827"/>
      <c r="D7" s="248" t="s">
        <v>398</v>
      </c>
      <c r="E7" s="247" t="s">
        <v>404</v>
      </c>
      <c r="F7" s="247" t="s">
        <v>405</v>
      </c>
      <c r="G7" s="838"/>
      <c r="H7" s="827"/>
      <c r="I7" s="248" t="s">
        <v>400</v>
      </c>
      <c r="J7" s="247" t="s">
        <v>406</v>
      </c>
      <c r="K7" s="247" t="s">
        <v>407</v>
      </c>
      <c r="L7" s="838"/>
      <c r="M7" s="198" t="s">
        <v>362</v>
      </c>
      <c r="N7" s="199" t="s">
        <v>363</v>
      </c>
      <c r="O7" s="817"/>
      <c r="P7" s="819"/>
      <c r="Q7" s="200" t="s">
        <v>362</v>
      </c>
      <c r="R7" s="201" t="s">
        <v>363</v>
      </c>
      <c r="S7" s="824"/>
      <c r="T7" s="825"/>
    </row>
    <row r="8" spans="1:20" ht="38.25" customHeight="1" thickBot="1">
      <c r="B8" s="249" t="s">
        <v>364</v>
      </c>
      <c r="C8" s="253">
        <f>SUM(C9:C18)</f>
        <v>2492351373</v>
      </c>
      <c r="D8" s="254">
        <f>E8+F8</f>
        <v>-11066054</v>
      </c>
      <c r="E8" s="253">
        <f t="shared" ref="E8:K8" si="0">SUM(E9:E18)</f>
        <v>-32164019</v>
      </c>
      <c r="F8" s="253">
        <f t="shared" si="0"/>
        <v>21097965</v>
      </c>
      <c r="G8" s="254">
        <f>C8+D8</f>
        <v>2481285319</v>
      </c>
      <c r="H8" s="253">
        <f t="shared" si="0"/>
        <v>3281967608</v>
      </c>
      <c r="I8" s="254">
        <f t="shared" si="0"/>
        <v>-9125189</v>
      </c>
      <c r="J8" s="253">
        <f t="shared" si="0"/>
        <v>-69433913</v>
      </c>
      <c r="K8" s="253">
        <f t="shared" si="0"/>
        <v>60308724</v>
      </c>
      <c r="L8" s="254">
        <f>H8+I8</f>
        <v>3272842419</v>
      </c>
      <c r="M8" s="202">
        <f>F26-E26</f>
        <v>0</v>
      </c>
      <c r="N8" s="203">
        <f>+K26-J26</f>
        <v>0</v>
      </c>
      <c r="O8" s="204"/>
      <c r="P8" s="205" t="s">
        <v>365</v>
      </c>
      <c r="Q8" s="206">
        <f>[2]세입_일반!H6-[2]세입_일반!G6+[2]세입_공기업특별!H6-[2]세입_공기업특별!G6+[2]세입_기특!G6-[2]세입_기특!F6+[2]세입_기금!G6-[2]세입_기금!F6</f>
        <v>6601977</v>
      </c>
      <c r="R8" s="207">
        <f>[2]세출_일반!H6-[2]세출_일반!G6+[2]세출_공기업특별!H6-[2]세출_공기업특별!G6+[2]세출_기특!G6-[2]세출_기특!F6+[2]세출_기금!G6-[2]세출_기금!F6</f>
        <v>0</v>
      </c>
      <c r="S8" s="208">
        <v>0</v>
      </c>
      <c r="T8" s="208">
        <f>'[1]13년 1회추경(세출)_기금'!H7+'[1]13년 1회추경(세출)_기금'!I7</f>
        <v>0</v>
      </c>
    </row>
    <row r="9" spans="1:20" ht="38.25" customHeight="1" thickBot="1">
      <c r="B9" s="250" t="s">
        <v>388</v>
      </c>
      <c r="C9" s="255"/>
      <c r="D9" s="254">
        <f t="shared" ref="D9:D18" si="1">E9+F9</f>
        <v>0</v>
      </c>
      <c r="E9" s="255"/>
      <c r="F9" s="255"/>
      <c r="G9" s="254">
        <f t="shared" ref="G9:G18" si="2">C9+D9</f>
        <v>0</v>
      </c>
      <c r="H9" s="255"/>
      <c r="I9" s="254">
        <f t="shared" ref="I9:I18" si="3">J9+K9</f>
        <v>0</v>
      </c>
      <c r="J9" s="255"/>
      <c r="K9" s="255"/>
      <c r="L9" s="254">
        <f t="shared" ref="L9:L18" si="4">H9+I9</f>
        <v>0</v>
      </c>
      <c r="M9" s="210">
        <f>[2]세입_일반!F6</f>
        <v>265000</v>
      </c>
      <c r="N9" s="211">
        <f>[2]세출_일반!F6</f>
        <v>-60824000</v>
      </c>
      <c r="O9" s="196"/>
      <c r="R9" s="212"/>
    </row>
    <row r="10" spans="1:20" ht="38.25" customHeight="1">
      <c r="B10" s="250" t="s">
        <v>389</v>
      </c>
      <c r="C10" s="255">
        <f>'추 일입'!F7</f>
        <v>2179000</v>
      </c>
      <c r="D10" s="254">
        <f t="shared" si="1"/>
        <v>202415</v>
      </c>
      <c r="E10" s="255">
        <f>'추 일입'!I7</f>
        <v>0</v>
      </c>
      <c r="F10" s="255">
        <f>'추 일입'!J7</f>
        <v>202415</v>
      </c>
      <c r="G10" s="254">
        <f t="shared" si="2"/>
        <v>2381415</v>
      </c>
      <c r="H10" s="255">
        <f>'추 일출'!F13</f>
        <v>2835927</v>
      </c>
      <c r="I10" s="254">
        <f t="shared" si="3"/>
        <v>202415</v>
      </c>
      <c r="J10" s="255">
        <f>'추 일출'!I13</f>
        <v>0</v>
      </c>
      <c r="K10" s="255">
        <f>'추 일출'!J13</f>
        <v>202415</v>
      </c>
      <c r="L10" s="254">
        <f t="shared" si="4"/>
        <v>3038342</v>
      </c>
      <c r="M10" s="213"/>
      <c r="N10" s="214"/>
      <c r="O10" s="215"/>
      <c r="R10" s="213"/>
    </row>
    <row r="11" spans="1:20" ht="38.25" customHeight="1">
      <c r="B11" s="250" t="s">
        <v>390</v>
      </c>
      <c r="C11" s="255">
        <f>'추 일입'!F11</f>
        <v>0</v>
      </c>
      <c r="D11" s="254">
        <f t="shared" si="1"/>
        <v>1648000</v>
      </c>
      <c r="E11" s="255">
        <f>'추 일입'!I11</f>
        <v>0</v>
      </c>
      <c r="F11" s="255">
        <f>'추 일입'!J11</f>
        <v>1648000</v>
      </c>
      <c r="G11" s="254">
        <f t="shared" si="2"/>
        <v>1648000</v>
      </c>
      <c r="H11" s="255">
        <f>'추 일출'!F17</f>
        <v>0</v>
      </c>
      <c r="I11" s="254">
        <f t="shared" si="3"/>
        <v>1648000</v>
      </c>
      <c r="J11" s="255">
        <f>'추 일출'!I17</f>
        <v>0</v>
      </c>
      <c r="K11" s="255">
        <f>'추 일출'!J17</f>
        <v>1648000</v>
      </c>
      <c r="L11" s="254">
        <f t="shared" si="4"/>
        <v>1648000</v>
      </c>
      <c r="M11" s="244" t="e">
        <f>#REF!</f>
        <v>#REF!</v>
      </c>
      <c r="N11" s="244" t="e">
        <f>#REF!</f>
        <v>#REF!</v>
      </c>
      <c r="O11" s="244" t="e">
        <f>#REF!</f>
        <v>#REF!</v>
      </c>
      <c r="P11" s="244" t="e">
        <f>#REF!</f>
        <v>#REF!</v>
      </c>
      <c r="Q11" s="244" t="e">
        <f>#REF!</f>
        <v>#REF!</v>
      </c>
      <c r="R11" s="244" t="e">
        <f>#REF!</f>
        <v>#REF!</v>
      </c>
      <c r="S11" s="244" t="e">
        <f>#REF!</f>
        <v>#REF!</v>
      </c>
      <c r="T11" s="244" t="e">
        <f>#REF!</f>
        <v>#REF!</v>
      </c>
    </row>
    <row r="12" spans="1:20" ht="38.25" customHeight="1">
      <c r="B12" s="250" t="s">
        <v>391</v>
      </c>
      <c r="C12" s="255"/>
      <c r="D12" s="254">
        <f t="shared" si="1"/>
        <v>0</v>
      </c>
      <c r="E12" s="255"/>
      <c r="F12" s="255"/>
      <c r="G12" s="254">
        <f t="shared" si="2"/>
        <v>0</v>
      </c>
      <c r="H12" s="255">
        <f>'추 일출'!F23</f>
        <v>10225000</v>
      </c>
      <c r="I12" s="254">
        <f t="shared" si="3"/>
        <v>2050000</v>
      </c>
      <c r="J12" s="255">
        <f>'추 일출'!I23</f>
        <v>0</v>
      </c>
      <c r="K12" s="255">
        <f>'추 일출'!J23</f>
        <v>2050000</v>
      </c>
      <c r="L12" s="254">
        <f t="shared" si="4"/>
        <v>12275000</v>
      </c>
      <c r="O12" s="216"/>
      <c r="P12" s="217"/>
      <c r="R12" s="184" t="s">
        <v>366</v>
      </c>
    </row>
    <row r="13" spans="1:20" s="220" customFormat="1" ht="38.25" customHeight="1">
      <c r="B13" s="250" t="s">
        <v>392</v>
      </c>
      <c r="C13" s="255">
        <f>'추 일입'!F20</f>
        <v>82516039</v>
      </c>
      <c r="D13" s="254">
        <f t="shared" si="1"/>
        <v>3618805</v>
      </c>
      <c r="E13" s="255">
        <f>'추 일입'!I20</f>
        <v>-3306104</v>
      </c>
      <c r="F13" s="255">
        <f>'추 일입'!J20</f>
        <v>6924909</v>
      </c>
      <c r="G13" s="254">
        <f t="shared" si="2"/>
        <v>86134844</v>
      </c>
      <c r="H13" s="255">
        <f>'추 일출'!F27</f>
        <v>77487057</v>
      </c>
      <c r="I13" s="254">
        <f t="shared" si="3"/>
        <v>2726279</v>
      </c>
      <c r="J13" s="255">
        <f>'추 일출'!I27</f>
        <v>-3693166</v>
      </c>
      <c r="K13" s="255">
        <f>'추 일출'!J27</f>
        <v>6419445</v>
      </c>
      <c r="L13" s="254">
        <f t="shared" si="4"/>
        <v>80213336</v>
      </c>
      <c r="M13" s="218"/>
      <c r="N13" s="218"/>
      <c r="O13" s="216"/>
      <c r="P13" s="217"/>
      <c r="Q13" s="209"/>
      <c r="R13" s="219">
        <f>R9-R8</f>
        <v>0</v>
      </c>
      <c r="S13" s="218"/>
      <c r="T13" s="218"/>
    </row>
    <row r="14" spans="1:20" s="220" customFormat="1" ht="38.25" customHeight="1">
      <c r="B14" s="250" t="s">
        <v>393</v>
      </c>
      <c r="C14" s="255">
        <f>'추 일입'!F36</f>
        <v>1117130075</v>
      </c>
      <c r="D14" s="254">
        <f t="shared" si="1"/>
        <v>-8418584</v>
      </c>
      <c r="E14" s="255">
        <f>'추 일입'!I36</f>
        <v>-11526840</v>
      </c>
      <c r="F14" s="255">
        <f>'추 일입'!J36</f>
        <v>3108256</v>
      </c>
      <c r="G14" s="254">
        <f t="shared" si="2"/>
        <v>1108711491</v>
      </c>
      <c r="H14" s="255">
        <f>'추 일출'!F42</f>
        <v>1291576649</v>
      </c>
      <c r="I14" s="254">
        <f t="shared" si="3"/>
        <v>-8301672</v>
      </c>
      <c r="J14" s="255">
        <f>'추 일출'!I42</f>
        <v>-11684188</v>
      </c>
      <c r="K14" s="255">
        <f>'추 일출'!J42</f>
        <v>3382516</v>
      </c>
      <c r="L14" s="254">
        <f t="shared" si="4"/>
        <v>1283274977</v>
      </c>
      <c r="M14" s="218"/>
      <c r="N14" s="218"/>
      <c r="O14" s="216"/>
      <c r="P14" s="217"/>
      <c r="Q14" s="218"/>
      <c r="R14" s="218"/>
      <c r="S14" s="218"/>
      <c r="T14" s="218"/>
    </row>
    <row r="15" spans="1:20" s="220" customFormat="1" ht="38.25" customHeight="1">
      <c r="B15" s="250" t="s">
        <v>394</v>
      </c>
      <c r="C15" s="255">
        <f>'추 일입'!F58</f>
        <v>130343000</v>
      </c>
      <c r="D15" s="254">
        <f t="shared" si="1"/>
        <v>-3723000</v>
      </c>
      <c r="E15" s="255">
        <f>'추 일입'!I58</f>
        <v>-4052000</v>
      </c>
      <c r="F15" s="255">
        <f>'추 일입'!J58</f>
        <v>329000</v>
      </c>
      <c r="G15" s="254">
        <f t="shared" si="2"/>
        <v>126620000</v>
      </c>
      <c r="H15" s="255">
        <f>'추 일출'!F86</f>
        <v>47531980</v>
      </c>
      <c r="I15" s="254">
        <f t="shared" si="3"/>
        <v>-2364225</v>
      </c>
      <c r="J15" s="255">
        <f>'추 일출'!I86</f>
        <v>-4052000</v>
      </c>
      <c r="K15" s="255">
        <f>'추 일출'!J86</f>
        <v>1687775</v>
      </c>
      <c r="L15" s="254">
        <f t="shared" si="4"/>
        <v>45167755</v>
      </c>
      <c r="M15" s="218"/>
      <c r="N15" s="218"/>
      <c r="O15" s="216"/>
      <c r="P15" s="217"/>
      <c r="Q15" s="218"/>
      <c r="R15" s="218"/>
      <c r="S15" s="218"/>
      <c r="T15" s="218"/>
    </row>
    <row r="16" spans="1:20" s="222" customFormat="1" ht="38.25" customHeight="1">
      <c r="B16" s="251" t="s">
        <v>395</v>
      </c>
      <c r="C16" s="255">
        <f>'추 일입'!F67</f>
        <v>287406000</v>
      </c>
      <c r="D16" s="254">
        <f t="shared" si="1"/>
        <v>-5376200</v>
      </c>
      <c r="E16" s="255">
        <f>'추 일입'!I67</f>
        <v>-8253000</v>
      </c>
      <c r="F16" s="255">
        <f>'추 일입'!J67</f>
        <v>2876800</v>
      </c>
      <c r="G16" s="254">
        <f t="shared" si="2"/>
        <v>282029800</v>
      </c>
      <c r="H16" s="255">
        <f>'추 일출'!F96</f>
        <v>321066206</v>
      </c>
      <c r="I16" s="254">
        <f t="shared" si="3"/>
        <v>-6939557</v>
      </c>
      <c r="J16" s="255">
        <f>'추 일출'!I96</f>
        <v>-9816357</v>
      </c>
      <c r="K16" s="255">
        <f>'추 일출'!J96</f>
        <v>2876800</v>
      </c>
      <c r="L16" s="254">
        <f t="shared" si="4"/>
        <v>314126649</v>
      </c>
      <c r="M16" s="221"/>
      <c r="N16" s="221"/>
      <c r="O16" s="216"/>
      <c r="P16" s="217"/>
      <c r="Q16" s="221"/>
      <c r="R16" s="221"/>
      <c r="S16" s="221"/>
      <c r="T16" s="221"/>
    </row>
    <row r="17" spans="2:20" s="220" customFormat="1" ht="38.25" customHeight="1">
      <c r="B17" s="250" t="s">
        <v>367</v>
      </c>
      <c r="C17" s="255">
        <f>'추 일입'!F79</f>
        <v>872777259</v>
      </c>
      <c r="D17" s="254">
        <f t="shared" si="1"/>
        <v>982510</v>
      </c>
      <c r="E17" s="255">
        <f>'추 일입'!I79</f>
        <v>-5026075</v>
      </c>
      <c r="F17" s="255">
        <f>'추 일입'!J79</f>
        <v>6008585</v>
      </c>
      <c r="G17" s="254">
        <f t="shared" si="2"/>
        <v>873759769</v>
      </c>
      <c r="H17" s="255">
        <f>'추 일출'!F108</f>
        <v>1531244789</v>
      </c>
      <c r="I17" s="254">
        <f t="shared" si="3"/>
        <v>1853571</v>
      </c>
      <c r="J17" s="255">
        <f>'추 일출'!I108</f>
        <v>-40188202</v>
      </c>
      <c r="K17" s="255">
        <f>'추 일출'!J108</f>
        <v>42041773</v>
      </c>
      <c r="L17" s="254">
        <f t="shared" si="4"/>
        <v>1533098360</v>
      </c>
      <c r="M17" s="218"/>
      <c r="N17" s="218"/>
      <c r="O17" s="216"/>
      <c r="P17" s="217"/>
      <c r="Q17" s="218"/>
      <c r="R17" s="218"/>
      <c r="S17" s="218"/>
      <c r="T17" s="218"/>
    </row>
    <row r="18" spans="2:20" s="220" customFormat="1" ht="38.25" customHeight="1">
      <c r="B18" s="250" t="s">
        <v>396</v>
      </c>
      <c r="C18" s="255"/>
      <c r="D18" s="254">
        <f t="shared" si="1"/>
        <v>0</v>
      </c>
      <c r="E18" s="255"/>
      <c r="F18" s="255"/>
      <c r="G18" s="254">
        <f t="shared" si="2"/>
        <v>0</v>
      </c>
      <c r="H18" s="255"/>
      <c r="I18" s="254">
        <f t="shared" si="3"/>
        <v>0</v>
      </c>
      <c r="J18" s="255"/>
      <c r="K18" s="255"/>
      <c r="L18" s="254">
        <f t="shared" si="4"/>
        <v>0</v>
      </c>
      <c r="M18" s="218"/>
      <c r="N18" s="218"/>
      <c r="O18" s="216"/>
      <c r="P18" s="217"/>
      <c r="Q18" s="218"/>
      <c r="R18" s="218"/>
      <c r="S18" s="218"/>
      <c r="T18" s="218"/>
    </row>
    <row r="19" spans="2:20" ht="18" customHeight="1">
      <c r="B19" s="192"/>
      <c r="C19" s="192"/>
      <c r="D19" s="192"/>
      <c r="E19" s="192"/>
      <c r="F19" s="192"/>
      <c r="G19" s="192"/>
      <c r="H19" s="192"/>
      <c r="I19" s="192"/>
      <c r="J19" s="192"/>
      <c r="K19" s="192"/>
      <c r="L19" s="192"/>
      <c r="O19" s="216"/>
      <c r="P19" s="217"/>
    </row>
    <row r="20" spans="2:20" ht="20.25">
      <c r="B20" s="223" t="s">
        <v>385</v>
      </c>
      <c r="C20" s="188"/>
      <c r="D20" s="188"/>
      <c r="E20" s="188"/>
      <c r="F20" s="188"/>
      <c r="G20" s="188"/>
      <c r="H20" s="188"/>
      <c r="I20" s="188"/>
      <c r="J20" s="188"/>
      <c r="K20" s="188"/>
      <c r="L20" s="224"/>
      <c r="O20" s="216"/>
      <c r="P20" s="217"/>
    </row>
    <row r="21" spans="2:20" ht="18.75">
      <c r="B21" s="191"/>
      <c r="C21" s="192"/>
      <c r="D21" s="192"/>
      <c r="E21" s="192"/>
      <c r="F21" s="192"/>
      <c r="G21" s="192"/>
      <c r="H21" s="192"/>
      <c r="I21" s="192"/>
      <c r="J21" s="192"/>
      <c r="K21" s="192"/>
      <c r="L21" s="194" t="s">
        <v>368</v>
      </c>
    </row>
    <row r="22" spans="2:20" ht="20.25" customHeight="1">
      <c r="B22" s="833" t="s">
        <v>354</v>
      </c>
      <c r="C22" s="833" t="s">
        <v>355</v>
      </c>
      <c r="D22" s="833"/>
      <c r="E22" s="833"/>
      <c r="F22" s="833"/>
      <c r="G22" s="833"/>
      <c r="H22" s="833" t="s">
        <v>356</v>
      </c>
      <c r="I22" s="833"/>
      <c r="J22" s="833"/>
      <c r="K22" s="833"/>
      <c r="L22" s="833"/>
    </row>
    <row r="23" spans="2:20" ht="20.25" customHeight="1">
      <c r="B23" s="833"/>
      <c r="C23" s="842" t="s">
        <v>397</v>
      </c>
      <c r="D23" s="834" t="s">
        <v>402</v>
      </c>
      <c r="E23" s="835"/>
      <c r="F23" s="836"/>
      <c r="G23" s="837" t="s">
        <v>403</v>
      </c>
      <c r="H23" s="842" t="s">
        <v>399</v>
      </c>
      <c r="I23" s="834" t="s">
        <v>402</v>
      </c>
      <c r="J23" s="835"/>
      <c r="K23" s="836"/>
      <c r="L23" s="837" t="s">
        <v>401</v>
      </c>
    </row>
    <row r="24" spans="2:20" ht="31.5" customHeight="1">
      <c r="B24" s="833"/>
      <c r="C24" s="827"/>
      <c r="D24" s="248" t="s">
        <v>398</v>
      </c>
      <c r="E24" s="247" t="s">
        <v>404</v>
      </c>
      <c r="F24" s="247" t="s">
        <v>405</v>
      </c>
      <c r="G24" s="838"/>
      <c r="H24" s="827"/>
      <c r="I24" s="248" t="s">
        <v>400</v>
      </c>
      <c r="J24" s="247" t="s">
        <v>406</v>
      </c>
      <c r="K24" s="247" t="s">
        <v>407</v>
      </c>
      <c r="L24" s="838"/>
      <c r="M24" s="184" t="s">
        <v>369</v>
      </c>
    </row>
    <row r="25" spans="2:20" ht="36" customHeight="1">
      <c r="B25" s="249" t="s">
        <v>364</v>
      </c>
      <c r="C25" s="253">
        <f>SUM(C26:C27)</f>
        <v>0</v>
      </c>
      <c r="D25" s="253"/>
      <c r="E25" s="253">
        <f t="shared" ref="E25:J25" si="5">SUM(E26:E27)</f>
        <v>0</v>
      </c>
      <c r="F25" s="253">
        <f t="shared" si="5"/>
        <v>0</v>
      </c>
      <c r="G25" s="254">
        <f t="shared" si="5"/>
        <v>0</v>
      </c>
      <c r="H25" s="253">
        <f t="shared" si="5"/>
        <v>0</v>
      </c>
      <c r="I25" s="253"/>
      <c r="J25" s="253">
        <f t="shared" si="5"/>
        <v>0</v>
      </c>
      <c r="K25" s="253">
        <f>SUM(K26:K27)</f>
        <v>0</v>
      </c>
      <c r="L25" s="254">
        <f>SUM(L26:L27)</f>
        <v>0</v>
      </c>
      <c r="M25" s="195">
        <f>+C25+F25-E25</f>
        <v>0</v>
      </c>
      <c r="N25" s="225">
        <f>M25-L25</f>
        <v>0</v>
      </c>
      <c r="O25" s="196" t="s">
        <v>370</v>
      </c>
    </row>
    <row r="26" spans="2:20" ht="36" customHeight="1">
      <c r="B26" s="252" t="s">
        <v>371</v>
      </c>
      <c r="C26" s="255"/>
      <c r="D26" s="255"/>
      <c r="E26" s="255"/>
      <c r="F26" s="255"/>
      <c r="G26" s="256"/>
      <c r="H26" s="255"/>
      <c r="I26" s="255"/>
      <c r="J26" s="255"/>
      <c r="K26" s="255"/>
      <c r="L26" s="256">
        <f>C26+J26+K26</f>
        <v>0</v>
      </c>
      <c r="M26" s="195">
        <f>C26+E26+F26</f>
        <v>0</v>
      </c>
      <c r="N26" s="225">
        <f>M26-L26</f>
        <v>0</v>
      </c>
      <c r="O26" s="196" t="s">
        <v>370</v>
      </c>
    </row>
    <row r="27" spans="2:20" ht="36" customHeight="1">
      <c r="B27" s="252" t="s">
        <v>372</v>
      </c>
      <c r="C27" s="255"/>
      <c r="D27" s="255"/>
      <c r="E27" s="255"/>
      <c r="F27" s="255"/>
      <c r="G27" s="256"/>
      <c r="H27" s="255"/>
      <c r="I27" s="255"/>
      <c r="J27" s="255"/>
      <c r="K27" s="255"/>
      <c r="L27" s="256">
        <f>C27+J27+K27</f>
        <v>0</v>
      </c>
      <c r="M27" s="195">
        <f>C27+E27+F27</f>
        <v>0</v>
      </c>
      <c r="N27" s="225">
        <f>M27-L27</f>
        <v>0</v>
      </c>
      <c r="O27" s="196" t="s">
        <v>370</v>
      </c>
    </row>
    <row r="28" spans="2:20" ht="9" customHeight="1"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</row>
    <row r="29" spans="2:20" ht="20.25" hidden="1" customHeight="1"/>
    <row r="30" spans="2:20" ht="20.25" hidden="1" customHeight="1"/>
    <row r="31" spans="2:20" ht="20.25" hidden="1" customHeight="1"/>
    <row r="32" spans="2:20" ht="14.25" hidden="1">
      <c r="B32" s="226" t="s">
        <v>373</v>
      </c>
      <c r="C32" s="227" t="s">
        <v>374</v>
      </c>
      <c r="D32" s="264"/>
      <c r="E32" s="228" t="s">
        <v>375</v>
      </c>
      <c r="F32" s="229" t="s">
        <v>376</v>
      </c>
      <c r="G32" s="245"/>
      <c r="H32" s="245"/>
      <c r="I32" s="245"/>
      <c r="J32" s="230" t="s">
        <v>377</v>
      </c>
      <c r="K32" s="227" t="s">
        <v>378</v>
      </c>
    </row>
    <row r="33" spans="2:11" ht="14.25" hidden="1">
      <c r="B33" s="231" t="s">
        <v>379</v>
      </c>
      <c r="C33" s="232">
        <v>29578422</v>
      </c>
      <c r="D33" s="265"/>
      <c r="E33" s="233">
        <v>-6681</v>
      </c>
      <c r="F33" s="234"/>
      <c r="G33" s="237"/>
      <c r="H33" s="237"/>
      <c r="I33" s="237"/>
      <c r="J33" s="235"/>
      <c r="K33" s="236">
        <f>SUM(C33:J33)</f>
        <v>29571741</v>
      </c>
    </row>
    <row r="34" spans="2:11" ht="14.25" hidden="1">
      <c r="B34" s="231" t="s">
        <v>380</v>
      </c>
      <c r="C34" s="232">
        <v>2891343461</v>
      </c>
      <c r="D34" s="265"/>
      <c r="E34" s="233">
        <v>-301742224</v>
      </c>
      <c r="F34" s="234">
        <v>1351739885</v>
      </c>
      <c r="G34" s="237"/>
      <c r="H34" s="237"/>
      <c r="I34" s="237"/>
      <c r="J34" s="235"/>
      <c r="K34" s="236">
        <f t="shared" ref="K34:K43" si="6">SUM(C34:J34)</f>
        <v>3941341122</v>
      </c>
    </row>
    <row r="35" spans="2:11" ht="14.25" hidden="1">
      <c r="B35" s="231" t="s">
        <v>92</v>
      </c>
      <c r="C35" s="232">
        <v>199560720</v>
      </c>
      <c r="D35" s="265"/>
      <c r="E35" s="233">
        <v>-4516046</v>
      </c>
      <c r="F35" s="234">
        <v>378135000</v>
      </c>
      <c r="G35" s="237"/>
      <c r="H35" s="237"/>
      <c r="I35" s="237"/>
      <c r="J35" s="237">
        <v>-4761215</v>
      </c>
      <c r="K35" s="236">
        <f t="shared" si="6"/>
        <v>568418459</v>
      </c>
    </row>
    <row r="36" spans="2:11" ht="14.25" hidden="1">
      <c r="B36" s="231" t="s">
        <v>101</v>
      </c>
      <c r="C36" s="232">
        <v>1087256623</v>
      </c>
      <c r="D36" s="265"/>
      <c r="E36" s="233">
        <v>-12367081</v>
      </c>
      <c r="F36" s="234"/>
      <c r="G36" s="237"/>
      <c r="H36" s="237"/>
      <c r="I36" s="237"/>
      <c r="J36" s="235"/>
      <c r="K36" s="236">
        <f t="shared" si="6"/>
        <v>1074889542</v>
      </c>
    </row>
    <row r="37" spans="2:11" ht="14.25" hidden="1">
      <c r="B37" s="231" t="s">
        <v>227</v>
      </c>
      <c r="C37" s="232">
        <v>225697502</v>
      </c>
      <c r="D37" s="265"/>
      <c r="E37" s="233">
        <v>31705187</v>
      </c>
      <c r="F37" s="234">
        <v>44512000</v>
      </c>
      <c r="G37" s="237"/>
      <c r="H37" s="237"/>
      <c r="I37" s="237"/>
      <c r="J37" s="235"/>
      <c r="K37" s="236">
        <f t="shared" si="6"/>
        <v>301914689</v>
      </c>
    </row>
    <row r="38" spans="2:11" ht="14.25" hidden="1">
      <c r="B38" s="231" t="s">
        <v>113</v>
      </c>
      <c r="C38" s="232">
        <v>479489486</v>
      </c>
      <c r="D38" s="265"/>
      <c r="E38" s="233">
        <v>12586360</v>
      </c>
      <c r="F38" s="234"/>
      <c r="G38" s="237"/>
      <c r="H38" s="237"/>
      <c r="I38" s="237"/>
      <c r="J38" s="235"/>
      <c r="K38" s="236">
        <f t="shared" si="6"/>
        <v>492075846</v>
      </c>
    </row>
    <row r="39" spans="2:11" ht="14.25" hidden="1">
      <c r="B39" s="231" t="s">
        <v>132</v>
      </c>
      <c r="C39" s="232">
        <v>2876706315</v>
      </c>
      <c r="D39" s="265"/>
      <c r="E39" s="233">
        <v>67792337</v>
      </c>
      <c r="F39" s="234"/>
      <c r="G39" s="237"/>
      <c r="H39" s="237"/>
      <c r="I39" s="237"/>
      <c r="J39" s="235"/>
      <c r="K39" s="236">
        <f t="shared" si="6"/>
        <v>2944498652</v>
      </c>
    </row>
    <row r="40" spans="2:11" ht="14.25" hidden="1">
      <c r="B40" s="231" t="s">
        <v>170</v>
      </c>
      <c r="C40" s="232">
        <v>1184970444</v>
      </c>
      <c r="D40" s="265"/>
      <c r="E40" s="233">
        <v>20989907</v>
      </c>
      <c r="F40" s="234"/>
      <c r="G40" s="237"/>
      <c r="H40" s="237"/>
      <c r="I40" s="237"/>
      <c r="J40" s="235"/>
      <c r="K40" s="236">
        <f t="shared" si="6"/>
        <v>1205960351</v>
      </c>
    </row>
    <row r="41" spans="2:11" ht="14.25" hidden="1">
      <c r="B41" s="231" t="s">
        <v>186</v>
      </c>
      <c r="C41" s="232">
        <v>823150380</v>
      </c>
      <c r="D41" s="265"/>
      <c r="E41" s="233">
        <v>92836795</v>
      </c>
      <c r="F41" s="234">
        <v>15950000</v>
      </c>
      <c r="G41" s="237"/>
      <c r="H41" s="237"/>
      <c r="I41" s="237"/>
      <c r="J41" s="235"/>
      <c r="K41" s="236">
        <f t="shared" si="6"/>
        <v>931937175</v>
      </c>
    </row>
    <row r="42" spans="2:11" ht="14.25" hidden="1">
      <c r="B42" s="231" t="s">
        <v>201</v>
      </c>
      <c r="C42" s="232">
        <v>3979533449</v>
      </c>
      <c r="D42" s="265"/>
      <c r="E42" s="233">
        <v>396509102</v>
      </c>
      <c r="F42" s="234"/>
      <c r="G42" s="237"/>
      <c r="H42" s="237"/>
      <c r="I42" s="237"/>
      <c r="J42" s="235"/>
      <c r="K42" s="236">
        <f t="shared" si="6"/>
        <v>4376042551</v>
      </c>
    </row>
    <row r="43" spans="2:11" ht="14.25" hidden="1">
      <c r="B43" s="231" t="s">
        <v>381</v>
      </c>
      <c r="C43" s="233">
        <f>SUM(C33:C42)</f>
        <v>13777286802</v>
      </c>
      <c r="D43" s="233"/>
      <c r="E43" s="233">
        <f>SUM(E33:E42)</f>
        <v>303787656</v>
      </c>
      <c r="F43" s="233">
        <f>SUM(F33:F42)</f>
        <v>1790336885</v>
      </c>
      <c r="G43" s="238"/>
      <c r="H43" s="238"/>
      <c r="I43" s="238"/>
      <c r="J43" s="238">
        <f t="shared" ref="J43" si="7">SUM(J33:J42)</f>
        <v>-4761215</v>
      </c>
      <c r="K43" s="236">
        <f t="shared" si="6"/>
        <v>15866650128</v>
      </c>
    </row>
    <row r="44" spans="2:11" hidden="1"/>
    <row r="45" spans="2:11" hidden="1">
      <c r="B45" s="239" t="s">
        <v>382</v>
      </c>
      <c r="C45" s="240">
        <v>62833918</v>
      </c>
      <c r="D45" s="240"/>
    </row>
    <row r="46" spans="2:11" hidden="1"/>
    <row r="47" spans="2:11" hidden="1"/>
    <row r="48" spans="2:1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73" spans="1:20">
      <c r="A73" s="241"/>
      <c r="B73" s="241"/>
      <c r="C73" s="241"/>
      <c r="D73" s="241"/>
      <c r="E73" s="241"/>
      <c r="F73" s="241"/>
      <c r="G73" s="241"/>
      <c r="H73" s="241"/>
      <c r="I73" s="241"/>
      <c r="J73" s="241"/>
      <c r="K73" s="241"/>
      <c r="L73" s="241"/>
      <c r="M73" s="242"/>
      <c r="N73" s="242"/>
      <c r="O73" s="242"/>
      <c r="P73" s="242"/>
      <c r="Q73" s="242"/>
      <c r="R73" s="242"/>
      <c r="S73" s="242"/>
      <c r="T73" s="242"/>
    </row>
    <row r="183" spans="1:13" s="184" customFormat="1" ht="24">
      <c r="A183" s="185"/>
      <c r="B183" s="185"/>
      <c r="C183" s="185"/>
      <c r="D183" s="185"/>
      <c r="E183" s="185"/>
      <c r="F183" s="185"/>
      <c r="G183" s="185"/>
      <c r="H183" s="185"/>
      <c r="I183" s="185"/>
      <c r="J183" s="185"/>
      <c r="K183" s="185"/>
      <c r="L183" s="185"/>
      <c r="M183" s="215" t="s">
        <v>383</v>
      </c>
    </row>
    <row r="313" spans="1:15" s="184" customFormat="1">
      <c r="A313" s="185"/>
      <c r="B313" s="185"/>
      <c r="C313" s="185"/>
      <c r="D313" s="185"/>
      <c r="E313" s="185"/>
      <c r="F313" s="185"/>
      <c r="G313" s="185"/>
      <c r="H313" s="185"/>
      <c r="I313" s="185"/>
      <c r="J313" s="185"/>
      <c r="K313" s="185"/>
      <c r="L313" s="185"/>
      <c r="M313" s="243"/>
      <c r="O313" s="184">
        <v>-50000</v>
      </c>
    </row>
  </sheetData>
  <mergeCells count="24">
    <mergeCell ref="B22:B24"/>
    <mergeCell ref="C22:G22"/>
    <mergeCell ref="H22:L22"/>
    <mergeCell ref="C23:C24"/>
    <mergeCell ref="D23:F23"/>
    <mergeCell ref="G23:G24"/>
    <mergeCell ref="H23:H24"/>
    <mergeCell ref="I23:K23"/>
    <mergeCell ref="L23:L24"/>
    <mergeCell ref="P5:P7"/>
    <mergeCell ref="Q5:R5"/>
    <mergeCell ref="S5:T7"/>
    <mergeCell ref="C6:C7"/>
    <mergeCell ref="D6:F6"/>
    <mergeCell ref="G6:G7"/>
    <mergeCell ref="H6:H7"/>
    <mergeCell ref="I6:K6"/>
    <mergeCell ref="L6:L7"/>
    <mergeCell ref="O5:O7"/>
    <mergeCell ref="B1:L1"/>
    <mergeCell ref="B5:B7"/>
    <mergeCell ref="C5:G5"/>
    <mergeCell ref="H5:L5"/>
    <mergeCell ref="M5:N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55" orientation="portrait" r:id="rId1"/>
  <headerFooter alignWithMargins="0"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</sheetPr>
  <dimension ref="A1:X88"/>
  <sheetViews>
    <sheetView showGridLines="0" view="pageBreakPreview" zoomScale="80" zoomScaleNormal="80" zoomScaleSheetLayoutView="80" workbookViewId="0">
      <pane ySplit="6" topLeftCell="A28" activePane="bottomLeft" state="frozen"/>
      <selection activeCell="B1" sqref="B1:K1"/>
      <selection pane="bottomLeft" sqref="A1:P1"/>
    </sheetView>
  </sheetViews>
  <sheetFormatPr defaultColWidth="8.75" defaultRowHeight="13.5"/>
  <cols>
    <col min="1" max="1" width="2.5" style="63" customWidth="1"/>
    <col min="2" max="2" width="4.25" style="338" customWidth="1"/>
    <col min="3" max="3" width="6.875" style="85" customWidth="1"/>
    <col min="4" max="4" width="12.75" style="63" hidden="1" customWidth="1"/>
    <col min="5" max="5" width="32" style="63" customWidth="1"/>
    <col min="6" max="6" width="12.375" style="63" customWidth="1"/>
    <col min="7" max="7" width="10.875" style="63" hidden="1" customWidth="1"/>
    <col min="8" max="8" width="12.375" style="63" hidden="1" customWidth="1"/>
    <col min="9" max="9" width="10.125" style="63" hidden="1" customWidth="1"/>
    <col min="10" max="10" width="10.75" style="63" hidden="1" customWidth="1"/>
    <col min="11" max="11" width="12.125" style="63" hidden="1" customWidth="1"/>
    <col min="12" max="13" width="10" style="63" customWidth="1"/>
    <col min="14" max="14" width="11.625" style="63" customWidth="1"/>
    <col min="15" max="15" width="9.25" style="63" hidden="1" customWidth="1"/>
    <col min="16" max="16" width="25.625" style="63" customWidth="1"/>
    <col min="17" max="17" width="4" style="63" hidden="1" customWidth="1"/>
    <col min="18" max="18" width="11.125" style="63" hidden="1" customWidth="1"/>
    <col min="19" max="19" width="11.25" style="63" hidden="1" customWidth="1"/>
    <col min="20" max="20" width="6" style="85" hidden="1" customWidth="1"/>
    <col min="21" max="21" width="8.25" style="86" hidden="1" customWidth="1"/>
    <col min="22" max="23" width="9.25" style="63" hidden="1" customWidth="1"/>
    <col min="24" max="24" width="8.75" style="63" hidden="1" customWidth="1"/>
    <col min="25" max="25" width="0" style="63" hidden="1" customWidth="1"/>
    <col min="26" max="16384" width="8.75" style="63"/>
  </cols>
  <sheetData>
    <row r="1" spans="1:24" ht="29.25" customHeight="1">
      <c r="A1" s="846" t="s">
        <v>1502</v>
      </c>
      <c r="B1" s="846"/>
      <c r="C1" s="846"/>
      <c r="D1" s="846"/>
      <c r="E1" s="846"/>
      <c r="F1" s="846"/>
      <c r="G1" s="846"/>
      <c r="H1" s="846"/>
      <c r="I1" s="846"/>
      <c r="J1" s="846"/>
      <c r="K1" s="846"/>
      <c r="L1" s="846"/>
      <c r="M1" s="846"/>
      <c r="N1" s="846"/>
      <c r="O1" s="846"/>
      <c r="P1" s="846"/>
    </row>
    <row r="2" spans="1:24" ht="22.5" customHeight="1">
      <c r="A2" s="87" t="s">
        <v>14</v>
      </c>
      <c r="B2" s="337"/>
    </row>
    <row r="3" spans="1:24" ht="16.5" customHeight="1">
      <c r="J3" s="63">
        <f>SUM(I6:J6)</f>
        <v>-9066054</v>
      </c>
      <c r="M3" s="63">
        <f>L6+M6</f>
        <v>-6063474</v>
      </c>
      <c r="P3" s="88" t="s">
        <v>19</v>
      </c>
      <c r="R3" s="85" t="str">
        <f>IF(R6='추 일출'!Q6,"OK","ERR")</f>
        <v>OK</v>
      </c>
      <c r="S3" s="63">
        <f>SUM(R6:S6)</f>
        <v>-6063474</v>
      </c>
      <c r="T3" s="85" t="str">
        <f>IF(J3=S3,"ok","검토")</f>
        <v>검토</v>
      </c>
    </row>
    <row r="4" spans="1:24" ht="27.75" customHeight="1">
      <c r="A4" s="801" t="s">
        <v>10</v>
      </c>
      <c r="B4" s="801"/>
      <c r="C4" s="804" t="s">
        <v>11</v>
      </c>
      <c r="D4" s="801" t="s">
        <v>9</v>
      </c>
      <c r="E4" s="801" t="s">
        <v>8</v>
      </c>
      <c r="F4" s="804" t="s">
        <v>82</v>
      </c>
      <c r="G4" s="804" t="s">
        <v>83</v>
      </c>
      <c r="H4" s="873" t="s">
        <v>84</v>
      </c>
      <c r="I4" s="805" t="s">
        <v>85</v>
      </c>
      <c r="J4" s="806"/>
      <c r="K4" s="804" t="s">
        <v>15</v>
      </c>
      <c r="L4" s="805" t="s">
        <v>86</v>
      </c>
      <c r="M4" s="806"/>
      <c r="N4" s="804" t="s">
        <v>16</v>
      </c>
      <c r="O4" s="847" t="s">
        <v>17</v>
      </c>
      <c r="P4" s="801" t="s">
        <v>12</v>
      </c>
      <c r="Q4" s="843" t="s">
        <v>13</v>
      </c>
      <c r="R4" s="806" t="s">
        <v>18</v>
      </c>
      <c r="S4" s="806"/>
      <c r="T4" s="806"/>
      <c r="U4" s="89"/>
      <c r="V4" s="875" t="s">
        <v>0</v>
      </c>
      <c r="W4" s="876"/>
      <c r="X4" s="877" t="s">
        <v>3</v>
      </c>
    </row>
    <row r="5" spans="1:24" ht="14.25" customHeight="1">
      <c r="A5" s="801"/>
      <c r="B5" s="801"/>
      <c r="C5" s="804"/>
      <c r="D5" s="801"/>
      <c r="E5" s="801"/>
      <c r="F5" s="801"/>
      <c r="G5" s="801"/>
      <c r="H5" s="874"/>
      <c r="I5" s="90" t="s">
        <v>1</v>
      </c>
      <c r="J5" s="90" t="s">
        <v>2</v>
      </c>
      <c r="K5" s="801"/>
      <c r="L5" s="90" t="s">
        <v>1</v>
      </c>
      <c r="M5" s="90" t="s">
        <v>2</v>
      </c>
      <c r="N5" s="801"/>
      <c r="O5" s="848"/>
      <c r="P5" s="801"/>
      <c r="Q5" s="844"/>
      <c r="R5" s="90" t="s">
        <v>6</v>
      </c>
      <c r="S5" s="90" t="s">
        <v>4</v>
      </c>
      <c r="T5" s="90" t="s">
        <v>7</v>
      </c>
      <c r="U5" s="89"/>
      <c r="V5" s="91" t="s">
        <v>1</v>
      </c>
      <c r="W5" s="91" t="s">
        <v>2</v>
      </c>
      <c r="X5" s="877"/>
    </row>
    <row r="6" spans="1:24" ht="33" customHeight="1">
      <c r="A6" s="92"/>
      <c r="B6" s="339" t="s">
        <v>5</v>
      </c>
      <c r="C6" s="94"/>
      <c r="D6" s="94"/>
      <c r="E6" s="94"/>
      <c r="F6" s="95">
        <f t="shared" ref="F6:N6" si="0">SUM(F7:F220)/3</f>
        <v>2500676373</v>
      </c>
      <c r="G6" s="95">
        <f t="shared" si="0"/>
        <v>3069420337</v>
      </c>
      <c r="H6" s="95">
        <f t="shared" si="0"/>
        <v>-943490215</v>
      </c>
      <c r="I6" s="95">
        <f t="shared" si="0"/>
        <v>-32164019</v>
      </c>
      <c r="J6" s="95">
        <f t="shared" si="0"/>
        <v>23097965</v>
      </c>
      <c r="K6" s="95">
        <f t="shared" si="0"/>
        <v>2491610319</v>
      </c>
      <c r="L6" s="95">
        <f t="shared" si="0"/>
        <v>-29472439</v>
      </c>
      <c r="M6" s="95">
        <f t="shared" si="0"/>
        <v>23408965</v>
      </c>
      <c r="N6" s="95">
        <f t="shared" si="0"/>
        <v>2494612899</v>
      </c>
      <c r="O6" s="59"/>
      <c r="P6" s="344"/>
      <c r="Q6" s="59"/>
      <c r="R6" s="95">
        <f>SUM(R7:R220)/3</f>
        <v>-7469930</v>
      </c>
      <c r="S6" s="95">
        <f>SUM(S7:S220)/3</f>
        <v>1406456</v>
      </c>
      <c r="T6" s="59" t="str">
        <f t="shared" ref="T6:T88" si="1">IF((I6+J6)=(R6+S6),"ok","검토")</f>
        <v>검토</v>
      </c>
      <c r="U6" s="96"/>
      <c r="V6" s="95">
        <f>SUM(V7:V220)/3</f>
        <v>0</v>
      </c>
      <c r="W6" s="95">
        <f>SUM(W7:W220)/3</f>
        <v>0</v>
      </c>
      <c r="X6" s="97"/>
    </row>
    <row r="7" spans="1:24" ht="33" customHeight="1">
      <c r="A7" s="25" t="s">
        <v>92</v>
      </c>
      <c r="B7" s="64"/>
      <c r="C7" s="26"/>
      <c r="D7" s="26"/>
      <c r="E7" s="26"/>
      <c r="F7" s="27">
        <f>SUM(F8:F10)/2</f>
        <v>2179000</v>
      </c>
      <c r="G7" s="27">
        <f t="shared" ref="G7:N7" si="2">SUM(G8:G10)/2</f>
        <v>0</v>
      </c>
      <c r="H7" s="27">
        <f t="shared" si="2"/>
        <v>0</v>
      </c>
      <c r="I7" s="27">
        <f t="shared" si="2"/>
        <v>0</v>
      </c>
      <c r="J7" s="27">
        <f t="shared" si="2"/>
        <v>202415</v>
      </c>
      <c r="K7" s="27">
        <f t="shared" si="2"/>
        <v>2381415</v>
      </c>
      <c r="L7" s="27">
        <f t="shared" si="2"/>
        <v>0</v>
      </c>
      <c r="M7" s="27">
        <f t="shared" si="2"/>
        <v>202415</v>
      </c>
      <c r="N7" s="27">
        <f t="shared" si="2"/>
        <v>2381415</v>
      </c>
      <c r="O7" s="27"/>
      <c r="P7" s="345"/>
      <c r="Q7" s="27"/>
      <c r="R7" s="27">
        <f t="shared" ref="R7:S7" si="3">SUM(R8:R10)/2</f>
        <v>200000</v>
      </c>
      <c r="S7" s="27">
        <f t="shared" si="3"/>
        <v>2415</v>
      </c>
      <c r="T7" s="26" t="str">
        <f t="shared" si="1"/>
        <v>ok</v>
      </c>
      <c r="U7" s="98"/>
      <c r="V7" s="27">
        <f t="shared" ref="V7:W7" si="4">SUM(V8:V10)/2</f>
        <v>0</v>
      </c>
      <c r="W7" s="27">
        <f t="shared" si="4"/>
        <v>0</v>
      </c>
      <c r="X7" s="9"/>
    </row>
    <row r="8" spans="1:24" ht="33" customHeight="1">
      <c r="A8" s="99"/>
      <c r="B8" s="340" t="s">
        <v>93</v>
      </c>
      <c r="C8" s="30"/>
      <c r="D8" s="31"/>
      <c r="E8" s="31"/>
      <c r="F8" s="32">
        <f>SUM(F9:F10)</f>
        <v>2179000</v>
      </c>
      <c r="G8" s="32">
        <f t="shared" ref="G8:N8" si="5">SUM(G9:G10)</f>
        <v>0</v>
      </c>
      <c r="H8" s="32">
        <f t="shared" si="5"/>
        <v>0</v>
      </c>
      <c r="I8" s="32">
        <f t="shared" si="5"/>
        <v>0</v>
      </c>
      <c r="J8" s="32">
        <f t="shared" si="5"/>
        <v>202415</v>
      </c>
      <c r="K8" s="32">
        <f t="shared" si="5"/>
        <v>2381415</v>
      </c>
      <c r="L8" s="32">
        <f t="shared" si="5"/>
        <v>0</v>
      </c>
      <c r="M8" s="32">
        <f t="shared" si="5"/>
        <v>202415</v>
      </c>
      <c r="N8" s="32">
        <f t="shared" si="5"/>
        <v>2381415</v>
      </c>
      <c r="O8" s="32"/>
      <c r="P8" s="346"/>
      <c r="Q8" s="32"/>
      <c r="R8" s="32">
        <f t="shared" ref="R8:S8" si="6">SUM(R9:R10)</f>
        <v>200000</v>
      </c>
      <c r="S8" s="32">
        <f t="shared" si="6"/>
        <v>2415</v>
      </c>
      <c r="T8" s="30" t="str">
        <f t="shared" si="1"/>
        <v>ok</v>
      </c>
      <c r="U8" s="98"/>
      <c r="V8" s="32">
        <f t="shared" ref="V8:W8" si="7">SUM(V9:V10)</f>
        <v>0</v>
      </c>
      <c r="W8" s="32">
        <f t="shared" si="7"/>
        <v>0</v>
      </c>
      <c r="X8" s="11"/>
    </row>
    <row r="9" spans="1:24" ht="33" customHeight="1">
      <c r="A9" s="99"/>
      <c r="B9" s="341" t="str">
        <f>IF(SUMPRODUCT(COUNTIF(C9,{"*본예산*","*1회추경*","*신규*"})),"추가"," 2회")</f>
        <v>추가</v>
      </c>
      <c r="C9" s="100" t="s">
        <v>1024</v>
      </c>
      <c r="D9" s="101" t="s">
        <v>95</v>
      </c>
      <c r="E9" s="272" t="s">
        <v>1051</v>
      </c>
      <c r="F9" s="95"/>
      <c r="G9" s="95"/>
      <c r="H9" s="102" t="str">
        <f>IF(SUMPRODUCT(COUNTIF(C9,{"*본예산*","*1회추경*","*신규*"})),"-",F9-G9)</f>
        <v>-</v>
      </c>
      <c r="I9" s="95"/>
      <c r="J9" s="95">
        <v>2415</v>
      </c>
      <c r="K9" s="102">
        <f t="shared" ref="K9:K10" si="8">F9+I9+J9</f>
        <v>2415</v>
      </c>
      <c r="L9" s="103"/>
      <c r="M9" s="103">
        <f>J9</f>
        <v>2415</v>
      </c>
      <c r="N9" s="102">
        <f>F9+L9+M9</f>
        <v>2415</v>
      </c>
      <c r="O9" s="104" t="str">
        <f>IF(I9-L9&lt;0,"동의필요","-")</f>
        <v>-</v>
      </c>
      <c r="P9" s="323" t="s">
        <v>96</v>
      </c>
      <c r="Q9" s="103" t="s">
        <v>97</v>
      </c>
      <c r="R9" s="103"/>
      <c r="S9" s="103">
        <v>2415</v>
      </c>
      <c r="T9" s="104" t="str">
        <f t="shared" si="1"/>
        <v>ok</v>
      </c>
      <c r="U9" s="98"/>
      <c r="V9" s="105"/>
      <c r="W9" s="105"/>
      <c r="X9" s="106"/>
    </row>
    <row r="10" spans="1:24" ht="33" customHeight="1">
      <c r="A10" s="99"/>
      <c r="B10" s="341" t="str">
        <f>IF(SUMPRODUCT(COUNTIF(C10,{"*본예산*","*1회추경*","*신규*"})),"추가"," 2회")</f>
        <v>추가</v>
      </c>
      <c r="C10" s="107" t="s">
        <v>1025</v>
      </c>
      <c r="D10" s="101" t="s">
        <v>98</v>
      </c>
      <c r="E10" s="272" t="s">
        <v>99</v>
      </c>
      <c r="F10" s="95">
        <v>2179000</v>
      </c>
      <c r="G10" s="95"/>
      <c r="H10" s="102" t="str">
        <f>IF(SUMPRODUCT(COUNTIF(C10,{"*본예산*","*1회추경*","*신규*"})),"-",F10-G10)</f>
        <v>-</v>
      </c>
      <c r="I10" s="95"/>
      <c r="J10" s="95">
        <v>200000</v>
      </c>
      <c r="K10" s="102">
        <f t="shared" si="8"/>
        <v>2379000</v>
      </c>
      <c r="L10" s="103"/>
      <c r="M10" s="661">
        <f>J10</f>
        <v>200000</v>
      </c>
      <c r="N10" s="102">
        <f t="shared" ref="N10" si="9">F10+L10+M10</f>
        <v>2379000</v>
      </c>
      <c r="O10" s="104" t="str">
        <f>IF(I10-L10&lt;0,"동의필요","-")</f>
        <v>-</v>
      </c>
      <c r="P10" s="323" t="s">
        <v>100</v>
      </c>
      <c r="Q10" s="103" t="s">
        <v>90</v>
      </c>
      <c r="R10" s="103">
        <v>200000</v>
      </c>
      <c r="S10" s="103"/>
      <c r="T10" s="104" t="str">
        <f t="shared" si="1"/>
        <v>ok</v>
      </c>
      <c r="U10" s="98"/>
      <c r="V10" s="105"/>
      <c r="W10" s="105"/>
      <c r="X10" s="106"/>
    </row>
    <row r="11" spans="1:24" ht="33" customHeight="1">
      <c r="A11" s="25" t="s">
        <v>101</v>
      </c>
      <c r="B11" s="64"/>
      <c r="C11" s="26"/>
      <c r="D11" s="26"/>
      <c r="E11" s="26"/>
      <c r="F11" s="27">
        <f>SUM(F12:F16)/2</f>
        <v>0</v>
      </c>
      <c r="G11" s="27">
        <f t="shared" ref="G11:N11" si="10">SUM(G12:G16)/2</f>
        <v>0</v>
      </c>
      <c r="H11" s="27">
        <f t="shared" si="10"/>
        <v>0</v>
      </c>
      <c r="I11" s="27">
        <f t="shared" si="10"/>
        <v>0</v>
      </c>
      <c r="J11" s="27">
        <f t="shared" si="10"/>
        <v>1648000</v>
      </c>
      <c r="K11" s="27">
        <f t="shared" si="10"/>
        <v>1648000</v>
      </c>
      <c r="L11" s="27">
        <f t="shared" si="10"/>
        <v>0</v>
      </c>
      <c r="M11" s="27">
        <f t="shared" si="10"/>
        <v>1648000</v>
      </c>
      <c r="N11" s="27">
        <f t="shared" si="10"/>
        <v>1648000</v>
      </c>
      <c r="O11" s="27"/>
      <c r="P11" s="345"/>
      <c r="Q11" s="27"/>
      <c r="R11" s="27">
        <f t="shared" ref="R11:S11" si="11">SUM(R12:R16)/2</f>
        <v>1648000</v>
      </c>
      <c r="S11" s="27">
        <f t="shared" si="11"/>
        <v>0</v>
      </c>
      <c r="T11" s="26" t="str">
        <f t="shared" si="1"/>
        <v>ok</v>
      </c>
      <c r="U11" s="98"/>
      <c r="V11" s="27">
        <f t="shared" ref="V11:W11" si="12">SUM(V12:V16)/2</f>
        <v>0</v>
      </c>
      <c r="W11" s="27">
        <f t="shared" si="12"/>
        <v>0</v>
      </c>
      <c r="X11" s="27"/>
    </row>
    <row r="12" spans="1:24" ht="33" customHeight="1">
      <c r="A12" s="99"/>
      <c r="B12" s="340" t="s">
        <v>102</v>
      </c>
      <c r="C12" s="30"/>
      <c r="D12" s="31"/>
      <c r="E12" s="31"/>
      <c r="F12" s="32">
        <f>SUM(F13:F16)</f>
        <v>0</v>
      </c>
      <c r="G12" s="32">
        <f t="shared" ref="G12:N12" si="13">SUM(G13:G16)</f>
        <v>0</v>
      </c>
      <c r="H12" s="32">
        <f t="shared" si="13"/>
        <v>0</v>
      </c>
      <c r="I12" s="32">
        <f t="shared" si="13"/>
        <v>0</v>
      </c>
      <c r="J12" s="32">
        <f t="shared" si="13"/>
        <v>1648000</v>
      </c>
      <c r="K12" s="32">
        <f t="shared" si="13"/>
        <v>1648000</v>
      </c>
      <c r="L12" s="32">
        <f t="shared" si="13"/>
        <v>0</v>
      </c>
      <c r="M12" s="32">
        <f t="shared" si="13"/>
        <v>1648000</v>
      </c>
      <c r="N12" s="32">
        <f t="shared" si="13"/>
        <v>1648000</v>
      </c>
      <c r="O12" s="32"/>
      <c r="P12" s="346"/>
      <c r="Q12" s="32"/>
      <c r="R12" s="32">
        <f t="shared" ref="R12:S12" si="14">SUM(R13:R16)</f>
        <v>1648000</v>
      </c>
      <c r="S12" s="32">
        <f t="shared" si="14"/>
        <v>0</v>
      </c>
      <c r="T12" s="30" t="str">
        <f t="shared" si="1"/>
        <v>ok</v>
      </c>
      <c r="U12" s="98"/>
      <c r="V12" s="32">
        <f t="shared" ref="V12:W12" si="15">SUM(V13:V16)</f>
        <v>0</v>
      </c>
      <c r="W12" s="32">
        <f t="shared" si="15"/>
        <v>0</v>
      </c>
      <c r="X12" s="11"/>
    </row>
    <row r="13" spans="1:24" ht="30.75" customHeight="1">
      <c r="A13" s="99"/>
      <c r="B13" s="341" t="str">
        <f>IF(SUMPRODUCT(COUNTIF(C13,{"*본예산*","*1회추경*","*신규*"})),"추가"," 2회")</f>
        <v>추가</v>
      </c>
      <c r="C13" s="100" t="s">
        <v>1024</v>
      </c>
      <c r="D13" s="109" t="s">
        <v>103</v>
      </c>
      <c r="E13" s="272" t="s">
        <v>104</v>
      </c>
      <c r="F13" s="95"/>
      <c r="G13" s="95"/>
      <c r="H13" s="102" t="str">
        <f>IF(SUMPRODUCT(COUNTIF(C13,{"*본예산*","*1회추경*","*신규*"})),"-",F13-G13)</f>
        <v>-</v>
      </c>
      <c r="I13" s="110"/>
      <c r="J13" s="110">
        <v>551000</v>
      </c>
      <c r="K13" s="102">
        <f t="shared" ref="K13:K16" si="16">F13+I13+J13</f>
        <v>551000</v>
      </c>
      <c r="L13" s="111"/>
      <c r="M13" s="661">
        <f t="shared" ref="M13:M16" si="17">J13</f>
        <v>551000</v>
      </c>
      <c r="N13" s="102">
        <f t="shared" ref="N13:N16" si="18">F13+L13+M13</f>
        <v>551000</v>
      </c>
      <c r="O13" s="104" t="str">
        <f t="shared" ref="O13:O16" si="19">IF(I13-L13&lt;0,"동의필요","-")</f>
        <v>-</v>
      </c>
      <c r="P13" s="323" t="s">
        <v>105</v>
      </c>
      <c r="Q13" s="103" t="s">
        <v>106</v>
      </c>
      <c r="R13" s="95">
        <v>551000</v>
      </c>
      <c r="S13" s="103"/>
      <c r="T13" s="104" t="str">
        <f t="shared" si="1"/>
        <v>ok</v>
      </c>
      <c r="U13" s="98"/>
      <c r="V13" s="105"/>
      <c r="W13" s="105"/>
      <c r="X13" s="106"/>
    </row>
    <row r="14" spans="1:24" ht="30.75" customHeight="1">
      <c r="A14" s="99"/>
      <c r="B14" s="341" t="str">
        <f>IF(SUMPRODUCT(COUNTIF(C14,{"*본예산*","*1회추경*","*신규*"})),"추가"," 2회")</f>
        <v>추가</v>
      </c>
      <c r="C14" s="100" t="s">
        <v>1024</v>
      </c>
      <c r="D14" s="109" t="s">
        <v>103</v>
      </c>
      <c r="E14" s="272" t="s">
        <v>107</v>
      </c>
      <c r="F14" s="95"/>
      <c r="G14" s="95"/>
      <c r="H14" s="102" t="str">
        <f>IF(SUMPRODUCT(COUNTIF(C14,{"*본예산*","*1회추경*","*신규*"})),"-",F14-G14)</f>
        <v>-</v>
      </c>
      <c r="I14" s="110"/>
      <c r="J14" s="110">
        <v>497000</v>
      </c>
      <c r="K14" s="102">
        <f t="shared" si="16"/>
        <v>497000</v>
      </c>
      <c r="L14" s="111"/>
      <c r="M14" s="661">
        <f t="shared" si="17"/>
        <v>497000</v>
      </c>
      <c r="N14" s="102">
        <f t="shared" si="18"/>
        <v>497000</v>
      </c>
      <c r="O14" s="104" t="str">
        <f t="shared" si="19"/>
        <v>-</v>
      </c>
      <c r="P14" s="323" t="s">
        <v>108</v>
      </c>
      <c r="Q14" s="103" t="s">
        <v>106</v>
      </c>
      <c r="R14" s="95">
        <v>497000</v>
      </c>
      <c r="S14" s="103"/>
      <c r="T14" s="104" t="str">
        <f t="shared" si="1"/>
        <v>ok</v>
      </c>
      <c r="U14" s="98"/>
      <c r="V14" s="105"/>
      <c r="W14" s="105"/>
      <c r="X14" s="106"/>
    </row>
    <row r="15" spans="1:24" ht="30.75" customHeight="1">
      <c r="A15" s="99"/>
      <c r="B15" s="341" t="str">
        <f>IF(SUMPRODUCT(COUNTIF(C15,{"*본예산*","*1회추경*","*신규*"})),"추가"," 2회")</f>
        <v>추가</v>
      </c>
      <c r="C15" s="100" t="s">
        <v>1024</v>
      </c>
      <c r="D15" s="109" t="s">
        <v>103</v>
      </c>
      <c r="E15" s="272" t="s">
        <v>109</v>
      </c>
      <c r="F15" s="95"/>
      <c r="G15" s="95"/>
      <c r="H15" s="102" t="str">
        <f>IF(SUMPRODUCT(COUNTIF(C15,{"*본예산*","*1회추경*","*신규*"})),"-",F15-G15)</f>
        <v>-</v>
      </c>
      <c r="I15" s="110"/>
      <c r="J15" s="110">
        <v>44000</v>
      </c>
      <c r="K15" s="102">
        <f t="shared" si="16"/>
        <v>44000</v>
      </c>
      <c r="L15" s="111"/>
      <c r="M15" s="661">
        <f t="shared" si="17"/>
        <v>44000</v>
      </c>
      <c r="N15" s="102">
        <f t="shared" si="18"/>
        <v>44000</v>
      </c>
      <c r="O15" s="104" t="str">
        <f t="shared" si="19"/>
        <v>-</v>
      </c>
      <c r="P15" s="323" t="s">
        <v>110</v>
      </c>
      <c r="Q15" s="103" t="s">
        <v>106</v>
      </c>
      <c r="R15" s="95">
        <v>44000</v>
      </c>
      <c r="S15" s="103"/>
      <c r="T15" s="104" t="str">
        <f t="shared" si="1"/>
        <v>ok</v>
      </c>
      <c r="U15" s="98"/>
      <c r="V15" s="105"/>
      <c r="W15" s="105"/>
      <c r="X15" s="106"/>
    </row>
    <row r="16" spans="1:24" ht="30.75" customHeight="1">
      <c r="A16" s="99"/>
      <c r="B16" s="341" t="str">
        <f>IF(SUMPRODUCT(COUNTIF(C16,{"*본예산*","*1회추경*","*신규*"})),"추가"," 2회")</f>
        <v>추가</v>
      </c>
      <c r="C16" s="100" t="s">
        <v>1024</v>
      </c>
      <c r="D16" s="109" t="s">
        <v>103</v>
      </c>
      <c r="E16" s="272" t="s">
        <v>111</v>
      </c>
      <c r="F16" s="95"/>
      <c r="G16" s="95"/>
      <c r="H16" s="102" t="str">
        <f>IF(SUMPRODUCT(COUNTIF(C16,{"*본예산*","*1회추경*","*신규*"})),"-",F16-G16)</f>
        <v>-</v>
      </c>
      <c r="I16" s="110"/>
      <c r="J16" s="110">
        <v>556000</v>
      </c>
      <c r="K16" s="102">
        <f t="shared" si="16"/>
        <v>556000</v>
      </c>
      <c r="L16" s="111"/>
      <c r="M16" s="661">
        <f t="shared" si="17"/>
        <v>556000</v>
      </c>
      <c r="N16" s="102">
        <f t="shared" si="18"/>
        <v>556000</v>
      </c>
      <c r="O16" s="104" t="str">
        <f t="shared" si="19"/>
        <v>-</v>
      </c>
      <c r="P16" s="323" t="s">
        <v>112</v>
      </c>
      <c r="Q16" s="103" t="s">
        <v>106</v>
      </c>
      <c r="R16" s="95">
        <v>556000</v>
      </c>
      <c r="S16" s="103"/>
      <c r="T16" s="104" t="str">
        <f t="shared" si="1"/>
        <v>ok</v>
      </c>
      <c r="U16" s="98"/>
      <c r="V16" s="105"/>
      <c r="W16" s="105"/>
      <c r="X16" s="106"/>
    </row>
    <row r="17" spans="1:24" s="441" customFormat="1" ht="33" customHeight="1">
      <c r="A17" s="445" t="s">
        <v>227</v>
      </c>
      <c r="B17" s="446"/>
      <c r="C17" s="436"/>
      <c r="D17" s="436"/>
      <c r="E17" s="436"/>
      <c r="F17" s="437">
        <f>SUM(F18:F19)/2</f>
        <v>8325000</v>
      </c>
      <c r="G17" s="449">
        <f t="shared" ref="G17:N17" si="20">SUM(G18:G19)/2</f>
        <v>8225000</v>
      </c>
      <c r="H17" s="449">
        <f t="shared" si="20"/>
        <v>100000</v>
      </c>
      <c r="I17" s="449">
        <f t="shared" si="20"/>
        <v>0</v>
      </c>
      <c r="J17" s="449">
        <f t="shared" si="20"/>
        <v>2000000</v>
      </c>
      <c r="K17" s="449">
        <f t="shared" si="20"/>
        <v>10325000</v>
      </c>
      <c r="L17" s="449">
        <f t="shared" si="20"/>
        <v>0</v>
      </c>
      <c r="M17" s="449">
        <f t="shared" si="20"/>
        <v>2000000</v>
      </c>
      <c r="N17" s="449">
        <f t="shared" si="20"/>
        <v>10325000</v>
      </c>
      <c r="O17" s="437"/>
      <c r="P17" s="443"/>
      <c r="Q17" s="437"/>
      <c r="R17" s="449">
        <f t="shared" ref="R17:S17" si="21">SUM(R18:R19)/2</f>
        <v>2000000</v>
      </c>
      <c r="S17" s="449">
        <f t="shared" si="21"/>
        <v>0</v>
      </c>
      <c r="T17" s="436" t="str">
        <f t="shared" ref="T17:T19" si="22">IF((I17+J17)=(R17+S17),"ok","검토")</f>
        <v>ok</v>
      </c>
      <c r="U17" s="442"/>
      <c r="V17" s="437">
        <f t="shared" ref="V17:W17" si="23">SUM(V18:V22)/2</f>
        <v>0</v>
      </c>
      <c r="W17" s="437">
        <f t="shared" si="23"/>
        <v>0</v>
      </c>
      <c r="X17" s="437"/>
    </row>
    <row r="18" spans="1:24" s="441" customFormat="1" ht="33" customHeight="1">
      <c r="A18" s="447"/>
      <c r="B18" s="448" t="s">
        <v>228</v>
      </c>
      <c r="C18" s="438"/>
      <c r="D18" s="439"/>
      <c r="E18" s="439"/>
      <c r="F18" s="440">
        <f>SUM(F19)</f>
        <v>8325000</v>
      </c>
      <c r="G18" s="450">
        <f t="shared" ref="G18:N18" si="24">SUM(G19)</f>
        <v>8225000</v>
      </c>
      <c r="H18" s="450">
        <f t="shared" si="24"/>
        <v>100000</v>
      </c>
      <c r="I18" s="450">
        <f t="shared" si="24"/>
        <v>0</v>
      </c>
      <c r="J18" s="450">
        <f t="shared" si="24"/>
        <v>2000000</v>
      </c>
      <c r="K18" s="450">
        <f t="shared" si="24"/>
        <v>10325000</v>
      </c>
      <c r="L18" s="450">
        <f t="shared" si="24"/>
        <v>0</v>
      </c>
      <c r="M18" s="450">
        <f t="shared" si="24"/>
        <v>2000000</v>
      </c>
      <c r="N18" s="450">
        <f t="shared" si="24"/>
        <v>10325000</v>
      </c>
      <c r="O18" s="440"/>
      <c r="P18" s="444"/>
      <c r="Q18" s="440"/>
      <c r="R18" s="450">
        <f t="shared" ref="R18:S18" si="25">SUM(R19)</f>
        <v>2000000</v>
      </c>
      <c r="S18" s="450">
        <f t="shared" si="25"/>
        <v>0</v>
      </c>
      <c r="T18" s="438" t="str">
        <f t="shared" si="22"/>
        <v>ok</v>
      </c>
      <c r="U18" s="442"/>
      <c r="V18" s="440">
        <f t="shared" ref="V18:W18" si="26">SUM(V19:V22)</f>
        <v>0</v>
      </c>
      <c r="W18" s="440">
        <f t="shared" si="26"/>
        <v>0</v>
      </c>
      <c r="X18" s="435"/>
    </row>
    <row r="19" spans="1:24" s="673" customFormat="1" ht="48.75" customHeight="1">
      <c r="A19" s="658"/>
      <c r="B19" s="341" t="str">
        <f>IF(SUMPRODUCT(COUNTIF(C19,{"*본예산*","*1회추경*","*신규*"})),"추가"," 2회")</f>
        <v xml:space="preserve"> 2회</v>
      </c>
      <c r="C19" s="644">
        <v>290</v>
      </c>
      <c r="D19" s="667" t="s">
        <v>57</v>
      </c>
      <c r="E19" s="540" t="s">
        <v>1187</v>
      </c>
      <c r="F19" s="657">
        <v>8325000</v>
      </c>
      <c r="G19" s="657">
        <v>8225000</v>
      </c>
      <c r="H19" s="665">
        <f>IF(SUMPRODUCT(COUNTIF(C19,{"*본예산*","*1회추경*","*신규*"})),"-",F19-G19)</f>
        <v>100000</v>
      </c>
      <c r="I19" s="668"/>
      <c r="J19" s="668">
        <v>2000000</v>
      </c>
      <c r="K19" s="665">
        <f t="shared" ref="K19" si="27">F19+I19+J19</f>
        <v>10325000</v>
      </c>
      <c r="L19" s="634"/>
      <c r="M19" s="661">
        <v>2000000</v>
      </c>
      <c r="N19" s="665">
        <f t="shared" ref="N19" si="28">F19+L19+M19</f>
        <v>10325000</v>
      </c>
      <c r="O19" s="648" t="str">
        <f t="shared" ref="O19" si="29">IF(I19-L19&lt;0,"동의필요","-")</f>
        <v>-</v>
      </c>
      <c r="P19" s="323" t="s">
        <v>1625</v>
      </c>
      <c r="Q19" s="661" t="s">
        <v>1626</v>
      </c>
      <c r="R19" s="657">
        <v>2000000</v>
      </c>
      <c r="S19" s="661"/>
      <c r="T19" s="648" t="str">
        <f t="shared" si="22"/>
        <v>ok</v>
      </c>
      <c r="U19" s="617"/>
      <c r="V19" s="619"/>
      <c r="W19" s="619"/>
      <c r="X19" s="620"/>
    </row>
    <row r="20" spans="1:24" ht="36" customHeight="1">
      <c r="A20" s="25" t="s">
        <v>113</v>
      </c>
      <c r="B20" s="64"/>
      <c r="C20" s="26"/>
      <c r="D20" s="26"/>
      <c r="E20" s="26"/>
      <c r="F20" s="27">
        <f t="shared" ref="F20:N20" si="30">SUM(F21:F35)/2</f>
        <v>82516039</v>
      </c>
      <c r="G20" s="369">
        <f t="shared" si="30"/>
        <v>6687486</v>
      </c>
      <c r="H20" s="369">
        <f t="shared" si="30"/>
        <v>2937216</v>
      </c>
      <c r="I20" s="369">
        <f t="shared" si="30"/>
        <v>-3306104</v>
      </c>
      <c r="J20" s="369">
        <f t="shared" si="30"/>
        <v>6924909</v>
      </c>
      <c r="K20" s="369">
        <f t="shared" si="30"/>
        <v>86134844</v>
      </c>
      <c r="L20" s="369">
        <f t="shared" si="30"/>
        <v>-3314524</v>
      </c>
      <c r="M20" s="369">
        <f t="shared" si="30"/>
        <v>6924909</v>
      </c>
      <c r="N20" s="369">
        <f t="shared" si="30"/>
        <v>86126424</v>
      </c>
      <c r="O20" s="27"/>
      <c r="P20" s="345"/>
      <c r="Q20" s="27"/>
      <c r="R20" s="369">
        <f>SUM(R21:R35)/2</f>
        <v>2477099</v>
      </c>
      <c r="S20" s="369">
        <f>SUM(S21:S35)/2</f>
        <v>1133286</v>
      </c>
      <c r="T20" s="26" t="str">
        <f t="shared" si="1"/>
        <v>검토</v>
      </c>
      <c r="U20" s="98"/>
      <c r="V20" s="27">
        <f>SUM(V21:V35)/2</f>
        <v>0</v>
      </c>
      <c r="W20" s="27">
        <f>SUM(W21:W35)/2</f>
        <v>0</v>
      </c>
      <c r="X20" s="9"/>
    </row>
    <row r="21" spans="1:24" ht="36" customHeight="1">
      <c r="A21" s="99"/>
      <c r="B21" s="340" t="s">
        <v>114</v>
      </c>
      <c r="C21" s="30"/>
      <c r="D21" s="31"/>
      <c r="E21" s="31"/>
      <c r="F21" s="32">
        <f t="shared" ref="F21:N21" si="31">SUM(F22:F28)</f>
        <v>81516039</v>
      </c>
      <c r="G21" s="32">
        <f t="shared" si="31"/>
        <v>6687486</v>
      </c>
      <c r="H21" s="32">
        <f t="shared" si="31"/>
        <v>2937216</v>
      </c>
      <c r="I21" s="32">
        <f t="shared" si="31"/>
        <v>-2306104</v>
      </c>
      <c r="J21" s="32">
        <f t="shared" si="31"/>
        <v>505464</v>
      </c>
      <c r="K21" s="32">
        <f t="shared" si="31"/>
        <v>79715399</v>
      </c>
      <c r="L21" s="32">
        <f t="shared" si="31"/>
        <v>-2314524</v>
      </c>
      <c r="M21" s="32">
        <f t="shared" si="31"/>
        <v>505464</v>
      </c>
      <c r="N21" s="32">
        <f t="shared" si="31"/>
        <v>79706979</v>
      </c>
      <c r="O21" s="32"/>
      <c r="P21" s="346"/>
      <c r="Q21" s="32"/>
      <c r="R21" s="32">
        <f>SUM(R22:R28)</f>
        <v>-2314524</v>
      </c>
      <c r="S21" s="32">
        <f>SUM(S22:S28)</f>
        <v>505464</v>
      </c>
      <c r="T21" s="30" t="str">
        <f t="shared" si="1"/>
        <v>검토</v>
      </c>
      <c r="U21" s="98"/>
      <c r="V21" s="32">
        <f>SUM(V22:V28)</f>
        <v>0</v>
      </c>
      <c r="W21" s="32">
        <f>SUM(W22:W28)</f>
        <v>0</v>
      </c>
      <c r="X21" s="11"/>
    </row>
    <row r="22" spans="1:24" ht="36" customHeight="1">
      <c r="A22" s="99"/>
      <c r="B22" s="341" t="str">
        <f>IF(SUMPRODUCT(COUNTIF(C22,{"*본예산*","*1회추경*","*신규*"})),"추가"," 2회")</f>
        <v>추가</v>
      </c>
      <c r="C22" s="112" t="s">
        <v>115</v>
      </c>
      <c r="D22" s="101" t="s">
        <v>118</v>
      </c>
      <c r="E22" s="272" t="s">
        <v>121</v>
      </c>
      <c r="F22" s="95">
        <v>59671700</v>
      </c>
      <c r="G22" s="95"/>
      <c r="H22" s="102" t="str">
        <f>IF(SUMPRODUCT(COUNTIF(C22,{"*본예산*","*1회추경*","*신규*"})),"-",F22-G22)</f>
        <v>-</v>
      </c>
      <c r="I22" s="95">
        <v>-841700</v>
      </c>
      <c r="J22" s="95"/>
      <c r="K22" s="102">
        <f>F22+I22+J22</f>
        <v>58830000</v>
      </c>
      <c r="L22" s="103">
        <f>I22</f>
        <v>-841700</v>
      </c>
      <c r="M22" s="103"/>
      <c r="N22" s="102">
        <f t="shared" ref="N22:N24" si="32">F22+L22+M22</f>
        <v>58830000</v>
      </c>
      <c r="O22" s="104" t="str">
        <f>IF(I22-L22&lt;0,"동의필요","-")</f>
        <v>-</v>
      </c>
      <c r="P22" s="323" t="s">
        <v>122</v>
      </c>
      <c r="Q22" s="103" t="s">
        <v>90</v>
      </c>
      <c r="R22" s="103">
        <v>-841700</v>
      </c>
      <c r="S22" s="103"/>
      <c r="T22" s="104" t="str">
        <f t="shared" ref="T22:T28" si="33">IF((I22+J22)=(R22+S22),"ok","검토")</f>
        <v>ok</v>
      </c>
      <c r="U22" s="98"/>
      <c r="V22" s="105"/>
      <c r="W22" s="105"/>
      <c r="X22" s="106"/>
    </row>
    <row r="23" spans="1:24" s="673" customFormat="1" ht="30.75" customHeight="1">
      <c r="A23" s="658"/>
      <c r="B23" s="341" t="str">
        <f>IF(SUMPRODUCT(COUNTIF(C23,{"*본예산*","*1회추경*","*신규*"})),"추가"," 2회")</f>
        <v>추가</v>
      </c>
      <c r="C23" s="644" t="s">
        <v>1627</v>
      </c>
      <c r="D23" s="667" t="s">
        <v>118</v>
      </c>
      <c r="E23" s="540" t="s">
        <v>119</v>
      </c>
      <c r="F23" s="657">
        <v>2845445</v>
      </c>
      <c r="G23" s="657"/>
      <c r="H23" s="665" t="str">
        <f>IF(SUMPRODUCT(COUNTIF(C23,{"*본예산*","*1회추경*","*신규*"})),"-",F23-G23)</f>
        <v>-</v>
      </c>
      <c r="I23" s="668">
        <v>-808863</v>
      </c>
      <c r="J23" s="668"/>
      <c r="K23" s="665">
        <f>F23+I23+J23</f>
        <v>2036582</v>
      </c>
      <c r="L23" s="634">
        <v>-817283</v>
      </c>
      <c r="M23" s="661"/>
      <c r="N23" s="665">
        <f t="shared" si="32"/>
        <v>2028162</v>
      </c>
      <c r="O23" s="648" t="str">
        <f>IF(I23-L23&lt;0,"동의필요","-")</f>
        <v>-</v>
      </c>
      <c r="P23" s="323" t="s">
        <v>1628</v>
      </c>
      <c r="Q23" s="661" t="s">
        <v>1626</v>
      </c>
      <c r="R23" s="657">
        <v>-817283</v>
      </c>
      <c r="S23" s="661"/>
      <c r="T23" s="648" t="str">
        <f t="shared" si="33"/>
        <v>검토</v>
      </c>
      <c r="U23" s="617"/>
      <c r="V23" s="619"/>
      <c r="W23" s="619"/>
      <c r="X23" s="620"/>
    </row>
    <row r="24" spans="1:24" ht="36" customHeight="1">
      <c r="A24" s="99"/>
      <c r="B24" s="341" t="str">
        <f>IF(SUMPRODUCT(COUNTIF(C24,{"*본예산*","*1회추경*","*신규*"})),"추가"," 2회")</f>
        <v>추가</v>
      </c>
      <c r="C24" s="112" t="s">
        <v>115</v>
      </c>
      <c r="D24" s="101" t="s">
        <v>116</v>
      </c>
      <c r="E24" s="272" t="s">
        <v>117</v>
      </c>
      <c r="F24" s="95">
        <v>7453432</v>
      </c>
      <c r="G24" s="95"/>
      <c r="H24" s="102" t="str">
        <f>IF(SUMPRODUCT(COUNTIF(C24,{"*본예산*","*1회추경*","*신규*"})),"-",F24-G24)</f>
        <v>-</v>
      </c>
      <c r="I24" s="95">
        <v>-257875</v>
      </c>
      <c r="J24" s="95"/>
      <c r="K24" s="102">
        <f>F24+I24+J24</f>
        <v>7195557</v>
      </c>
      <c r="L24" s="661">
        <f t="shared" ref="L24:L25" si="34">I24</f>
        <v>-257875</v>
      </c>
      <c r="M24" s="103"/>
      <c r="N24" s="102">
        <f t="shared" si="32"/>
        <v>7195557</v>
      </c>
      <c r="O24" s="104" t="str">
        <f>IF(I24-L24&lt;0,"동의필요","-")</f>
        <v>-</v>
      </c>
      <c r="P24" s="323" t="s">
        <v>89</v>
      </c>
      <c r="Q24" s="103" t="s">
        <v>90</v>
      </c>
      <c r="R24" s="103">
        <v>-257875</v>
      </c>
      <c r="S24" s="103"/>
      <c r="T24" s="104" t="str">
        <f t="shared" si="33"/>
        <v>ok</v>
      </c>
      <c r="U24" s="98"/>
      <c r="V24" s="105"/>
      <c r="W24" s="105"/>
      <c r="X24" s="106"/>
    </row>
    <row r="25" spans="1:24" s="451" customFormat="1" ht="36" customHeight="1">
      <c r="A25" s="454"/>
      <c r="B25" s="341" t="str">
        <f>IF(SUMPRODUCT(COUNTIF(C25,{"*본예산*","*1회추경*","*신규*"})),"추가"," 2회")</f>
        <v xml:space="preserve"> 2회</v>
      </c>
      <c r="C25" s="371">
        <v>304</v>
      </c>
      <c r="D25" s="379" t="s">
        <v>116</v>
      </c>
      <c r="E25" s="459" t="s">
        <v>123</v>
      </c>
      <c r="F25" s="452">
        <v>324702</v>
      </c>
      <c r="G25" s="452">
        <v>687486</v>
      </c>
      <c r="H25" s="455">
        <f>IF(SUMPRODUCT(COUNTIF(C25,{"*본예산*","*1회추경*","*신규*"})),"-",F25-G25)</f>
        <v>-362784</v>
      </c>
      <c r="I25" s="452">
        <v>-8285</v>
      </c>
      <c r="J25" s="452"/>
      <c r="K25" s="455">
        <f t="shared" ref="K25:K26" si="35">F25+I25+J25</f>
        <v>316417</v>
      </c>
      <c r="L25" s="661">
        <f t="shared" si="34"/>
        <v>-8285</v>
      </c>
      <c r="M25" s="377"/>
      <c r="N25" s="455">
        <f>F25+L25+M25</f>
        <v>316417</v>
      </c>
      <c r="O25" s="456" t="str">
        <f t="shared" ref="O25:O26" si="36">IF(I25-L25&lt;0,"동의필요","-")</f>
        <v>-</v>
      </c>
      <c r="P25" s="323" t="s">
        <v>124</v>
      </c>
      <c r="Q25" s="377" t="s">
        <v>90</v>
      </c>
      <c r="R25" s="377">
        <v>-8285</v>
      </c>
      <c r="S25" s="377"/>
      <c r="T25" s="456" t="str">
        <f t="shared" si="33"/>
        <v>ok</v>
      </c>
      <c r="U25" s="453"/>
      <c r="V25" s="457"/>
      <c r="W25" s="457"/>
      <c r="X25" s="458"/>
    </row>
    <row r="26" spans="1:24" s="673" customFormat="1" ht="30.75" customHeight="1">
      <c r="A26" s="658"/>
      <c r="B26" s="341" t="str">
        <f>IF(SUMPRODUCT(COUNTIF(C26,{"*본예산*","*1회추경*","*신규*"})),"추가"," 2회")</f>
        <v xml:space="preserve"> 2회</v>
      </c>
      <c r="C26" s="644">
        <v>304</v>
      </c>
      <c r="D26" s="667" t="s">
        <v>116</v>
      </c>
      <c r="E26" s="540" t="s">
        <v>1189</v>
      </c>
      <c r="F26" s="657">
        <v>9300000</v>
      </c>
      <c r="G26" s="657">
        <v>6000000</v>
      </c>
      <c r="H26" s="665">
        <f>IF(SUMPRODUCT(COUNTIF(C26,{"*본예산*","*1회추경*","*신규*"})),"-",F26-G26)</f>
        <v>3300000</v>
      </c>
      <c r="I26" s="668"/>
      <c r="J26" s="668">
        <v>505464</v>
      </c>
      <c r="K26" s="665">
        <f t="shared" si="35"/>
        <v>9805464</v>
      </c>
      <c r="L26" s="634"/>
      <c r="M26" s="661">
        <v>505464</v>
      </c>
      <c r="N26" s="665">
        <f>F26+L26+M26</f>
        <v>9805464</v>
      </c>
      <c r="O26" s="648" t="str">
        <f t="shared" si="36"/>
        <v>-</v>
      </c>
      <c r="P26" s="323" t="s">
        <v>1629</v>
      </c>
      <c r="Q26" s="661" t="s">
        <v>1630</v>
      </c>
      <c r="R26" s="657"/>
      <c r="S26" s="661">
        <v>505464</v>
      </c>
      <c r="T26" s="648" t="str">
        <f t="shared" si="33"/>
        <v>ok</v>
      </c>
      <c r="U26" s="617"/>
      <c r="V26" s="619"/>
      <c r="W26" s="619"/>
      <c r="X26" s="620"/>
    </row>
    <row r="27" spans="1:24" s="673" customFormat="1" ht="30.75" customHeight="1">
      <c r="A27" s="658"/>
      <c r="B27" s="341" t="str">
        <f>IF(SUMPRODUCT(COUNTIF(C27,{"*본예산*","*1회추경*","*신규*"})),"추가"," 2회")</f>
        <v>추가</v>
      </c>
      <c r="C27" s="644" t="s">
        <v>1631</v>
      </c>
      <c r="D27" s="667" t="s">
        <v>118</v>
      </c>
      <c r="E27" s="540" t="s">
        <v>1190</v>
      </c>
      <c r="F27" s="657">
        <v>1459000</v>
      </c>
      <c r="G27" s="657"/>
      <c r="H27" s="665" t="str">
        <f>IF(SUMPRODUCT(COUNTIF(C27,{"*본예산*","*1회추경*","*신규*"})),"-",F27-G27)</f>
        <v>-</v>
      </c>
      <c r="I27" s="668">
        <v>-379021</v>
      </c>
      <c r="J27" s="668"/>
      <c r="K27" s="665">
        <f t="shared" ref="K27" si="37">F27+I27+J27</f>
        <v>1079979</v>
      </c>
      <c r="L27" s="634">
        <v>-379021</v>
      </c>
      <c r="M27" s="661"/>
      <c r="N27" s="665">
        <f>F27+L27+M27</f>
        <v>1079979</v>
      </c>
      <c r="O27" s="648" t="str">
        <f t="shared" ref="O27" si="38">IF(I27-L27&lt;0,"동의필요","-")</f>
        <v>-</v>
      </c>
      <c r="P27" s="323" t="s">
        <v>1632</v>
      </c>
      <c r="Q27" s="661" t="s">
        <v>1626</v>
      </c>
      <c r="R27" s="657">
        <v>-379021</v>
      </c>
      <c r="S27" s="661"/>
      <c r="T27" s="648" t="str">
        <f t="shared" si="33"/>
        <v>ok</v>
      </c>
      <c r="U27" s="617"/>
      <c r="V27" s="619"/>
      <c r="W27" s="619"/>
      <c r="X27" s="620"/>
    </row>
    <row r="28" spans="1:24" s="673" customFormat="1" ht="30.75" customHeight="1">
      <c r="A28" s="658"/>
      <c r="B28" s="341" t="str">
        <f>IF(SUMPRODUCT(COUNTIF(C28,{"*본예산*","*1회추경*","*신규*"})),"추가"," 2회")</f>
        <v>추가</v>
      </c>
      <c r="C28" s="644" t="s">
        <v>1631</v>
      </c>
      <c r="D28" s="667" t="s">
        <v>118</v>
      </c>
      <c r="E28" s="540" t="s">
        <v>1191</v>
      </c>
      <c r="F28" s="657">
        <v>461760</v>
      </c>
      <c r="G28" s="657"/>
      <c r="H28" s="665" t="str">
        <f>IF(SUMPRODUCT(COUNTIF(C28,{"*본예산*","*1회추경*","*신규*"})),"-",F28-G28)</f>
        <v>-</v>
      </c>
      <c r="I28" s="668">
        <v>-10360</v>
      </c>
      <c r="J28" s="668"/>
      <c r="K28" s="665">
        <f t="shared" ref="K28" si="39">F28+I28+J28</f>
        <v>451400</v>
      </c>
      <c r="L28" s="634">
        <v>-10360</v>
      </c>
      <c r="M28" s="661"/>
      <c r="N28" s="665">
        <f>F28+L28+M28</f>
        <v>451400</v>
      </c>
      <c r="O28" s="648" t="str">
        <f t="shared" ref="O28" si="40">IF(I28-L28&lt;0,"동의필요","-")</f>
        <v>-</v>
      </c>
      <c r="P28" s="323" t="s">
        <v>1633</v>
      </c>
      <c r="Q28" s="661" t="s">
        <v>1626</v>
      </c>
      <c r="R28" s="657">
        <v>-10360</v>
      </c>
      <c r="S28" s="661"/>
      <c r="T28" s="648" t="str">
        <f t="shared" si="33"/>
        <v>ok</v>
      </c>
      <c r="U28" s="617"/>
      <c r="V28" s="619"/>
      <c r="W28" s="619"/>
      <c r="X28" s="620"/>
    </row>
    <row r="29" spans="1:24" ht="36" customHeight="1">
      <c r="A29" s="99"/>
      <c r="B29" s="340" t="s">
        <v>125</v>
      </c>
      <c r="C29" s="30"/>
      <c r="D29" s="31"/>
      <c r="E29" s="31"/>
      <c r="F29" s="32">
        <f>SUM(F30:F32)</f>
        <v>0</v>
      </c>
      <c r="G29" s="460">
        <f t="shared" ref="G29:N29" si="41">SUM(G30:G32)</f>
        <v>0</v>
      </c>
      <c r="H29" s="460">
        <f t="shared" si="41"/>
        <v>0</v>
      </c>
      <c r="I29" s="460">
        <f t="shared" si="41"/>
        <v>0</v>
      </c>
      <c r="J29" s="460">
        <f t="shared" si="41"/>
        <v>6392445</v>
      </c>
      <c r="K29" s="460">
        <f t="shared" si="41"/>
        <v>6392445</v>
      </c>
      <c r="L29" s="460">
        <f t="shared" si="41"/>
        <v>0</v>
      </c>
      <c r="M29" s="460">
        <f t="shared" si="41"/>
        <v>6392445</v>
      </c>
      <c r="N29" s="460">
        <f t="shared" si="41"/>
        <v>6392445</v>
      </c>
      <c r="O29" s="32"/>
      <c r="P29" s="346"/>
      <c r="Q29" s="32"/>
      <c r="R29" s="460">
        <f t="shared" ref="R29:S29" si="42">SUM(R30:R32)</f>
        <v>5764623</v>
      </c>
      <c r="S29" s="460">
        <f t="shared" si="42"/>
        <v>627822</v>
      </c>
      <c r="T29" s="113" t="str">
        <f t="shared" si="1"/>
        <v>ok</v>
      </c>
      <c r="U29" s="98"/>
      <c r="V29" s="32">
        <f>SUM(V32)</f>
        <v>0</v>
      </c>
      <c r="W29" s="32">
        <f>SUM(W32)</f>
        <v>0</v>
      </c>
      <c r="X29" s="11"/>
    </row>
    <row r="30" spans="1:24" s="461" customFormat="1" ht="36" customHeight="1">
      <c r="A30" s="464"/>
      <c r="B30" s="341" t="str">
        <f>IF(SUMPRODUCT(COUNTIF(C30,{"*본예산*","*1회추경*","*신규*"})),"추가"," 2회")</f>
        <v>추가</v>
      </c>
      <c r="C30" s="371" t="s">
        <v>1024</v>
      </c>
      <c r="D30" s="379" t="s">
        <v>126</v>
      </c>
      <c r="E30" s="469" t="s">
        <v>1052</v>
      </c>
      <c r="F30" s="462"/>
      <c r="G30" s="462"/>
      <c r="H30" s="465" t="str">
        <f>IF(SUMPRODUCT(COUNTIF(C30,{"*본예산*","*1회추경*","*신규*"})),"-",F30-G30)</f>
        <v>-</v>
      </c>
      <c r="I30" s="462"/>
      <c r="J30" s="462">
        <v>627822</v>
      </c>
      <c r="K30" s="465">
        <f t="shared" ref="K30" si="43">F30+I30+J30</f>
        <v>627822</v>
      </c>
      <c r="L30" s="111"/>
      <c r="M30" s="111">
        <f>J30</f>
        <v>627822</v>
      </c>
      <c r="N30" s="465">
        <f t="shared" ref="N30" si="44">F30+L30+M30</f>
        <v>627822</v>
      </c>
      <c r="O30" s="466" t="str">
        <f>IF(I30-L30&lt;0,"동의필요","-")</f>
        <v>-</v>
      </c>
      <c r="P30" s="323" t="s">
        <v>127</v>
      </c>
      <c r="Q30" s="661" t="s">
        <v>1344</v>
      </c>
      <c r="R30" s="377"/>
      <c r="S30" s="377">
        <f>M30</f>
        <v>627822</v>
      </c>
      <c r="T30" s="466" t="str">
        <f t="shared" si="1"/>
        <v>ok</v>
      </c>
      <c r="U30" s="463"/>
      <c r="V30" s="467"/>
      <c r="W30" s="467"/>
      <c r="X30" s="468"/>
    </row>
    <row r="31" spans="1:24" s="673" customFormat="1" ht="30.75" customHeight="1">
      <c r="A31" s="658"/>
      <c r="B31" s="341" t="str">
        <f>IF(SUMPRODUCT(COUNTIF(C31,{"*본예산*","*1회추경*","*신규*"})),"추가"," 2회")</f>
        <v>추가</v>
      </c>
      <c r="C31" s="644" t="s">
        <v>1634</v>
      </c>
      <c r="D31" s="667" t="s">
        <v>126</v>
      </c>
      <c r="E31" s="540" t="s">
        <v>1194</v>
      </c>
      <c r="F31" s="657"/>
      <c r="G31" s="657"/>
      <c r="H31" s="665" t="str">
        <f>IF(SUMPRODUCT(COUNTIF(C31,{"*본예산*","*1회추경*","*신규*"})),"-",F31-G31)</f>
        <v>-</v>
      </c>
      <c r="I31" s="668"/>
      <c r="J31" s="668">
        <v>1453000</v>
      </c>
      <c r="K31" s="665">
        <f t="shared" ref="K31" si="45">F31+I31+J31</f>
        <v>1453000</v>
      </c>
      <c r="L31" s="634"/>
      <c r="M31" s="661">
        <v>1453000</v>
      </c>
      <c r="N31" s="665">
        <f t="shared" ref="N31" si="46">F31+L31+M31</f>
        <v>1453000</v>
      </c>
      <c r="O31" s="648" t="str">
        <f>IF(I31-L31&lt;0,"동의필요","-")</f>
        <v>-</v>
      </c>
      <c r="P31" s="323" t="s">
        <v>1635</v>
      </c>
      <c r="Q31" s="661" t="s">
        <v>1626</v>
      </c>
      <c r="R31" s="657">
        <v>1453000</v>
      </c>
      <c r="S31" s="661"/>
      <c r="T31" s="648" t="str">
        <f t="shared" ref="T31" si="47">IF((I31+J31)=(R31+S31),"ok","검토")</f>
        <v>ok</v>
      </c>
      <c r="U31" s="617"/>
      <c r="V31" s="619"/>
      <c r="W31" s="619"/>
      <c r="X31" s="620"/>
    </row>
    <row r="32" spans="1:24" s="673" customFormat="1" ht="30.75" customHeight="1">
      <c r="A32" s="658"/>
      <c r="B32" s="341" t="str">
        <f>IF(SUMPRODUCT(COUNTIF(C32,{"*본예산*","*1회추경*","*신규*"})),"추가"," 2회")</f>
        <v>추가</v>
      </c>
      <c r="C32" s="644" t="s">
        <v>1634</v>
      </c>
      <c r="D32" s="667" t="s">
        <v>126</v>
      </c>
      <c r="E32" s="540" t="s">
        <v>1195</v>
      </c>
      <c r="F32" s="657"/>
      <c r="G32" s="657"/>
      <c r="H32" s="665" t="str">
        <f>IF(SUMPRODUCT(COUNTIF(C32,{"*본예산*","*1회추경*","*신규*"})),"-",F32-G32)</f>
        <v>-</v>
      </c>
      <c r="I32" s="668"/>
      <c r="J32" s="668">
        <v>4311623</v>
      </c>
      <c r="K32" s="665">
        <f t="shared" ref="K32" si="48">F32+I32+J32</f>
        <v>4311623</v>
      </c>
      <c r="L32" s="634"/>
      <c r="M32" s="661">
        <v>4311623</v>
      </c>
      <c r="N32" s="665">
        <f t="shared" ref="N32" si="49">F32+L32+M32</f>
        <v>4311623</v>
      </c>
      <c r="O32" s="648" t="str">
        <f>IF(I32-L32&lt;0,"동의필요","-")</f>
        <v>-</v>
      </c>
      <c r="P32" s="323" t="s">
        <v>1636</v>
      </c>
      <c r="Q32" s="661" t="s">
        <v>1626</v>
      </c>
      <c r="R32" s="657">
        <v>4311623</v>
      </c>
      <c r="S32" s="661"/>
      <c r="T32" s="648" t="str">
        <f t="shared" si="1"/>
        <v>ok</v>
      </c>
      <c r="U32" s="617"/>
      <c r="V32" s="619"/>
      <c r="W32" s="619"/>
      <c r="X32" s="620"/>
    </row>
    <row r="33" spans="1:24" ht="36" customHeight="1">
      <c r="A33" s="99"/>
      <c r="B33" s="340" t="s">
        <v>128</v>
      </c>
      <c r="C33" s="30"/>
      <c r="D33" s="31"/>
      <c r="E33" s="31"/>
      <c r="F33" s="32">
        <f>SUM(F34:F35)</f>
        <v>1000000</v>
      </c>
      <c r="G33" s="470">
        <f t="shared" ref="G33:N33" si="50">SUM(G34:G35)</f>
        <v>0</v>
      </c>
      <c r="H33" s="470">
        <f t="shared" si="50"/>
        <v>0</v>
      </c>
      <c r="I33" s="470">
        <f t="shared" si="50"/>
        <v>-1000000</v>
      </c>
      <c r="J33" s="470">
        <f t="shared" si="50"/>
        <v>27000</v>
      </c>
      <c r="K33" s="470">
        <f t="shared" si="50"/>
        <v>27000</v>
      </c>
      <c r="L33" s="470">
        <f t="shared" si="50"/>
        <v>-1000000</v>
      </c>
      <c r="M33" s="470">
        <f t="shared" si="50"/>
        <v>27000</v>
      </c>
      <c r="N33" s="470">
        <f t="shared" si="50"/>
        <v>27000</v>
      </c>
      <c r="O33" s="32"/>
      <c r="P33" s="346"/>
      <c r="Q33" s="32"/>
      <c r="R33" s="470">
        <f t="shared" ref="R33:S33" si="51">SUM(R34:R35)</f>
        <v>-973000</v>
      </c>
      <c r="S33" s="470">
        <f t="shared" si="51"/>
        <v>0</v>
      </c>
      <c r="T33" s="30" t="str">
        <f t="shared" si="1"/>
        <v>ok</v>
      </c>
      <c r="U33" s="98"/>
      <c r="V33" s="32">
        <f>SUM(V35)</f>
        <v>0</v>
      </c>
      <c r="W33" s="32">
        <f>SUM(W35)</f>
        <v>0</v>
      </c>
      <c r="X33" s="11"/>
    </row>
    <row r="34" spans="1:24" s="471" customFormat="1" ht="36" customHeight="1">
      <c r="A34" s="474"/>
      <c r="B34" s="341" t="str">
        <f>IF(SUMPRODUCT(COUNTIF(C34,{"*본예산*","*1회추경*","*신규*"})),"추가"," 2회")</f>
        <v>추가</v>
      </c>
      <c r="C34" s="371" t="s">
        <v>1024</v>
      </c>
      <c r="D34" s="379" t="s">
        <v>129</v>
      </c>
      <c r="E34" s="479" t="s">
        <v>130</v>
      </c>
      <c r="F34" s="472"/>
      <c r="G34" s="472"/>
      <c r="H34" s="475" t="str">
        <f>IF(SUMPRODUCT(COUNTIF(C34,{"*본예산*","*1회추경*","*신규*"})),"-",F34-G34)</f>
        <v>-</v>
      </c>
      <c r="I34" s="472"/>
      <c r="J34" s="472">
        <v>27000</v>
      </c>
      <c r="K34" s="475">
        <f t="shared" ref="K34" si="52">F34+I34+J34</f>
        <v>27000</v>
      </c>
      <c r="L34" s="377"/>
      <c r="M34" s="377">
        <f>J34</f>
        <v>27000</v>
      </c>
      <c r="N34" s="475">
        <f t="shared" ref="N34" si="53">F34+L34+M34</f>
        <v>27000</v>
      </c>
      <c r="O34" s="476" t="str">
        <f>IF(I34-L34&lt;0,"동의필요","-")</f>
        <v>-</v>
      </c>
      <c r="P34" s="323" t="s">
        <v>131</v>
      </c>
      <c r="Q34" s="377" t="s">
        <v>90</v>
      </c>
      <c r="R34" s="377">
        <v>27000</v>
      </c>
      <c r="S34" s="377"/>
      <c r="T34" s="476" t="str">
        <f t="shared" ref="T34" si="54">IF((I34+J34)=(R34+S34),"ok","검토")</f>
        <v>ok</v>
      </c>
      <c r="U34" s="473"/>
      <c r="V34" s="477"/>
      <c r="W34" s="477"/>
      <c r="X34" s="478"/>
    </row>
    <row r="35" spans="1:24" s="673" customFormat="1" ht="30.75" customHeight="1">
      <c r="A35" s="658"/>
      <c r="B35" s="341" t="str">
        <f>IF(SUMPRODUCT(COUNTIF(C35,{"*본예산*","*1회추경*","*신규*"})),"추가"," 2회")</f>
        <v>추가</v>
      </c>
      <c r="C35" s="644" t="s">
        <v>1637</v>
      </c>
      <c r="D35" s="667" t="s">
        <v>129</v>
      </c>
      <c r="E35" s="540" t="s">
        <v>1197</v>
      </c>
      <c r="F35" s="657">
        <v>1000000</v>
      </c>
      <c r="G35" s="657"/>
      <c r="H35" s="665" t="str">
        <f>IF(SUMPRODUCT(COUNTIF(C35,{"*본예산*","*1회추경*","*신규*"})),"-",F35-G35)</f>
        <v>-</v>
      </c>
      <c r="I35" s="668">
        <v>-1000000</v>
      </c>
      <c r="J35" s="668"/>
      <c r="K35" s="665">
        <f t="shared" ref="K35" si="55">F35+I35+J35</f>
        <v>0</v>
      </c>
      <c r="L35" s="634">
        <v>-1000000</v>
      </c>
      <c r="M35" s="661"/>
      <c r="N35" s="665">
        <f t="shared" ref="N35" si="56">F35+L35+M35</f>
        <v>0</v>
      </c>
      <c r="O35" s="648" t="str">
        <f>IF(I35-L35&lt;0,"동의필요","-")</f>
        <v>-</v>
      </c>
      <c r="P35" s="323" t="s">
        <v>1638</v>
      </c>
      <c r="Q35" s="661" t="s">
        <v>1626</v>
      </c>
      <c r="R35" s="657">
        <v>-1000000</v>
      </c>
      <c r="S35" s="661"/>
      <c r="T35" s="648" t="str">
        <f t="shared" si="1"/>
        <v>ok</v>
      </c>
      <c r="U35" s="617"/>
      <c r="V35" s="619"/>
      <c r="W35" s="619"/>
      <c r="X35" s="620"/>
    </row>
    <row r="36" spans="1:24" ht="36" customHeight="1">
      <c r="A36" s="25" t="s">
        <v>132</v>
      </c>
      <c r="B36" s="64"/>
      <c r="C36" s="26"/>
      <c r="D36" s="26"/>
      <c r="E36" s="26"/>
      <c r="F36" s="27">
        <f t="shared" ref="F36:N36" si="57">SUM(F37:F57)/2</f>
        <v>1117130075</v>
      </c>
      <c r="G36" s="27">
        <f t="shared" si="57"/>
        <v>1955084135</v>
      </c>
      <c r="H36" s="27">
        <f t="shared" si="57"/>
        <v>-943570492</v>
      </c>
      <c r="I36" s="27">
        <f t="shared" si="57"/>
        <v>-11526840</v>
      </c>
      <c r="J36" s="27">
        <f t="shared" si="57"/>
        <v>3108256</v>
      </c>
      <c r="K36" s="27">
        <f t="shared" si="57"/>
        <v>1108711491</v>
      </c>
      <c r="L36" s="27">
        <f t="shared" si="57"/>
        <v>-11526840</v>
      </c>
      <c r="M36" s="27">
        <f t="shared" si="57"/>
        <v>3108256</v>
      </c>
      <c r="N36" s="27">
        <f t="shared" si="57"/>
        <v>1108711491</v>
      </c>
      <c r="O36" s="27"/>
      <c r="P36" s="345"/>
      <c r="Q36" s="27"/>
      <c r="R36" s="27">
        <f>SUM(R37:R57)/2</f>
        <v>-8472499</v>
      </c>
      <c r="S36" s="27">
        <f>SUM(S37:S57)/2</f>
        <v>53915</v>
      </c>
      <c r="T36" s="104" t="str">
        <f t="shared" si="1"/>
        <v>ok</v>
      </c>
      <c r="U36" s="9"/>
      <c r="V36" s="27">
        <f>SUM(V37:V57)/2</f>
        <v>0</v>
      </c>
      <c r="W36" s="27">
        <f>SUM(W37:W57)/2</f>
        <v>0</v>
      </c>
      <c r="X36" s="27"/>
    </row>
    <row r="37" spans="1:24" ht="36" customHeight="1">
      <c r="A37" s="114"/>
      <c r="B37" s="340" t="s">
        <v>133</v>
      </c>
      <c r="C37" s="30"/>
      <c r="D37" s="31"/>
      <c r="E37" s="30"/>
      <c r="F37" s="32">
        <f t="shared" ref="F37:N37" si="58">SUM(F38:F55)</f>
        <v>1117128198</v>
      </c>
      <c r="G37" s="32">
        <f t="shared" si="58"/>
        <v>1955083067</v>
      </c>
      <c r="H37" s="32">
        <f t="shared" si="58"/>
        <v>-943571301</v>
      </c>
      <c r="I37" s="32">
        <f t="shared" si="58"/>
        <v>-11526840</v>
      </c>
      <c r="J37" s="32">
        <f t="shared" si="58"/>
        <v>3107772</v>
      </c>
      <c r="K37" s="32">
        <f t="shared" si="58"/>
        <v>1108709130</v>
      </c>
      <c r="L37" s="32">
        <f t="shared" si="58"/>
        <v>-11526840</v>
      </c>
      <c r="M37" s="32">
        <f t="shared" si="58"/>
        <v>3107772</v>
      </c>
      <c r="N37" s="32">
        <f t="shared" si="58"/>
        <v>1108709130</v>
      </c>
      <c r="O37" s="32"/>
      <c r="P37" s="346"/>
      <c r="Q37" s="32"/>
      <c r="R37" s="32">
        <f>SUM(R38:R55)</f>
        <v>-8472499</v>
      </c>
      <c r="S37" s="32">
        <f>SUM(S38:S55)</f>
        <v>53431</v>
      </c>
      <c r="T37" s="104" t="str">
        <f t="shared" si="1"/>
        <v>ok</v>
      </c>
      <c r="U37" s="98"/>
      <c r="V37" s="32">
        <f>SUM(V38:V55)</f>
        <v>0</v>
      </c>
      <c r="W37" s="32">
        <f>SUM(W38:W55)</f>
        <v>0</v>
      </c>
      <c r="X37" s="32"/>
    </row>
    <row r="38" spans="1:24" ht="46.5" customHeight="1">
      <c r="A38" s="115"/>
      <c r="B38" s="341" t="str">
        <f>IF(SUMPRODUCT(COUNTIF(C38,{"*본예산*","*1회추경*","*신규*"})),"추가"," 2회")</f>
        <v xml:space="preserve"> 2회</v>
      </c>
      <c r="C38" s="100">
        <v>332</v>
      </c>
      <c r="D38" s="101" t="s">
        <v>134</v>
      </c>
      <c r="E38" s="272" t="s">
        <v>408</v>
      </c>
      <c r="F38" s="95">
        <v>397051000</v>
      </c>
      <c r="G38" s="95">
        <v>387584041</v>
      </c>
      <c r="H38" s="102">
        <f>IF(SUMPRODUCT(COUNTIF(C38,{"*본예산*","*1회추경*","*신규*"})),"-",F38-G38)</f>
        <v>9466959</v>
      </c>
      <c r="I38" s="95"/>
      <c r="J38" s="95">
        <v>500000</v>
      </c>
      <c r="K38" s="102">
        <f t="shared" ref="K38:K55" si="59">F38+I38+J38</f>
        <v>397551000</v>
      </c>
      <c r="L38" s="103"/>
      <c r="M38" s="103">
        <f>J38</f>
        <v>500000</v>
      </c>
      <c r="N38" s="102">
        <f t="shared" ref="N38:N55" si="60">F38+L38+M38</f>
        <v>397551000</v>
      </c>
      <c r="O38" s="104" t="str">
        <f t="shared" ref="O38:O55" si="61">IF(I38-L38&lt;0,"동의필요","-")</f>
        <v>-</v>
      </c>
      <c r="P38" s="323" t="s">
        <v>135</v>
      </c>
      <c r="Q38" s="103" t="s">
        <v>90</v>
      </c>
      <c r="R38" s="103">
        <v>500000</v>
      </c>
      <c r="S38" s="103"/>
      <c r="T38" s="104" t="str">
        <f t="shared" si="1"/>
        <v>ok</v>
      </c>
      <c r="U38" s="98"/>
      <c r="V38" s="105"/>
      <c r="W38" s="105"/>
      <c r="X38" s="106"/>
    </row>
    <row r="39" spans="1:24" ht="46.5" customHeight="1">
      <c r="A39" s="115"/>
      <c r="B39" s="341" t="str">
        <f>IF(SUMPRODUCT(COUNTIF(C39,{"*본예산*","*1회추경*","*신규*"})),"추가"," 2회")</f>
        <v xml:space="preserve"> 2회</v>
      </c>
      <c r="C39" s="100">
        <v>332</v>
      </c>
      <c r="D39" s="101" t="s">
        <v>134</v>
      </c>
      <c r="E39" s="272" t="s">
        <v>409</v>
      </c>
      <c r="F39" s="95">
        <v>87787000</v>
      </c>
      <c r="G39" s="95">
        <v>82347323</v>
      </c>
      <c r="H39" s="102">
        <f>IF(SUMPRODUCT(COUNTIF(C39,{"*본예산*","*1회추경*","*신규*"})),"-",F39-G39)</f>
        <v>5439677</v>
      </c>
      <c r="I39" s="95">
        <v>-300000</v>
      </c>
      <c r="J39" s="95"/>
      <c r="K39" s="102">
        <f t="shared" si="59"/>
        <v>87487000</v>
      </c>
      <c r="L39" s="661">
        <f>I39</f>
        <v>-300000</v>
      </c>
      <c r="M39" s="103"/>
      <c r="N39" s="102">
        <f t="shared" si="60"/>
        <v>87487000</v>
      </c>
      <c r="O39" s="104" t="str">
        <f t="shared" si="61"/>
        <v>-</v>
      </c>
      <c r="P39" s="323" t="s">
        <v>135</v>
      </c>
      <c r="Q39" s="103" t="s">
        <v>90</v>
      </c>
      <c r="R39" s="103">
        <v>-300000</v>
      </c>
      <c r="S39" s="103"/>
      <c r="T39" s="104" t="str">
        <f t="shared" si="1"/>
        <v>ok</v>
      </c>
      <c r="U39" s="98"/>
      <c r="V39" s="105"/>
      <c r="W39" s="105"/>
      <c r="X39" s="106"/>
    </row>
    <row r="40" spans="1:24" ht="46.5" customHeight="1">
      <c r="A40" s="115"/>
      <c r="B40" s="341" t="str">
        <f>IF(SUMPRODUCT(COUNTIF(C40,{"*본예산*","*1회추경*","*신규*"})),"추가"," 2회")</f>
        <v xml:space="preserve"> 2회</v>
      </c>
      <c r="C40" s="100">
        <v>332</v>
      </c>
      <c r="D40" s="101" t="s">
        <v>134</v>
      </c>
      <c r="E40" s="272" t="s">
        <v>410</v>
      </c>
      <c r="F40" s="95">
        <v>14540000</v>
      </c>
      <c r="G40" s="95">
        <v>18029510</v>
      </c>
      <c r="H40" s="102">
        <f>IF(SUMPRODUCT(COUNTIF(C40,{"*본예산*","*1회추경*","*신규*"})),"-",F40-G40)</f>
        <v>-3489510</v>
      </c>
      <c r="I40" s="95"/>
      <c r="J40" s="95">
        <v>465000</v>
      </c>
      <c r="K40" s="102">
        <f t="shared" si="59"/>
        <v>15005000</v>
      </c>
      <c r="L40" s="103"/>
      <c r="M40" s="103">
        <f>J40</f>
        <v>465000</v>
      </c>
      <c r="N40" s="102">
        <f t="shared" si="60"/>
        <v>15005000</v>
      </c>
      <c r="O40" s="104" t="str">
        <f t="shared" si="61"/>
        <v>-</v>
      </c>
      <c r="P40" s="323" t="s">
        <v>135</v>
      </c>
      <c r="Q40" s="103" t="s">
        <v>90</v>
      </c>
      <c r="R40" s="103">
        <v>465000</v>
      </c>
      <c r="S40" s="103"/>
      <c r="T40" s="104" t="str">
        <f t="shared" si="1"/>
        <v>ok</v>
      </c>
      <c r="U40" s="98"/>
      <c r="V40" s="105"/>
      <c r="W40" s="105"/>
      <c r="X40" s="106"/>
    </row>
    <row r="41" spans="1:24" ht="46.5" customHeight="1">
      <c r="A41" s="115"/>
      <c r="B41" s="341" t="str">
        <f>IF(SUMPRODUCT(COUNTIF(C41,{"*본예산*","*1회추경*","*신규*"})),"추가"," 2회")</f>
        <v xml:space="preserve"> 2회</v>
      </c>
      <c r="C41" s="100">
        <v>332</v>
      </c>
      <c r="D41" s="101" t="s">
        <v>134</v>
      </c>
      <c r="E41" s="272" t="s">
        <v>411</v>
      </c>
      <c r="F41" s="95">
        <v>3216000</v>
      </c>
      <c r="G41" s="95">
        <v>3064398</v>
      </c>
      <c r="H41" s="102">
        <f>IF(SUMPRODUCT(COUNTIF(C41,{"*본예산*","*1회추경*","*신규*"})),"-",F41-G41)</f>
        <v>151602</v>
      </c>
      <c r="I41" s="95"/>
      <c r="J41" s="95">
        <v>49472</v>
      </c>
      <c r="K41" s="102">
        <f t="shared" si="59"/>
        <v>3265472</v>
      </c>
      <c r="L41" s="103"/>
      <c r="M41" s="661">
        <f t="shared" ref="M41:M44" si="62">J41</f>
        <v>49472</v>
      </c>
      <c r="N41" s="102">
        <f t="shared" si="60"/>
        <v>3265472</v>
      </c>
      <c r="O41" s="104" t="str">
        <f t="shared" si="61"/>
        <v>-</v>
      </c>
      <c r="P41" s="323" t="s">
        <v>135</v>
      </c>
      <c r="Q41" s="103" t="s">
        <v>90</v>
      </c>
      <c r="R41" s="103">
        <v>49472</v>
      </c>
      <c r="S41" s="103"/>
      <c r="T41" s="104" t="str">
        <f t="shared" si="1"/>
        <v>ok</v>
      </c>
      <c r="U41" s="98"/>
      <c r="V41" s="105"/>
      <c r="W41" s="105"/>
      <c r="X41" s="106"/>
    </row>
    <row r="42" spans="1:24" ht="46.5" customHeight="1">
      <c r="A42" s="115"/>
      <c r="B42" s="341" t="str">
        <f>IF(SUMPRODUCT(COUNTIF(C42,{"*본예산*","*1회추경*","*신규*"})),"추가"," 2회")</f>
        <v>추가</v>
      </c>
      <c r="C42" s="107" t="s">
        <v>136</v>
      </c>
      <c r="D42" s="101" t="s">
        <v>134</v>
      </c>
      <c r="E42" s="272" t="s">
        <v>137</v>
      </c>
      <c r="F42" s="95">
        <v>319627</v>
      </c>
      <c r="G42" s="95"/>
      <c r="H42" s="102" t="str">
        <f>IF(SUMPRODUCT(COUNTIF(C42,{"*본예산*","*1회추경*","*신규*"})),"-",F42-G42)</f>
        <v>-</v>
      </c>
      <c r="I42" s="95"/>
      <c r="J42" s="95">
        <v>28000</v>
      </c>
      <c r="K42" s="102">
        <f t="shared" si="59"/>
        <v>347627</v>
      </c>
      <c r="L42" s="103"/>
      <c r="M42" s="661">
        <f t="shared" si="62"/>
        <v>28000</v>
      </c>
      <c r="N42" s="102">
        <f t="shared" si="60"/>
        <v>347627</v>
      </c>
      <c r="O42" s="104" t="str">
        <f t="shared" si="61"/>
        <v>-</v>
      </c>
      <c r="P42" s="323" t="s">
        <v>138</v>
      </c>
      <c r="Q42" s="103" t="s">
        <v>90</v>
      </c>
      <c r="R42" s="103">
        <v>28000</v>
      </c>
      <c r="S42" s="103"/>
      <c r="T42" s="104" t="str">
        <f t="shared" si="1"/>
        <v>ok</v>
      </c>
      <c r="U42" s="98"/>
      <c r="V42" s="105"/>
      <c r="W42" s="105"/>
      <c r="X42" s="106"/>
    </row>
    <row r="43" spans="1:24" ht="46.5" customHeight="1">
      <c r="A43" s="115"/>
      <c r="B43" s="341" t="str">
        <f>IF(SUMPRODUCT(COUNTIF(C43,{"*본예산*","*1회추경*","*신규*"})),"추가"," 2회")</f>
        <v>추가</v>
      </c>
      <c r="C43" s="107" t="s">
        <v>136</v>
      </c>
      <c r="D43" s="101" t="s">
        <v>134</v>
      </c>
      <c r="E43" s="140" t="s">
        <v>139</v>
      </c>
      <c r="F43" s="95">
        <v>280000</v>
      </c>
      <c r="G43" s="95"/>
      <c r="H43" s="102" t="str">
        <f>IF(SUMPRODUCT(COUNTIF(C43,{"*본예산*","*1회추경*","*신규*"})),"-",F43-G43)</f>
        <v>-</v>
      </c>
      <c r="I43" s="95"/>
      <c r="J43" s="95">
        <v>216000</v>
      </c>
      <c r="K43" s="102">
        <f t="shared" si="59"/>
        <v>496000</v>
      </c>
      <c r="L43" s="103"/>
      <c r="M43" s="661">
        <f t="shared" si="62"/>
        <v>216000</v>
      </c>
      <c r="N43" s="102">
        <f t="shared" si="60"/>
        <v>496000</v>
      </c>
      <c r="O43" s="104" t="str">
        <f t="shared" si="61"/>
        <v>-</v>
      </c>
      <c r="P43" s="323" t="s">
        <v>140</v>
      </c>
      <c r="Q43" s="103" t="s">
        <v>90</v>
      </c>
      <c r="R43" s="103">
        <v>216000</v>
      </c>
      <c r="S43" s="103"/>
      <c r="T43" s="104" t="str">
        <f t="shared" si="1"/>
        <v>ok</v>
      </c>
      <c r="U43" s="98"/>
      <c r="V43" s="105"/>
      <c r="W43" s="105"/>
      <c r="X43" s="106"/>
    </row>
    <row r="44" spans="1:24" ht="46.5" customHeight="1">
      <c r="A44" s="115"/>
      <c r="B44" s="341" t="str">
        <f>IF(SUMPRODUCT(COUNTIF(C44,{"*본예산*","*1회추경*","*신규*"})),"추가"," 2회")</f>
        <v>추가</v>
      </c>
      <c r="C44" s="100" t="s">
        <v>1024</v>
      </c>
      <c r="D44" s="101" t="s">
        <v>134</v>
      </c>
      <c r="E44" s="140" t="s">
        <v>141</v>
      </c>
      <c r="F44" s="95"/>
      <c r="G44" s="95"/>
      <c r="H44" s="102" t="str">
        <f>IF(SUMPRODUCT(COUNTIF(C44,{"*본예산*","*1회추경*","*신규*"})),"-",F44-G44)</f>
        <v>-</v>
      </c>
      <c r="I44" s="95"/>
      <c r="J44" s="95">
        <v>114637</v>
      </c>
      <c r="K44" s="102">
        <f t="shared" si="59"/>
        <v>114637</v>
      </c>
      <c r="L44" s="103"/>
      <c r="M44" s="661">
        <f t="shared" si="62"/>
        <v>114637</v>
      </c>
      <c r="N44" s="102">
        <f t="shared" si="60"/>
        <v>114637</v>
      </c>
      <c r="O44" s="104" t="str">
        <f t="shared" si="61"/>
        <v>-</v>
      </c>
      <c r="P44" s="323" t="s">
        <v>142</v>
      </c>
      <c r="Q44" s="103" t="s">
        <v>143</v>
      </c>
      <c r="R44" s="103">
        <v>114637</v>
      </c>
      <c r="S44" s="103"/>
      <c r="T44" s="104" t="str">
        <f t="shared" si="1"/>
        <v>ok</v>
      </c>
      <c r="U44" s="98"/>
      <c r="V44" s="105"/>
      <c r="W44" s="105"/>
      <c r="X44" s="106"/>
    </row>
    <row r="45" spans="1:24" ht="46.5" customHeight="1">
      <c r="A45" s="115"/>
      <c r="B45" s="341" t="str">
        <f>IF(SUMPRODUCT(COUNTIF(C45,{"*본예산*","*1회추경*","*신규*"})),"추가"," 2회")</f>
        <v xml:space="preserve"> 2회</v>
      </c>
      <c r="C45" s="100">
        <v>332</v>
      </c>
      <c r="D45" s="101" t="s">
        <v>144</v>
      </c>
      <c r="E45" s="140" t="s">
        <v>145</v>
      </c>
      <c r="F45" s="95">
        <v>495519252</v>
      </c>
      <c r="G45" s="95">
        <v>488019265</v>
      </c>
      <c r="H45" s="102">
        <f>IF(SUMPRODUCT(COUNTIF(C45,{"*본예산*","*1회추경*","*신규*"})),"-",F45-G45)</f>
        <v>7499987</v>
      </c>
      <c r="I45" s="95">
        <v>-311381</v>
      </c>
      <c r="J45" s="95"/>
      <c r="K45" s="102">
        <f t="shared" si="59"/>
        <v>495207871</v>
      </c>
      <c r="L45" s="661">
        <f t="shared" ref="L45:L46" si="63">I45</f>
        <v>-311381</v>
      </c>
      <c r="M45" s="103"/>
      <c r="N45" s="102">
        <f t="shared" si="60"/>
        <v>495207871</v>
      </c>
      <c r="O45" s="104" t="str">
        <f t="shared" si="61"/>
        <v>-</v>
      </c>
      <c r="P45" s="323" t="s">
        <v>146</v>
      </c>
      <c r="Q45" s="103" t="s">
        <v>90</v>
      </c>
      <c r="R45" s="103">
        <v>-311381</v>
      </c>
      <c r="S45" s="103"/>
      <c r="T45" s="104" t="str">
        <f t="shared" si="1"/>
        <v>ok</v>
      </c>
      <c r="U45" s="98"/>
      <c r="V45" s="105"/>
      <c r="W45" s="105"/>
      <c r="X45" s="106"/>
    </row>
    <row r="46" spans="1:24" ht="46.5" customHeight="1">
      <c r="A46" s="115"/>
      <c r="B46" s="341" t="str">
        <f>IF(SUMPRODUCT(COUNTIF(C46,{"*본예산*","*1회추경*","*신규*"})),"추가"," 2회")</f>
        <v>추가</v>
      </c>
      <c r="C46" s="107" t="s">
        <v>147</v>
      </c>
      <c r="D46" s="101" t="s">
        <v>148</v>
      </c>
      <c r="E46" s="140" t="s">
        <v>149</v>
      </c>
      <c r="F46" s="95">
        <v>58890831</v>
      </c>
      <c r="G46" s="95"/>
      <c r="H46" s="102" t="str">
        <f>IF(SUMPRODUCT(COUNTIF(C46,{"*본예산*","*1회추경*","*신규*"})),"-",F46-G46)</f>
        <v>-</v>
      </c>
      <c r="I46" s="95">
        <v>-1000000</v>
      </c>
      <c r="J46" s="95"/>
      <c r="K46" s="102">
        <f>F46+I46+J46</f>
        <v>57890831</v>
      </c>
      <c r="L46" s="661">
        <f t="shared" si="63"/>
        <v>-1000000</v>
      </c>
      <c r="M46" s="103"/>
      <c r="N46" s="102">
        <f>F46+L46+M46</f>
        <v>57890831</v>
      </c>
      <c r="O46" s="104" t="str">
        <f>IF(I46-L46&lt;0,"동의필요","-")</f>
        <v>-</v>
      </c>
      <c r="P46" s="323" t="s">
        <v>150</v>
      </c>
      <c r="Q46" s="103" t="s">
        <v>90</v>
      </c>
      <c r="R46" s="103">
        <v>-1000000</v>
      </c>
      <c r="S46" s="103"/>
      <c r="T46" s="104" t="str">
        <f>IF((I46+J46)=(R46+S46),"ok","검토")</f>
        <v>ok</v>
      </c>
      <c r="U46" s="98"/>
      <c r="V46" s="105"/>
      <c r="W46" s="105"/>
      <c r="X46" s="106"/>
    </row>
    <row r="47" spans="1:24" ht="46.5" customHeight="1">
      <c r="A47" s="115"/>
      <c r="B47" s="341" t="str">
        <f>IF(SUMPRODUCT(COUNTIF(C47,{"*본예산*","*1회추경*","*신규*"})),"추가"," 2회")</f>
        <v>추가</v>
      </c>
      <c r="C47" s="107" t="s">
        <v>151</v>
      </c>
      <c r="D47" s="101" t="s">
        <v>148</v>
      </c>
      <c r="E47" s="140" t="s">
        <v>152</v>
      </c>
      <c r="F47" s="95">
        <v>14153022</v>
      </c>
      <c r="G47" s="95"/>
      <c r="H47" s="102" t="str">
        <f>IF(SUMPRODUCT(COUNTIF(C47,{"*본예산*","*1회추경*","*신규*"})),"-",F47-G47)</f>
        <v>-</v>
      </c>
      <c r="I47" s="95"/>
      <c r="J47" s="95">
        <v>1346000</v>
      </c>
      <c r="K47" s="102">
        <f t="shared" si="59"/>
        <v>15499022</v>
      </c>
      <c r="L47" s="103"/>
      <c r="M47" s="661">
        <f t="shared" ref="M47:M48" si="64">J47</f>
        <v>1346000</v>
      </c>
      <c r="N47" s="102">
        <f t="shared" si="60"/>
        <v>15499022</v>
      </c>
      <c r="O47" s="104" t="str">
        <f t="shared" si="61"/>
        <v>-</v>
      </c>
      <c r="P47" s="323" t="s">
        <v>153</v>
      </c>
      <c r="Q47" s="103" t="s">
        <v>90</v>
      </c>
      <c r="R47" s="103">
        <v>1346000</v>
      </c>
      <c r="S47" s="103"/>
      <c r="T47" s="104" t="str">
        <f t="shared" si="1"/>
        <v>ok</v>
      </c>
      <c r="U47" s="98"/>
      <c r="V47" s="105"/>
      <c r="W47" s="105"/>
      <c r="X47" s="106"/>
    </row>
    <row r="48" spans="1:24" s="480" customFormat="1" ht="46.5" customHeight="1">
      <c r="A48" s="487"/>
      <c r="B48" s="341" t="str">
        <f>IF(SUMPRODUCT(COUNTIF(C48,{"*본예산*","*1회추경*","*신규*"})),"추가"," 2회")</f>
        <v>추가</v>
      </c>
      <c r="C48" s="380" t="s">
        <v>151</v>
      </c>
      <c r="D48" s="379" t="s">
        <v>148</v>
      </c>
      <c r="E48" s="488" t="s">
        <v>154</v>
      </c>
      <c r="F48" s="481">
        <v>1977936</v>
      </c>
      <c r="G48" s="481"/>
      <c r="H48" s="483" t="str">
        <f>IF(SUMPRODUCT(COUNTIF(C48,{"*본예산*","*1회추경*","*신규*"})),"-",F48-G48)</f>
        <v>-</v>
      </c>
      <c r="I48" s="481"/>
      <c r="J48" s="481">
        <v>266757</v>
      </c>
      <c r="K48" s="483">
        <f t="shared" ref="K48:K51" si="65">F48+I48+J48</f>
        <v>2244693</v>
      </c>
      <c r="L48" s="377"/>
      <c r="M48" s="661">
        <f t="shared" si="64"/>
        <v>266757</v>
      </c>
      <c r="N48" s="483">
        <f t="shared" ref="N48:N51" si="66">F48+L48+M48</f>
        <v>2244693</v>
      </c>
      <c r="O48" s="484" t="str">
        <f t="shared" ref="O48:O51" si="67">IF(I48-L48&lt;0,"동의필요","-")</f>
        <v>-</v>
      </c>
      <c r="P48" s="323" t="s">
        <v>155</v>
      </c>
      <c r="Q48" s="377" t="s">
        <v>90</v>
      </c>
      <c r="R48" s="377">
        <v>266757</v>
      </c>
      <c r="S48" s="377"/>
      <c r="T48" s="484" t="str">
        <f t="shared" ref="T48:T51" si="68">IF((I48+J48)=(R48+S48),"ok","검토")</f>
        <v>ok</v>
      </c>
      <c r="U48" s="482"/>
      <c r="V48" s="485"/>
      <c r="W48" s="485"/>
      <c r="X48" s="486"/>
    </row>
    <row r="49" spans="1:24" s="480" customFormat="1" ht="46.5" customHeight="1">
      <c r="A49" s="487"/>
      <c r="B49" s="341" t="str">
        <f>IF(SUMPRODUCT(COUNTIF(C49,{"*본예산*","*1회추경*","*신규*"})),"추가"," 2회")</f>
        <v>추가</v>
      </c>
      <c r="C49" s="380" t="s">
        <v>151</v>
      </c>
      <c r="D49" s="379" t="s">
        <v>156</v>
      </c>
      <c r="E49" s="488" t="s">
        <v>157</v>
      </c>
      <c r="F49" s="481">
        <v>21184872</v>
      </c>
      <c r="G49" s="481"/>
      <c r="H49" s="483" t="str">
        <f>IF(SUMPRODUCT(COUNTIF(C49,{"*본예산*","*1회추경*","*신규*"})),"-",F49-G49)</f>
        <v>-</v>
      </c>
      <c r="I49" s="481">
        <v>-6845954</v>
      </c>
      <c r="J49" s="481"/>
      <c r="K49" s="483">
        <f t="shared" si="65"/>
        <v>14338918</v>
      </c>
      <c r="L49" s="377">
        <f>I49</f>
        <v>-6845954</v>
      </c>
      <c r="M49" s="377"/>
      <c r="N49" s="483">
        <f t="shared" si="66"/>
        <v>14338918</v>
      </c>
      <c r="O49" s="484" t="str">
        <f t="shared" si="67"/>
        <v>-</v>
      </c>
      <c r="P49" s="323" t="s">
        <v>158</v>
      </c>
      <c r="Q49" s="377" t="s">
        <v>90</v>
      </c>
      <c r="R49" s="377">
        <v>-6845954</v>
      </c>
      <c r="S49" s="377"/>
      <c r="T49" s="484" t="str">
        <f t="shared" si="68"/>
        <v>ok</v>
      </c>
      <c r="U49" s="482"/>
      <c r="V49" s="485"/>
      <c r="W49" s="485"/>
      <c r="X49" s="486"/>
    </row>
    <row r="50" spans="1:24" s="480" customFormat="1" ht="46.5" customHeight="1">
      <c r="A50" s="487"/>
      <c r="B50" s="341" t="str">
        <f>IF(SUMPRODUCT(COUNTIF(C50,{"*본예산*","*1회추경*","*신규*"})),"추가"," 2회")</f>
        <v>추가</v>
      </c>
      <c r="C50" s="380" t="s">
        <v>159</v>
      </c>
      <c r="D50" s="379" t="s">
        <v>160</v>
      </c>
      <c r="E50" s="488" t="s">
        <v>161</v>
      </c>
      <c r="F50" s="481">
        <v>30000</v>
      </c>
      <c r="G50" s="481"/>
      <c r="H50" s="483" t="str">
        <f>IF(SUMPRODUCT(COUNTIF(C50,{"*본예산*","*1회추경*","*신규*"})),"-",F50-G50)</f>
        <v>-</v>
      </c>
      <c r="I50" s="481">
        <v>-500</v>
      </c>
      <c r="J50" s="481"/>
      <c r="K50" s="483">
        <f t="shared" si="65"/>
        <v>29500</v>
      </c>
      <c r="L50" s="661">
        <f t="shared" ref="L50:L51" si="69">I50</f>
        <v>-500</v>
      </c>
      <c r="M50" s="377"/>
      <c r="N50" s="483">
        <f t="shared" si="66"/>
        <v>29500</v>
      </c>
      <c r="O50" s="484" t="str">
        <f t="shared" si="67"/>
        <v>-</v>
      </c>
      <c r="P50" s="323" t="s">
        <v>162</v>
      </c>
      <c r="Q50" s="377" t="s">
        <v>90</v>
      </c>
      <c r="R50" s="377">
        <v>-500</v>
      </c>
      <c r="S50" s="377"/>
      <c r="T50" s="484" t="str">
        <f t="shared" si="68"/>
        <v>ok</v>
      </c>
      <c r="U50" s="482"/>
      <c r="V50" s="485"/>
      <c r="W50" s="485"/>
      <c r="X50" s="486"/>
    </row>
    <row r="51" spans="1:24" s="480" customFormat="1" ht="46.5" customHeight="1">
      <c r="A51" s="116"/>
      <c r="B51" s="341" t="str">
        <f>IF(SUMPRODUCT(COUNTIF(C51,{"*본예산*","*1회추경*","*신규*"})),"추가"," 2회")</f>
        <v>추가</v>
      </c>
      <c r="C51" s="380" t="s">
        <v>151</v>
      </c>
      <c r="D51" s="379" t="s">
        <v>163</v>
      </c>
      <c r="E51" s="488" t="s">
        <v>164</v>
      </c>
      <c r="F51" s="481">
        <v>3323000</v>
      </c>
      <c r="G51" s="481"/>
      <c r="H51" s="483" t="str">
        <f>IF(SUMPRODUCT(COUNTIF(C51,{"*본예산*","*1회추경*","*신규*"})),"-",F51-G51)</f>
        <v>-</v>
      </c>
      <c r="I51" s="481">
        <v>-1974000</v>
      </c>
      <c r="J51" s="481"/>
      <c r="K51" s="483">
        <f t="shared" si="65"/>
        <v>1349000</v>
      </c>
      <c r="L51" s="661">
        <f t="shared" si="69"/>
        <v>-1974000</v>
      </c>
      <c r="M51" s="377"/>
      <c r="N51" s="483">
        <f t="shared" si="66"/>
        <v>1349000</v>
      </c>
      <c r="O51" s="484" t="str">
        <f t="shared" si="67"/>
        <v>-</v>
      </c>
      <c r="P51" s="323" t="s">
        <v>165</v>
      </c>
      <c r="Q51" s="377" t="s">
        <v>90</v>
      </c>
      <c r="R51" s="377">
        <v>-1974000</v>
      </c>
      <c r="S51" s="377"/>
      <c r="T51" s="484" t="str">
        <f t="shared" si="68"/>
        <v>ok</v>
      </c>
      <c r="U51" s="482"/>
      <c r="V51" s="485"/>
      <c r="W51" s="485"/>
      <c r="X51" s="486"/>
    </row>
    <row r="52" spans="1:24" s="673" customFormat="1" ht="53.25" customHeight="1">
      <c r="A52" s="658"/>
      <c r="B52" s="341" t="str">
        <f>IF(SUMPRODUCT(COUNTIF(C52,{"*본예산*","*1회추경*","*신규*"})),"추가"," 2회")</f>
        <v xml:space="preserve"> 2회</v>
      </c>
      <c r="C52" s="644">
        <v>332</v>
      </c>
      <c r="D52" s="667" t="s">
        <v>144</v>
      </c>
      <c r="E52" s="540" t="s">
        <v>1199</v>
      </c>
      <c r="F52" s="657">
        <v>6990480</v>
      </c>
      <c r="G52" s="657">
        <v>488019265</v>
      </c>
      <c r="H52" s="665">
        <f>IF(SUMPRODUCT(COUNTIF(C52,{"*본예산*","*1회추경*","*신규*"})),"-",F52-G52)</f>
        <v>-481028785</v>
      </c>
      <c r="I52" s="668">
        <v>-1059005</v>
      </c>
      <c r="J52" s="668"/>
      <c r="K52" s="665">
        <f t="shared" si="59"/>
        <v>5931475</v>
      </c>
      <c r="L52" s="634">
        <v>-1059005</v>
      </c>
      <c r="M52" s="661"/>
      <c r="N52" s="665">
        <f t="shared" si="60"/>
        <v>5931475</v>
      </c>
      <c r="O52" s="648" t="str">
        <f t="shared" si="61"/>
        <v>-</v>
      </c>
      <c r="P52" s="323" t="s">
        <v>1639</v>
      </c>
      <c r="Q52" s="661" t="s">
        <v>1626</v>
      </c>
      <c r="R52" s="657">
        <v>-1059005</v>
      </c>
      <c r="S52" s="661"/>
      <c r="T52" s="648" t="str">
        <f t="shared" si="1"/>
        <v>ok</v>
      </c>
      <c r="U52" s="617"/>
      <c r="V52" s="619"/>
      <c r="W52" s="619"/>
      <c r="X52" s="620"/>
    </row>
    <row r="53" spans="1:24" s="673" customFormat="1" ht="53.25" customHeight="1">
      <c r="A53" s="658"/>
      <c r="B53" s="341" t="str">
        <f>IF(SUMPRODUCT(COUNTIF(C53,{"*본예산*","*1회추경*","*신규*"})),"추가"," 2회")</f>
        <v xml:space="preserve"> 2회</v>
      </c>
      <c r="C53" s="644">
        <v>334</v>
      </c>
      <c r="D53" s="667" t="s">
        <v>454</v>
      </c>
      <c r="E53" s="540" t="s">
        <v>1200</v>
      </c>
      <c r="F53" s="657">
        <v>6408034</v>
      </c>
      <c r="G53" s="657">
        <v>488019265</v>
      </c>
      <c r="H53" s="665">
        <f>IF(SUMPRODUCT(COUNTIF(C53,{"*본예산*","*1회추경*","*신규*"})),"-",F53-G53)</f>
        <v>-481611231</v>
      </c>
      <c r="I53" s="668"/>
      <c r="J53" s="668">
        <v>68475</v>
      </c>
      <c r="K53" s="665">
        <f t="shared" si="59"/>
        <v>6476509</v>
      </c>
      <c r="L53" s="634"/>
      <c r="M53" s="661">
        <v>68475</v>
      </c>
      <c r="N53" s="665">
        <f t="shared" si="60"/>
        <v>6476509</v>
      </c>
      <c r="O53" s="648" t="str">
        <f t="shared" si="61"/>
        <v>-</v>
      </c>
      <c r="P53" s="323" t="s">
        <v>1640</v>
      </c>
      <c r="Q53" s="661" t="s">
        <v>1626</v>
      </c>
      <c r="R53" s="657">
        <v>68475</v>
      </c>
      <c r="S53" s="661"/>
      <c r="T53" s="648" t="str">
        <f t="shared" si="1"/>
        <v>ok</v>
      </c>
      <c r="U53" s="617"/>
      <c r="V53" s="619"/>
      <c r="W53" s="619"/>
      <c r="X53" s="620"/>
    </row>
    <row r="54" spans="1:24" s="673" customFormat="1" ht="53.25" customHeight="1">
      <c r="A54" s="658"/>
      <c r="B54" s="341" t="str">
        <f>IF(SUMPRODUCT(COUNTIF(C54,{"*본예산*","*1회추경*","*신규*"})),"추가"," 2회")</f>
        <v>추가</v>
      </c>
      <c r="C54" s="644" t="s">
        <v>1641</v>
      </c>
      <c r="D54" s="667" t="s">
        <v>160</v>
      </c>
      <c r="E54" s="540" t="s">
        <v>1645</v>
      </c>
      <c r="F54" s="657">
        <v>891832</v>
      </c>
      <c r="G54" s="657"/>
      <c r="H54" s="665" t="str">
        <f>IF(SUMPRODUCT(COUNTIF(C54,{"*본예산*","*1회추경*","*신규*"})),"-",F54-G54)</f>
        <v>-</v>
      </c>
      <c r="I54" s="668"/>
      <c r="J54" s="668">
        <v>53431</v>
      </c>
      <c r="K54" s="665">
        <f t="shared" si="59"/>
        <v>945263</v>
      </c>
      <c r="L54" s="634"/>
      <c r="M54" s="661">
        <v>53431</v>
      </c>
      <c r="N54" s="665">
        <f t="shared" si="60"/>
        <v>945263</v>
      </c>
      <c r="O54" s="648" t="str">
        <f t="shared" si="61"/>
        <v>-</v>
      </c>
      <c r="P54" s="323" t="s">
        <v>1642</v>
      </c>
      <c r="Q54" s="661" t="s">
        <v>1630</v>
      </c>
      <c r="R54" s="657"/>
      <c r="S54" s="661">
        <v>53431</v>
      </c>
      <c r="T54" s="648" t="str">
        <f t="shared" si="1"/>
        <v>ok</v>
      </c>
      <c r="U54" s="617"/>
      <c r="V54" s="619"/>
      <c r="W54" s="619"/>
      <c r="X54" s="620"/>
    </row>
    <row r="55" spans="1:24" s="673" customFormat="1" ht="53.25" customHeight="1">
      <c r="A55" s="658"/>
      <c r="B55" s="341" t="str">
        <f>IF(SUMPRODUCT(COUNTIF(C55,{"*본예산*","*1회추경*","*신규*"})),"추가"," 2회")</f>
        <v>추가</v>
      </c>
      <c r="C55" s="644" t="s">
        <v>1643</v>
      </c>
      <c r="D55" s="667" t="s">
        <v>160</v>
      </c>
      <c r="E55" s="540" t="s">
        <v>1646</v>
      </c>
      <c r="F55" s="657">
        <v>4565312</v>
      </c>
      <c r="G55" s="657"/>
      <c r="H55" s="665" t="str">
        <f>IF(SUMPRODUCT(COUNTIF(C55,{"*본예산*","*1회추경*","*신규*"})),"-",F55-G55)</f>
        <v>-</v>
      </c>
      <c r="I55" s="668">
        <v>-36000</v>
      </c>
      <c r="J55" s="668"/>
      <c r="K55" s="665">
        <f t="shared" si="59"/>
        <v>4529312</v>
      </c>
      <c r="L55" s="634">
        <v>-36000</v>
      </c>
      <c r="M55" s="661"/>
      <c r="N55" s="665">
        <f t="shared" si="60"/>
        <v>4529312</v>
      </c>
      <c r="O55" s="648" t="str">
        <f t="shared" si="61"/>
        <v>-</v>
      </c>
      <c r="P55" s="323" t="s">
        <v>1644</v>
      </c>
      <c r="Q55" s="661" t="s">
        <v>1626</v>
      </c>
      <c r="R55" s="657">
        <v>-36000</v>
      </c>
      <c r="S55" s="661"/>
      <c r="T55" s="648" t="str">
        <f t="shared" si="1"/>
        <v>ok</v>
      </c>
      <c r="U55" s="617"/>
      <c r="V55" s="619"/>
      <c r="W55" s="619"/>
      <c r="X55" s="620"/>
    </row>
    <row r="56" spans="1:24" ht="27" customHeight="1">
      <c r="A56" s="114"/>
      <c r="B56" s="340" t="s">
        <v>166</v>
      </c>
      <c r="C56" s="30"/>
      <c r="D56" s="31"/>
      <c r="E56" s="30"/>
      <c r="F56" s="32">
        <f>SUM(F57)</f>
        <v>1877</v>
      </c>
      <c r="G56" s="32">
        <f t="shared" ref="G56:N56" si="70">SUM(G57)</f>
        <v>1068</v>
      </c>
      <c r="H56" s="32">
        <f t="shared" si="70"/>
        <v>809</v>
      </c>
      <c r="I56" s="32">
        <f t="shared" si="70"/>
        <v>0</v>
      </c>
      <c r="J56" s="32">
        <f t="shared" si="70"/>
        <v>484</v>
      </c>
      <c r="K56" s="32">
        <f t="shared" si="70"/>
        <v>2361</v>
      </c>
      <c r="L56" s="32">
        <f t="shared" si="70"/>
        <v>0</v>
      </c>
      <c r="M56" s="32">
        <f t="shared" si="70"/>
        <v>484</v>
      </c>
      <c r="N56" s="32">
        <f t="shared" si="70"/>
        <v>2361</v>
      </c>
      <c r="O56" s="32"/>
      <c r="P56" s="346"/>
      <c r="Q56" s="32"/>
      <c r="R56" s="32">
        <f t="shared" ref="R56:S56" si="71">SUM(R57)</f>
        <v>0</v>
      </c>
      <c r="S56" s="32">
        <f t="shared" si="71"/>
        <v>484</v>
      </c>
      <c r="T56" s="30" t="str">
        <f t="shared" si="1"/>
        <v>ok</v>
      </c>
      <c r="U56" s="98"/>
      <c r="V56" s="32">
        <f t="shared" ref="V56:W56" si="72">SUM(V57)</f>
        <v>0</v>
      </c>
      <c r="W56" s="32">
        <f t="shared" si="72"/>
        <v>0</v>
      </c>
      <c r="X56" s="11"/>
    </row>
    <row r="57" spans="1:24" ht="112.5" customHeight="1">
      <c r="A57" s="115"/>
      <c r="B57" s="341" t="str">
        <f>IF(SUMPRODUCT(COUNTIF(C57,{"*본예산*","*1회추경*","*신규*"})),"추가"," 2회")</f>
        <v xml:space="preserve"> 2회</v>
      </c>
      <c r="C57" s="117">
        <v>351</v>
      </c>
      <c r="D57" s="118" t="s">
        <v>167</v>
      </c>
      <c r="E57" s="119" t="s">
        <v>168</v>
      </c>
      <c r="F57" s="120">
        <v>1877</v>
      </c>
      <c r="G57" s="120">
        <v>1068</v>
      </c>
      <c r="H57" s="102">
        <f>IF(SUMPRODUCT(COUNTIF(C57,{"*본예산*","*1회추경*","*신규*"})),"-",F57-G57)</f>
        <v>809</v>
      </c>
      <c r="I57" s="120"/>
      <c r="J57" s="120">
        <v>484</v>
      </c>
      <c r="K57" s="102">
        <f t="shared" ref="K57" si="73">F57+I57+J57</f>
        <v>2361</v>
      </c>
      <c r="L57" s="121"/>
      <c r="M57" s="121">
        <f>J57</f>
        <v>484</v>
      </c>
      <c r="N57" s="102">
        <f t="shared" ref="N57" si="74">F57+L57+M57</f>
        <v>2361</v>
      </c>
      <c r="O57" s="104" t="str">
        <f>IF(I57-L57&lt;0,"동의필요","-")</f>
        <v>-</v>
      </c>
      <c r="P57" s="347" t="s">
        <v>169</v>
      </c>
      <c r="Q57" s="121" t="s">
        <v>97</v>
      </c>
      <c r="R57" s="121"/>
      <c r="S57" s="121">
        <v>484</v>
      </c>
      <c r="T57" s="104" t="str">
        <f t="shared" si="1"/>
        <v>ok</v>
      </c>
      <c r="U57" s="98"/>
      <c r="V57" s="122"/>
      <c r="W57" s="122"/>
      <c r="X57" s="123"/>
    </row>
    <row r="58" spans="1:24" ht="28.5" customHeight="1">
      <c r="A58" s="25" t="s">
        <v>170</v>
      </c>
      <c r="B58" s="64"/>
      <c r="C58" s="26"/>
      <c r="D58" s="26"/>
      <c r="E58" s="26"/>
      <c r="F58" s="27">
        <f t="shared" ref="F58:N58" si="75">SUM(F59:F66)/2</f>
        <v>130343000</v>
      </c>
      <c r="G58" s="27">
        <f t="shared" si="75"/>
        <v>0</v>
      </c>
      <c r="H58" s="27">
        <f t="shared" si="75"/>
        <v>0</v>
      </c>
      <c r="I58" s="27">
        <f t="shared" si="75"/>
        <v>-4052000</v>
      </c>
      <c r="J58" s="27">
        <f t="shared" si="75"/>
        <v>329000</v>
      </c>
      <c r="K58" s="27">
        <f t="shared" si="75"/>
        <v>126620000</v>
      </c>
      <c r="L58" s="27">
        <f t="shared" si="75"/>
        <v>-4052000</v>
      </c>
      <c r="M58" s="27">
        <f t="shared" si="75"/>
        <v>329000</v>
      </c>
      <c r="N58" s="27">
        <f t="shared" si="75"/>
        <v>126620000</v>
      </c>
      <c r="O58" s="27"/>
      <c r="P58" s="345"/>
      <c r="Q58" s="27"/>
      <c r="R58" s="27">
        <f>SUM(R59:R66)/2</f>
        <v>-3723000</v>
      </c>
      <c r="S58" s="27">
        <f>SUM(S59:S66)/2</f>
        <v>0</v>
      </c>
      <c r="T58" s="26" t="str">
        <f t="shared" si="1"/>
        <v>ok</v>
      </c>
      <c r="U58" s="98"/>
      <c r="V58" s="27">
        <f>SUM(V59:V66)/2</f>
        <v>0</v>
      </c>
      <c r="W58" s="27">
        <f>SUM(W59:W66)/2</f>
        <v>0</v>
      </c>
      <c r="X58" s="9"/>
    </row>
    <row r="59" spans="1:24" ht="28.5" customHeight="1">
      <c r="A59" s="99"/>
      <c r="B59" s="340" t="s">
        <v>171</v>
      </c>
      <c r="C59" s="30"/>
      <c r="D59" s="31"/>
      <c r="E59" s="31"/>
      <c r="F59" s="32">
        <f>SUM(F60)</f>
        <v>3039350</v>
      </c>
      <c r="G59" s="32">
        <f t="shared" ref="G59:N59" si="76">SUM(G60)</f>
        <v>0</v>
      </c>
      <c r="H59" s="32">
        <f t="shared" si="76"/>
        <v>0</v>
      </c>
      <c r="I59" s="32">
        <f t="shared" si="76"/>
        <v>0</v>
      </c>
      <c r="J59" s="32">
        <f t="shared" si="76"/>
        <v>90150</v>
      </c>
      <c r="K59" s="32">
        <f t="shared" si="76"/>
        <v>3129500</v>
      </c>
      <c r="L59" s="32">
        <f t="shared" si="76"/>
        <v>0</v>
      </c>
      <c r="M59" s="32">
        <f t="shared" si="76"/>
        <v>90150</v>
      </c>
      <c r="N59" s="32">
        <f t="shared" si="76"/>
        <v>3129500</v>
      </c>
      <c r="O59" s="32"/>
      <c r="P59" s="346"/>
      <c r="Q59" s="32"/>
      <c r="R59" s="32">
        <f t="shared" ref="R59:S59" si="77">SUM(R60)</f>
        <v>90150</v>
      </c>
      <c r="S59" s="32">
        <f t="shared" si="77"/>
        <v>0</v>
      </c>
      <c r="T59" s="30" t="str">
        <f t="shared" si="1"/>
        <v>ok</v>
      </c>
      <c r="U59" s="98"/>
      <c r="V59" s="32">
        <f t="shared" ref="V59:W59" si="78">SUM(V60)</f>
        <v>0</v>
      </c>
      <c r="W59" s="32">
        <f t="shared" si="78"/>
        <v>0</v>
      </c>
      <c r="X59" s="11"/>
    </row>
    <row r="60" spans="1:24" ht="28.5" customHeight="1">
      <c r="A60" s="99"/>
      <c r="B60" s="341" t="str">
        <f>IF(SUMPRODUCT(COUNTIF(C60,{"*본예산*","*1회추경*","*신규*"})),"추가"," 2회")</f>
        <v>추가</v>
      </c>
      <c r="C60" s="112" t="s">
        <v>172</v>
      </c>
      <c r="D60" s="101" t="s">
        <v>173</v>
      </c>
      <c r="E60" s="140" t="s">
        <v>174</v>
      </c>
      <c r="F60" s="95">
        <v>3039350</v>
      </c>
      <c r="G60" s="95"/>
      <c r="H60" s="102" t="str">
        <f>IF(SUMPRODUCT(COUNTIF(C60,{"*본예산*","*1회추경*","*신규*"})),"-",F60-G60)</f>
        <v>-</v>
      </c>
      <c r="I60" s="95"/>
      <c r="J60" s="95">
        <v>90150</v>
      </c>
      <c r="K60" s="102">
        <f t="shared" ref="K60" si="79">F60+I60+J60</f>
        <v>3129500</v>
      </c>
      <c r="L60" s="103"/>
      <c r="M60" s="103">
        <f>J60</f>
        <v>90150</v>
      </c>
      <c r="N60" s="102">
        <f t="shared" ref="N60" si="80">F60+L60+M60</f>
        <v>3129500</v>
      </c>
      <c r="O60" s="104" t="str">
        <f>IF(I60-L60&lt;0,"동의필요","-")</f>
        <v>-</v>
      </c>
      <c r="P60" s="323" t="s">
        <v>175</v>
      </c>
      <c r="Q60" s="103" t="s">
        <v>90</v>
      </c>
      <c r="R60" s="103">
        <v>90150</v>
      </c>
      <c r="S60" s="103"/>
      <c r="T60" s="104" t="str">
        <f t="shared" si="1"/>
        <v>ok</v>
      </c>
      <c r="U60" s="98"/>
      <c r="V60" s="105"/>
      <c r="W60" s="105"/>
      <c r="X60" s="106"/>
    </row>
    <row r="61" spans="1:24" ht="28.5" customHeight="1">
      <c r="A61" s="99"/>
      <c r="B61" s="340" t="s">
        <v>176</v>
      </c>
      <c r="C61" s="30"/>
      <c r="D61" s="31"/>
      <c r="E61" s="31"/>
      <c r="F61" s="32">
        <f>SUM(F62:F64)</f>
        <v>112613650</v>
      </c>
      <c r="G61" s="489">
        <f t="shared" ref="G61:N61" si="81">SUM(G62:G64)</f>
        <v>0</v>
      </c>
      <c r="H61" s="489">
        <f t="shared" si="81"/>
        <v>0</v>
      </c>
      <c r="I61" s="489">
        <f t="shared" si="81"/>
        <v>-3145000</v>
      </c>
      <c r="J61" s="489">
        <f t="shared" si="81"/>
        <v>238850</v>
      </c>
      <c r="K61" s="489">
        <f t="shared" si="81"/>
        <v>109707500</v>
      </c>
      <c r="L61" s="489">
        <f t="shared" si="81"/>
        <v>-3145000</v>
      </c>
      <c r="M61" s="489">
        <f t="shared" si="81"/>
        <v>238850</v>
      </c>
      <c r="N61" s="489">
        <f t="shared" si="81"/>
        <v>109707500</v>
      </c>
      <c r="O61" s="32"/>
      <c r="P61" s="346"/>
      <c r="Q61" s="32"/>
      <c r="R61" s="489">
        <f t="shared" ref="R61:S61" si="82">SUM(R62:R64)</f>
        <v>-2906150</v>
      </c>
      <c r="S61" s="489">
        <f t="shared" si="82"/>
        <v>0</v>
      </c>
      <c r="T61" s="30" t="str">
        <f t="shared" si="1"/>
        <v>ok</v>
      </c>
      <c r="U61" s="98"/>
      <c r="V61" s="357">
        <f>SUM(V64:V64)</f>
        <v>0</v>
      </c>
      <c r="W61" s="357">
        <f>SUM(W64:W64)</f>
        <v>0</v>
      </c>
      <c r="X61" s="11"/>
    </row>
    <row r="62" spans="1:24" s="490" customFormat="1" ht="28.5" customHeight="1">
      <c r="A62" s="493"/>
      <c r="B62" s="341" t="str">
        <f>IF(SUMPRODUCT(COUNTIF(C62,{"*본예산*","*1회추경*","*신규*"})),"추가"," 2회")</f>
        <v>추가</v>
      </c>
      <c r="C62" s="498" t="s">
        <v>177</v>
      </c>
      <c r="D62" s="379" t="s">
        <v>178</v>
      </c>
      <c r="E62" s="499" t="s">
        <v>179</v>
      </c>
      <c r="F62" s="491">
        <v>1261650</v>
      </c>
      <c r="G62" s="491"/>
      <c r="H62" s="494" t="str">
        <f>IF(SUMPRODUCT(COUNTIF(C62,{"*본예산*","*1회추경*","*신규*"})),"-",F62-G62)</f>
        <v>-</v>
      </c>
      <c r="I62" s="491"/>
      <c r="J62" s="491">
        <v>38850</v>
      </c>
      <c r="K62" s="494">
        <f t="shared" ref="K62" si="83">F62+I62+J62</f>
        <v>1300500</v>
      </c>
      <c r="L62" s="111"/>
      <c r="M62" s="111">
        <f>J62</f>
        <v>38850</v>
      </c>
      <c r="N62" s="494">
        <f t="shared" ref="N62" si="84">F62+L62+M62</f>
        <v>1300500</v>
      </c>
      <c r="O62" s="495" t="str">
        <f>IF(I62-L62&lt;0,"동의필요","-")</f>
        <v>-</v>
      </c>
      <c r="P62" s="323" t="s">
        <v>180</v>
      </c>
      <c r="Q62" s="377" t="s">
        <v>90</v>
      </c>
      <c r="R62" s="377">
        <v>38850</v>
      </c>
      <c r="S62" s="377"/>
      <c r="T62" s="495" t="str">
        <f t="shared" si="1"/>
        <v>ok</v>
      </c>
      <c r="U62" s="492"/>
      <c r="V62" s="496"/>
      <c r="W62" s="496"/>
      <c r="X62" s="497"/>
    </row>
    <row r="63" spans="1:24" s="673" customFormat="1" ht="62.25" customHeight="1">
      <c r="A63" s="658"/>
      <c r="B63" s="341" t="str">
        <f>IF(SUMPRODUCT(COUNTIF(C63,{"*본예산*","*1회추경*","*신규*"})),"추가"," 2회")</f>
        <v>추가</v>
      </c>
      <c r="C63" s="498" t="s">
        <v>1647</v>
      </c>
      <c r="D63" s="659" t="s">
        <v>871</v>
      </c>
      <c r="E63" s="550" t="s">
        <v>1205</v>
      </c>
      <c r="F63" s="657">
        <v>109003000</v>
      </c>
      <c r="G63" s="657"/>
      <c r="H63" s="665" t="str">
        <f>IF(SUMPRODUCT(COUNTIF(C63,{"*본예산*","*1회추경*","*신규*"})),"-",F63-G63)</f>
        <v>-</v>
      </c>
      <c r="I63" s="657">
        <v>-3145000</v>
      </c>
      <c r="J63" s="657"/>
      <c r="K63" s="665">
        <f t="shared" ref="K63" si="85">F63+I63+J63</f>
        <v>105858000</v>
      </c>
      <c r="L63" s="634">
        <v>-3145000</v>
      </c>
      <c r="M63" s="634"/>
      <c r="N63" s="665">
        <f t="shared" ref="N63" si="86">F63+L63+M63</f>
        <v>105858000</v>
      </c>
      <c r="O63" s="648" t="str">
        <f>IF(I63-L63&lt;0,"동의필요","-")</f>
        <v>-</v>
      </c>
      <c r="P63" s="323" t="s">
        <v>1207</v>
      </c>
      <c r="Q63" s="661" t="s">
        <v>907</v>
      </c>
      <c r="R63" s="661">
        <v>-3145000</v>
      </c>
      <c r="S63" s="661"/>
      <c r="T63" s="648" t="str">
        <f t="shared" ref="T63" si="87">IF((I63+J63)=(R63+S63),"ok","검토")</f>
        <v>ok</v>
      </c>
      <c r="U63" s="617"/>
      <c r="V63" s="619"/>
      <c r="W63" s="619"/>
      <c r="X63" s="620"/>
    </row>
    <row r="64" spans="1:24" s="673" customFormat="1" ht="62.25" customHeight="1">
      <c r="A64" s="658"/>
      <c r="B64" s="341" t="str">
        <f>IF(SUMPRODUCT(COUNTIF(C64,{"*본예산*","*1회추경*","*신규*"})),"추가"," 2회")</f>
        <v>추가</v>
      </c>
      <c r="C64" s="498" t="s">
        <v>1648</v>
      </c>
      <c r="D64" s="659" t="s">
        <v>871</v>
      </c>
      <c r="E64" s="550" t="s">
        <v>1206</v>
      </c>
      <c r="F64" s="657">
        <v>2349000</v>
      </c>
      <c r="G64" s="657"/>
      <c r="H64" s="665" t="str">
        <f>IF(SUMPRODUCT(COUNTIF(C64,{"*본예산*","*1회추경*","*신규*"})),"-",F64-G64)</f>
        <v>-</v>
      </c>
      <c r="I64" s="657"/>
      <c r="J64" s="657">
        <v>200000</v>
      </c>
      <c r="K64" s="665">
        <f t="shared" ref="K64" si="88">F64+I64+J64</f>
        <v>2549000</v>
      </c>
      <c r="L64" s="634"/>
      <c r="M64" s="634">
        <v>200000</v>
      </c>
      <c r="N64" s="665">
        <f t="shared" ref="N64" si="89">F64+L64+M64</f>
        <v>2549000</v>
      </c>
      <c r="O64" s="648" t="str">
        <f>IF(I64-L64&lt;0,"동의필요","-")</f>
        <v>-</v>
      </c>
      <c r="P64" s="323" t="s">
        <v>1208</v>
      </c>
      <c r="Q64" s="661" t="s">
        <v>90</v>
      </c>
      <c r="R64" s="661">
        <v>200000</v>
      </c>
      <c r="S64" s="661"/>
      <c r="T64" s="648" t="str">
        <f t="shared" si="1"/>
        <v>ok</v>
      </c>
      <c r="U64" s="617"/>
      <c r="V64" s="619"/>
      <c r="W64" s="619"/>
      <c r="X64" s="620"/>
    </row>
    <row r="65" spans="1:24" ht="28.5" customHeight="1">
      <c r="A65" s="99"/>
      <c r="B65" s="340" t="s">
        <v>181</v>
      </c>
      <c r="C65" s="30"/>
      <c r="D65" s="31"/>
      <c r="E65" s="31"/>
      <c r="F65" s="32">
        <f>SUM(F66)</f>
        <v>14690000</v>
      </c>
      <c r="G65" s="32">
        <f t="shared" ref="G65:N65" si="90">SUM(G66)</f>
        <v>0</v>
      </c>
      <c r="H65" s="32">
        <f t="shared" si="90"/>
        <v>0</v>
      </c>
      <c r="I65" s="32">
        <f t="shared" si="90"/>
        <v>-907000</v>
      </c>
      <c r="J65" s="32">
        <f t="shared" si="90"/>
        <v>0</v>
      </c>
      <c r="K65" s="32">
        <f t="shared" si="90"/>
        <v>13783000</v>
      </c>
      <c r="L65" s="32">
        <f t="shared" si="90"/>
        <v>-907000</v>
      </c>
      <c r="M65" s="32">
        <f t="shared" si="90"/>
        <v>0</v>
      </c>
      <c r="N65" s="32">
        <f t="shared" si="90"/>
        <v>13783000</v>
      </c>
      <c r="O65" s="32"/>
      <c r="P65" s="346"/>
      <c r="Q65" s="32"/>
      <c r="R65" s="32">
        <f t="shared" ref="R65:S65" si="91">SUM(R66)</f>
        <v>-907000</v>
      </c>
      <c r="S65" s="32">
        <f t="shared" si="91"/>
        <v>0</v>
      </c>
      <c r="T65" s="30" t="str">
        <f t="shared" si="1"/>
        <v>ok</v>
      </c>
      <c r="U65" s="98"/>
      <c r="V65" s="32">
        <f t="shared" ref="V65:W65" si="92">SUM(V66)</f>
        <v>0</v>
      </c>
      <c r="W65" s="32">
        <f t="shared" si="92"/>
        <v>0</v>
      </c>
      <c r="X65" s="11"/>
    </row>
    <row r="66" spans="1:24" ht="28.5" customHeight="1">
      <c r="A66" s="99"/>
      <c r="B66" s="341" t="str">
        <f>IF(SUMPRODUCT(COUNTIF(C66,{"*본예산*","*1회추경*","*신규*"})),"추가"," 2회")</f>
        <v>추가</v>
      </c>
      <c r="C66" s="107" t="s">
        <v>182</v>
      </c>
      <c r="D66" s="101" t="s">
        <v>183</v>
      </c>
      <c r="E66" s="140" t="s">
        <v>184</v>
      </c>
      <c r="F66" s="95">
        <v>14690000</v>
      </c>
      <c r="G66" s="95"/>
      <c r="H66" s="102" t="str">
        <f>IF(SUMPRODUCT(COUNTIF(C66,{"*본예산*","*1회추경*","*신규*"})),"-",F66-G66)</f>
        <v>-</v>
      </c>
      <c r="I66" s="95">
        <v>-907000</v>
      </c>
      <c r="J66" s="95"/>
      <c r="K66" s="102">
        <f t="shared" ref="K66" si="93">F66+I66+J66</f>
        <v>13783000</v>
      </c>
      <c r="L66" s="111">
        <f>I66</f>
        <v>-907000</v>
      </c>
      <c r="M66" s="111"/>
      <c r="N66" s="102">
        <f t="shared" ref="N66" si="94">F66+L66+M66</f>
        <v>13783000</v>
      </c>
      <c r="O66" s="104" t="str">
        <f>IF(I66-L66&lt;0,"동의필요","-")</f>
        <v>-</v>
      </c>
      <c r="P66" s="323" t="s">
        <v>185</v>
      </c>
      <c r="Q66" s="103" t="s">
        <v>90</v>
      </c>
      <c r="R66" s="103">
        <v>-907000</v>
      </c>
      <c r="S66" s="103"/>
      <c r="T66" s="104" t="str">
        <f t="shared" si="1"/>
        <v>ok</v>
      </c>
      <c r="U66" s="98"/>
      <c r="V66" s="105"/>
      <c r="W66" s="105"/>
      <c r="X66" s="106"/>
    </row>
    <row r="67" spans="1:24" ht="28.5" customHeight="1">
      <c r="A67" s="25" t="s">
        <v>186</v>
      </c>
      <c r="B67" s="64"/>
      <c r="C67" s="26"/>
      <c r="D67" s="26"/>
      <c r="E67" s="60"/>
      <c r="F67" s="27">
        <f t="shared" ref="F67:N67" si="95">SUM(F68:F78)/2</f>
        <v>287406000</v>
      </c>
      <c r="G67" s="27">
        <f t="shared" si="95"/>
        <v>278817000</v>
      </c>
      <c r="H67" s="27">
        <f t="shared" si="95"/>
        <v>-37980000</v>
      </c>
      <c r="I67" s="27">
        <f t="shared" si="95"/>
        <v>-8253000</v>
      </c>
      <c r="J67" s="27">
        <f t="shared" si="95"/>
        <v>2876800</v>
      </c>
      <c r="K67" s="27">
        <f t="shared" si="95"/>
        <v>282029800</v>
      </c>
      <c r="L67" s="27">
        <f t="shared" si="95"/>
        <v>-5553000</v>
      </c>
      <c r="M67" s="27">
        <f t="shared" si="95"/>
        <v>3187800</v>
      </c>
      <c r="N67" s="27">
        <f t="shared" si="95"/>
        <v>285040800</v>
      </c>
      <c r="O67" s="27"/>
      <c r="P67" s="345"/>
      <c r="Q67" s="27"/>
      <c r="R67" s="27">
        <f>SUM(R68:R78)/2</f>
        <v>-2365200</v>
      </c>
      <c r="S67" s="27">
        <f>SUM(S68:S78)/2</f>
        <v>0</v>
      </c>
      <c r="T67" s="26" t="str">
        <f t="shared" si="1"/>
        <v>검토</v>
      </c>
      <c r="V67" s="27">
        <f>SUM(V68:V78)/2</f>
        <v>0</v>
      </c>
      <c r="W67" s="27">
        <f>SUM(W68:W78)/2</f>
        <v>0</v>
      </c>
      <c r="X67" s="26"/>
    </row>
    <row r="68" spans="1:24" ht="28.5" customHeight="1">
      <c r="A68" s="99"/>
      <c r="B68" s="340" t="s">
        <v>187</v>
      </c>
      <c r="C68" s="30"/>
      <c r="D68" s="31"/>
      <c r="E68" s="61"/>
      <c r="F68" s="32">
        <f>SUM(F69)</f>
        <v>0</v>
      </c>
      <c r="G68" s="32">
        <f t="shared" ref="G68:N70" si="96">SUM(G69)</f>
        <v>0</v>
      </c>
      <c r="H68" s="32">
        <f t="shared" si="96"/>
        <v>0</v>
      </c>
      <c r="I68" s="32">
        <f t="shared" si="96"/>
        <v>0</v>
      </c>
      <c r="J68" s="32">
        <f t="shared" si="96"/>
        <v>140800</v>
      </c>
      <c r="K68" s="32">
        <f t="shared" si="96"/>
        <v>140800</v>
      </c>
      <c r="L68" s="32">
        <f t="shared" si="96"/>
        <v>0</v>
      </c>
      <c r="M68" s="32">
        <f t="shared" si="96"/>
        <v>140800</v>
      </c>
      <c r="N68" s="32">
        <f t="shared" si="96"/>
        <v>140800</v>
      </c>
      <c r="O68" s="32"/>
      <c r="P68" s="346"/>
      <c r="Q68" s="32"/>
      <c r="R68" s="32">
        <f t="shared" ref="R68:S70" si="97">SUM(R69)</f>
        <v>140800</v>
      </c>
      <c r="S68" s="32">
        <f t="shared" si="97"/>
        <v>0</v>
      </c>
      <c r="T68" s="30" t="str">
        <f t="shared" si="1"/>
        <v>ok</v>
      </c>
      <c r="V68" s="32">
        <f t="shared" ref="V68:W70" si="98">SUM(V69)</f>
        <v>0</v>
      </c>
      <c r="W68" s="32">
        <f t="shared" si="98"/>
        <v>0</v>
      </c>
      <c r="X68" s="30"/>
    </row>
    <row r="69" spans="1:24" ht="28.5" customHeight="1">
      <c r="A69" s="99"/>
      <c r="B69" s="341" t="str">
        <f>IF(SUMPRODUCT(COUNTIF(C69,{"*본예산*","*1회추경*","*신규*"})),"추가"," 2회")</f>
        <v>추가</v>
      </c>
      <c r="C69" s="100" t="s">
        <v>1024</v>
      </c>
      <c r="D69" s="101" t="s">
        <v>188</v>
      </c>
      <c r="E69" s="272" t="s">
        <v>189</v>
      </c>
      <c r="F69" s="95"/>
      <c r="G69" s="99"/>
      <c r="H69" s="102" t="str">
        <f>IF(SUMPRODUCT(COUNTIF(C69,{"*본예산*","*1회추경*","*신규*"})),"-",F69-G69)</f>
        <v>-</v>
      </c>
      <c r="I69" s="95"/>
      <c r="J69" s="95">
        <v>140800</v>
      </c>
      <c r="K69" s="102">
        <f t="shared" ref="K69" si="99">F69+I69+J69</f>
        <v>140800</v>
      </c>
      <c r="L69" s="99"/>
      <c r="M69" s="99">
        <f>J69</f>
        <v>140800</v>
      </c>
      <c r="N69" s="102">
        <f t="shared" ref="N69" si="100">F69+L69+M69</f>
        <v>140800</v>
      </c>
      <c r="O69" s="104" t="str">
        <f>IF(I69-L69&lt;0,"동의필요","-")</f>
        <v>-</v>
      </c>
      <c r="P69" s="348" t="s">
        <v>190</v>
      </c>
      <c r="Q69" s="103" t="s">
        <v>191</v>
      </c>
      <c r="R69" s="103">
        <v>140800</v>
      </c>
      <c r="S69" s="103"/>
      <c r="T69" s="104" t="str">
        <f t="shared" si="1"/>
        <v>ok</v>
      </c>
      <c r="V69" s="95"/>
      <c r="W69" s="95"/>
      <c r="X69" s="124"/>
    </row>
    <row r="70" spans="1:24" s="504" customFormat="1" ht="28.5" customHeight="1">
      <c r="A70" s="506"/>
      <c r="B70" s="508" t="s">
        <v>920</v>
      </c>
      <c r="C70" s="500"/>
      <c r="D70" s="501"/>
      <c r="E70" s="503"/>
      <c r="F70" s="502">
        <f>SUM(F71)</f>
        <v>2895000</v>
      </c>
      <c r="G70" s="502">
        <f t="shared" si="96"/>
        <v>0</v>
      </c>
      <c r="H70" s="502">
        <f t="shared" si="96"/>
        <v>0</v>
      </c>
      <c r="I70" s="502">
        <f t="shared" si="96"/>
        <v>-450000</v>
      </c>
      <c r="J70" s="502">
        <f t="shared" si="96"/>
        <v>0</v>
      </c>
      <c r="K70" s="502">
        <f t="shared" si="96"/>
        <v>2445000</v>
      </c>
      <c r="L70" s="502">
        <f t="shared" si="96"/>
        <v>-450000</v>
      </c>
      <c r="M70" s="502">
        <f t="shared" si="96"/>
        <v>0</v>
      </c>
      <c r="N70" s="502">
        <f t="shared" si="96"/>
        <v>2445000</v>
      </c>
      <c r="O70" s="502"/>
      <c r="P70" s="507"/>
      <c r="Q70" s="502"/>
      <c r="R70" s="502">
        <f t="shared" si="97"/>
        <v>-450000</v>
      </c>
      <c r="S70" s="502">
        <f t="shared" si="97"/>
        <v>0</v>
      </c>
      <c r="T70" s="500" t="str">
        <f t="shared" ref="T70:T71" si="101">IF((I70+J70)=(R70+S70),"ok","검토")</f>
        <v>ok</v>
      </c>
      <c r="U70" s="505"/>
      <c r="V70" s="502">
        <f t="shared" si="98"/>
        <v>0</v>
      </c>
      <c r="W70" s="502">
        <f t="shared" si="98"/>
        <v>0</v>
      </c>
      <c r="X70" s="500"/>
    </row>
    <row r="71" spans="1:24" s="673" customFormat="1" ht="62.25" customHeight="1">
      <c r="A71" s="658"/>
      <c r="B71" s="341" t="str">
        <f>IF(SUMPRODUCT(COUNTIF(C71,{"*본예산*","*1회추경*","*신규*"})),"추가"," 2회")</f>
        <v>추가</v>
      </c>
      <c r="C71" s="498" t="s">
        <v>1649</v>
      </c>
      <c r="D71" s="659" t="s">
        <v>935</v>
      </c>
      <c r="E71" s="550" t="s">
        <v>1209</v>
      </c>
      <c r="F71" s="657">
        <v>2895000</v>
      </c>
      <c r="G71" s="657"/>
      <c r="H71" s="665" t="str">
        <f>IF(SUMPRODUCT(COUNTIF(C71,{"*본예산*","*1회추경*","*신규*"})),"-",F71-G71)</f>
        <v>-</v>
      </c>
      <c r="I71" s="657">
        <v>-450000</v>
      </c>
      <c r="J71" s="657"/>
      <c r="K71" s="665">
        <f t="shared" ref="K71" si="102">F71+I71+J71</f>
        <v>2445000</v>
      </c>
      <c r="L71" s="634">
        <v>-450000</v>
      </c>
      <c r="M71" s="634"/>
      <c r="N71" s="665">
        <f t="shared" ref="N71" si="103">F71+L71+M71</f>
        <v>2445000</v>
      </c>
      <c r="O71" s="648" t="str">
        <f>IF(I71-L71&lt;0,"동의필요","-")</f>
        <v>-</v>
      </c>
      <c r="P71" s="323" t="s">
        <v>1210</v>
      </c>
      <c r="Q71" s="661" t="s">
        <v>90</v>
      </c>
      <c r="R71" s="661">
        <v>-450000</v>
      </c>
      <c r="S71" s="661"/>
      <c r="T71" s="648" t="str">
        <f t="shared" si="101"/>
        <v>ok</v>
      </c>
      <c r="U71" s="617"/>
      <c r="V71" s="619"/>
      <c r="W71" s="619"/>
      <c r="X71" s="620"/>
    </row>
    <row r="72" spans="1:24" ht="28.5" customHeight="1">
      <c r="A72" s="99"/>
      <c r="B72" s="340" t="s">
        <v>192</v>
      </c>
      <c r="C72" s="30"/>
      <c r="D72" s="31"/>
      <c r="E72" s="61"/>
      <c r="F72" s="32">
        <f t="shared" ref="F72:N72" si="104">SUM(F73:F78)</f>
        <v>284511000</v>
      </c>
      <c r="G72" s="32">
        <f t="shared" si="104"/>
        <v>278817000</v>
      </c>
      <c r="H72" s="32">
        <f t="shared" si="104"/>
        <v>-37980000</v>
      </c>
      <c r="I72" s="32">
        <f t="shared" si="104"/>
        <v>-7803000</v>
      </c>
      <c r="J72" s="32">
        <f t="shared" si="104"/>
        <v>2736000</v>
      </c>
      <c r="K72" s="32">
        <f t="shared" si="104"/>
        <v>279444000</v>
      </c>
      <c r="L72" s="32">
        <f t="shared" si="104"/>
        <v>-5103000</v>
      </c>
      <c r="M72" s="32">
        <f t="shared" si="104"/>
        <v>3047000</v>
      </c>
      <c r="N72" s="32">
        <f t="shared" si="104"/>
        <v>282455000</v>
      </c>
      <c r="O72" s="32"/>
      <c r="P72" s="346"/>
      <c r="Q72" s="32"/>
      <c r="R72" s="32">
        <f>SUM(R73:R78)</f>
        <v>-2056000</v>
      </c>
      <c r="S72" s="32">
        <f>SUM(S73:S78)</f>
        <v>0</v>
      </c>
      <c r="T72" s="30" t="str">
        <f t="shared" si="1"/>
        <v>검토</v>
      </c>
      <c r="V72" s="32">
        <f>SUM(V73:V78)</f>
        <v>0</v>
      </c>
      <c r="W72" s="32">
        <f>SUM(W73:W78)</f>
        <v>0</v>
      </c>
      <c r="X72" s="30"/>
    </row>
    <row r="73" spans="1:24" ht="28.5" customHeight="1">
      <c r="A73" s="99"/>
      <c r="B73" s="341" t="str">
        <f>IF(SUMPRODUCT(COUNTIF(C73,{"*본예산*","*1회추경*","*신규*"})),"추가"," 2회")</f>
        <v>추가</v>
      </c>
      <c r="C73" s="112" t="s">
        <v>193</v>
      </c>
      <c r="D73" s="125" t="s">
        <v>194</v>
      </c>
      <c r="E73" s="283" t="s">
        <v>195</v>
      </c>
      <c r="F73" s="126">
        <v>22894000</v>
      </c>
      <c r="G73" s="126"/>
      <c r="H73" s="102" t="str">
        <f>IF(SUMPRODUCT(COUNTIF(C73,{"*본예산*","*1회추경*","*신규*"})),"-",F73-G73)</f>
        <v>-</v>
      </c>
      <c r="I73" s="127">
        <v>-3400000</v>
      </c>
      <c r="J73" s="126"/>
      <c r="K73" s="102">
        <f t="shared" ref="K73:K78" si="105">F73+I73+J73</f>
        <v>19494000</v>
      </c>
      <c r="L73" s="99">
        <f>I73</f>
        <v>-3400000</v>
      </c>
      <c r="M73" s="99"/>
      <c r="N73" s="102">
        <f t="shared" ref="N73:N78" si="106">F73+L73+M73</f>
        <v>19494000</v>
      </c>
      <c r="O73" s="104" t="str">
        <f t="shared" ref="O73:O78" si="107">IF(I73-L73&lt;0,"동의필요","-")</f>
        <v>-</v>
      </c>
      <c r="P73" s="349" t="s">
        <v>87</v>
      </c>
      <c r="Q73" s="128" t="s">
        <v>90</v>
      </c>
      <c r="R73" s="127">
        <v>-3400000</v>
      </c>
      <c r="S73" s="128"/>
      <c r="T73" s="104" t="str">
        <f t="shared" si="1"/>
        <v>ok</v>
      </c>
      <c r="V73" s="95"/>
      <c r="W73" s="95"/>
      <c r="X73" s="124"/>
    </row>
    <row r="74" spans="1:24" s="673" customFormat="1" ht="51" customHeight="1">
      <c r="A74" s="658"/>
      <c r="B74" s="341" t="str">
        <f>IF(SUMPRODUCT(COUNTIF(C74,{"*본예산*","*1회추경*","*신규*"})),"추가"," 2회")</f>
        <v xml:space="preserve"> 2회</v>
      </c>
      <c r="C74" s="498">
        <v>434</v>
      </c>
      <c r="D74" s="659" t="s">
        <v>196</v>
      </c>
      <c r="E74" s="550" t="s">
        <v>197</v>
      </c>
      <c r="F74" s="657">
        <v>97437000</v>
      </c>
      <c r="G74" s="657">
        <v>119614000</v>
      </c>
      <c r="H74" s="665">
        <f>IF(SUMPRODUCT(COUNTIF(C74,{"*본예산*","*1회추경*","*신규*"})),"-",F74-G74)</f>
        <v>-22177000</v>
      </c>
      <c r="I74" s="657">
        <v>-3112000</v>
      </c>
      <c r="J74" s="657"/>
      <c r="K74" s="665">
        <f t="shared" si="105"/>
        <v>94325000</v>
      </c>
      <c r="L74" s="634">
        <v>-412000</v>
      </c>
      <c r="M74" s="634"/>
      <c r="N74" s="665">
        <f t="shared" si="106"/>
        <v>97025000</v>
      </c>
      <c r="O74" s="648" t="str">
        <f t="shared" si="107"/>
        <v>동의필요</v>
      </c>
      <c r="P74" s="323" t="s">
        <v>1031</v>
      </c>
      <c r="Q74" s="661" t="s">
        <v>90</v>
      </c>
      <c r="R74" s="661">
        <v>-412000</v>
      </c>
      <c r="S74" s="661"/>
      <c r="T74" s="648" t="str">
        <f t="shared" si="1"/>
        <v>검토</v>
      </c>
      <c r="U74" s="617"/>
      <c r="V74" s="619"/>
      <c r="W74" s="619"/>
      <c r="X74" s="620"/>
    </row>
    <row r="75" spans="1:24" s="673" customFormat="1" ht="51" customHeight="1">
      <c r="A75" s="658"/>
      <c r="B75" s="341" t="str">
        <f>IF(SUMPRODUCT(COUNTIF(C75,{"*본예산*","*1회추경*","*신규*"})),"추가"," 2회")</f>
        <v>추가</v>
      </c>
      <c r="C75" s="498" t="s">
        <v>1650</v>
      </c>
      <c r="D75" s="659" t="s">
        <v>196</v>
      </c>
      <c r="E75" s="550" t="s">
        <v>198</v>
      </c>
      <c r="F75" s="657">
        <v>4215000</v>
      </c>
      <c r="G75" s="657"/>
      <c r="H75" s="665" t="str">
        <f>IF(SUMPRODUCT(COUNTIF(C75,{"*본예산*","*1회추경*","*신규*"})),"-",F75-G75)</f>
        <v>-</v>
      </c>
      <c r="I75" s="657"/>
      <c r="J75" s="657">
        <v>171000</v>
      </c>
      <c r="K75" s="665">
        <f t="shared" si="105"/>
        <v>4386000</v>
      </c>
      <c r="L75" s="634"/>
      <c r="M75" s="634">
        <v>482000</v>
      </c>
      <c r="N75" s="665">
        <f t="shared" si="106"/>
        <v>4697000</v>
      </c>
      <c r="O75" s="648" t="str">
        <f t="shared" si="107"/>
        <v>-</v>
      </c>
      <c r="P75" s="323" t="s">
        <v>199</v>
      </c>
      <c r="Q75" s="661" t="s">
        <v>90</v>
      </c>
      <c r="R75" s="661">
        <v>482000</v>
      </c>
      <c r="S75" s="661"/>
      <c r="T75" s="648" t="str">
        <f t="shared" si="1"/>
        <v>검토</v>
      </c>
      <c r="U75" s="617"/>
      <c r="V75" s="619"/>
      <c r="W75" s="619"/>
      <c r="X75" s="620"/>
    </row>
    <row r="76" spans="1:24" s="673" customFormat="1" ht="51" customHeight="1">
      <c r="A76" s="658"/>
      <c r="B76" s="341" t="str">
        <f>IF(SUMPRODUCT(COUNTIF(C76,{"*본예산*","*1회추경*","*신규*"})),"추가"," 2회")</f>
        <v xml:space="preserve"> 2회</v>
      </c>
      <c r="C76" s="498">
        <v>434</v>
      </c>
      <c r="D76" s="659" t="s">
        <v>196</v>
      </c>
      <c r="E76" s="550" t="s">
        <v>1211</v>
      </c>
      <c r="F76" s="657">
        <v>139400000</v>
      </c>
      <c r="G76" s="657">
        <v>159203000</v>
      </c>
      <c r="H76" s="665">
        <f>IF(SUMPRODUCT(COUNTIF(C76,{"*본예산*","*1회추경*","*신규*"})),"-",F76-G76)</f>
        <v>-19803000</v>
      </c>
      <c r="I76" s="657"/>
      <c r="J76" s="657">
        <v>2565000</v>
      </c>
      <c r="K76" s="665">
        <f t="shared" ref="K76" si="108">F76+I76+J76</f>
        <v>141965000</v>
      </c>
      <c r="L76" s="634"/>
      <c r="M76" s="634">
        <v>2565000</v>
      </c>
      <c r="N76" s="665">
        <f t="shared" ref="N76" si="109">F76+L76+M76</f>
        <v>141965000</v>
      </c>
      <c r="O76" s="648" t="str">
        <f t="shared" ref="O76" si="110">IF(I76-L76&lt;0,"동의필요","-")</f>
        <v>-</v>
      </c>
      <c r="P76" s="323" t="s">
        <v>1214</v>
      </c>
      <c r="Q76" s="661" t="s">
        <v>90</v>
      </c>
      <c r="R76" s="661">
        <v>2565000</v>
      </c>
      <c r="S76" s="661"/>
      <c r="T76" s="648" t="str">
        <f t="shared" ref="T76" si="111">IF((I76+J76)=(R76+S76),"ok","검토")</f>
        <v>ok</v>
      </c>
      <c r="U76" s="617"/>
      <c r="V76" s="619"/>
      <c r="W76" s="619"/>
      <c r="X76" s="620"/>
    </row>
    <row r="77" spans="1:24" s="673" customFormat="1" ht="51" customHeight="1">
      <c r="A77" s="658"/>
      <c r="B77" s="341" t="str">
        <f>IF(SUMPRODUCT(COUNTIF(C77,{"*본예산*","*1회추경*","*신규*"})),"추가"," 2회")</f>
        <v xml:space="preserve"> 2회</v>
      </c>
      <c r="C77" s="498">
        <v>434</v>
      </c>
      <c r="D77" s="659" t="s">
        <v>196</v>
      </c>
      <c r="E77" s="550" t="s">
        <v>1212</v>
      </c>
      <c r="F77" s="657">
        <v>4000000</v>
      </c>
      <c r="G77" s="657">
        <v>0</v>
      </c>
      <c r="H77" s="665">
        <f>IF(SUMPRODUCT(COUNTIF(C77,{"*본예산*","*1회추경*","*신규*"})),"-",F77-G77)</f>
        <v>4000000</v>
      </c>
      <c r="I77" s="657">
        <v>-1200000</v>
      </c>
      <c r="J77" s="657"/>
      <c r="K77" s="665">
        <f t="shared" ref="K77" si="112">F77+I77+J77</f>
        <v>2800000</v>
      </c>
      <c r="L77" s="634">
        <v>-1200000</v>
      </c>
      <c r="M77" s="634"/>
      <c r="N77" s="665">
        <f t="shared" ref="N77" si="113">F77+L77+M77</f>
        <v>2800000</v>
      </c>
      <c r="O77" s="648" t="str">
        <f t="shared" ref="O77" si="114">IF(I77-L77&lt;0,"동의필요","-")</f>
        <v>-</v>
      </c>
      <c r="P77" s="323" t="s">
        <v>1215</v>
      </c>
      <c r="Q77" s="661" t="s">
        <v>907</v>
      </c>
      <c r="R77" s="661">
        <v>-1200000</v>
      </c>
      <c r="S77" s="661"/>
      <c r="T77" s="648" t="str">
        <f t="shared" ref="T77" si="115">IF((I77+J77)=(R77+S77),"ok","검토")</f>
        <v>ok</v>
      </c>
      <c r="U77" s="617"/>
      <c r="V77" s="619"/>
      <c r="W77" s="619"/>
      <c r="X77" s="620"/>
    </row>
    <row r="78" spans="1:24" s="673" customFormat="1" ht="51" customHeight="1">
      <c r="A78" s="658"/>
      <c r="B78" s="341" t="str">
        <f>IF(SUMPRODUCT(COUNTIF(C78,{"*본예산*","*1회추경*","*신규*"})),"추가"," 2회")</f>
        <v>추가</v>
      </c>
      <c r="C78" s="498" t="s">
        <v>1650</v>
      </c>
      <c r="D78" s="659" t="s">
        <v>196</v>
      </c>
      <c r="E78" s="550" t="s">
        <v>1213</v>
      </c>
      <c r="F78" s="657">
        <v>16565000</v>
      </c>
      <c r="G78" s="657"/>
      <c r="H78" s="665" t="str">
        <f>IF(SUMPRODUCT(COUNTIF(C78,{"*본예산*","*1회추경*","*신규*"})),"-",F78-G78)</f>
        <v>-</v>
      </c>
      <c r="I78" s="657">
        <v>-91000</v>
      </c>
      <c r="J78" s="657"/>
      <c r="K78" s="665">
        <f t="shared" si="105"/>
        <v>16474000</v>
      </c>
      <c r="L78" s="634">
        <v>-91000</v>
      </c>
      <c r="M78" s="634"/>
      <c r="N78" s="665">
        <f t="shared" si="106"/>
        <v>16474000</v>
      </c>
      <c r="O78" s="648" t="str">
        <f t="shared" si="107"/>
        <v>-</v>
      </c>
      <c r="P78" s="323" t="s">
        <v>1214</v>
      </c>
      <c r="Q78" s="661" t="s">
        <v>90</v>
      </c>
      <c r="R78" s="661">
        <v>-91000</v>
      </c>
      <c r="S78" s="661"/>
      <c r="T78" s="648" t="str">
        <f t="shared" si="1"/>
        <v>ok</v>
      </c>
      <c r="U78" s="617"/>
      <c r="V78" s="619"/>
      <c r="W78" s="619"/>
      <c r="X78" s="620"/>
    </row>
    <row r="79" spans="1:24" ht="28.5" customHeight="1">
      <c r="A79" s="25" t="s">
        <v>201</v>
      </c>
      <c r="B79" s="64"/>
      <c r="C79" s="26"/>
      <c r="D79" s="26"/>
      <c r="E79" s="26"/>
      <c r="F79" s="27">
        <f t="shared" ref="F79:N79" si="116">SUM(F80:F88)/2</f>
        <v>872777259</v>
      </c>
      <c r="G79" s="27">
        <f t="shared" si="116"/>
        <v>820606716</v>
      </c>
      <c r="H79" s="27">
        <f t="shared" si="116"/>
        <v>35023061</v>
      </c>
      <c r="I79" s="27">
        <f t="shared" si="116"/>
        <v>-5026075</v>
      </c>
      <c r="J79" s="27">
        <f t="shared" si="116"/>
        <v>6008585</v>
      </c>
      <c r="K79" s="27">
        <f t="shared" si="116"/>
        <v>873759769</v>
      </c>
      <c r="L79" s="27">
        <f t="shared" si="116"/>
        <v>-5026075</v>
      </c>
      <c r="M79" s="27">
        <f t="shared" si="116"/>
        <v>6008585</v>
      </c>
      <c r="N79" s="27">
        <f t="shared" si="116"/>
        <v>873759769</v>
      </c>
      <c r="O79" s="27"/>
      <c r="P79" s="345"/>
      <c r="Q79" s="27"/>
      <c r="R79" s="27">
        <f>SUM(R80:R88)/2</f>
        <v>765670</v>
      </c>
      <c r="S79" s="27">
        <f>SUM(S80:S88)/2</f>
        <v>216840</v>
      </c>
      <c r="T79" s="26" t="str">
        <f t="shared" si="1"/>
        <v>ok</v>
      </c>
      <c r="U79" s="98"/>
      <c r="V79" s="27">
        <f>SUM(V80:V88)/2</f>
        <v>0</v>
      </c>
      <c r="W79" s="27">
        <f>SUM(W80:W88)/2</f>
        <v>0</v>
      </c>
      <c r="X79" s="9"/>
    </row>
    <row r="80" spans="1:24" ht="28.5" customHeight="1">
      <c r="A80" s="99"/>
      <c r="B80" s="340" t="s">
        <v>202</v>
      </c>
      <c r="C80" s="30"/>
      <c r="D80" s="31"/>
      <c r="E80" s="31"/>
      <c r="F80" s="32">
        <f t="shared" ref="F80:N80" si="117">SUM(F81:F86)</f>
        <v>872315700</v>
      </c>
      <c r="G80" s="32">
        <f t="shared" si="117"/>
        <v>820606716</v>
      </c>
      <c r="H80" s="32">
        <f t="shared" si="117"/>
        <v>34561502</v>
      </c>
      <c r="I80" s="32">
        <f t="shared" si="117"/>
        <v>-5026075</v>
      </c>
      <c r="J80" s="32">
        <f t="shared" si="117"/>
        <v>5791745</v>
      </c>
      <c r="K80" s="32">
        <f t="shared" si="117"/>
        <v>873081370</v>
      </c>
      <c r="L80" s="32">
        <f t="shared" si="117"/>
        <v>-5026075</v>
      </c>
      <c r="M80" s="32">
        <f t="shared" si="117"/>
        <v>5791745</v>
      </c>
      <c r="N80" s="32">
        <f t="shared" si="117"/>
        <v>873081370</v>
      </c>
      <c r="O80" s="32"/>
      <c r="P80" s="346"/>
      <c r="Q80" s="32"/>
      <c r="R80" s="32">
        <f>SUM(R81:R86)</f>
        <v>765670</v>
      </c>
      <c r="S80" s="32">
        <f>SUM(S81:S86)</f>
        <v>0</v>
      </c>
      <c r="T80" s="30" t="str">
        <f t="shared" si="1"/>
        <v>ok</v>
      </c>
      <c r="U80" s="98"/>
      <c r="V80" s="32">
        <f>SUM(V81:V86)</f>
        <v>0</v>
      </c>
      <c r="W80" s="32">
        <f>SUM(W81:W86)</f>
        <v>0</v>
      </c>
      <c r="X80" s="11"/>
    </row>
    <row r="81" spans="1:24" ht="34.5" customHeight="1">
      <c r="A81" s="99"/>
      <c r="B81" s="341" t="str">
        <f>IF(SUMPRODUCT(COUNTIF(C81,{"*본예산*","*1회추경*","*신규*"})),"추가"," 2회")</f>
        <v>추가</v>
      </c>
      <c r="C81" s="129" t="s">
        <v>172</v>
      </c>
      <c r="D81" s="101" t="s">
        <v>65</v>
      </c>
      <c r="E81" s="272" t="s">
        <v>203</v>
      </c>
      <c r="F81" s="95">
        <v>12193741</v>
      </c>
      <c r="G81" s="95"/>
      <c r="H81" s="102" t="str">
        <f>IF(SUMPRODUCT(COUNTIF(C81,{"*본예산*","*1회추경*","*신규*"})),"-",F81-G81)</f>
        <v>-</v>
      </c>
      <c r="I81" s="53">
        <v>-1740278</v>
      </c>
      <c r="J81" s="95"/>
      <c r="K81" s="102">
        <f t="shared" ref="K81:K86" si="118">F81+I81+J81</f>
        <v>10453463</v>
      </c>
      <c r="L81" s="103">
        <f>I81</f>
        <v>-1740278</v>
      </c>
      <c r="M81" s="103"/>
      <c r="N81" s="102">
        <f t="shared" ref="N81:N86" si="119">F81+L81+M81</f>
        <v>10453463</v>
      </c>
      <c r="O81" s="104" t="str">
        <f t="shared" ref="O81:O86" si="120">IF(I81-L81&lt;0,"동의필요","-")</f>
        <v>-</v>
      </c>
      <c r="P81" s="323" t="s">
        <v>204</v>
      </c>
      <c r="Q81" s="103" t="s">
        <v>90</v>
      </c>
      <c r="R81" s="53">
        <v>-1740278</v>
      </c>
      <c r="S81" s="95"/>
      <c r="T81" s="104" t="str">
        <f t="shared" si="1"/>
        <v>ok</v>
      </c>
      <c r="U81" s="98"/>
      <c r="V81" s="105"/>
      <c r="W81" s="105"/>
      <c r="X81" s="106"/>
    </row>
    <row r="82" spans="1:24" ht="34.5" customHeight="1">
      <c r="A82" s="99"/>
      <c r="B82" s="341" t="str">
        <f>IF(SUMPRODUCT(COUNTIF(C82,{"*본예산*","*1회추경*","*신규*"})),"추가"," 2회")</f>
        <v>추가</v>
      </c>
      <c r="C82" s="129" t="s">
        <v>205</v>
      </c>
      <c r="D82" s="101" t="s">
        <v>65</v>
      </c>
      <c r="E82" s="272" t="s">
        <v>206</v>
      </c>
      <c r="F82" s="95">
        <v>332841</v>
      </c>
      <c r="G82" s="95"/>
      <c r="H82" s="102" t="str">
        <f>IF(SUMPRODUCT(COUNTIF(C82,{"*본예산*","*1회추경*","*신규*"})),"-",F82-G82)</f>
        <v>-</v>
      </c>
      <c r="I82" s="131">
        <v>-320000</v>
      </c>
      <c r="J82" s="95"/>
      <c r="K82" s="102">
        <f t="shared" si="118"/>
        <v>12841</v>
      </c>
      <c r="L82" s="661">
        <f>I82</f>
        <v>-320000</v>
      </c>
      <c r="M82" s="103"/>
      <c r="N82" s="102">
        <f t="shared" si="119"/>
        <v>12841</v>
      </c>
      <c r="O82" s="104" t="str">
        <f t="shared" si="120"/>
        <v>-</v>
      </c>
      <c r="P82" s="323" t="s">
        <v>207</v>
      </c>
      <c r="Q82" s="103" t="s">
        <v>90</v>
      </c>
      <c r="R82" s="131">
        <v>-320000</v>
      </c>
      <c r="S82" s="95"/>
      <c r="T82" s="104" t="str">
        <f t="shared" si="1"/>
        <v>ok</v>
      </c>
      <c r="U82" s="98"/>
      <c r="V82" s="105"/>
      <c r="W82" s="105"/>
      <c r="X82" s="106"/>
    </row>
    <row r="83" spans="1:24" ht="34.5" customHeight="1">
      <c r="A83" s="99"/>
      <c r="B83" s="341" t="str">
        <f>IF(SUMPRODUCT(COUNTIF(C83,{"*본예산*","*1회추경*","*신규*"})),"추가"," 2회")</f>
        <v xml:space="preserve"> 2회</v>
      </c>
      <c r="C83" s="104">
        <v>446</v>
      </c>
      <c r="D83" s="101" t="s">
        <v>65</v>
      </c>
      <c r="E83" s="272" t="s">
        <v>88</v>
      </c>
      <c r="F83" s="132">
        <v>11586064</v>
      </c>
      <c r="G83" s="95">
        <v>9837760</v>
      </c>
      <c r="H83" s="102">
        <f>IF(SUMPRODUCT(COUNTIF(C83,{"*본예산*","*1회추경*","*신규*"})),"-",F83-G83)</f>
        <v>1748304</v>
      </c>
      <c r="I83" s="95"/>
      <c r="J83" s="133">
        <v>450000</v>
      </c>
      <c r="K83" s="102">
        <f t="shared" si="118"/>
        <v>12036064</v>
      </c>
      <c r="L83" s="103"/>
      <c r="M83" s="103">
        <f>J83</f>
        <v>450000</v>
      </c>
      <c r="N83" s="102">
        <f t="shared" si="119"/>
        <v>12036064</v>
      </c>
      <c r="O83" s="104" t="str">
        <f t="shared" si="120"/>
        <v>-</v>
      </c>
      <c r="P83" s="323" t="s">
        <v>208</v>
      </c>
      <c r="Q83" s="103" t="s">
        <v>90</v>
      </c>
      <c r="R83" s="133">
        <v>450000</v>
      </c>
      <c r="S83" s="133"/>
      <c r="T83" s="104" t="str">
        <f t="shared" si="1"/>
        <v>ok</v>
      </c>
      <c r="U83" s="98"/>
      <c r="V83" s="105"/>
      <c r="W83" s="105"/>
      <c r="X83" s="106"/>
    </row>
    <row r="84" spans="1:24" ht="34.5" customHeight="1">
      <c r="A84" s="99"/>
      <c r="B84" s="341" t="str">
        <f>IF(SUMPRODUCT(COUNTIF(C84,{"*본예산*","*1회추경*","*신규*"})),"추가"," 2회")</f>
        <v xml:space="preserve"> 2회</v>
      </c>
      <c r="C84" s="134">
        <v>446</v>
      </c>
      <c r="D84" s="135" t="s">
        <v>69</v>
      </c>
      <c r="E84" s="342" t="s">
        <v>209</v>
      </c>
      <c r="F84" s="54">
        <v>77547309</v>
      </c>
      <c r="G84" s="54">
        <v>72286835</v>
      </c>
      <c r="H84" s="102">
        <f>IF(SUMPRODUCT(COUNTIF(C84,{"*본예산*","*1회추경*","*신규*"})),"-",F84-G84)</f>
        <v>5260474</v>
      </c>
      <c r="I84" s="54">
        <v>-2849797</v>
      </c>
      <c r="J84" s="54"/>
      <c r="K84" s="102">
        <f t="shared" si="118"/>
        <v>74697512</v>
      </c>
      <c r="L84" s="103">
        <f>I84</f>
        <v>-2849797</v>
      </c>
      <c r="M84" s="103"/>
      <c r="N84" s="102">
        <f t="shared" si="119"/>
        <v>74697512</v>
      </c>
      <c r="O84" s="104" t="str">
        <f t="shared" si="120"/>
        <v>-</v>
      </c>
      <c r="P84" s="348" t="s">
        <v>210</v>
      </c>
      <c r="Q84" s="136" t="s">
        <v>90</v>
      </c>
      <c r="R84" s="136">
        <v>-2849797</v>
      </c>
      <c r="S84" s="136"/>
      <c r="T84" s="104" t="str">
        <f t="shared" si="1"/>
        <v>ok</v>
      </c>
      <c r="U84" s="98"/>
      <c r="V84" s="105"/>
      <c r="W84" s="105"/>
      <c r="X84" s="106"/>
    </row>
    <row r="85" spans="1:24" s="510" customFormat="1" ht="34.5" customHeight="1">
      <c r="A85" s="513"/>
      <c r="B85" s="341" t="str">
        <f>IF(SUMPRODUCT(COUNTIF(C85,{"*본예산*","*1회추경*","*신규*"})),"추가"," 2회")</f>
        <v>추가</v>
      </c>
      <c r="C85" s="129" t="s">
        <v>211</v>
      </c>
      <c r="D85" s="379" t="s">
        <v>212</v>
      </c>
      <c r="E85" s="518" t="s">
        <v>213</v>
      </c>
      <c r="F85" s="511">
        <v>4620900</v>
      </c>
      <c r="G85" s="511"/>
      <c r="H85" s="514" t="str">
        <f>IF(SUMPRODUCT(COUNTIF(C85,{"*본예산*","*1회추경*","*신규*"})),"-",F85-G85)</f>
        <v>-</v>
      </c>
      <c r="I85" s="519">
        <v>-116000</v>
      </c>
      <c r="J85" s="511"/>
      <c r="K85" s="514">
        <f t="shared" ref="K85" si="121">F85+I85+J85</f>
        <v>4504900</v>
      </c>
      <c r="L85" s="661">
        <f>I85</f>
        <v>-116000</v>
      </c>
      <c r="M85" s="377"/>
      <c r="N85" s="514">
        <f t="shared" ref="N85" si="122">F85+L85+M85</f>
        <v>4504900</v>
      </c>
      <c r="O85" s="515" t="str">
        <f t="shared" ref="O85" si="123">IF(I85-L85&lt;0,"동의필요","-")</f>
        <v>-</v>
      </c>
      <c r="P85" s="323" t="s">
        <v>214</v>
      </c>
      <c r="Q85" s="377" t="s">
        <v>90</v>
      </c>
      <c r="R85" s="519">
        <v>-116000</v>
      </c>
      <c r="S85" s="377"/>
      <c r="T85" s="515" t="str">
        <f t="shared" ref="T85" si="124">IF((I85+J85)=(R85+S85),"ok","검토")</f>
        <v>ok</v>
      </c>
      <c r="U85" s="512"/>
      <c r="V85" s="516"/>
      <c r="W85" s="516"/>
      <c r="X85" s="517"/>
    </row>
    <row r="86" spans="1:24" s="673" customFormat="1" ht="34.5" customHeight="1">
      <c r="A86" s="658"/>
      <c r="B86" s="341" t="str">
        <f>IF(SUMPRODUCT(COUNTIF(C86,{"*본예산*","*1회추경*","*신규*"})),"추가"," 2회")</f>
        <v xml:space="preserve"> 2회</v>
      </c>
      <c r="C86" s="129">
        <v>446</v>
      </c>
      <c r="D86" s="659" t="s">
        <v>69</v>
      </c>
      <c r="E86" s="540" t="s">
        <v>1216</v>
      </c>
      <c r="F86" s="657">
        <v>766034845</v>
      </c>
      <c r="G86" s="657">
        <v>738482121</v>
      </c>
      <c r="H86" s="665">
        <f>IF(SUMPRODUCT(COUNTIF(C86,{"*본예산*","*1회추경*","*신규*"})),"-",F86-G86)</f>
        <v>27552724</v>
      </c>
      <c r="I86" s="630"/>
      <c r="J86" s="657">
        <v>5341745</v>
      </c>
      <c r="K86" s="665">
        <f t="shared" si="118"/>
        <v>771376590</v>
      </c>
      <c r="L86" s="661"/>
      <c r="M86" s="661">
        <v>5341745</v>
      </c>
      <c r="N86" s="665">
        <f t="shared" si="119"/>
        <v>771376590</v>
      </c>
      <c r="O86" s="648" t="str">
        <f t="shared" si="120"/>
        <v>-</v>
      </c>
      <c r="P86" s="323" t="s">
        <v>1217</v>
      </c>
      <c r="Q86" s="661" t="s">
        <v>90</v>
      </c>
      <c r="R86" s="630">
        <v>5341745</v>
      </c>
      <c r="S86" s="661"/>
      <c r="T86" s="648" t="str">
        <f t="shared" si="1"/>
        <v>ok</v>
      </c>
      <c r="U86" s="617"/>
      <c r="V86" s="619"/>
      <c r="W86" s="619"/>
      <c r="X86" s="620"/>
    </row>
    <row r="87" spans="1:24" ht="28.5" customHeight="1">
      <c r="A87" s="99"/>
      <c r="B87" s="340" t="s">
        <v>215</v>
      </c>
      <c r="C87" s="30"/>
      <c r="D87" s="31"/>
      <c r="E87" s="31"/>
      <c r="F87" s="32">
        <f>SUM(F88)</f>
        <v>461559</v>
      </c>
      <c r="G87" s="32">
        <f t="shared" ref="G87:N87" si="125">SUM(G88)</f>
        <v>0</v>
      </c>
      <c r="H87" s="32">
        <f t="shared" si="125"/>
        <v>461559</v>
      </c>
      <c r="I87" s="32">
        <f t="shared" si="125"/>
        <v>0</v>
      </c>
      <c r="J87" s="32">
        <f t="shared" si="125"/>
        <v>216840</v>
      </c>
      <c r="K87" s="32">
        <f t="shared" si="125"/>
        <v>678399</v>
      </c>
      <c r="L87" s="32">
        <f t="shared" si="125"/>
        <v>0</v>
      </c>
      <c r="M87" s="32">
        <f t="shared" si="125"/>
        <v>216840</v>
      </c>
      <c r="N87" s="32">
        <f t="shared" si="125"/>
        <v>678399</v>
      </c>
      <c r="O87" s="32"/>
      <c r="P87" s="346"/>
      <c r="Q87" s="32"/>
      <c r="R87" s="32">
        <f t="shared" ref="R87:S87" si="126">SUM(R88)</f>
        <v>0</v>
      </c>
      <c r="S87" s="32">
        <f t="shared" si="126"/>
        <v>216840</v>
      </c>
      <c r="T87" s="30" t="str">
        <f t="shared" si="1"/>
        <v>ok</v>
      </c>
      <c r="U87" s="98"/>
      <c r="V87" s="32">
        <f t="shared" ref="V87:W87" si="127">SUM(V88)</f>
        <v>0</v>
      </c>
      <c r="W87" s="32">
        <f t="shared" si="127"/>
        <v>0</v>
      </c>
      <c r="X87" s="11"/>
    </row>
    <row r="88" spans="1:24" ht="51.75" customHeight="1">
      <c r="A88" s="99"/>
      <c r="B88" s="341" t="str">
        <f>IF(SUMPRODUCT(COUNTIF(C88,{"*본예산*","*1회추경*","*신규*"})),"추가"," 2회")</f>
        <v xml:space="preserve"> 2회</v>
      </c>
      <c r="C88" s="100">
        <v>472</v>
      </c>
      <c r="D88" s="101" t="s">
        <v>216</v>
      </c>
      <c r="E88" s="101" t="s">
        <v>1053</v>
      </c>
      <c r="F88" s="95">
        <v>461559</v>
      </c>
      <c r="G88" s="95">
        <v>0</v>
      </c>
      <c r="H88" s="102">
        <f>IF(SUMPRODUCT(COUNTIF(C88,{"*본예산*","*1회추경*","*신규*"})),"-",F88-G88)</f>
        <v>461559</v>
      </c>
      <c r="I88" s="95"/>
      <c r="J88" s="95">
        <v>216840</v>
      </c>
      <c r="K88" s="102">
        <f t="shared" ref="K88" si="128">F88+I88+J88</f>
        <v>678399</v>
      </c>
      <c r="L88" s="111"/>
      <c r="M88" s="111">
        <f>J88</f>
        <v>216840</v>
      </c>
      <c r="N88" s="102">
        <f t="shared" ref="N88" si="129">F88+L88+M88</f>
        <v>678399</v>
      </c>
      <c r="O88" s="104" t="str">
        <f>IF(I88-L88&lt;0,"동의필요","-")</f>
        <v>-</v>
      </c>
      <c r="P88" s="323" t="s">
        <v>217</v>
      </c>
      <c r="Q88" s="103" t="s">
        <v>97</v>
      </c>
      <c r="R88" s="103"/>
      <c r="S88" s="103">
        <v>216840</v>
      </c>
      <c r="T88" s="104" t="str">
        <f t="shared" si="1"/>
        <v>ok</v>
      </c>
      <c r="U88" s="98"/>
      <c r="V88" s="105"/>
      <c r="W88" s="105"/>
      <c r="X88" s="106"/>
    </row>
  </sheetData>
  <autoFilter ref="A6:X88"/>
  <mergeCells count="18">
    <mergeCell ref="V4:W4"/>
    <mergeCell ref="X4:X5"/>
    <mergeCell ref="L4:M4"/>
    <mergeCell ref="N4:N5"/>
    <mergeCell ref="O4:O5"/>
    <mergeCell ref="P4:P5"/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</mergeCells>
  <phoneticPr fontId="6" type="noConversion"/>
  <printOptions horizontalCentered="1"/>
  <pageMargins left="0.31496062992125984" right="0.23622047244094491" top="0.74803149606299213" bottom="0.74803149606299213" header="0.31496062992125984" footer="0.31496062992125984"/>
  <pageSetup paperSize="9" scale="70" orientation="portrait" cellComments="asDisplayed" r:id="rId1"/>
  <colBreaks count="1" manualBreakCount="1">
    <brk id="16" max="1048575" man="1"/>
  </colBreaks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</sheetPr>
  <dimension ref="A1:W128"/>
  <sheetViews>
    <sheetView showGridLines="0" view="pageBreakPreview" zoomScale="80" zoomScaleNormal="80" zoomScaleSheetLayoutView="80" workbookViewId="0">
      <pane xSplit="3" ySplit="5" topLeftCell="D6" activePane="bottomRight" state="frozen"/>
      <selection activeCell="B1" sqref="B1:K1"/>
      <selection pane="topRight" activeCell="B1" sqref="B1:K1"/>
      <selection pane="bottomLeft" activeCell="B1" sqref="B1:K1"/>
      <selection pane="bottomRight" activeCell="B1" sqref="B1:K1"/>
    </sheetView>
  </sheetViews>
  <sheetFormatPr defaultColWidth="8.75" defaultRowHeight="13.5"/>
  <cols>
    <col min="1" max="1" width="2.5" style="63" customWidth="1"/>
    <col min="2" max="2" width="4.25" style="63" customWidth="1"/>
    <col min="3" max="3" width="7.75" style="85" customWidth="1"/>
    <col min="4" max="4" width="11" style="63" hidden="1" customWidth="1"/>
    <col min="5" max="5" width="33.875" style="63" customWidth="1"/>
    <col min="6" max="6" width="11.75" style="63" customWidth="1"/>
    <col min="7" max="7" width="10.75" style="63" hidden="1" customWidth="1"/>
    <col min="8" max="8" width="11" style="63" hidden="1" customWidth="1"/>
    <col min="9" max="9" width="11.375" style="63" hidden="1" customWidth="1"/>
    <col min="10" max="10" width="10.75" style="63" hidden="1" customWidth="1"/>
    <col min="11" max="11" width="11.75" style="63" hidden="1" customWidth="1"/>
    <col min="12" max="12" width="11.375" style="372" customWidth="1"/>
    <col min="13" max="13" width="10.75" style="372" customWidth="1"/>
    <col min="14" max="14" width="12.75" style="372" customWidth="1"/>
    <col min="15" max="15" width="27.625" style="63" customWidth="1"/>
    <col min="16" max="16" width="4.25" style="63" hidden="1" customWidth="1"/>
    <col min="17" max="17" width="11.625" style="63" hidden="1" customWidth="1"/>
    <col min="18" max="18" width="11.125" style="63" hidden="1" customWidth="1"/>
    <col min="19" max="19" width="6" style="85" hidden="1" customWidth="1"/>
    <col min="20" max="20" width="8.25" style="86" hidden="1" customWidth="1"/>
    <col min="21" max="22" width="9.25" style="63" hidden="1" customWidth="1"/>
    <col min="23" max="23" width="8.75" style="63" hidden="1" customWidth="1"/>
    <col min="24" max="24" width="0" style="63" hidden="1" customWidth="1"/>
    <col min="25" max="16384" width="8.75" style="63"/>
  </cols>
  <sheetData>
    <row r="1" spans="1:23" ht="32.25" customHeight="1">
      <c r="A1" s="846" t="s">
        <v>1503</v>
      </c>
      <c r="B1" s="846"/>
      <c r="C1" s="846"/>
      <c r="D1" s="846"/>
      <c r="E1" s="846"/>
      <c r="F1" s="846"/>
      <c r="G1" s="846"/>
      <c r="H1" s="846"/>
      <c r="I1" s="846"/>
      <c r="J1" s="846"/>
      <c r="K1" s="846"/>
      <c r="L1" s="846"/>
      <c r="M1" s="846"/>
      <c r="N1" s="846"/>
      <c r="O1" s="846"/>
    </row>
    <row r="2" spans="1:23" ht="16.5">
      <c r="A2" s="87" t="s">
        <v>24</v>
      </c>
      <c r="B2" s="87"/>
    </row>
    <row r="3" spans="1:23">
      <c r="J3" s="63">
        <f>SUM(I6:J6)</f>
        <v>-9125189</v>
      </c>
      <c r="L3" s="791">
        <f>'추 일입'!M3</f>
        <v>-6063474</v>
      </c>
      <c r="M3" s="372">
        <f>SUM(L6:M6)</f>
        <v>-6063474</v>
      </c>
      <c r="N3" s="790">
        <f>L3-M3</f>
        <v>0</v>
      </c>
      <c r="O3" s="88" t="s">
        <v>19</v>
      </c>
      <c r="Q3" s="85" t="str">
        <f>IF(Q6='추 일입'!R6,"OK","ERR")</f>
        <v>OK</v>
      </c>
      <c r="R3" s="63">
        <f>SUM(Q6:R6)</f>
        <v>-6063474</v>
      </c>
      <c r="S3" s="85" t="str">
        <f>IF(J3=R3,"ok","검토")</f>
        <v>검토</v>
      </c>
    </row>
    <row r="4" spans="1:23" ht="30" customHeight="1">
      <c r="A4" s="801" t="s">
        <v>10</v>
      </c>
      <c r="B4" s="801"/>
      <c r="C4" s="804" t="s">
        <v>11</v>
      </c>
      <c r="D4" s="801" t="s">
        <v>9</v>
      </c>
      <c r="E4" s="801" t="s">
        <v>8</v>
      </c>
      <c r="F4" s="804" t="s">
        <v>82</v>
      </c>
      <c r="G4" s="804" t="s">
        <v>83</v>
      </c>
      <c r="H4" s="873" t="s">
        <v>84</v>
      </c>
      <c r="I4" s="805" t="s">
        <v>85</v>
      </c>
      <c r="J4" s="806"/>
      <c r="K4" s="804" t="s">
        <v>15</v>
      </c>
      <c r="L4" s="805" t="s">
        <v>1153</v>
      </c>
      <c r="M4" s="806"/>
      <c r="N4" s="804" t="s">
        <v>15</v>
      </c>
      <c r="O4" s="801" t="s">
        <v>12</v>
      </c>
      <c r="P4" s="843" t="s">
        <v>13</v>
      </c>
      <c r="Q4" s="806" t="s">
        <v>18</v>
      </c>
      <c r="R4" s="806"/>
      <c r="S4" s="806"/>
      <c r="T4" s="89"/>
      <c r="U4" s="875" t="s">
        <v>0</v>
      </c>
      <c r="V4" s="876"/>
      <c r="W4" s="877" t="s">
        <v>3</v>
      </c>
    </row>
    <row r="5" spans="1:23" ht="18" customHeight="1">
      <c r="A5" s="801"/>
      <c r="B5" s="801"/>
      <c r="C5" s="804"/>
      <c r="D5" s="801"/>
      <c r="E5" s="801"/>
      <c r="F5" s="801"/>
      <c r="G5" s="801"/>
      <c r="H5" s="874"/>
      <c r="I5" s="90" t="s">
        <v>1</v>
      </c>
      <c r="J5" s="90" t="s">
        <v>2</v>
      </c>
      <c r="K5" s="801"/>
      <c r="L5" s="412" t="s">
        <v>1</v>
      </c>
      <c r="M5" s="412" t="s">
        <v>2</v>
      </c>
      <c r="N5" s="801"/>
      <c r="O5" s="801"/>
      <c r="P5" s="844"/>
      <c r="Q5" s="90" t="s">
        <v>6</v>
      </c>
      <c r="R5" s="90" t="s">
        <v>4</v>
      </c>
      <c r="S5" s="90" t="s">
        <v>7</v>
      </c>
      <c r="T5" s="89"/>
      <c r="U5" s="91" t="s">
        <v>1</v>
      </c>
      <c r="V5" s="91" t="s">
        <v>2</v>
      </c>
      <c r="W5" s="877"/>
    </row>
    <row r="6" spans="1:23" ht="31.5" customHeight="1">
      <c r="A6" s="92"/>
      <c r="B6" s="93" t="s">
        <v>5</v>
      </c>
      <c r="C6" s="94"/>
      <c r="D6" s="94"/>
      <c r="E6" s="94"/>
      <c r="F6" s="137">
        <f>SUM(F7:F430)/3</f>
        <v>3334071208</v>
      </c>
      <c r="G6" s="137">
        <f t="shared" ref="G6:M6" si="0">SUM(G7:G430)/3</f>
        <v>2842605996</v>
      </c>
      <c r="H6" s="137">
        <f t="shared" si="0"/>
        <v>93443260</v>
      </c>
      <c r="I6" s="137">
        <f t="shared" si="0"/>
        <v>-69433913</v>
      </c>
      <c r="J6" s="137">
        <f t="shared" si="0"/>
        <v>60308724</v>
      </c>
      <c r="K6" s="137">
        <f t="shared" si="0"/>
        <v>3324946019</v>
      </c>
      <c r="L6" s="137">
        <f t="shared" si="0"/>
        <v>-65746706</v>
      </c>
      <c r="M6" s="137">
        <f t="shared" si="0"/>
        <v>59683232</v>
      </c>
      <c r="N6" s="137">
        <f t="shared" ref="N6:N23" si="1">F6+L6+M6</f>
        <v>3328007734</v>
      </c>
      <c r="O6" s="267"/>
      <c r="P6" s="59"/>
      <c r="Q6" s="586">
        <f>SUM(Q7:Q430)/3</f>
        <v>-7469930</v>
      </c>
      <c r="R6" s="586">
        <f t="shared" ref="R6" si="2">SUM(R7:R430)/3</f>
        <v>1406456</v>
      </c>
      <c r="S6" s="104" t="str">
        <f t="shared" ref="S6:S37" si="3">IF((L6+M6)=(Q6+R6),"ok","검토")</f>
        <v>ok</v>
      </c>
      <c r="T6" s="96"/>
      <c r="U6" s="137" t="e">
        <f>SUM(U13:U430)/3</f>
        <v>#REF!</v>
      </c>
      <c r="V6" s="137" t="e">
        <f>SUM(V13:V430)/3</f>
        <v>#REF!</v>
      </c>
      <c r="W6" s="97"/>
    </row>
    <row r="7" spans="1:23" s="372" customFormat="1" ht="31.5" customHeight="1">
      <c r="A7" s="25" t="s">
        <v>379</v>
      </c>
      <c r="B7" s="26"/>
      <c r="C7" s="26"/>
      <c r="D7" s="26"/>
      <c r="E7" s="26"/>
      <c r="F7" s="369">
        <f t="shared" ref="F7:M7" si="4">SUM(F8:F9)/2</f>
        <v>150000</v>
      </c>
      <c r="G7" s="369">
        <f t="shared" si="4"/>
        <v>0</v>
      </c>
      <c r="H7" s="369">
        <f t="shared" si="4"/>
        <v>0</v>
      </c>
      <c r="I7" s="369">
        <f t="shared" si="4"/>
        <v>0</v>
      </c>
      <c r="J7" s="369">
        <f t="shared" si="4"/>
        <v>0</v>
      </c>
      <c r="K7" s="369">
        <f t="shared" si="4"/>
        <v>150000</v>
      </c>
      <c r="L7" s="369">
        <f t="shared" si="4"/>
        <v>-105000</v>
      </c>
      <c r="M7" s="369">
        <f t="shared" si="4"/>
        <v>0</v>
      </c>
      <c r="N7" s="369">
        <f t="shared" si="1"/>
        <v>45000</v>
      </c>
      <c r="O7" s="356"/>
      <c r="P7" s="369"/>
      <c r="Q7" s="581">
        <f>SUM(Q8:Q9)/2</f>
        <v>0</v>
      </c>
      <c r="R7" s="581">
        <f>SUM(R8:R9)/2</f>
        <v>-105000</v>
      </c>
      <c r="S7" s="585" t="str">
        <f t="shared" si="3"/>
        <v>ok</v>
      </c>
      <c r="T7" s="366"/>
    </row>
    <row r="8" spans="1:23" s="372" customFormat="1" ht="31.5" customHeight="1">
      <c r="A8" s="658"/>
      <c r="B8" s="612" t="s">
        <v>465</v>
      </c>
      <c r="C8" s="628"/>
      <c r="D8" s="613"/>
      <c r="E8" s="613"/>
      <c r="F8" s="629">
        <f t="shared" ref="F8:M8" si="5">F9</f>
        <v>150000</v>
      </c>
      <c r="G8" s="629">
        <f t="shared" si="5"/>
        <v>0</v>
      </c>
      <c r="H8" s="629" t="str">
        <f t="shared" si="5"/>
        <v>-</v>
      </c>
      <c r="I8" s="629">
        <f t="shared" si="5"/>
        <v>0</v>
      </c>
      <c r="J8" s="629">
        <f t="shared" si="5"/>
        <v>0</v>
      </c>
      <c r="K8" s="629">
        <f t="shared" si="5"/>
        <v>150000</v>
      </c>
      <c r="L8" s="629">
        <f t="shared" si="5"/>
        <v>-105000</v>
      </c>
      <c r="M8" s="629">
        <f t="shared" si="5"/>
        <v>0</v>
      </c>
      <c r="N8" s="629">
        <f t="shared" si="1"/>
        <v>45000</v>
      </c>
      <c r="O8" s="641"/>
      <c r="P8" s="629"/>
      <c r="Q8" s="629">
        <f>Q9</f>
        <v>0</v>
      </c>
      <c r="R8" s="629">
        <f>R9</f>
        <v>-105000</v>
      </c>
      <c r="S8" s="648" t="str">
        <f t="shared" si="3"/>
        <v>ok</v>
      </c>
      <c r="T8" s="366"/>
      <c r="U8" s="745"/>
      <c r="V8" s="745"/>
      <c r="W8" s="745"/>
    </row>
    <row r="9" spans="1:23" s="372" customFormat="1" ht="31.5" customHeight="1">
      <c r="A9" s="658"/>
      <c r="B9" s="658" t="str">
        <f>IF(SUMPRODUCT(COUNTIF(C9,{"*본예산*","*1회추경*","*신규*"})),"추가"," 2회")</f>
        <v>추가</v>
      </c>
      <c r="C9" s="380" t="s">
        <v>1222</v>
      </c>
      <c r="D9" s="659" t="s">
        <v>465</v>
      </c>
      <c r="E9" s="540" t="s">
        <v>1152</v>
      </c>
      <c r="F9" s="657">
        <v>150000</v>
      </c>
      <c r="G9" s="657"/>
      <c r="H9" s="665" t="str">
        <f>IF(SUMPRODUCT(COUNTIF(C9,{"*본예산*","*1회추경*","*신규*"})),"-",F9-G9)</f>
        <v>-</v>
      </c>
      <c r="I9" s="657"/>
      <c r="J9" s="657"/>
      <c r="K9" s="665">
        <f>F9+I9+J9</f>
        <v>150000</v>
      </c>
      <c r="L9" s="657">
        <v>-105000</v>
      </c>
      <c r="M9" s="657"/>
      <c r="N9" s="665">
        <f t="shared" si="1"/>
        <v>45000</v>
      </c>
      <c r="O9" s="381"/>
      <c r="P9" s="661" t="s">
        <v>1223</v>
      </c>
      <c r="Q9" s="661"/>
      <c r="R9" s="657">
        <v>-105000</v>
      </c>
      <c r="S9" s="580" t="str">
        <f t="shared" si="3"/>
        <v>ok</v>
      </c>
      <c r="T9" s="373"/>
      <c r="U9" s="619"/>
      <c r="V9" s="619"/>
      <c r="W9" s="620"/>
    </row>
    <row r="10" spans="1:23" s="673" customFormat="1" ht="31.5" customHeight="1">
      <c r="A10" s="445" t="s">
        <v>1352</v>
      </c>
      <c r="B10" s="626"/>
      <c r="C10" s="626"/>
      <c r="D10" s="626"/>
      <c r="E10" s="626"/>
      <c r="F10" s="627">
        <f t="shared" ref="F10:M10" si="6">SUM(F11:F12)/2</f>
        <v>51953600</v>
      </c>
      <c r="G10" s="627">
        <f t="shared" si="6"/>
        <v>0</v>
      </c>
      <c r="H10" s="627">
        <f t="shared" si="6"/>
        <v>0</v>
      </c>
      <c r="I10" s="627">
        <f t="shared" si="6"/>
        <v>0</v>
      </c>
      <c r="J10" s="627">
        <f t="shared" si="6"/>
        <v>0</v>
      </c>
      <c r="K10" s="627">
        <f t="shared" si="6"/>
        <v>51953600</v>
      </c>
      <c r="L10" s="627">
        <f t="shared" si="6"/>
        <v>0</v>
      </c>
      <c r="M10" s="627">
        <f t="shared" si="6"/>
        <v>344635</v>
      </c>
      <c r="N10" s="627">
        <f t="shared" si="1"/>
        <v>52298235</v>
      </c>
      <c r="O10" s="268"/>
      <c r="P10" s="627"/>
      <c r="Q10" s="627">
        <f>SUM(Q11:Q12)/2</f>
        <v>0</v>
      </c>
      <c r="R10" s="627">
        <f>SUM(R11:R12)/2</f>
        <v>344635</v>
      </c>
      <c r="S10" s="626" t="str">
        <f t="shared" si="3"/>
        <v>ok</v>
      </c>
      <c r="T10" s="617"/>
      <c r="U10" s="627">
        <f>SUM(U11:U12)/2</f>
        <v>0</v>
      </c>
      <c r="V10" s="627">
        <f>SUM(V11:V12)/2</f>
        <v>0</v>
      </c>
      <c r="W10" s="9"/>
    </row>
    <row r="11" spans="1:23" s="673" customFormat="1" ht="31.5" customHeight="1">
      <c r="A11" s="658"/>
      <c r="B11" s="612" t="s">
        <v>1353</v>
      </c>
      <c r="C11" s="628"/>
      <c r="D11" s="613"/>
      <c r="E11" s="613"/>
      <c r="F11" s="629">
        <f t="shared" ref="F11:M11" si="7">SUM(F12:F12)</f>
        <v>51953600</v>
      </c>
      <c r="G11" s="629">
        <f t="shared" si="7"/>
        <v>0</v>
      </c>
      <c r="H11" s="629">
        <f t="shared" si="7"/>
        <v>0</v>
      </c>
      <c r="I11" s="629">
        <f t="shared" si="7"/>
        <v>0</v>
      </c>
      <c r="J11" s="629">
        <f t="shared" si="7"/>
        <v>0</v>
      </c>
      <c r="K11" s="629">
        <f t="shared" si="7"/>
        <v>51953600</v>
      </c>
      <c r="L11" s="629">
        <f t="shared" si="7"/>
        <v>0</v>
      </c>
      <c r="M11" s="629">
        <f t="shared" si="7"/>
        <v>344635</v>
      </c>
      <c r="N11" s="629">
        <f t="shared" si="1"/>
        <v>52298235</v>
      </c>
      <c r="O11" s="622"/>
      <c r="P11" s="629"/>
      <c r="Q11" s="629">
        <f>SUM(Q12:Q12)</f>
        <v>0</v>
      </c>
      <c r="R11" s="629">
        <f>SUM(R12:R12)</f>
        <v>344635</v>
      </c>
      <c r="S11" s="628" t="str">
        <f t="shared" si="3"/>
        <v>ok</v>
      </c>
      <c r="T11" s="617"/>
      <c r="U11" s="629">
        <f>SUM(U12:U12)</f>
        <v>0</v>
      </c>
      <c r="V11" s="629">
        <f>SUM(V12:V12)</f>
        <v>0</v>
      </c>
      <c r="W11" s="611"/>
    </row>
    <row r="12" spans="1:23" s="673" customFormat="1" ht="31.5" customHeight="1">
      <c r="A12" s="658"/>
      <c r="B12" s="419" t="s">
        <v>1354</v>
      </c>
      <c r="C12" s="380" t="s">
        <v>1355</v>
      </c>
      <c r="D12" s="659" t="s">
        <v>1345</v>
      </c>
      <c r="E12" s="540" t="s">
        <v>1350</v>
      </c>
      <c r="F12" s="657">
        <v>51953600</v>
      </c>
      <c r="G12" s="657"/>
      <c r="H12" s="665"/>
      <c r="I12" s="657"/>
      <c r="J12" s="657"/>
      <c r="K12" s="665">
        <f>F12+I12+J12</f>
        <v>51953600</v>
      </c>
      <c r="L12" s="661"/>
      <c r="M12" s="638">
        <v>344635</v>
      </c>
      <c r="N12" s="665">
        <f t="shared" si="1"/>
        <v>52298235</v>
      </c>
      <c r="O12" s="648" t="str">
        <f>IF(I12-L12&lt;0,"동의필요","-")</f>
        <v>-</v>
      </c>
      <c r="P12" s="381" t="s">
        <v>1344</v>
      </c>
      <c r="Q12" s="661"/>
      <c r="R12" s="661">
        <f>M12</f>
        <v>344635</v>
      </c>
      <c r="S12" s="628" t="str">
        <f t="shared" si="3"/>
        <v>ok</v>
      </c>
      <c r="T12" s="617"/>
      <c r="U12" s="619"/>
      <c r="V12" s="619"/>
      <c r="W12" s="620"/>
    </row>
    <row r="13" spans="1:23" ht="31.5" customHeight="1">
      <c r="A13" s="25" t="s">
        <v>92</v>
      </c>
      <c r="B13" s="26"/>
      <c r="C13" s="26"/>
      <c r="D13" s="26"/>
      <c r="E13" s="26"/>
      <c r="F13" s="27">
        <f t="shared" ref="F13:M13" si="8">SUM(F14:F16)/2</f>
        <v>2835927</v>
      </c>
      <c r="G13" s="27">
        <f t="shared" si="8"/>
        <v>0</v>
      </c>
      <c r="H13" s="27">
        <f t="shared" si="8"/>
        <v>63027</v>
      </c>
      <c r="I13" s="27">
        <f t="shared" si="8"/>
        <v>0</v>
      </c>
      <c r="J13" s="27">
        <f t="shared" si="8"/>
        <v>202415</v>
      </c>
      <c r="K13" s="27">
        <f t="shared" si="8"/>
        <v>3038342</v>
      </c>
      <c r="L13" s="369">
        <f t="shared" si="8"/>
        <v>0</v>
      </c>
      <c r="M13" s="369">
        <f t="shared" si="8"/>
        <v>202415</v>
      </c>
      <c r="N13" s="369">
        <f t="shared" si="1"/>
        <v>3038342</v>
      </c>
      <c r="O13" s="268"/>
      <c r="P13" s="27"/>
      <c r="Q13" s="27">
        <f>SUM(Q14:Q16)/2</f>
        <v>200000</v>
      </c>
      <c r="R13" s="27">
        <f>SUM(R14:R16)/2</f>
        <v>2415</v>
      </c>
      <c r="S13" s="26" t="str">
        <f t="shared" si="3"/>
        <v>ok</v>
      </c>
      <c r="T13" s="617"/>
      <c r="U13" s="627">
        <f>SUM(U14:U16)/2</f>
        <v>0</v>
      </c>
      <c r="V13" s="627">
        <f>SUM(V14:V16)/2</f>
        <v>0</v>
      </c>
      <c r="W13" s="9"/>
    </row>
    <row r="14" spans="1:23" ht="31.5" customHeight="1">
      <c r="A14" s="658"/>
      <c r="B14" s="612" t="s">
        <v>93</v>
      </c>
      <c r="C14" s="628"/>
      <c r="D14" s="613"/>
      <c r="E14" s="613"/>
      <c r="F14" s="629">
        <f t="shared" ref="F14:M14" si="9">SUM(F15:F16)</f>
        <v>2835927</v>
      </c>
      <c r="G14" s="629">
        <f t="shared" si="9"/>
        <v>0</v>
      </c>
      <c r="H14" s="629">
        <f t="shared" si="9"/>
        <v>63027</v>
      </c>
      <c r="I14" s="629">
        <f t="shared" si="9"/>
        <v>0</v>
      </c>
      <c r="J14" s="629">
        <f t="shared" si="9"/>
        <v>202415</v>
      </c>
      <c r="K14" s="629">
        <f t="shared" si="9"/>
        <v>3038342</v>
      </c>
      <c r="L14" s="629">
        <f t="shared" si="9"/>
        <v>0</v>
      </c>
      <c r="M14" s="629">
        <f t="shared" si="9"/>
        <v>202415</v>
      </c>
      <c r="N14" s="629">
        <f t="shared" si="1"/>
        <v>3038342</v>
      </c>
      <c r="O14" s="622"/>
      <c r="P14" s="629"/>
      <c r="Q14" s="629">
        <f>SUM(Q15:Q16)</f>
        <v>200000</v>
      </c>
      <c r="R14" s="629">
        <f>SUM(R15:R16)</f>
        <v>2415</v>
      </c>
      <c r="S14" s="628" t="str">
        <f t="shared" si="3"/>
        <v>ok</v>
      </c>
      <c r="T14" s="98"/>
      <c r="U14" s="629">
        <f>SUM(U15:U16)</f>
        <v>0</v>
      </c>
      <c r="V14" s="629">
        <f>SUM(V15:V16)</f>
        <v>0</v>
      </c>
      <c r="W14" s="611"/>
    </row>
    <row r="15" spans="1:23" ht="31.5" customHeight="1">
      <c r="A15" s="658"/>
      <c r="B15" s="658" t="str">
        <f>IF(SUMPRODUCT(COUNTIF(C15,{"*본예산*","*1회추경*","*신규*"})),"추가"," 2회")</f>
        <v xml:space="preserve"> 2회</v>
      </c>
      <c r="C15" s="644">
        <v>252</v>
      </c>
      <c r="D15" s="659" t="s">
        <v>95</v>
      </c>
      <c r="E15" s="540" t="s">
        <v>1054</v>
      </c>
      <c r="F15" s="657">
        <v>63027</v>
      </c>
      <c r="G15" s="657">
        <v>0</v>
      </c>
      <c r="H15" s="665">
        <f>IF(SUMPRODUCT(COUNTIF(C15,{"*본예산*","*1회추경*","*신규*"})),"-",F15-G15)</f>
        <v>63027</v>
      </c>
      <c r="I15" s="657"/>
      <c r="J15" s="657">
        <v>2415</v>
      </c>
      <c r="K15" s="665">
        <f>F15+I15+J15</f>
        <v>65442</v>
      </c>
      <c r="L15" s="657"/>
      <c r="M15" s="657">
        <v>2415</v>
      </c>
      <c r="N15" s="665">
        <f t="shared" si="1"/>
        <v>65442</v>
      </c>
      <c r="O15" s="381" t="s">
        <v>96</v>
      </c>
      <c r="P15" s="661" t="s">
        <v>97</v>
      </c>
      <c r="Q15" s="661"/>
      <c r="R15" s="661">
        <v>2415</v>
      </c>
      <c r="S15" s="648" t="str">
        <f t="shared" si="3"/>
        <v>ok</v>
      </c>
      <c r="T15" s="98"/>
      <c r="U15" s="619"/>
      <c r="V15" s="619"/>
      <c r="W15" s="620"/>
    </row>
    <row r="16" spans="1:23" ht="31.5" customHeight="1">
      <c r="A16" s="658"/>
      <c r="B16" s="658" t="str">
        <f>IF(SUMPRODUCT(COUNTIF(C16,{"*본예산*","*1회추경*","*신규*"})),"추가"," 2회")</f>
        <v>추가</v>
      </c>
      <c r="C16" s="380" t="s">
        <v>1026</v>
      </c>
      <c r="D16" s="659" t="s">
        <v>98</v>
      </c>
      <c r="E16" s="540" t="s">
        <v>218</v>
      </c>
      <c r="F16" s="657">
        <v>2772900</v>
      </c>
      <c r="G16" s="657"/>
      <c r="H16" s="665" t="str">
        <f>IF(SUMPRODUCT(COUNTIF(C16,{"*본예산*","*1회추경*","*신규*"})),"-",F16-G16)</f>
        <v>-</v>
      </c>
      <c r="I16" s="657"/>
      <c r="J16" s="657">
        <v>200000</v>
      </c>
      <c r="K16" s="665">
        <f>F16+I16+J16</f>
        <v>2972900</v>
      </c>
      <c r="L16" s="657"/>
      <c r="M16" s="657">
        <v>200000</v>
      </c>
      <c r="N16" s="665">
        <f t="shared" si="1"/>
        <v>2972900</v>
      </c>
      <c r="O16" s="381" t="s">
        <v>219</v>
      </c>
      <c r="P16" s="661" t="s">
        <v>90</v>
      </c>
      <c r="Q16" s="661">
        <v>200000</v>
      </c>
      <c r="R16" s="661">
        <v>0</v>
      </c>
      <c r="S16" s="648" t="str">
        <f t="shared" si="3"/>
        <v>ok</v>
      </c>
      <c r="T16" s="98"/>
      <c r="U16" s="619"/>
      <c r="V16" s="619"/>
      <c r="W16" s="620"/>
    </row>
    <row r="17" spans="1:23" ht="31.5" customHeight="1">
      <c r="A17" s="445" t="s">
        <v>101</v>
      </c>
      <c r="B17" s="626"/>
      <c r="C17" s="626"/>
      <c r="D17" s="626"/>
      <c r="E17" s="626"/>
      <c r="F17" s="627">
        <f t="shared" ref="F17:M17" si="10">SUM(F18:F22)/2</f>
        <v>0</v>
      </c>
      <c r="G17" s="627">
        <f t="shared" si="10"/>
        <v>0</v>
      </c>
      <c r="H17" s="627">
        <f t="shared" si="10"/>
        <v>0</v>
      </c>
      <c r="I17" s="627">
        <f t="shared" si="10"/>
        <v>0</v>
      </c>
      <c r="J17" s="627">
        <f t="shared" si="10"/>
        <v>1648000</v>
      </c>
      <c r="K17" s="627">
        <f t="shared" si="10"/>
        <v>1648000</v>
      </c>
      <c r="L17" s="627">
        <f t="shared" si="10"/>
        <v>0</v>
      </c>
      <c r="M17" s="627">
        <f t="shared" si="10"/>
        <v>1648000</v>
      </c>
      <c r="N17" s="627">
        <f t="shared" si="1"/>
        <v>1648000</v>
      </c>
      <c r="O17" s="268"/>
      <c r="P17" s="627"/>
      <c r="Q17" s="627">
        <f>SUM(Q18:Q22)/2</f>
        <v>1648000</v>
      </c>
      <c r="R17" s="627">
        <f>SUM(R18:R22)/2</f>
        <v>0</v>
      </c>
      <c r="S17" s="626" t="str">
        <f t="shared" si="3"/>
        <v>ok</v>
      </c>
      <c r="T17" s="617"/>
      <c r="U17" s="627">
        <f>SUM(U18:U22)/2</f>
        <v>0</v>
      </c>
      <c r="V17" s="627">
        <f>SUM(V18:V22)/2</f>
        <v>0</v>
      </c>
      <c r="W17" s="9"/>
    </row>
    <row r="18" spans="1:23" ht="31.5" customHeight="1">
      <c r="A18" s="99"/>
      <c r="B18" s="612" t="s">
        <v>102</v>
      </c>
      <c r="C18" s="628"/>
      <c r="D18" s="613"/>
      <c r="E18" s="613"/>
      <c r="F18" s="629">
        <f t="shared" ref="F18:M18" si="11">SUM(F19:F22)</f>
        <v>0</v>
      </c>
      <c r="G18" s="629">
        <f t="shared" si="11"/>
        <v>0</v>
      </c>
      <c r="H18" s="629">
        <f t="shared" si="11"/>
        <v>0</v>
      </c>
      <c r="I18" s="629">
        <f t="shared" si="11"/>
        <v>0</v>
      </c>
      <c r="J18" s="629">
        <f t="shared" si="11"/>
        <v>1648000</v>
      </c>
      <c r="K18" s="629">
        <f t="shared" si="11"/>
        <v>1648000</v>
      </c>
      <c r="L18" s="629">
        <f t="shared" si="11"/>
        <v>0</v>
      </c>
      <c r="M18" s="629">
        <f t="shared" si="11"/>
        <v>1648000</v>
      </c>
      <c r="N18" s="629">
        <f t="shared" si="1"/>
        <v>1648000</v>
      </c>
      <c r="O18" s="622"/>
      <c r="P18" s="629"/>
      <c r="Q18" s="629">
        <f>SUM(Q19:Q22)</f>
        <v>1648000</v>
      </c>
      <c r="R18" s="629">
        <f>SUM(R19:R22)</f>
        <v>0</v>
      </c>
      <c r="S18" s="628" t="str">
        <f t="shared" si="3"/>
        <v>ok</v>
      </c>
      <c r="T18" s="98"/>
      <c r="U18" s="629">
        <f>SUM(U19:U22)</f>
        <v>0</v>
      </c>
      <c r="V18" s="629">
        <f>SUM(V19:V22)</f>
        <v>0</v>
      </c>
      <c r="W18" s="611"/>
    </row>
    <row r="19" spans="1:23" ht="31.5" customHeight="1">
      <c r="A19" s="99"/>
      <c r="B19" s="658" t="str">
        <f>IF(SUMPRODUCT(COUNTIF(C19,{"*본예산*","*1회추경*","*신규*"})),"추가"," 2회")</f>
        <v>추가</v>
      </c>
      <c r="C19" s="666" t="s">
        <v>1027</v>
      </c>
      <c r="D19" s="640" t="s">
        <v>103</v>
      </c>
      <c r="E19" s="540" t="s">
        <v>220</v>
      </c>
      <c r="F19" s="668"/>
      <c r="G19" s="668"/>
      <c r="H19" s="665" t="str">
        <f>IF(SUMPRODUCT(COUNTIF(C19,{"*본예산*","*1회추경*","*신규*"})),"-",F19-G19)</f>
        <v>-</v>
      </c>
      <c r="I19" s="668"/>
      <c r="J19" s="668">
        <v>551000</v>
      </c>
      <c r="K19" s="665">
        <f>F19+I19+J19</f>
        <v>551000</v>
      </c>
      <c r="L19" s="668"/>
      <c r="M19" s="668">
        <v>551000</v>
      </c>
      <c r="N19" s="665">
        <f t="shared" si="1"/>
        <v>551000</v>
      </c>
      <c r="O19" s="381" t="s">
        <v>1028</v>
      </c>
      <c r="P19" s="661" t="s">
        <v>224</v>
      </c>
      <c r="Q19" s="657">
        <v>551000</v>
      </c>
      <c r="R19" s="661"/>
      <c r="S19" s="648" t="str">
        <f t="shared" si="3"/>
        <v>ok</v>
      </c>
      <c r="T19" s="98"/>
      <c r="U19" s="619"/>
      <c r="V19" s="619"/>
      <c r="W19" s="620"/>
    </row>
    <row r="20" spans="1:23" ht="31.5" customHeight="1">
      <c r="A20" s="99"/>
      <c r="B20" s="658" t="str">
        <f>IF(SUMPRODUCT(COUNTIF(C20,{"*본예산*","*1회추경*","*신규*"})),"추가"," 2회")</f>
        <v>추가</v>
      </c>
      <c r="C20" s="666" t="s">
        <v>1027</v>
      </c>
      <c r="D20" s="640" t="s">
        <v>103</v>
      </c>
      <c r="E20" s="272" t="s">
        <v>221</v>
      </c>
      <c r="F20" s="668"/>
      <c r="G20" s="668"/>
      <c r="H20" s="102" t="str">
        <f>IF(SUMPRODUCT(COUNTIF(C20,{"*본예산*","*1회추경*","*신규*"})),"-",F20-G20)</f>
        <v>-</v>
      </c>
      <c r="I20" s="668"/>
      <c r="J20" s="668">
        <v>497000</v>
      </c>
      <c r="K20" s="102">
        <f>F20+I20+J20</f>
        <v>497000</v>
      </c>
      <c r="L20" s="668"/>
      <c r="M20" s="668">
        <v>497000</v>
      </c>
      <c r="N20" s="376">
        <f t="shared" si="1"/>
        <v>497000</v>
      </c>
      <c r="O20" s="381" t="s">
        <v>1029</v>
      </c>
      <c r="P20" s="661" t="s">
        <v>224</v>
      </c>
      <c r="Q20" s="657">
        <v>497000</v>
      </c>
      <c r="R20" s="103"/>
      <c r="S20" s="648" t="str">
        <f t="shared" si="3"/>
        <v>ok</v>
      </c>
      <c r="T20" s="98"/>
      <c r="U20" s="105"/>
      <c r="V20" s="105"/>
      <c r="W20" s="106"/>
    </row>
    <row r="21" spans="1:23" ht="31.5" customHeight="1">
      <c r="A21" s="99"/>
      <c r="B21" s="658" t="str">
        <f>IF(SUMPRODUCT(COUNTIF(C21,{"*본예산*","*1회추경*","*신규*"})),"추가"," 2회")</f>
        <v>추가</v>
      </c>
      <c r="C21" s="666" t="s">
        <v>1027</v>
      </c>
      <c r="D21" s="640" t="s">
        <v>103</v>
      </c>
      <c r="E21" s="540" t="s">
        <v>222</v>
      </c>
      <c r="F21" s="668"/>
      <c r="G21" s="668"/>
      <c r="H21" s="665" t="str">
        <f>IF(SUMPRODUCT(COUNTIF(C21,{"*본예산*","*1회추경*","*신규*"})),"-",F21-G21)</f>
        <v>-</v>
      </c>
      <c r="I21" s="668"/>
      <c r="J21" s="668">
        <v>44000</v>
      </c>
      <c r="K21" s="665">
        <f>F21+I21+J21</f>
        <v>44000</v>
      </c>
      <c r="L21" s="668"/>
      <c r="M21" s="668">
        <v>44000</v>
      </c>
      <c r="N21" s="665">
        <f t="shared" si="1"/>
        <v>44000</v>
      </c>
      <c r="O21" s="381" t="s">
        <v>223</v>
      </c>
      <c r="P21" s="661" t="s">
        <v>224</v>
      </c>
      <c r="Q21" s="657">
        <v>44000</v>
      </c>
      <c r="R21" s="661"/>
      <c r="S21" s="648" t="str">
        <f t="shared" si="3"/>
        <v>ok</v>
      </c>
      <c r="T21" s="98"/>
      <c r="U21" s="619"/>
      <c r="V21" s="619"/>
      <c r="W21" s="620"/>
    </row>
    <row r="22" spans="1:23" ht="31.5" customHeight="1">
      <c r="A22" s="99"/>
      <c r="B22" s="99" t="str">
        <f>IF(SUMPRODUCT(COUNTIF(C22,{"*본예산*","*1회추경*","*신규*"})),"추가"," 2회")</f>
        <v>추가</v>
      </c>
      <c r="C22" s="666" t="s">
        <v>1027</v>
      </c>
      <c r="D22" s="640" t="s">
        <v>103</v>
      </c>
      <c r="E22" s="272" t="s">
        <v>225</v>
      </c>
      <c r="F22" s="668"/>
      <c r="G22" s="668"/>
      <c r="H22" s="102" t="str">
        <f>IF(SUMPRODUCT(COUNTIF(C22,{"*본예산*","*1회추경*","*신규*"})),"-",F22-G22)</f>
        <v>-</v>
      </c>
      <c r="I22" s="668"/>
      <c r="J22" s="668">
        <v>556000</v>
      </c>
      <c r="K22" s="102">
        <f>F22+I22+J22</f>
        <v>556000</v>
      </c>
      <c r="L22" s="668"/>
      <c r="M22" s="668">
        <v>556000</v>
      </c>
      <c r="N22" s="376">
        <f t="shared" si="1"/>
        <v>556000</v>
      </c>
      <c r="O22" s="271" t="s">
        <v>226</v>
      </c>
      <c r="P22" s="103" t="s">
        <v>224</v>
      </c>
      <c r="Q22" s="657">
        <v>556000</v>
      </c>
      <c r="R22" s="103"/>
      <c r="S22" s="104" t="str">
        <f t="shared" si="3"/>
        <v>ok</v>
      </c>
      <c r="T22" s="98"/>
      <c r="U22" s="105"/>
      <c r="V22" s="105"/>
      <c r="W22" s="106"/>
    </row>
    <row r="23" spans="1:23" ht="31.5" customHeight="1">
      <c r="A23" s="445" t="s">
        <v>227</v>
      </c>
      <c r="B23" s="626"/>
      <c r="C23" s="626"/>
      <c r="D23" s="626"/>
      <c r="E23" s="626"/>
      <c r="F23" s="627">
        <f t="shared" ref="F23:M23" si="12">SUM(F24:F26)/2</f>
        <v>10225000</v>
      </c>
      <c r="G23" s="627">
        <f t="shared" si="12"/>
        <v>8225000</v>
      </c>
      <c r="H23" s="627">
        <f t="shared" si="12"/>
        <v>100000</v>
      </c>
      <c r="I23" s="627">
        <f t="shared" si="12"/>
        <v>0</v>
      </c>
      <c r="J23" s="627">
        <f t="shared" si="12"/>
        <v>2050000</v>
      </c>
      <c r="K23" s="627">
        <f t="shared" si="12"/>
        <v>12275000</v>
      </c>
      <c r="L23" s="627">
        <f t="shared" si="12"/>
        <v>0</v>
      </c>
      <c r="M23" s="627">
        <f t="shared" si="12"/>
        <v>2050000</v>
      </c>
      <c r="N23" s="627">
        <f t="shared" si="1"/>
        <v>12275000</v>
      </c>
      <c r="O23" s="268"/>
      <c r="P23" s="627"/>
      <c r="Q23" s="627">
        <f>SUM(Q24:Q26)/2</f>
        <v>2000000</v>
      </c>
      <c r="R23" s="627">
        <f>SUM(R24:R26)/2</f>
        <v>50000</v>
      </c>
      <c r="S23" s="626" t="str">
        <f t="shared" si="3"/>
        <v>ok</v>
      </c>
      <c r="T23" s="98"/>
      <c r="U23" s="627">
        <f>SUM(U24:U26)/2</f>
        <v>0</v>
      </c>
      <c r="V23" s="627">
        <f>SUM(V24:V26)/2</f>
        <v>0</v>
      </c>
      <c r="W23" s="9"/>
    </row>
    <row r="24" spans="1:23" ht="31.5" customHeight="1">
      <c r="A24" s="99"/>
      <c r="B24" s="29" t="s">
        <v>228</v>
      </c>
      <c r="C24" s="30"/>
      <c r="D24" s="31"/>
      <c r="E24" s="31"/>
      <c r="F24" s="32">
        <f t="shared" ref="F24:N24" si="13">SUM(F25:F26)</f>
        <v>10225000</v>
      </c>
      <c r="G24" s="582">
        <f t="shared" si="13"/>
        <v>8225000</v>
      </c>
      <c r="H24" s="582">
        <f t="shared" si="13"/>
        <v>100000</v>
      </c>
      <c r="I24" s="582">
        <f t="shared" si="13"/>
        <v>0</v>
      </c>
      <c r="J24" s="582">
        <f t="shared" si="13"/>
        <v>2050000</v>
      </c>
      <c r="K24" s="582">
        <f t="shared" si="13"/>
        <v>12275000</v>
      </c>
      <c r="L24" s="582">
        <f t="shared" si="13"/>
        <v>0</v>
      </c>
      <c r="M24" s="582">
        <f t="shared" si="13"/>
        <v>2050000</v>
      </c>
      <c r="N24" s="582">
        <f t="shared" si="13"/>
        <v>12275000</v>
      </c>
      <c r="O24" s="269"/>
      <c r="P24" s="32"/>
      <c r="Q24" s="582">
        <f>SUM(Q25:Q26)</f>
        <v>2000000</v>
      </c>
      <c r="R24" s="582">
        <f>SUM(R25:R26)</f>
        <v>50000</v>
      </c>
      <c r="S24" s="30" t="str">
        <f t="shared" si="3"/>
        <v>ok</v>
      </c>
      <c r="T24" s="98"/>
      <c r="U24" s="629">
        <f>SUM(U26)</f>
        <v>0</v>
      </c>
      <c r="V24" s="629">
        <f>SUM(V26)</f>
        <v>0</v>
      </c>
      <c r="W24" s="11"/>
    </row>
    <row r="25" spans="1:23" s="520" customFormat="1" ht="31.5" customHeight="1">
      <c r="A25" s="522"/>
      <c r="B25" s="522" t="str">
        <f>IF(SUMPRODUCT(COUNTIF(C25,{"*본예산*","*1회추경*","*신규*"})),"추가"," 2회")</f>
        <v>추가</v>
      </c>
      <c r="C25" s="380" t="s">
        <v>229</v>
      </c>
      <c r="D25" s="659" t="s">
        <v>55</v>
      </c>
      <c r="E25" s="659" t="s">
        <v>230</v>
      </c>
      <c r="F25" s="657">
        <v>1900000</v>
      </c>
      <c r="G25" s="657"/>
      <c r="H25" s="523" t="str">
        <f>IF(SUMPRODUCT(COUNTIF(C25,{"*본예산*","*1회추경*","*신규*"})),"-",F25-G25)</f>
        <v>-</v>
      </c>
      <c r="I25" s="363"/>
      <c r="J25" s="363">
        <v>50000</v>
      </c>
      <c r="K25" s="523">
        <f>F25+I25+J25</f>
        <v>1950000</v>
      </c>
      <c r="L25" s="363"/>
      <c r="M25" s="363">
        <v>50000</v>
      </c>
      <c r="N25" s="523">
        <f t="shared" ref="N25:N34" si="14">F25+L25+M25</f>
        <v>1950000</v>
      </c>
      <c r="O25" s="381"/>
      <c r="P25" s="377" t="s">
        <v>27</v>
      </c>
      <c r="Q25" s="661"/>
      <c r="R25" s="377">
        <v>50000</v>
      </c>
      <c r="S25" s="524" t="str">
        <f t="shared" si="3"/>
        <v>ok</v>
      </c>
      <c r="T25" s="521"/>
      <c r="U25" s="525"/>
      <c r="V25" s="525"/>
      <c r="W25" s="526"/>
    </row>
    <row r="26" spans="1:23" s="673" customFormat="1" ht="31.5" customHeight="1">
      <c r="A26" s="658"/>
      <c r="B26" s="658" t="str">
        <f>IF(SUMPRODUCT(COUNTIF(C26,{"*본예산*","*1회추경*","*신규*"})),"추가"," 2회")</f>
        <v xml:space="preserve"> 2회</v>
      </c>
      <c r="C26" s="380">
        <v>294</v>
      </c>
      <c r="D26" s="659" t="s">
        <v>57</v>
      </c>
      <c r="E26" s="659" t="s">
        <v>1651</v>
      </c>
      <c r="F26" s="657">
        <v>8325000</v>
      </c>
      <c r="G26" s="657">
        <v>8225000</v>
      </c>
      <c r="H26" s="665">
        <f>IF(SUMPRODUCT(COUNTIF(C26,{"*본예산*","*1회추경*","*신규*"})),"-",F26-G26)</f>
        <v>100000</v>
      </c>
      <c r="I26" s="668"/>
      <c r="J26" s="668">
        <v>2000000</v>
      </c>
      <c r="K26" s="665">
        <f>F26+I26+J26</f>
        <v>10325000</v>
      </c>
      <c r="L26" s="668"/>
      <c r="M26" s="668">
        <v>2000000</v>
      </c>
      <c r="N26" s="665">
        <f t="shared" si="14"/>
        <v>10325000</v>
      </c>
      <c r="O26" s="381" t="s">
        <v>1188</v>
      </c>
      <c r="P26" s="661" t="s">
        <v>1552</v>
      </c>
      <c r="Q26" s="661">
        <v>2000000</v>
      </c>
      <c r="R26" s="661"/>
      <c r="S26" s="648" t="str">
        <f t="shared" si="3"/>
        <v>ok</v>
      </c>
      <c r="T26" s="617"/>
      <c r="U26" s="619"/>
      <c r="V26" s="619"/>
      <c r="W26" s="620"/>
    </row>
    <row r="27" spans="1:23" ht="31.5" customHeight="1">
      <c r="A27" s="445" t="s">
        <v>113</v>
      </c>
      <c r="B27" s="626"/>
      <c r="C27" s="626"/>
      <c r="D27" s="626"/>
      <c r="E27" s="626"/>
      <c r="F27" s="627">
        <f t="shared" ref="F27:M27" si="15">SUM(F28:F41)/2</f>
        <v>77487057</v>
      </c>
      <c r="G27" s="627">
        <f t="shared" si="15"/>
        <v>739048</v>
      </c>
      <c r="H27" s="627">
        <f t="shared" si="15"/>
        <v>-389993</v>
      </c>
      <c r="I27" s="627">
        <f t="shared" si="15"/>
        <v>-3693166</v>
      </c>
      <c r="J27" s="627">
        <f t="shared" si="15"/>
        <v>6419445</v>
      </c>
      <c r="K27" s="627">
        <f t="shared" si="15"/>
        <v>80213336</v>
      </c>
      <c r="L27" s="627">
        <f t="shared" si="15"/>
        <v>-3701586</v>
      </c>
      <c r="M27" s="627">
        <f t="shared" si="15"/>
        <v>6419445</v>
      </c>
      <c r="N27" s="627">
        <f t="shared" si="14"/>
        <v>80204916</v>
      </c>
      <c r="O27" s="268"/>
      <c r="P27" s="627"/>
      <c r="Q27" s="627">
        <f>SUM(Q28:Q41)/2</f>
        <v>2477099</v>
      </c>
      <c r="R27" s="627">
        <f>SUM(R28:R41)/2</f>
        <v>240760</v>
      </c>
      <c r="S27" s="626" t="str">
        <f t="shared" si="3"/>
        <v>ok</v>
      </c>
      <c r="T27" s="98"/>
      <c r="U27" s="627" t="e">
        <f>SUM(U28:U41)/2</f>
        <v>#REF!</v>
      </c>
      <c r="V27" s="627" t="e">
        <f>SUM(V28:V41)/2</f>
        <v>#REF!</v>
      </c>
      <c r="W27" s="9"/>
    </row>
    <row r="28" spans="1:23" ht="31.5" customHeight="1">
      <c r="A28" s="99"/>
      <c r="B28" s="612" t="s">
        <v>114</v>
      </c>
      <c r="C28" s="628"/>
      <c r="D28" s="613"/>
      <c r="E28" s="613"/>
      <c r="F28" s="629">
        <f t="shared" ref="F28:M28" si="16">SUM(F29:F34)</f>
        <v>76487057</v>
      </c>
      <c r="G28" s="629">
        <f t="shared" si="16"/>
        <v>739048</v>
      </c>
      <c r="H28" s="629">
        <f t="shared" si="16"/>
        <v>-389993</v>
      </c>
      <c r="I28" s="629">
        <f t="shared" si="16"/>
        <v>-2693166</v>
      </c>
      <c r="J28" s="629">
        <f t="shared" si="16"/>
        <v>0</v>
      </c>
      <c r="K28" s="629">
        <f t="shared" si="16"/>
        <v>73793891</v>
      </c>
      <c r="L28" s="629">
        <f t="shared" si="16"/>
        <v>-2701586</v>
      </c>
      <c r="M28" s="629">
        <f t="shared" si="16"/>
        <v>0</v>
      </c>
      <c r="N28" s="629">
        <f t="shared" si="14"/>
        <v>73785471</v>
      </c>
      <c r="O28" s="622"/>
      <c r="P28" s="629"/>
      <c r="Q28" s="629">
        <f>SUM(Q29:Q34)</f>
        <v>-2314524</v>
      </c>
      <c r="R28" s="629">
        <f>SUM(R29:R34)</f>
        <v>-387062</v>
      </c>
      <c r="S28" s="628" t="str">
        <f t="shared" si="3"/>
        <v>ok</v>
      </c>
      <c r="T28" s="98"/>
      <c r="U28" s="629">
        <f>SUM(U29:U34)</f>
        <v>0</v>
      </c>
      <c r="V28" s="629">
        <f>SUM(V29:V34)</f>
        <v>0</v>
      </c>
      <c r="W28" s="611"/>
    </row>
    <row r="29" spans="1:23" ht="31.5" customHeight="1">
      <c r="A29" s="99"/>
      <c r="B29" s="658" t="str">
        <f>IF(SUMPRODUCT(COUNTIF(C29,{"*본예산*","*1회추경*","*신규*"})),"추가"," 2회")</f>
        <v>추가</v>
      </c>
      <c r="C29" s="380" t="s">
        <v>232</v>
      </c>
      <c r="D29" s="659" t="s">
        <v>116</v>
      </c>
      <c r="E29" s="550" t="s">
        <v>233</v>
      </c>
      <c r="F29" s="657">
        <v>11537750</v>
      </c>
      <c r="G29" s="657"/>
      <c r="H29" s="665" t="str">
        <f>IF(SUMPRODUCT(COUNTIF(C29,{"*본예산*","*1회추경*","*신규*"})),"-",F29-G29)</f>
        <v>-</v>
      </c>
      <c r="I29" s="657">
        <v>-639653</v>
      </c>
      <c r="J29" s="657"/>
      <c r="K29" s="665">
        <f t="shared" ref="K29:K34" si="17">F29+I29+J29</f>
        <v>10898097</v>
      </c>
      <c r="L29" s="657">
        <v>-639653</v>
      </c>
      <c r="M29" s="657"/>
      <c r="N29" s="665">
        <f t="shared" si="14"/>
        <v>10898097</v>
      </c>
      <c r="O29" s="381" t="s">
        <v>89</v>
      </c>
      <c r="P29" s="661"/>
      <c r="Q29" s="661">
        <v>-257875</v>
      </c>
      <c r="R29" s="661">
        <v>-381778</v>
      </c>
      <c r="S29" s="648" t="str">
        <f t="shared" si="3"/>
        <v>ok</v>
      </c>
      <c r="T29" s="98"/>
      <c r="U29" s="619"/>
      <c r="V29" s="619"/>
      <c r="W29" s="620"/>
    </row>
    <row r="30" spans="1:23" ht="31.5" customHeight="1">
      <c r="A30" s="99"/>
      <c r="B30" s="99" t="str">
        <f>IF(SUMPRODUCT(COUNTIF(C30,{"*본예산*","*1회추경*","*신규*"})),"추가"," 2회")</f>
        <v xml:space="preserve"> 2회</v>
      </c>
      <c r="C30" s="644">
        <v>307</v>
      </c>
      <c r="D30" s="101" t="s">
        <v>116</v>
      </c>
      <c r="E30" s="540" t="s">
        <v>234</v>
      </c>
      <c r="F30" s="95">
        <v>349055</v>
      </c>
      <c r="G30" s="95">
        <v>739048</v>
      </c>
      <c r="H30" s="102">
        <f>IF(SUMPRODUCT(COUNTIF(C30,{"*본예산*","*1회추경*","*신규*"})),"-",F30-G30)</f>
        <v>-389993</v>
      </c>
      <c r="I30" s="657">
        <v>-8907</v>
      </c>
      <c r="J30" s="657"/>
      <c r="K30" s="102">
        <f t="shared" si="17"/>
        <v>340148</v>
      </c>
      <c r="L30" s="657">
        <v>-8907</v>
      </c>
      <c r="M30" s="657"/>
      <c r="N30" s="376">
        <f t="shared" si="14"/>
        <v>340148</v>
      </c>
      <c r="O30" s="271" t="s">
        <v>124</v>
      </c>
      <c r="P30" s="139" t="s">
        <v>235</v>
      </c>
      <c r="Q30" s="103">
        <v>-8285</v>
      </c>
      <c r="R30" s="103">
        <v>-622</v>
      </c>
      <c r="S30" s="104" t="str">
        <f t="shared" si="3"/>
        <v>ok</v>
      </c>
      <c r="T30" s="98"/>
      <c r="U30" s="105"/>
      <c r="V30" s="105"/>
      <c r="W30" s="106"/>
    </row>
    <row r="31" spans="1:23" ht="31.5" customHeight="1">
      <c r="A31" s="658"/>
      <c r="B31" s="658" t="str">
        <f>IF(SUMPRODUCT(COUNTIF(C31,{"*본예산*","*1회추경*","*신규*"})),"추가"," 2회")</f>
        <v>추가</v>
      </c>
      <c r="C31" s="380" t="s">
        <v>236</v>
      </c>
      <c r="D31" s="659" t="s">
        <v>118</v>
      </c>
      <c r="E31" s="540" t="s">
        <v>237</v>
      </c>
      <c r="F31" s="657">
        <v>59671700</v>
      </c>
      <c r="G31" s="657"/>
      <c r="H31" s="665" t="str">
        <f>IF(SUMPRODUCT(COUNTIF(C31,{"*본예산*","*1회추경*","*신규*"})),"-",F31-G31)</f>
        <v>-</v>
      </c>
      <c r="I31" s="657">
        <v>-841700</v>
      </c>
      <c r="J31" s="657"/>
      <c r="K31" s="665">
        <f t="shared" si="17"/>
        <v>58830000</v>
      </c>
      <c r="L31" s="657">
        <v>-841700</v>
      </c>
      <c r="M31" s="657"/>
      <c r="N31" s="665">
        <f t="shared" si="14"/>
        <v>58830000</v>
      </c>
      <c r="O31" s="381" t="s">
        <v>122</v>
      </c>
      <c r="P31" s="661" t="s">
        <v>238</v>
      </c>
      <c r="Q31" s="661">
        <v>-841700</v>
      </c>
      <c r="R31" s="661"/>
      <c r="S31" s="648" t="str">
        <f t="shared" si="3"/>
        <v>ok</v>
      </c>
      <c r="T31" s="98"/>
      <c r="U31" s="105"/>
      <c r="V31" s="105"/>
      <c r="W31" s="106"/>
    </row>
    <row r="32" spans="1:23" s="673" customFormat="1" ht="31.5" customHeight="1">
      <c r="A32" s="658"/>
      <c r="B32" s="658" t="str">
        <f>IF(SUMPRODUCT(COUNTIF(C32,{"*본예산*","*1회추경*","*신규*"})),"추가"," 2회")</f>
        <v>추가</v>
      </c>
      <c r="C32" s="380" t="s">
        <v>1652</v>
      </c>
      <c r="D32" s="659" t="s">
        <v>118</v>
      </c>
      <c r="E32" s="540" t="s">
        <v>1653</v>
      </c>
      <c r="F32" s="657">
        <v>2800000</v>
      </c>
      <c r="G32" s="657"/>
      <c r="H32" s="665" t="str">
        <f>IF(SUMPRODUCT(COUNTIF(C32,{"*본예산*","*1회추경*","*신규*"})),"-",F32-G32)</f>
        <v>-</v>
      </c>
      <c r="I32" s="657">
        <v>-808863</v>
      </c>
      <c r="J32" s="657"/>
      <c r="K32" s="665">
        <f t="shared" si="17"/>
        <v>1991137</v>
      </c>
      <c r="L32" s="657">
        <v>-817283</v>
      </c>
      <c r="M32" s="657"/>
      <c r="N32" s="665">
        <f t="shared" si="14"/>
        <v>1982717</v>
      </c>
      <c r="O32" s="381" t="s">
        <v>120</v>
      </c>
      <c r="P32" s="661" t="s">
        <v>1552</v>
      </c>
      <c r="Q32" s="661">
        <v>-817283</v>
      </c>
      <c r="R32" s="661"/>
      <c r="S32" s="648" t="str">
        <f t="shared" si="3"/>
        <v>ok</v>
      </c>
      <c r="T32" s="617"/>
      <c r="U32" s="619"/>
      <c r="V32" s="619"/>
      <c r="W32" s="620"/>
    </row>
    <row r="33" spans="1:23" s="673" customFormat="1" ht="31.5" customHeight="1">
      <c r="A33" s="658"/>
      <c r="B33" s="658" t="str">
        <f>IF(SUMPRODUCT(COUNTIF(C33,{"*본예산*","*1회추경*","*신규*"})),"추가"," 2회")</f>
        <v>추가</v>
      </c>
      <c r="C33" s="380" t="s">
        <v>1654</v>
      </c>
      <c r="D33" s="659" t="s">
        <v>118</v>
      </c>
      <c r="E33" s="540" t="s">
        <v>1655</v>
      </c>
      <c r="F33" s="657">
        <v>1459000</v>
      </c>
      <c r="G33" s="657"/>
      <c r="H33" s="665" t="str">
        <f>IF(SUMPRODUCT(COUNTIF(C33,{"*본예산*","*1회추경*","*신규*"})),"-",F33-G33)</f>
        <v>-</v>
      </c>
      <c r="I33" s="657">
        <v>-379021</v>
      </c>
      <c r="J33" s="657"/>
      <c r="K33" s="665">
        <f t="shared" si="17"/>
        <v>1079979</v>
      </c>
      <c r="L33" s="657">
        <v>-379021</v>
      </c>
      <c r="M33" s="657"/>
      <c r="N33" s="665">
        <f t="shared" si="14"/>
        <v>1079979</v>
      </c>
      <c r="O33" s="381" t="s">
        <v>1192</v>
      </c>
      <c r="P33" s="661" t="s">
        <v>1552</v>
      </c>
      <c r="Q33" s="661">
        <v>-379021</v>
      </c>
      <c r="R33" s="661"/>
      <c r="S33" s="648" t="str">
        <f t="shared" si="3"/>
        <v>ok</v>
      </c>
      <c r="T33" s="617"/>
      <c r="U33" s="619"/>
      <c r="V33" s="619"/>
      <c r="W33" s="620"/>
    </row>
    <row r="34" spans="1:23" s="673" customFormat="1" ht="31.5" customHeight="1">
      <c r="A34" s="658"/>
      <c r="B34" s="658" t="str">
        <f>IF(SUMPRODUCT(COUNTIF(C34,{"*본예산*","*1회추경*","*신규*"})),"추가"," 2회")</f>
        <v>추가</v>
      </c>
      <c r="C34" s="380" t="s">
        <v>1654</v>
      </c>
      <c r="D34" s="659" t="s">
        <v>118</v>
      </c>
      <c r="E34" s="540" t="s">
        <v>1656</v>
      </c>
      <c r="F34" s="657">
        <v>669552</v>
      </c>
      <c r="G34" s="657"/>
      <c r="H34" s="665" t="str">
        <f>IF(SUMPRODUCT(COUNTIF(C34,{"*본예산*","*1회추경*","*신규*"})),"-",F34-G34)</f>
        <v>-</v>
      </c>
      <c r="I34" s="657">
        <v>-15022</v>
      </c>
      <c r="J34" s="657"/>
      <c r="K34" s="665">
        <f t="shared" si="17"/>
        <v>654530</v>
      </c>
      <c r="L34" s="657">
        <v>-15022</v>
      </c>
      <c r="M34" s="657"/>
      <c r="N34" s="665">
        <f t="shared" si="14"/>
        <v>654530</v>
      </c>
      <c r="O34" s="381" t="s">
        <v>1193</v>
      </c>
      <c r="P34" s="661" t="s">
        <v>1657</v>
      </c>
      <c r="Q34" s="661">
        <v>-10360</v>
      </c>
      <c r="R34" s="661">
        <v>-4662</v>
      </c>
      <c r="S34" s="648" t="str">
        <f t="shared" si="3"/>
        <v>ok</v>
      </c>
      <c r="T34" s="617"/>
      <c r="U34" s="619"/>
      <c r="V34" s="619"/>
      <c r="W34" s="620"/>
    </row>
    <row r="35" spans="1:23" ht="31.5" customHeight="1">
      <c r="A35" s="99"/>
      <c r="B35" s="612" t="s">
        <v>125</v>
      </c>
      <c r="C35" s="628"/>
      <c r="D35" s="613"/>
      <c r="E35" s="613"/>
      <c r="F35" s="629">
        <f t="shared" ref="F35:N35" si="18">SUM(F36:F38)</f>
        <v>0</v>
      </c>
      <c r="G35" s="629">
        <f t="shared" si="18"/>
        <v>0</v>
      </c>
      <c r="H35" s="629">
        <f t="shared" si="18"/>
        <v>0</v>
      </c>
      <c r="I35" s="629">
        <f t="shared" si="18"/>
        <v>0</v>
      </c>
      <c r="J35" s="629">
        <f t="shared" si="18"/>
        <v>6392445</v>
      </c>
      <c r="K35" s="629">
        <f t="shared" si="18"/>
        <v>6392445</v>
      </c>
      <c r="L35" s="629">
        <f t="shared" si="18"/>
        <v>0</v>
      </c>
      <c r="M35" s="629">
        <f t="shared" si="18"/>
        <v>6392445</v>
      </c>
      <c r="N35" s="629">
        <f t="shared" si="18"/>
        <v>6392445</v>
      </c>
      <c r="O35" s="622"/>
      <c r="P35" s="629"/>
      <c r="Q35" s="629">
        <f>SUM(Q36:Q38)</f>
        <v>5764623</v>
      </c>
      <c r="R35" s="629">
        <f>SUM(R36:R38)</f>
        <v>627822</v>
      </c>
      <c r="S35" s="628" t="str">
        <f t="shared" si="3"/>
        <v>ok</v>
      </c>
      <c r="T35" s="98"/>
      <c r="U35" s="629">
        <f>SUM(U38)</f>
        <v>0</v>
      </c>
      <c r="V35" s="629">
        <f>SUM(V38)</f>
        <v>0</v>
      </c>
      <c r="W35" s="611"/>
    </row>
    <row r="36" spans="1:23" s="527" customFormat="1" ht="31.5" customHeight="1">
      <c r="A36" s="658"/>
      <c r="B36" s="658" t="str">
        <f>IF(SUMPRODUCT(COUNTIF(C36,{"*본예산*","*1회추경*","*신규*"})),"추가"," 2회")</f>
        <v>추가</v>
      </c>
      <c r="C36" s="666" t="s">
        <v>1027</v>
      </c>
      <c r="D36" s="659" t="s">
        <v>126</v>
      </c>
      <c r="E36" s="540" t="s">
        <v>1054</v>
      </c>
      <c r="F36" s="657"/>
      <c r="G36" s="657"/>
      <c r="H36" s="665" t="str">
        <f>IF(SUMPRODUCT(COUNTIF(C36,{"*본예산*","*1회추경*","*신규*"})),"-",F36-G36)</f>
        <v>-</v>
      </c>
      <c r="I36" s="657"/>
      <c r="J36" s="657">
        <v>627822</v>
      </c>
      <c r="K36" s="665">
        <f>F36+I36+J36</f>
        <v>627822</v>
      </c>
      <c r="L36" s="657"/>
      <c r="M36" s="657">
        <v>627822</v>
      </c>
      <c r="N36" s="665">
        <f t="shared" ref="N36:N41" si="19">F36+L36+M36</f>
        <v>627822</v>
      </c>
      <c r="O36" s="381" t="s">
        <v>239</v>
      </c>
      <c r="P36" s="661" t="s">
        <v>1344</v>
      </c>
      <c r="Q36" s="661"/>
      <c r="R36" s="661">
        <f>M36</f>
        <v>627822</v>
      </c>
      <c r="S36" s="648" t="str">
        <f t="shared" si="3"/>
        <v>ok</v>
      </c>
      <c r="T36" s="528"/>
      <c r="U36" s="529"/>
      <c r="V36" s="529"/>
      <c r="W36" s="530"/>
    </row>
    <row r="37" spans="1:23" s="673" customFormat="1" ht="31.5" customHeight="1">
      <c r="A37" s="658"/>
      <c r="B37" s="658" t="str">
        <f>IF(SUMPRODUCT(COUNTIF(C37,{"*본예산*","*1회추경*","*신규*"})),"추가"," 2회")</f>
        <v>추가</v>
      </c>
      <c r="C37" s="380" t="s">
        <v>1658</v>
      </c>
      <c r="D37" s="659" t="s">
        <v>126</v>
      </c>
      <c r="E37" s="540" t="s">
        <v>1659</v>
      </c>
      <c r="F37" s="657"/>
      <c r="G37" s="657"/>
      <c r="H37" s="665" t="str">
        <f>IF(SUMPRODUCT(COUNTIF(C37,{"*본예산*","*1회추경*","*신규*"})),"-",F37-G37)</f>
        <v>-</v>
      </c>
      <c r="I37" s="657"/>
      <c r="J37" s="657">
        <v>1453000</v>
      </c>
      <c r="K37" s="665">
        <f>F37+I37+J37</f>
        <v>1453000</v>
      </c>
      <c r="L37" s="657"/>
      <c r="M37" s="657">
        <v>1453000</v>
      </c>
      <c r="N37" s="665">
        <f t="shared" si="19"/>
        <v>1453000</v>
      </c>
      <c r="O37" s="381" t="s">
        <v>1196</v>
      </c>
      <c r="P37" s="661" t="s">
        <v>1552</v>
      </c>
      <c r="Q37" s="661">
        <v>1453000</v>
      </c>
      <c r="R37" s="661"/>
      <c r="S37" s="648" t="str">
        <f t="shared" si="3"/>
        <v>ok</v>
      </c>
      <c r="T37" s="617"/>
      <c r="U37" s="619"/>
      <c r="V37" s="619"/>
      <c r="W37" s="620"/>
    </row>
    <row r="38" spans="1:23" s="673" customFormat="1" ht="31.5" customHeight="1">
      <c r="A38" s="658"/>
      <c r="B38" s="658" t="str">
        <f>IF(SUMPRODUCT(COUNTIF(C38,{"*본예산*","*1회추경*","*신규*"})),"추가"," 2회")</f>
        <v>추가</v>
      </c>
      <c r="C38" s="380" t="s">
        <v>1658</v>
      </c>
      <c r="D38" s="659" t="s">
        <v>126</v>
      </c>
      <c r="E38" s="540" t="s">
        <v>1660</v>
      </c>
      <c r="F38" s="657"/>
      <c r="G38" s="657"/>
      <c r="H38" s="665" t="str">
        <f>IF(SUMPRODUCT(COUNTIF(C38,{"*본예산*","*1회추경*","*신규*"})),"-",F38-G38)</f>
        <v>-</v>
      </c>
      <c r="I38" s="657"/>
      <c r="J38" s="657">
        <v>4311623</v>
      </c>
      <c r="K38" s="665">
        <f>F38+I38+J38</f>
        <v>4311623</v>
      </c>
      <c r="L38" s="657"/>
      <c r="M38" s="657">
        <v>4311623</v>
      </c>
      <c r="N38" s="665">
        <f t="shared" si="19"/>
        <v>4311623</v>
      </c>
      <c r="O38" s="381" t="s">
        <v>1196</v>
      </c>
      <c r="P38" s="661" t="s">
        <v>1552</v>
      </c>
      <c r="Q38" s="661">
        <v>4311623</v>
      </c>
      <c r="R38" s="661"/>
      <c r="S38" s="648" t="str">
        <f t="shared" ref="S38:S69" si="20">IF((L38+M38)=(Q38+R38),"ok","검토")</f>
        <v>ok</v>
      </c>
      <c r="T38" s="617"/>
      <c r="U38" s="619"/>
      <c r="V38" s="619"/>
      <c r="W38" s="620"/>
    </row>
    <row r="39" spans="1:23" ht="31.5" customHeight="1">
      <c r="A39" s="99"/>
      <c r="B39" s="29" t="s">
        <v>128</v>
      </c>
      <c r="C39" s="30"/>
      <c r="D39" s="31"/>
      <c r="E39" s="31"/>
      <c r="F39" s="32">
        <f t="shared" ref="F39:M39" si="21">SUM(F40:F41)</f>
        <v>1000000</v>
      </c>
      <c r="G39" s="531">
        <f t="shared" si="21"/>
        <v>0</v>
      </c>
      <c r="H39" s="531">
        <f t="shared" si="21"/>
        <v>0</v>
      </c>
      <c r="I39" s="531">
        <f t="shared" si="21"/>
        <v>-1000000</v>
      </c>
      <c r="J39" s="531">
        <f t="shared" si="21"/>
        <v>27000</v>
      </c>
      <c r="K39" s="531">
        <f t="shared" si="21"/>
        <v>27000</v>
      </c>
      <c r="L39" s="531">
        <f t="shared" si="21"/>
        <v>-1000000</v>
      </c>
      <c r="M39" s="531">
        <f t="shared" si="21"/>
        <v>27000</v>
      </c>
      <c r="N39" s="531">
        <f t="shared" si="19"/>
        <v>27000</v>
      </c>
      <c r="O39" s="269"/>
      <c r="P39" s="32"/>
      <c r="Q39" s="531">
        <f>SUM(Q40:Q41)</f>
        <v>-973000</v>
      </c>
      <c r="R39" s="531">
        <f>SUM(R40:R41)</f>
        <v>0</v>
      </c>
      <c r="S39" s="30" t="str">
        <f t="shared" si="20"/>
        <v>ok</v>
      </c>
      <c r="T39" s="98"/>
      <c r="U39" s="629" t="e">
        <f>SUM(#REF!)</f>
        <v>#REF!</v>
      </c>
      <c r="V39" s="629" t="e">
        <f>SUM(#REF!)</f>
        <v>#REF!</v>
      </c>
      <c r="W39" s="11"/>
    </row>
    <row r="40" spans="1:23" s="532" customFormat="1" ht="31.5" customHeight="1">
      <c r="A40" s="535"/>
      <c r="B40" s="535" t="str">
        <f>IF(SUMPRODUCT(COUNTIF(C40,{"*본예산*","*1회추경*","*신규*"})),"추가"," 2회")</f>
        <v>추가</v>
      </c>
      <c r="C40" s="368" t="s">
        <v>1027</v>
      </c>
      <c r="D40" s="379" t="s">
        <v>240</v>
      </c>
      <c r="E40" s="540" t="s">
        <v>130</v>
      </c>
      <c r="F40" s="533"/>
      <c r="G40" s="533"/>
      <c r="H40" s="536" t="str">
        <f>IF(SUMPRODUCT(COUNTIF(C40,{"*본예산*","*1회추경*","*신규*"})),"-",F40-G40)</f>
        <v>-</v>
      </c>
      <c r="I40" s="533"/>
      <c r="J40" s="533">
        <v>27000</v>
      </c>
      <c r="K40" s="536">
        <f>F40+I40+J40</f>
        <v>27000</v>
      </c>
      <c r="L40" s="533"/>
      <c r="M40" s="533">
        <v>27000</v>
      </c>
      <c r="N40" s="536">
        <f t="shared" si="19"/>
        <v>27000</v>
      </c>
      <c r="O40" s="381" t="s">
        <v>131</v>
      </c>
      <c r="P40" s="377" t="s">
        <v>90</v>
      </c>
      <c r="Q40" s="377">
        <v>27000</v>
      </c>
      <c r="R40" s="377"/>
      <c r="S40" s="537" t="str">
        <f t="shared" si="20"/>
        <v>ok</v>
      </c>
      <c r="T40" s="534"/>
      <c r="U40" s="538"/>
      <c r="V40" s="538"/>
      <c r="W40" s="539"/>
    </row>
    <row r="41" spans="1:23" s="673" customFormat="1" ht="31.5" customHeight="1">
      <c r="A41" s="658"/>
      <c r="B41" s="658" t="str">
        <f>IF(SUMPRODUCT(COUNTIF(C41,{"*본예산*","*1회추경*","*신규*"})),"추가"," 2회")</f>
        <v>추가</v>
      </c>
      <c r="C41" s="380" t="s">
        <v>1661</v>
      </c>
      <c r="D41" s="659" t="s">
        <v>803</v>
      </c>
      <c r="E41" s="540" t="s">
        <v>1662</v>
      </c>
      <c r="F41" s="657">
        <v>1000000</v>
      </c>
      <c r="G41" s="657"/>
      <c r="H41" s="665" t="str">
        <f>IF(SUMPRODUCT(COUNTIF(C41,{"*본예산*","*1회추경*","*신규*"})),"-",F41-G41)</f>
        <v>-</v>
      </c>
      <c r="I41" s="657">
        <v>-1000000</v>
      </c>
      <c r="J41" s="657"/>
      <c r="K41" s="665">
        <f>F41+I41+J41</f>
        <v>0</v>
      </c>
      <c r="L41" s="657">
        <v>-1000000</v>
      </c>
      <c r="M41" s="657"/>
      <c r="N41" s="665">
        <f t="shared" si="19"/>
        <v>0</v>
      </c>
      <c r="O41" s="381" t="s">
        <v>1198</v>
      </c>
      <c r="P41" s="661" t="s">
        <v>1552</v>
      </c>
      <c r="Q41" s="661">
        <v>-1000000</v>
      </c>
      <c r="R41" s="661"/>
      <c r="S41" s="648" t="str">
        <f t="shared" si="20"/>
        <v>ok</v>
      </c>
      <c r="T41" s="617"/>
      <c r="U41" s="619"/>
      <c r="V41" s="619"/>
      <c r="W41" s="620"/>
    </row>
    <row r="42" spans="1:23" ht="31.5" customHeight="1">
      <c r="A42" s="445" t="s">
        <v>132</v>
      </c>
      <c r="B42" s="626"/>
      <c r="C42" s="626"/>
      <c r="D42" s="626"/>
      <c r="E42" s="626"/>
      <c r="F42" s="627">
        <f t="shared" ref="F42:N42" si="22">SUM(F43:F85)/2</f>
        <v>1291576649</v>
      </c>
      <c r="G42" s="627">
        <f t="shared" si="22"/>
        <v>1114223316</v>
      </c>
      <c r="H42" s="627">
        <f t="shared" si="22"/>
        <v>22503036</v>
      </c>
      <c r="I42" s="627">
        <f t="shared" si="22"/>
        <v>-11684188</v>
      </c>
      <c r="J42" s="627">
        <f t="shared" si="22"/>
        <v>3382516</v>
      </c>
      <c r="K42" s="627">
        <f t="shared" si="22"/>
        <v>1283274977</v>
      </c>
      <c r="L42" s="627">
        <f t="shared" si="22"/>
        <v>-11703561</v>
      </c>
      <c r="M42" s="627">
        <f t="shared" si="22"/>
        <v>3401889</v>
      </c>
      <c r="N42" s="627">
        <f t="shared" si="22"/>
        <v>1283274977</v>
      </c>
      <c r="O42" s="268"/>
      <c r="P42" s="627"/>
      <c r="Q42" s="627">
        <f>SUM(Q43:Q85)/2</f>
        <v>-8472499</v>
      </c>
      <c r="R42" s="627">
        <f>SUM(R43:R85)/2</f>
        <v>170827</v>
      </c>
      <c r="S42" s="626" t="str">
        <f t="shared" si="20"/>
        <v>ok</v>
      </c>
      <c r="T42" s="9"/>
      <c r="U42" s="627">
        <f>SUM(U43:U81)/2</f>
        <v>0</v>
      </c>
      <c r="V42" s="627">
        <f>SUM(V43:V81)/2</f>
        <v>0</v>
      </c>
      <c r="W42" s="627"/>
    </row>
    <row r="43" spans="1:23" ht="31.5" customHeight="1">
      <c r="A43" s="114"/>
      <c r="B43" s="29" t="s">
        <v>133</v>
      </c>
      <c r="C43" s="30"/>
      <c r="D43" s="31"/>
      <c r="E43" s="628"/>
      <c r="F43" s="32">
        <f t="shared" ref="F43:M43" si="23">SUM(F44:F68)</f>
        <v>895318519</v>
      </c>
      <c r="G43" s="32">
        <f t="shared" si="23"/>
        <v>759041109</v>
      </c>
      <c r="H43" s="32">
        <f t="shared" si="23"/>
        <v>14727069</v>
      </c>
      <c r="I43" s="32">
        <f t="shared" si="23"/>
        <v>-8784961</v>
      </c>
      <c r="J43" s="32">
        <f t="shared" si="23"/>
        <v>2671016</v>
      </c>
      <c r="K43" s="32">
        <f t="shared" si="23"/>
        <v>889204574</v>
      </c>
      <c r="L43" s="370">
        <f t="shared" si="23"/>
        <v>-8784961</v>
      </c>
      <c r="M43" s="370">
        <f t="shared" si="23"/>
        <v>2671016</v>
      </c>
      <c r="N43" s="370">
        <f t="shared" ref="N43:N81" si="24">F43+L43+M43</f>
        <v>889204574</v>
      </c>
      <c r="O43" s="269"/>
      <c r="P43" s="32"/>
      <c r="Q43" s="32">
        <f>SUM(Q44:Q68)</f>
        <v>-6137804</v>
      </c>
      <c r="R43" s="32">
        <f>SUM(R44:R68)</f>
        <v>23859</v>
      </c>
      <c r="S43" s="30" t="str">
        <f t="shared" si="20"/>
        <v>ok</v>
      </c>
      <c r="T43" s="98"/>
      <c r="U43" s="629">
        <f>SUM(U44:U68)</f>
        <v>0</v>
      </c>
      <c r="V43" s="629">
        <f>SUM(V44:V68)</f>
        <v>0</v>
      </c>
      <c r="W43" s="629"/>
    </row>
    <row r="44" spans="1:23" ht="45.75" customHeight="1">
      <c r="A44" s="549"/>
      <c r="B44" s="99" t="str">
        <f>IF(SUMPRODUCT(COUNTIF(C44,{"*본예산*","*1회추경*","*신규*"})),"추가"," 2회")</f>
        <v xml:space="preserve"> 2회</v>
      </c>
      <c r="C44" s="644">
        <v>336</v>
      </c>
      <c r="D44" s="101" t="s">
        <v>134</v>
      </c>
      <c r="E44" s="272" t="s">
        <v>241</v>
      </c>
      <c r="F44" s="95">
        <v>296888529</v>
      </c>
      <c r="G44" s="95">
        <v>290731370</v>
      </c>
      <c r="H44" s="102">
        <f>IF(SUMPRODUCT(COUNTIF(C44,{"*본예산*","*1회추경*","*신규*"})),"-",F44-G44)</f>
        <v>6157159</v>
      </c>
      <c r="I44" s="95"/>
      <c r="J44" s="631">
        <v>410000</v>
      </c>
      <c r="K44" s="102">
        <f t="shared" ref="K44:K68" si="25">F44+I44+J44</f>
        <v>297298529</v>
      </c>
      <c r="L44" s="375"/>
      <c r="M44" s="631">
        <v>410000</v>
      </c>
      <c r="N44" s="376">
        <f t="shared" si="24"/>
        <v>297298529</v>
      </c>
      <c r="O44" s="271" t="s">
        <v>135</v>
      </c>
      <c r="P44" s="103" t="s">
        <v>90</v>
      </c>
      <c r="Q44" s="103">
        <v>410000</v>
      </c>
      <c r="R44" s="103"/>
      <c r="S44" s="104" t="str">
        <f t="shared" si="20"/>
        <v>ok</v>
      </c>
      <c r="T44" s="98"/>
      <c r="U44" s="105"/>
      <c r="V44" s="105"/>
      <c r="W44" s="106"/>
    </row>
    <row r="45" spans="1:23" ht="45.75" customHeight="1">
      <c r="A45" s="549"/>
      <c r="B45" s="658" t="str">
        <f>IF(SUMPRODUCT(COUNTIF(C45,{"*본예산*","*1회추경*","*신규*"})),"추가"," 2회")</f>
        <v xml:space="preserve"> 2회</v>
      </c>
      <c r="C45" s="644">
        <v>336</v>
      </c>
      <c r="D45" s="659" t="s">
        <v>134</v>
      </c>
      <c r="E45" s="540" t="s">
        <v>242</v>
      </c>
      <c r="F45" s="657">
        <v>65859414</v>
      </c>
      <c r="G45" s="657">
        <v>61961082</v>
      </c>
      <c r="H45" s="665">
        <f>IF(SUMPRODUCT(COUNTIF(C45,{"*본예산*","*1회추경*","*신규*"})),"-",F45-G45)</f>
        <v>3898332</v>
      </c>
      <c r="I45" s="631">
        <v>-191127</v>
      </c>
      <c r="J45" s="657"/>
      <c r="K45" s="665">
        <f t="shared" si="25"/>
        <v>65668287</v>
      </c>
      <c r="L45" s="631">
        <v>-191127</v>
      </c>
      <c r="M45" s="657"/>
      <c r="N45" s="665">
        <f t="shared" si="24"/>
        <v>65668287</v>
      </c>
      <c r="O45" s="381" t="s">
        <v>135</v>
      </c>
      <c r="P45" s="661" t="s">
        <v>90</v>
      </c>
      <c r="Q45" s="661">
        <v>-191127</v>
      </c>
      <c r="R45" s="661"/>
      <c r="S45" s="648" t="str">
        <f t="shared" si="20"/>
        <v>ok</v>
      </c>
      <c r="T45" s="98"/>
      <c r="U45" s="105"/>
      <c r="V45" s="105"/>
      <c r="W45" s="106"/>
    </row>
    <row r="46" spans="1:23" ht="45.75" customHeight="1">
      <c r="A46" s="549"/>
      <c r="B46" s="658" t="str">
        <f>IF(SUMPRODUCT(COUNTIF(C46,{"*본예산*","*1회추경*","*신규*"})),"추가"," 2회")</f>
        <v xml:space="preserve"> 2회</v>
      </c>
      <c r="C46" s="644">
        <v>337</v>
      </c>
      <c r="D46" s="659" t="s">
        <v>134</v>
      </c>
      <c r="E46" s="540" t="s">
        <v>243</v>
      </c>
      <c r="F46" s="657">
        <v>11452833</v>
      </c>
      <c r="G46" s="657">
        <v>14152282</v>
      </c>
      <c r="H46" s="665">
        <f>IF(SUMPRODUCT(COUNTIF(C46,{"*본예산*","*1회추경*","*신규*"})),"-",F46-G46)</f>
        <v>-2699449</v>
      </c>
      <c r="I46" s="657"/>
      <c r="J46" s="631">
        <v>366261</v>
      </c>
      <c r="K46" s="665">
        <f t="shared" si="25"/>
        <v>11819094</v>
      </c>
      <c r="L46" s="657"/>
      <c r="M46" s="631">
        <v>366261</v>
      </c>
      <c r="N46" s="665">
        <f t="shared" si="24"/>
        <v>11819094</v>
      </c>
      <c r="O46" s="381" t="s">
        <v>135</v>
      </c>
      <c r="P46" s="661" t="s">
        <v>90</v>
      </c>
      <c r="Q46" s="661">
        <v>327785</v>
      </c>
      <c r="R46" s="661">
        <v>38476</v>
      </c>
      <c r="S46" s="648" t="str">
        <f t="shared" si="20"/>
        <v>ok</v>
      </c>
      <c r="T46" s="98"/>
      <c r="U46" s="619"/>
      <c r="V46" s="619"/>
      <c r="W46" s="620"/>
    </row>
    <row r="47" spans="1:23" ht="45.75" customHeight="1">
      <c r="A47" s="549"/>
      <c r="B47" s="99" t="str">
        <f>IF(SUMPRODUCT(COUNTIF(C47,{"*본예산*","*1회추경*","*신규*"})),"추가"," 2회")</f>
        <v xml:space="preserve"> 2회</v>
      </c>
      <c r="C47" s="100">
        <v>337</v>
      </c>
      <c r="D47" s="101" t="s">
        <v>134</v>
      </c>
      <c r="E47" s="272" t="s">
        <v>244</v>
      </c>
      <c r="F47" s="95">
        <v>2387535</v>
      </c>
      <c r="G47" s="95">
        <v>2299193</v>
      </c>
      <c r="H47" s="102">
        <f>IF(SUMPRODUCT(COUNTIF(C47,{"*본예산*","*1회추경*","*신규*"})),"-",F47-G47)</f>
        <v>88342</v>
      </c>
      <c r="I47" s="95"/>
      <c r="J47" s="54">
        <v>32000</v>
      </c>
      <c r="K47" s="102">
        <f t="shared" si="25"/>
        <v>2419535</v>
      </c>
      <c r="L47" s="375"/>
      <c r="M47" s="54">
        <v>32000</v>
      </c>
      <c r="N47" s="376">
        <f t="shared" si="24"/>
        <v>2419535</v>
      </c>
      <c r="O47" s="271" t="s">
        <v>135</v>
      </c>
      <c r="P47" s="103" t="s">
        <v>90</v>
      </c>
      <c r="Q47" s="103">
        <v>32000</v>
      </c>
      <c r="R47" s="103"/>
      <c r="S47" s="104" t="str">
        <f t="shared" si="20"/>
        <v>ok</v>
      </c>
      <c r="T47" s="98"/>
      <c r="U47" s="105"/>
      <c r="V47" s="105"/>
      <c r="W47" s="106"/>
    </row>
    <row r="48" spans="1:23" ht="45.75" customHeight="1">
      <c r="A48" s="549"/>
      <c r="B48" s="99" t="str">
        <f>IF(SUMPRODUCT(COUNTIF(C48,{"*본예산*","*1회추경*","*신규*"})),"추가"," 2회")</f>
        <v xml:space="preserve"> 2회</v>
      </c>
      <c r="C48" s="100">
        <v>338</v>
      </c>
      <c r="D48" s="101" t="s">
        <v>134</v>
      </c>
      <c r="E48" s="272" t="s">
        <v>245</v>
      </c>
      <c r="F48" s="95">
        <v>18986128</v>
      </c>
      <c r="G48" s="95">
        <v>18881812</v>
      </c>
      <c r="H48" s="102">
        <f>IF(SUMPRODUCT(COUNTIF(C48,{"*본예산*","*1회추경*","*신규*"})),"-",F48-G48)</f>
        <v>104316</v>
      </c>
      <c r="I48" s="657"/>
      <c r="J48" s="631">
        <v>22353</v>
      </c>
      <c r="K48" s="102">
        <f t="shared" si="25"/>
        <v>19008481</v>
      </c>
      <c r="L48" s="657"/>
      <c r="M48" s="631">
        <v>22353</v>
      </c>
      <c r="N48" s="376">
        <f t="shared" si="24"/>
        <v>19008481</v>
      </c>
      <c r="O48" s="271" t="s">
        <v>246</v>
      </c>
      <c r="P48" s="103" t="s">
        <v>90</v>
      </c>
      <c r="Q48" s="103"/>
      <c r="R48" s="103">
        <v>22353</v>
      </c>
      <c r="S48" s="104" t="str">
        <f t="shared" si="20"/>
        <v>ok</v>
      </c>
      <c r="T48" s="98"/>
      <c r="U48" s="105"/>
      <c r="V48" s="105"/>
      <c r="W48" s="106"/>
    </row>
    <row r="49" spans="1:23" ht="45.75" customHeight="1">
      <c r="A49" s="549"/>
      <c r="B49" s="99" t="str">
        <f>IF(SUMPRODUCT(COUNTIF(C49,{"*본예산*","*1회추경*","*신규*"})),"추가"," 2회")</f>
        <v>추가</v>
      </c>
      <c r="C49" s="380" t="s">
        <v>247</v>
      </c>
      <c r="D49" s="101" t="s">
        <v>134</v>
      </c>
      <c r="E49" s="272" t="s">
        <v>248</v>
      </c>
      <c r="F49" s="95">
        <v>532712</v>
      </c>
      <c r="G49" s="95"/>
      <c r="H49" s="102" t="str">
        <f>IF(SUMPRODUCT(COUNTIF(C49,{"*본예산*","*1회추경*","*신규*"})),"-",F49-G49)</f>
        <v>-</v>
      </c>
      <c r="I49" s="95"/>
      <c r="J49" s="54">
        <v>40000</v>
      </c>
      <c r="K49" s="102">
        <f t="shared" si="25"/>
        <v>572712</v>
      </c>
      <c r="L49" s="375"/>
      <c r="M49" s="54">
        <v>40000</v>
      </c>
      <c r="N49" s="376">
        <f t="shared" si="24"/>
        <v>572712</v>
      </c>
      <c r="O49" s="271" t="s">
        <v>249</v>
      </c>
      <c r="P49" s="103" t="s">
        <v>90</v>
      </c>
      <c r="Q49" s="103">
        <v>28000</v>
      </c>
      <c r="R49" s="103">
        <v>12000</v>
      </c>
      <c r="S49" s="104" t="str">
        <f t="shared" si="20"/>
        <v>ok</v>
      </c>
      <c r="T49" s="98"/>
      <c r="U49" s="105"/>
      <c r="V49" s="105"/>
      <c r="W49" s="106"/>
    </row>
    <row r="50" spans="1:23" ht="45.75" customHeight="1">
      <c r="A50" s="549"/>
      <c r="B50" s="99" t="str">
        <f>IF(SUMPRODUCT(COUNTIF(C50,{"*본예산*","*1회추경*","*신규*"})),"추가"," 2회")</f>
        <v>추가</v>
      </c>
      <c r="C50" s="666" t="s">
        <v>1027</v>
      </c>
      <c r="D50" s="101" t="s">
        <v>134</v>
      </c>
      <c r="E50" s="272" t="s">
        <v>250</v>
      </c>
      <c r="F50" s="95"/>
      <c r="G50" s="95"/>
      <c r="H50" s="102" t="str">
        <f>IF(SUMPRODUCT(COUNTIF(C50,{"*본예산*","*1회추경*","*신규*"})),"-",F50-G50)</f>
        <v>-</v>
      </c>
      <c r="I50" s="95"/>
      <c r="J50" s="54">
        <v>114637</v>
      </c>
      <c r="K50" s="102">
        <f t="shared" si="25"/>
        <v>114637</v>
      </c>
      <c r="L50" s="375"/>
      <c r="M50" s="54">
        <v>114637</v>
      </c>
      <c r="N50" s="376">
        <f t="shared" si="24"/>
        <v>114637</v>
      </c>
      <c r="O50" s="271" t="s">
        <v>142</v>
      </c>
      <c r="P50" s="103" t="s">
        <v>90</v>
      </c>
      <c r="Q50" s="103">
        <v>114637</v>
      </c>
      <c r="R50" s="103"/>
      <c r="S50" s="104" t="str">
        <f t="shared" si="20"/>
        <v>ok</v>
      </c>
      <c r="T50" s="98"/>
      <c r="U50" s="105"/>
      <c r="V50" s="105"/>
      <c r="W50" s="106"/>
    </row>
    <row r="51" spans="1:23" ht="66.75" customHeight="1">
      <c r="A51" s="549"/>
      <c r="B51" s="99" t="str">
        <f>IF(SUMPRODUCT(COUNTIF(C51,{"*본예산*","*1회추경*","*신규*"})),"추가"," 2회")</f>
        <v>추가</v>
      </c>
      <c r="C51" s="380" t="s">
        <v>247</v>
      </c>
      <c r="D51" s="101" t="s">
        <v>134</v>
      </c>
      <c r="E51" s="550" t="s">
        <v>251</v>
      </c>
      <c r="F51" s="95">
        <v>270000</v>
      </c>
      <c r="G51" s="95"/>
      <c r="H51" s="102" t="str">
        <f>IF(SUMPRODUCT(COUNTIF(C51,{"*본예산*","*1회추경*","*신규*"})),"-",F51-G51)</f>
        <v>-</v>
      </c>
      <c r="I51" s="95"/>
      <c r="J51" s="54">
        <v>176000</v>
      </c>
      <c r="K51" s="102">
        <f t="shared" si="25"/>
        <v>446000</v>
      </c>
      <c r="L51" s="375"/>
      <c r="M51" s="54">
        <v>176000</v>
      </c>
      <c r="N51" s="376">
        <f t="shared" si="24"/>
        <v>446000</v>
      </c>
      <c r="O51" s="271" t="s">
        <v>252</v>
      </c>
      <c r="P51" s="103" t="s">
        <v>90</v>
      </c>
      <c r="Q51" s="103">
        <v>176000</v>
      </c>
      <c r="R51" s="103"/>
      <c r="S51" s="104" t="str">
        <f t="shared" si="20"/>
        <v>ok</v>
      </c>
      <c r="T51" s="98"/>
      <c r="U51" s="105"/>
      <c r="V51" s="105"/>
      <c r="W51" s="106"/>
    </row>
    <row r="52" spans="1:23" ht="66.75" customHeight="1">
      <c r="A52" s="549"/>
      <c r="B52" s="99" t="str">
        <f>IF(SUMPRODUCT(COUNTIF(C52,{"*본예산*","*1회추경*","*신규*"})),"추가"," 2회")</f>
        <v>추가</v>
      </c>
      <c r="C52" s="666" t="s">
        <v>1027</v>
      </c>
      <c r="D52" s="101" t="s">
        <v>134</v>
      </c>
      <c r="E52" s="550" t="s">
        <v>254</v>
      </c>
      <c r="F52" s="95"/>
      <c r="G52" s="95"/>
      <c r="H52" s="102" t="str">
        <f>IF(SUMPRODUCT(COUNTIF(C52,{"*본예산*","*1회추경*","*신규*"})),"-",F52-G52)</f>
        <v>-</v>
      </c>
      <c r="I52" s="95"/>
      <c r="J52" s="657">
        <v>8000</v>
      </c>
      <c r="K52" s="102">
        <f t="shared" si="25"/>
        <v>8000</v>
      </c>
      <c r="L52" s="375"/>
      <c r="M52" s="657">
        <v>8000</v>
      </c>
      <c r="N52" s="376">
        <f t="shared" si="24"/>
        <v>8000</v>
      </c>
      <c r="O52" s="271" t="s">
        <v>252</v>
      </c>
      <c r="P52" s="103" t="s">
        <v>90</v>
      </c>
      <c r="Q52" s="103">
        <v>8000</v>
      </c>
      <c r="R52" s="103"/>
      <c r="S52" s="104" t="str">
        <f t="shared" si="20"/>
        <v>ok</v>
      </c>
      <c r="T52" s="98"/>
      <c r="U52" s="105"/>
      <c r="V52" s="105"/>
      <c r="W52" s="106"/>
    </row>
    <row r="53" spans="1:23" ht="66.75" customHeight="1">
      <c r="A53" s="549"/>
      <c r="B53" s="99" t="str">
        <f>IF(SUMPRODUCT(COUNTIF(C53,{"*본예산*","*1회추경*","*신규*"})),"추가"," 2회")</f>
        <v>추가</v>
      </c>
      <c r="C53" s="108" t="s">
        <v>1027</v>
      </c>
      <c r="D53" s="101" t="s">
        <v>134</v>
      </c>
      <c r="E53" s="550" t="s">
        <v>255</v>
      </c>
      <c r="F53" s="95"/>
      <c r="G53" s="95"/>
      <c r="H53" s="102" t="str">
        <f>IF(SUMPRODUCT(COUNTIF(C53,{"*본예산*","*1회추경*","*신규*"})),"-",F53-G53)</f>
        <v>-</v>
      </c>
      <c r="I53" s="95"/>
      <c r="J53" s="657">
        <v>2000</v>
      </c>
      <c r="K53" s="102">
        <f t="shared" si="25"/>
        <v>2000</v>
      </c>
      <c r="L53" s="375"/>
      <c r="M53" s="657">
        <v>2000</v>
      </c>
      <c r="N53" s="376">
        <f t="shared" si="24"/>
        <v>2000</v>
      </c>
      <c r="O53" s="271" t="s">
        <v>252</v>
      </c>
      <c r="P53" s="103" t="s">
        <v>90</v>
      </c>
      <c r="Q53" s="103">
        <v>2000</v>
      </c>
      <c r="R53" s="103"/>
      <c r="S53" s="104" t="str">
        <f t="shared" si="20"/>
        <v>ok</v>
      </c>
      <c r="T53" s="98"/>
      <c r="U53" s="105"/>
      <c r="V53" s="105"/>
      <c r="W53" s="106"/>
    </row>
    <row r="54" spans="1:23" ht="45.75" customHeight="1">
      <c r="A54" s="549"/>
      <c r="B54" s="99" t="str">
        <f>IF(SUMPRODUCT(COUNTIF(C54,{"*본예산*","*1회추경*","*신규*"})),"추가"," 2회")</f>
        <v xml:space="preserve"> 2회</v>
      </c>
      <c r="C54" s="644">
        <v>340</v>
      </c>
      <c r="D54" s="101" t="s">
        <v>144</v>
      </c>
      <c r="E54" s="140" t="s">
        <v>256</v>
      </c>
      <c r="F54" s="95">
        <v>367215347</v>
      </c>
      <c r="G54" s="95">
        <v>362535384</v>
      </c>
      <c r="H54" s="102">
        <f>IF(SUMPRODUCT(COUNTIF(C54,{"*본예산*","*1회추경*","*신규*"})),"-",F54-G54)</f>
        <v>4679963</v>
      </c>
      <c r="I54" s="95">
        <v>-28661</v>
      </c>
      <c r="J54" s="54"/>
      <c r="K54" s="102">
        <f t="shared" si="25"/>
        <v>367186686</v>
      </c>
      <c r="L54" s="375">
        <v>-28661</v>
      </c>
      <c r="M54" s="54"/>
      <c r="N54" s="376">
        <f t="shared" si="24"/>
        <v>367186686</v>
      </c>
      <c r="O54" s="271" t="s">
        <v>257</v>
      </c>
      <c r="P54" s="103" t="s">
        <v>90</v>
      </c>
      <c r="Q54" s="103">
        <v>-227056</v>
      </c>
      <c r="R54" s="103">
        <v>198395</v>
      </c>
      <c r="S54" s="104" t="str">
        <f t="shared" si="20"/>
        <v>ok</v>
      </c>
      <c r="T54" s="98"/>
      <c r="U54" s="105"/>
      <c r="V54" s="105"/>
      <c r="W54" s="106"/>
    </row>
    <row r="55" spans="1:23" ht="60.75" customHeight="1">
      <c r="A55" s="549"/>
      <c r="B55" s="99" t="str">
        <f>IF(SUMPRODUCT(COUNTIF(C55,{"*본예산*","*1회추경*","*신규*"})),"추가"," 2회")</f>
        <v>추가</v>
      </c>
      <c r="C55" s="108" t="s">
        <v>1027</v>
      </c>
      <c r="D55" s="101" t="s">
        <v>144</v>
      </c>
      <c r="E55" s="140" t="s">
        <v>258</v>
      </c>
      <c r="F55" s="95"/>
      <c r="G55" s="95"/>
      <c r="H55" s="102" t="str">
        <f>IF(SUMPRODUCT(COUNTIF(C55,{"*본예산*","*1회추경*","*신규*"})),"-",F55-G55)</f>
        <v>-</v>
      </c>
      <c r="I55" s="95"/>
      <c r="J55" s="631">
        <v>24000</v>
      </c>
      <c r="K55" s="102">
        <f t="shared" si="25"/>
        <v>24000</v>
      </c>
      <c r="L55" s="375"/>
      <c r="M55" s="631">
        <v>24000</v>
      </c>
      <c r="N55" s="376">
        <f t="shared" si="24"/>
        <v>24000</v>
      </c>
      <c r="O55" s="271" t="s">
        <v>259</v>
      </c>
      <c r="P55" s="103" t="s">
        <v>90</v>
      </c>
      <c r="Q55" s="103">
        <v>24000</v>
      </c>
      <c r="R55" s="103"/>
      <c r="S55" s="104" t="str">
        <f t="shared" si="20"/>
        <v>ok</v>
      </c>
      <c r="T55" s="98"/>
      <c r="U55" s="105"/>
      <c r="V55" s="105"/>
      <c r="W55" s="106"/>
    </row>
    <row r="56" spans="1:23" ht="60.75" customHeight="1">
      <c r="A56" s="549"/>
      <c r="B56" s="99" t="str">
        <f>IF(SUMPRODUCT(COUNTIF(C56,{"*본예산*","*1회추경*","*신규*"})),"추가"," 2회")</f>
        <v>추가</v>
      </c>
      <c r="C56" s="108" t="s">
        <v>1027</v>
      </c>
      <c r="D56" s="101" t="s">
        <v>144</v>
      </c>
      <c r="E56" s="140" t="s">
        <v>260</v>
      </c>
      <c r="F56" s="95"/>
      <c r="G56" s="95"/>
      <c r="H56" s="102" t="str">
        <f>IF(SUMPRODUCT(COUNTIF(C56,{"*본예산*","*1회추경*","*신규*"})),"-",F56-G56)</f>
        <v>-</v>
      </c>
      <c r="I56" s="95"/>
      <c r="J56" s="631">
        <v>6000</v>
      </c>
      <c r="K56" s="102">
        <f t="shared" si="25"/>
        <v>6000</v>
      </c>
      <c r="L56" s="375"/>
      <c r="M56" s="631">
        <v>6000</v>
      </c>
      <c r="N56" s="376">
        <f t="shared" si="24"/>
        <v>6000</v>
      </c>
      <c r="O56" s="271" t="s">
        <v>261</v>
      </c>
      <c r="P56" s="103" t="s">
        <v>90</v>
      </c>
      <c r="Q56" s="103">
        <v>6000</v>
      </c>
      <c r="R56" s="103"/>
      <c r="S56" s="104" t="str">
        <f t="shared" si="20"/>
        <v>ok</v>
      </c>
      <c r="T56" s="98"/>
      <c r="U56" s="105"/>
      <c r="V56" s="105"/>
      <c r="W56" s="106"/>
    </row>
    <row r="57" spans="1:23" ht="45.75" customHeight="1">
      <c r="A57" s="549"/>
      <c r="B57" s="99" t="str">
        <f>IF(SUMPRODUCT(COUNTIF(C57,{"*본예산*","*1회추경*","*신규*"})),"추가"," 2회")</f>
        <v>추가</v>
      </c>
      <c r="C57" s="380" t="s">
        <v>262</v>
      </c>
      <c r="D57" s="101" t="s">
        <v>148</v>
      </c>
      <c r="E57" s="140" t="s">
        <v>263</v>
      </c>
      <c r="F57" s="95">
        <v>48627001</v>
      </c>
      <c r="G57" s="95"/>
      <c r="H57" s="102" t="str">
        <f>IF(SUMPRODUCT(COUNTIF(C57,{"*본예산*","*1회추경*","*신규*"})),"-",F57-G57)</f>
        <v>-</v>
      </c>
      <c r="I57" s="631">
        <v>-1214286</v>
      </c>
      <c r="J57" s="657"/>
      <c r="K57" s="102">
        <f t="shared" si="25"/>
        <v>47412715</v>
      </c>
      <c r="L57" s="631">
        <v>-1214286</v>
      </c>
      <c r="M57" s="657"/>
      <c r="N57" s="376">
        <f t="shared" si="24"/>
        <v>47412715</v>
      </c>
      <c r="O57" s="271" t="s">
        <v>150</v>
      </c>
      <c r="P57" s="103" t="s">
        <v>90</v>
      </c>
      <c r="Q57" s="103">
        <v>-1000000</v>
      </c>
      <c r="R57" s="103">
        <v>-214286</v>
      </c>
      <c r="S57" s="104" t="str">
        <f t="shared" si="20"/>
        <v>ok</v>
      </c>
      <c r="T57" s="98"/>
      <c r="U57" s="105"/>
      <c r="V57" s="105"/>
      <c r="W57" s="106"/>
    </row>
    <row r="58" spans="1:23" ht="45.75" customHeight="1">
      <c r="A58" s="549"/>
      <c r="B58" s="99" t="str">
        <f>IF(SUMPRODUCT(COUNTIF(C58,{"*본예산*","*1회추경*","*신규*"})),"추가"," 2회")</f>
        <v>추가</v>
      </c>
      <c r="C58" s="380" t="s">
        <v>264</v>
      </c>
      <c r="D58" s="101" t="s">
        <v>148</v>
      </c>
      <c r="E58" s="140" t="s">
        <v>265</v>
      </c>
      <c r="F58" s="636">
        <v>10812867</v>
      </c>
      <c r="G58" s="636"/>
      <c r="H58" s="102" t="str">
        <f>IF(SUMPRODUCT(COUNTIF(C58,{"*본예산*","*1회추경*","*신규*"})),"-",F58-G58)</f>
        <v>-</v>
      </c>
      <c r="I58" s="95"/>
      <c r="J58" s="54">
        <v>1109762</v>
      </c>
      <c r="K58" s="102">
        <f t="shared" si="25"/>
        <v>11922629</v>
      </c>
      <c r="L58" s="375"/>
      <c r="M58" s="54">
        <v>1109762</v>
      </c>
      <c r="N58" s="376">
        <f t="shared" si="24"/>
        <v>11922629</v>
      </c>
      <c r="O58" s="271" t="s">
        <v>153</v>
      </c>
      <c r="P58" s="103" t="s">
        <v>90</v>
      </c>
      <c r="Q58" s="103">
        <v>1109762</v>
      </c>
      <c r="R58" s="103"/>
      <c r="S58" s="104" t="str">
        <f t="shared" si="20"/>
        <v>ok</v>
      </c>
      <c r="T58" s="98"/>
      <c r="U58" s="105"/>
      <c r="V58" s="105"/>
      <c r="W58" s="106"/>
    </row>
    <row r="59" spans="1:23" ht="45.75" customHeight="1">
      <c r="A59" s="549"/>
      <c r="B59" s="99" t="str">
        <f>IF(SUMPRODUCT(COUNTIF(C59,{"*본예산*","*1회추경*","*신규*"})),"추가"," 2회")</f>
        <v>추가</v>
      </c>
      <c r="C59" s="380" t="s">
        <v>266</v>
      </c>
      <c r="D59" s="101" t="s">
        <v>148</v>
      </c>
      <c r="E59" s="140" t="s">
        <v>267</v>
      </c>
      <c r="F59" s="95">
        <v>3252117</v>
      </c>
      <c r="G59" s="95"/>
      <c r="H59" s="102" t="str">
        <f>IF(SUMPRODUCT(COUNTIF(C59,{"*본예산*","*1회추경*","*신규*"})),"-",F59-G59)</f>
        <v>-</v>
      </c>
      <c r="I59" s="95"/>
      <c r="J59" s="54">
        <v>238097</v>
      </c>
      <c r="K59" s="102">
        <f t="shared" si="25"/>
        <v>3490214</v>
      </c>
      <c r="L59" s="375"/>
      <c r="M59" s="54">
        <v>238097</v>
      </c>
      <c r="N59" s="376">
        <f t="shared" si="24"/>
        <v>3490214</v>
      </c>
      <c r="O59" s="271" t="s">
        <v>155</v>
      </c>
      <c r="P59" s="103" t="s">
        <v>90</v>
      </c>
      <c r="Q59" s="103">
        <v>238097</v>
      </c>
      <c r="R59" s="103"/>
      <c r="S59" s="104" t="str">
        <f t="shared" si="20"/>
        <v>ok</v>
      </c>
      <c r="T59" s="98"/>
      <c r="U59" s="105"/>
      <c r="V59" s="105"/>
      <c r="W59" s="106"/>
    </row>
    <row r="60" spans="1:23" ht="45.75" customHeight="1">
      <c r="A60" s="549"/>
      <c r="B60" s="99" t="str">
        <f>IF(SUMPRODUCT(COUNTIF(C60,{"*본예산*","*1회추경*","*신규*"})),"추가"," 2회")</f>
        <v>추가</v>
      </c>
      <c r="C60" s="107" t="s">
        <v>268</v>
      </c>
      <c r="D60" s="101" t="s">
        <v>148</v>
      </c>
      <c r="E60" s="140" t="s">
        <v>269</v>
      </c>
      <c r="F60" s="95">
        <v>39736881</v>
      </c>
      <c r="G60" s="95"/>
      <c r="H60" s="102" t="str">
        <f>IF(SUMPRODUCT(COUNTIF(C60,{"*본예산*","*1회추경*","*신규*"})),"-",F60-G60)</f>
        <v>-</v>
      </c>
      <c r="I60" s="54">
        <v>-150042</v>
      </c>
      <c r="J60" s="95"/>
      <c r="K60" s="102">
        <f t="shared" si="25"/>
        <v>39586839</v>
      </c>
      <c r="L60" s="54">
        <v>-150042</v>
      </c>
      <c r="M60" s="375"/>
      <c r="N60" s="376">
        <f t="shared" si="24"/>
        <v>39586839</v>
      </c>
      <c r="O60" s="271" t="s">
        <v>270</v>
      </c>
      <c r="P60" s="103" t="s">
        <v>90</v>
      </c>
      <c r="Q60" s="103">
        <v>-121440</v>
      </c>
      <c r="R60" s="103">
        <v>-28602</v>
      </c>
      <c r="S60" s="104" t="str">
        <f t="shared" si="20"/>
        <v>ok</v>
      </c>
      <c r="T60" s="98"/>
      <c r="U60" s="105"/>
      <c r="V60" s="105"/>
      <c r="W60" s="106"/>
    </row>
    <row r="61" spans="1:23" s="541" customFormat="1" ht="45.75" customHeight="1">
      <c r="A61" s="549"/>
      <c r="B61" s="544" t="str">
        <f>IF(SUMPRODUCT(COUNTIF(C61,{"*본예산*","*1회추경*","*신규*"})),"추가"," 2회")</f>
        <v>추가</v>
      </c>
      <c r="C61" s="380" t="s">
        <v>271</v>
      </c>
      <c r="D61" s="379" t="s">
        <v>156</v>
      </c>
      <c r="E61" s="550" t="s">
        <v>272</v>
      </c>
      <c r="F61" s="657">
        <v>14802263</v>
      </c>
      <c r="G61" s="657"/>
      <c r="H61" s="545" t="str">
        <f>IF(SUMPRODUCT(COUNTIF(C61,{"*본예산*","*1회추경*","*신규*"})),"-",F61-G61)</f>
        <v>-</v>
      </c>
      <c r="I61" s="631">
        <v>-4634590</v>
      </c>
      <c r="J61" s="657"/>
      <c r="K61" s="545">
        <f t="shared" si="25"/>
        <v>10167673</v>
      </c>
      <c r="L61" s="631">
        <v>-4634590</v>
      </c>
      <c r="M61" s="657"/>
      <c r="N61" s="545">
        <f t="shared" si="24"/>
        <v>10167673</v>
      </c>
      <c r="O61" s="381" t="s">
        <v>158</v>
      </c>
      <c r="P61" s="377" t="s">
        <v>90</v>
      </c>
      <c r="Q61" s="638">
        <v>-4586682</v>
      </c>
      <c r="R61" s="377">
        <v>-47908</v>
      </c>
      <c r="S61" s="546" t="str">
        <f t="shared" si="20"/>
        <v>ok</v>
      </c>
      <c r="T61" s="543"/>
      <c r="U61" s="547"/>
      <c r="V61" s="547"/>
      <c r="W61" s="548"/>
    </row>
    <row r="62" spans="1:23" s="541" customFormat="1" ht="45.75" customHeight="1">
      <c r="A62" s="549"/>
      <c r="B62" s="544" t="str">
        <f>IF(SUMPRODUCT(COUNTIF(C62,{"*본예산*","*1회추경*","*신규*"})),"추가"," 2회")</f>
        <v>추가</v>
      </c>
      <c r="C62" s="380" t="s">
        <v>273</v>
      </c>
      <c r="D62" s="379" t="s">
        <v>160</v>
      </c>
      <c r="E62" s="550" t="s">
        <v>274</v>
      </c>
      <c r="F62" s="542">
        <v>40000</v>
      </c>
      <c r="G62" s="542"/>
      <c r="H62" s="545" t="str">
        <f>IF(SUMPRODUCT(COUNTIF(C62,{"*본예산*","*1회추경*","*신규*"})),"-",F62-G62)</f>
        <v>-</v>
      </c>
      <c r="I62" s="631">
        <v>-1000</v>
      </c>
      <c r="J62" s="657"/>
      <c r="K62" s="545">
        <f t="shared" si="25"/>
        <v>39000</v>
      </c>
      <c r="L62" s="631">
        <v>-1000</v>
      </c>
      <c r="M62" s="657"/>
      <c r="N62" s="545">
        <f t="shared" si="24"/>
        <v>39000</v>
      </c>
      <c r="O62" s="381" t="s">
        <v>275</v>
      </c>
      <c r="P62" s="377" t="s">
        <v>90</v>
      </c>
      <c r="Q62" s="377">
        <v>-500</v>
      </c>
      <c r="R62" s="377">
        <v>-500</v>
      </c>
      <c r="S62" s="546" t="str">
        <f t="shared" si="20"/>
        <v>ok</v>
      </c>
      <c r="T62" s="543"/>
      <c r="U62" s="547"/>
      <c r="V62" s="547"/>
      <c r="W62" s="548"/>
    </row>
    <row r="63" spans="1:23" s="541" customFormat="1" ht="45.75" customHeight="1">
      <c r="A63" s="549"/>
      <c r="B63" s="544" t="str">
        <f>IF(SUMPRODUCT(COUNTIF(C63,{"*본예산*","*1회추경*","*신규*"})),"추가"," 2회")</f>
        <v>추가</v>
      </c>
      <c r="C63" s="380" t="s">
        <v>276</v>
      </c>
      <c r="D63" s="379" t="s">
        <v>160</v>
      </c>
      <c r="E63" s="550" t="s">
        <v>277</v>
      </c>
      <c r="F63" s="542">
        <v>9500</v>
      </c>
      <c r="G63" s="542"/>
      <c r="H63" s="545" t="str">
        <f>IF(SUMPRODUCT(COUNTIF(C63,{"*본예산*","*1회추경*","*신규*"})),"-",F63-G63)</f>
        <v>-</v>
      </c>
      <c r="I63" s="54">
        <v>-9500</v>
      </c>
      <c r="J63" s="542"/>
      <c r="K63" s="545">
        <f t="shared" si="25"/>
        <v>0</v>
      </c>
      <c r="L63" s="54">
        <v>-9500</v>
      </c>
      <c r="M63" s="542"/>
      <c r="N63" s="545">
        <f t="shared" si="24"/>
        <v>0</v>
      </c>
      <c r="O63" s="381" t="s">
        <v>278</v>
      </c>
      <c r="P63" s="377" t="s">
        <v>97</v>
      </c>
      <c r="Q63" s="377"/>
      <c r="R63" s="377">
        <v>-9500</v>
      </c>
      <c r="S63" s="546" t="str">
        <f t="shared" si="20"/>
        <v>ok</v>
      </c>
      <c r="T63" s="543"/>
      <c r="U63" s="547"/>
      <c r="V63" s="547"/>
      <c r="W63" s="548"/>
    </row>
    <row r="64" spans="1:23" s="541" customFormat="1" ht="45.75" customHeight="1">
      <c r="A64" s="549"/>
      <c r="B64" s="544" t="str">
        <f>IF(SUMPRODUCT(COUNTIF(C64,{"*본예산*","*1회추경*","*신규*"})),"추가"," 2회")</f>
        <v>추가</v>
      </c>
      <c r="C64" s="380" t="s">
        <v>279</v>
      </c>
      <c r="D64" s="379" t="s">
        <v>163</v>
      </c>
      <c r="E64" s="550" t="s">
        <v>280</v>
      </c>
      <c r="F64" s="542">
        <v>3323000</v>
      </c>
      <c r="G64" s="542"/>
      <c r="H64" s="545" t="str">
        <f>IF(SUMPRODUCT(COUNTIF(C64,{"*본예산*","*1회추경*","*신규*"})),"-",F64-G64)</f>
        <v>-</v>
      </c>
      <c r="I64" s="54">
        <v>-1974000</v>
      </c>
      <c r="J64" s="542"/>
      <c r="K64" s="545">
        <f t="shared" si="25"/>
        <v>1349000</v>
      </c>
      <c r="L64" s="54">
        <v>-1974000</v>
      </c>
      <c r="M64" s="542"/>
      <c r="N64" s="545">
        <f t="shared" si="24"/>
        <v>1349000</v>
      </c>
      <c r="O64" s="381" t="s">
        <v>165</v>
      </c>
      <c r="P64" s="377" t="s">
        <v>90</v>
      </c>
      <c r="Q64" s="661">
        <v>-1974000</v>
      </c>
      <c r="R64" s="377"/>
      <c r="S64" s="546" t="str">
        <f t="shared" si="20"/>
        <v>ok</v>
      </c>
      <c r="T64" s="543"/>
      <c r="U64" s="547"/>
      <c r="V64" s="547"/>
      <c r="W64" s="548"/>
    </row>
    <row r="65" spans="1:23" s="673" customFormat="1" ht="45.75" customHeight="1">
      <c r="A65" s="658"/>
      <c r="B65" s="658" t="str">
        <f>IF(SUMPRODUCT(COUNTIF(C65,{"*본예산*","*1회추경*","*신규*"})),"추가"," 2회")</f>
        <v xml:space="preserve"> 2회</v>
      </c>
      <c r="C65" s="380">
        <v>340</v>
      </c>
      <c r="D65" s="659" t="s">
        <v>144</v>
      </c>
      <c r="E65" s="540" t="s">
        <v>1663</v>
      </c>
      <c r="F65" s="657">
        <v>5023716</v>
      </c>
      <c r="G65" s="657">
        <v>4146375</v>
      </c>
      <c r="H65" s="665">
        <f>IF(SUMPRODUCT(COUNTIF(C65,{"*본예산*","*1회추경*","*신규*"})),"-",F65-G65)</f>
        <v>877341</v>
      </c>
      <c r="I65" s="657">
        <v>-545755</v>
      </c>
      <c r="J65" s="657"/>
      <c r="K65" s="665">
        <f t="shared" si="25"/>
        <v>4477961</v>
      </c>
      <c r="L65" s="657">
        <v>-545755</v>
      </c>
      <c r="M65" s="657"/>
      <c r="N65" s="665">
        <f t="shared" si="24"/>
        <v>4477961</v>
      </c>
      <c r="O65" s="381" t="s">
        <v>1201</v>
      </c>
      <c r="P65" s="661" t="s">
        <v>1552</v>
      </c>
      <c r="Q65" s="661">
        <v>-545755</v>
      </c>
      <c r="R65" s="661"/>
      <c r="S65" s="648" t="str">
        <f t="shared" si="20"/>
        <v>ok</v>
      </c>
      <c r="T65" s="617"/>
      <c r="U65" s="619"/>
      <c r="V65" s="619"/>
      <c r="W65" s="620"/>
    </row>
    <row r="66" spans="1:23" s="673" customFormat="1" ht="45.75" customHeight="1">
      <c r="A66" s="658"/>
      <c r="B66" s="658" t="str">
        <f>IF(SUMPRODUCT(COUNTIF(C66,{"*본예산*","*1회추경*","*신규*"})),"추가"," 2회")</f>
        <v xml:space="preserve"> 2회</v>
      </c>
      <c r="C66" s="380">
        <v>345</v>
      </c>
      <c r="D66" s="659" t="s">
        <v>160</v>
      </c>
      <c r="E66" s="540" t="s">
        <v>1664</v>
      </c>
      <c r="F66" s="657">
        <v>1078172</v>
      </c>
      <c r="G66" s="657">
        <v>1075461</v>
      </c>
      <c r="H66" s="665">
        <f>IF(SUMPRODUCT(COUNTIF(C66,{"*본예산*","*1회추경*","*신규*"})),"-",F66-G66)</f>
        <v>2711</v>
      </c>
      <c r="I66" s="657"/>
      <c r="J66" s="657">
        <v>53431</v>
      </c>
      <c r="K66" s="665">
        <f t="shared" si="25"/>
        <v>1131603</v>
      </c>
      <c r="L66" s="657"/>
      <c r="M66" s="657">
        <v>53431</v>
      </c>
      <c r="N66" s="665">
        <f t="shared" si="24"/>
        <v>1131603</v>
      </c>
      <c r="O66" s="381" t="s">
        <v>1203</v>
      </c>
      <c r="P66" s="661" t="s">
        <v>1223</v>
      </c>
      <c r="Q66" s="661"/>
      <c r="R66" s="661">
        <v>53431</v>
      </c>
      <c r="S66" s="648" t="str">
        <f t="shared" si="20"/>
        <v>ok</v>
      </c>
      <c r="T66" s="617"/>
      <c r="U66" s="619"/>
      <c r="V66" s="619"/>
      <c r="W66" s="620"/>
    </row>
    <row r="67" spans="1:23" s="673" customFormat="1" ht="45.75" customHeight="1">
      <c r="A67" s="658"/>
      <c r="B67" s="658" t="str">
        <f>IF(SUMPRODUCT(COUNTIF(C67,{"*본예산*","*1회추경*","*신규*"})),"추가"," 2회")</f>
        <v xml:space="preserve"> 2회</v>
      </c>
      <c r="C67" s="380">
        <v>346</v>
      </c>
      <c r="D67" s="659" t="s">
        <v>454</v>
      </c>
      <c r="E67" s="540" t="s">
        <v>1665</v>
      </c>
      <c r="F67" s="657">
        <v>4876504</v>
      </c>
      <c r="G67" s="657">
        <v>3258150</v>
      </c>
      <c r="H67" s="665">
        <f>IF(SUMPRODUCT(COUNTIF(C67,{"*본예산*","*1회추경*","*신규*"})),"-",F67-G67)</f>
        <v>1618354</v>
      </c>
      <c r="I67" s="657"/>
      <c r="J67" s="657">
        <v>68475</v>
      </c>
      <c r="K67" s="665">
        <f t="shared" si="25"/>
        <v>4944979</v>
      </c>
      <c r="L67" s="657"/>
      <c r="M67" s="657">
        <v>68475</v>
      </c>
      <c r="N67" s="665">
        <f t="shared" si="24"/>
        <v>4944979</v>
      </c>
      <c r="O67" s="381" t="s">
        <v>1202</v>
      </c>
      <c r="P67" s="661" t="s">
        <v>1552</v>
      </c>
      <c r="Q67" s="661">
        <v>68475</v>
      </c>
      <c r="R67" s="661"/>
      <c r="S67" s="648" t="str">
        <f t="shared" si="20"/>
        <v>ok</v>
      </c>
      <c r="T67" s="617"/>
      <c r="U67" s="619"/>
      <c r="V67" s="619"/>
      <c r="W67" s="620"/>
    </row>
    <row r="68" spans="1:23" s="673" customFormat="1" ht="45.75" customHeight="1">
      <c r="A68" s="658"/>
      <c r="B68" s="658" t="str">
        <f>IF(SUMPRODUCT(COUNTIF(C68,{"*본예산*","*1회추경*","*신규*"})),"추가"," 2회")</f>
        <v>추가</v>
      </c>
      <c r="C68" s="380" t="s">
        <v>1666</v>
      </c>
      <c r="D68" s="659" t="s">
        <v>160</v>
      </c>
      <c r="E68" s="540" t="s">
        <v>1667</v>
      </c>
      <c r="F68" s="657">
        <v>144000</v>
      </c>
      <c r="G68" s="657">
        <v>0</v>
      </c>
      <c r="H68" s="665" t="str">
        <f>IF(SUMPRODUCT(COUNTIF(C68,{"*본예산*","*1회추경*","*신규*"})),"-",F68-G68)</f>
        <v>-</v>
      </c>
      <c r="I68" s="657">
        <v>-36000</v>
      </c>
      <c r="J68" s="657"/>
      <c r="K68" s="665">
        <f t="shared" si="25"/>
        <v>108000</v>
      </c>
      <c r="L68" s="657">
        <v>-36000</v>
      </c>
      <c r="M68" s="657"/>
      <c r="N68" s="665">
        <f t="shared" si="24"/>
        <v>108000</v>
      </c>
      <c r="O68" s="381" t="s">
        <v>1204</v>
      </c>
      <c r="P68" s="661" t="s">
        <v>1552</v>
      </c>
      <c r="Q68" s="661">
        <v>-36000</v>
      </c>
      <c r="R68" s="661"/>
      <c r="S68" s="648" t="str">
        <f t="shared" si="20"/>
        <v>ok</v>
      </c>
      <c r="T68" s="617"/>
      <c r="U68" s="619"/>
      <c r="V68" s="619"/>
      <c r="W68" s="620"/>
    </row>
    <row r="69" spans="1:23" ht="31.5" customHeight="1">
      <c r="A69" s="549"/>
      <c r="B69" s="612" t="s">
        <v>166</v>
      </c>
      <c r="C69" s="628"/>
      <c r="D69" s="613"/>
      <c r="E69" s="628"/>
      <c r="F69" s="629">
        <f t="shared" ref="F69:M69" si="26">SUM(F70:F81)</f>
        <v>395880185</v>
      </c>
      <c r="G69" s="629">
        <f t="shared" si="26"/>
        <v>355182207</v>
      </c>
      <c r="H69" s="629">
        <f t="shared" si="26"/>
        <v>7775967</v>
      </c>
      <c r="I69" s="629">
        <f t="shared" si="26"/>
        <v>-2899227</v>
      </c>
      <c r="J69" s="629">
        <f t="shared" si="26"/>
        <v>711500</v>
      </c>
      <c r="K69" s="629">
        <f t="shared" si="26"/>
        <v>393692458</v>
      </c>
      <c r="L69" s="629">
        <f t="shared" si="26"/>
        <v>-2899227</v>
      </c>
      <c r="M69" s="629">
        <f t="shared" si="26"/>
        <v>711500</v>
      </c>
      <c r="N69" s="629">
        <f t="shared" si="24"/>
        <v>393692458</v>
      </c>
      <c r="O69" s="622"/>
      <c r="P69" s="629"/>
      <c r="Q69" s="629">
        <f>SUM(Q70:Q81)</f>
        <v>-2334695</v>
      </c>
      <c r="R69" s="629">
        <f>SUM(R70:R81)</f>
        <v>146968</v>
      </c>
      <c r="S69" s="628" t="str">
        <f t="shared" si="20"/>
        <v>ok</v>
      </c>
      <c r="T69" s="98"/>
      <c r="U69" s="629">
        <f>SUM(U70:U81)</f>
        <v>0</v>
      </c>
      <c r="V69" s="629">
        <f>SUM(V70:V81)</f>
        <v>0</v>
      </c>
      <c r="W69" s="611"/>
    </row>
    <row r="70" spans="1:23" ht="47.25" customHeight="1">
      <c r="A70" s="549"/>
      <c r="B70" s="658" t="str">
        <f>IF(SUMPRODUCT(COUNTIF(C70,{"*본예산*","*1회추경*","*신규*"})),"추가"," 2회")</f>
        <v xml:space="preserve"> 2회</v>
      </c>
      <c r="C70" s="141">
        <v>353</v>
      </c>
      <c r="D70" s="142" t="s">
        <v>281</v>
      </c>
      <c r="E70" s="144" t="s">
        <v>241</v>
      </c>
      <c r="F70" s="631">
        <v>146266547</v>
      </c>
      <c r="G70" s="631">
        <v>142400401</v>
      </c>
      <c r="H70" s="665">
        <f>IF(SUMPRODUCT(COUNTIF(C70,{"*본예산*","*1회추경*","*신규*"})),"-",F70-G70)</f>
        <v>3866146</v>
      </c>
      <c r="I70" s="631"/>
      <c r="J70" s="631">
        <v>90000</v>
      </c>
      <c r="K70" s="665">
        <f t="shared" ref="K70:K81" si="27">F70+I70+J70</f>
        <v>146356547</v>
      </c>
      <c r="L70" s="631"/>
      <c r="M70" s="631">
        <v>90000</v>
      </c>
      <c r="N70" s="665">
        <f t="shared" si="24"/>
        <v>146356547</v>
      </c>
      <c r="O70" s="275" t="s">
        <v>135</v>
      </c>
      <c r="P70" s="638" t="s">
        <v>90</v>
      </c>
      <c r="Q70" s="638">
        <v>90000</v>
      </c>
      <c r="R70" s="638"/>
      <c r="S70" s="648" t="str">
        <f t="shared" ref="S70:S101" si="28">IF((L70+M70)=(Q70+R70),"ok","검토")</f>
        <v>ok</v>
      </c>
      <c r="T70" s="98"/>
      <c r="U70" s="105"/>
      <c r="V70" s="105"/>
      <c r="W70" s="106"/>
    </row>
    <row r="71" spans="1:23" ht="47.25" customHeight="1">
      <c r="A71" s="549"/>
      <c r="B71" s="658" t="str">
        <f>IF(SUMPRODUCT(COUNTIF(C71,{"*본예산*","*1회추경*","*신규*"})),"추가"," 2회")</f>
        <v xml:space="preserve"> 2회</v>
      </c>
      <c r="C71" s="141">
        <v>353</v>
      </c>
      <c r="D71" s="142" t="s">
        <v>281</v>
      </c>
      <c r="E71" s="144" t="s">
        <v>242</v>
      </c>
      <c r="F71" s="631">
        <v>31954327</v>
      </c>
      <c r="G71" s="631">
        <v>30094629</v>
      </c>
      <c r="H71" s="665">
        <f>IF(SUMPRODUCT(COUNTIF(C71,{"*본예산*","*1회추경*","*신규*"})),"-",F71-G71)</f>
        <v>1859698</v>
      </c>
      <c r="I71" s="631">
        <v>-108873</v>
      </c>
      <c r="J71" s="631"/>
      <c r="K71" s="665">
        <f t="shared" si="27"/>
        <v>31845454</v>
      </c>
      <c r="L71" s="631">
        <v>-108873</v>
      </c>
      <c r="M71" s="631"/>
      <c r="N71" s="665">
        <f t="shared" si="24"/>
        <v>31845454</v>
      </c>
      <c r="O71" s="275" t="s">
        <v>135</v>
      </c>
      <c r="P71" s="638" t="s">
        <v>90</v>
      </c>
      <c r="Q71" s="638">
        <v>-108873</v>
      </c>
      <c r="R71" s="143"/>
      <c r="S71" s="648" t="str">
        <f t="shared" si="28"/>
        <v>ok</v>
      </c>
      <c r="T71" s="98"/>
      <c r="U71" s="105"/>
      <c r="V71" s="105"/>
      <c r="W71" s="106"/>
    </row>
    <row r="72" spans="1:23" ht="47.25" customHeight="1">
      <c r="A72" s="549"/>
      <c r="B72" s="658" t="str">
        <f>IF(SUMPRODUCT(COUNTIF(C72,{"*본예산*","*1회추경*","*신규*"})),"추가"," 2회")</f>
        <v xml:space="preserve"> 2회</v>
      </c>
      <c r="C72" s="141">
        <v>353</v>
      </c>
      <c r="D72" s="142" t="s">
        <v>281</v>
      </c>
      <c r="E72" s="144" t="s">
        <v>243</v>
      </c>
      <c r="F72" s="631">
        <v>4782918</v>
      </c>
      <c r="G72" s="631">
        <v>5982012</v>
      </c>
      <c r="H72" s="665">
        <f>IF(SUMPRODUCT(COUNTIF(C72,{"*본예산*","*1회추경*","*신규*"})),"-",F72-G72)</f>
        <v>-1199094</v>
      </c>
      <c r="I72" s="631"/>
      <c r="J72" s="631">
        <v>152962</v>
      </c>
      <c r="K72" s="665">
        <f t="shared" si="27"/>
        <v>4935880</v>
      </c>
      <c r="L72" s="631"/>
      <c r="M72" s="631">
        <v>152962</v>
      </c>
      <c r="N72" s="665">
        <f t="shared" si="24"/>
        <v>4935880</v>
      </c>
      <c r="O72" s="275" t="s">
        <v>135</v>
      </c>
      <c r="P72" s="638" t="s">
        <v>90</v>
      </c>
      <c r="Q72" s="638">
        <v>137215</v>
      </c>
      <c r="R72" s="638">
        <v>15747</v>
      </c>
      <c r="S72" s="648" t="str">
        <f t="shared" si="28"/>
        <v>ok</v>
      </c>
      <c r="T72" s="98"/>
      <c r="U72" s="619"/>
      <c r="V72" s="619"/>
      <c r="W72" s="620"/>
    </row>
    <row r="73" spans="1:23" ht="47.25" customHeight="1">
      <c r="A73" s="549"/>
      <c r="B73" s="99" t="str">
        <f>IF(SUMPRODUCT(COUNTIF(C73,{"*본예산*","*1회추경*","*신규*"})),"추가"," 2회")</f>
        <v xml:space="preserve"> 2회</v>
      </c>
      <c r="C73" s="141">
        <v>354</v>
      </c>
      <c r="D73" s="142" t="s">
        <v>281</v>
      </c>
      <c r="E73" s="144" t="s">
        <v>244</v>
      </c>
      <c r="F73" s="54">
        <v>1199844</v>
      </c>
      <c r="G73" s="54">
        <v>1127324</v>
      </c>
      <c r="H73" s="102">
        <f>IF(SUMPRODUCT(COUNTIF(C73,{"*본예산*","*1회추경*","*신규*"})),"-",F73-G73)</f>
        <v>72520</v>
      </c>
      <c r="I73" s="54"/>
      <c r="J73" s="54">
        <v>17472</v>
      </c>
      <c r="K73" s="102">
        <f t="shared" si="27"/>
        <v>1217316</v>
      </c>
      <c r="L73" s="54"/>
      <c r="M73" s="54">
        <v>17472</v>
      </c>
      <c r="N73" s="376">
        <f t="shared" si="24"/>
        <v>1217316</v>
      </c>
      <c r="O73" s="275" t="s">
        <v>135</v>
      </c>
      <c r="P73" s="136" t="s">
        <v>90</v>
      </c>
      <c r="Q73" s="136">
        <v>17472</v>
      </c>
      <c r="R73" s="143"/>
      <c r="S73" s="104" t="str">
        <f t="shared" si="28"/>
        <v>ok</v>
      </c>
      <c r="T73" s="98"/>
      <c r="U73" s="105"/>
      <c r="V73" s="105"/>
      <c r="W73" s="106"/>
    </row>
    <row r="74" spans="1:23" ht="47.25" customHeight="1">
      <c r="A74" s="549"/>
      <c r="B74" s="99" t="str">
        <f>IF(SUMPRODUCT(COUNTIF(C74,{"*본예산*","*1회추경*","*신규*"})),"추가"," 2회")</f>
        <v xml:space="preserve"> 2회</v>
      </c>
      <c r="C74" s="141">
        <v>354</v>
      </c>
      <c r="D74" s="142" t="s">
        <v>281</v>
      </c>
      <c r="E74" s="144" t="s">
        <v>245</v>
      </c>
      <c r="F74" s="54">
        <v>6577405</v>
      </c>
      <c r="G74" s="54">
        <v>6557271</v>
      </c>
      <c r="H74" s="102">
        <f>IF(SUMPRODUCT(COUNTIF(C74,{"*본예산*","*1회추경*","*신규*"})),"-",F74-G74)</f>
        <v>20134</v>
      </c>
      <c r="I74" s="54"/>
      <c r="J74" s="54">
        <v>4315</v>
      </c>
      <c r="K74" s="102">
        <f t="shared" si="27"/>
        <v>6581720</v>
      </c>
      <c r="L74" s="54"/>
      <c r="M74" s="54">
        <v>4315</v>
      </c>
      <c r="N74" s="376">
        <f t="shared" si="24"/>
        <v>6581720</v>
      </c>
      <c r="O74" s="278" t="s">
        <v>246</v>
      </c>
      <c r="P74" s="136" t="s">
        <v>90</v>
      </c>
      <c r="Q74" s="136"/>
      <c r="R74" s="638">
        <v>4315</v>
      </c>
      <c r="S74" s="104" t="str">
        <f t="shared" si="28"/>
        <v>ok</v>
      </c>
      <c r="T74" s="98"/>
      <c r="U74" s="105"/>
      <c r="V74" s="105"/>
      <c r="W74" s="106"/>
    </row>
    <row r="75" spans="1:23" ht="47.25" customHeight="1">
      <c r="A75" s="549"/>
      <c r="B75" s="99" t="str">
        <f>IF(SUMPRODUCT(COUNTIF(C75,{"*본예산*","*1회추경*","*신규*"})),"추가"," 2회")</f>
        <v xml:space="preserve"> 2회</v>
      </c>
      <c r="C75" s="141">
        <v>356</v>
      </c>
      <c r="D75" s="142" t="s">
        <v>281</v>
      </c>
      <c r="E75" s="144" t="s">
        <v>282</v>
      </c>
      <c r="F75" s="54">
        <v>172177133</v>
      </c>
      <c r="G75" s="54">
        <v>169020570</v>
      </c>
      <c r="H75" s="102">
        <f>IF(SUMPRODUCT(COUNTIF(C75,{"*본예산*","*1회추경*","*신규*"})),"-",F75-G75)</f>
        <v>3156563</v>
      </c>
      <c r="I75" s="54"/>
      <c r="J75" s="54">
        <v>31811</v>
      </c>
      <c r="K75" s="102">
        <f t="shared" si="27"/>
        <v>172208944</v>
      </c>
      <c r="L75" s="54"/>
      <c r="M75" s="54">
        <v>31811</v>
      </c>
      <c r="N75" s="376">
        <f t="shared" si="24"/>
        <v>172208944</v>
      </c>
      <c r="O75" s="275" t="s">
        <v>283</v>
      </c>
      <c r="P75" s="136" t="s">
        <v>90</v>
      </c>
      <c r="Q75" s="136">
        <v>-84325</v>
      </c>
      <c r="R75" s="136">
        <v>116136</v>
      </c>
      <c r="S75" s="104" t="str">
        <f t="shared" si="28"/>
        <v>ok</v>
      </c>
      <c r="T75" s="98"/>
      <c r="U75" s="105"/>
      <c r="V75" s="105"/>
      <c r="W75" s="106"/>
    </row>
    <row r="76" spans="1:23" ht="47.25" customHeight="1">
      <c r="A76" s="549"/>
      <c r="B76" s="99" t="str">
        <f>IF(SUMPRODUCT(COUNTIF(C76,{"*본예산*","*1회추경*","*신규*"})),"추가"," 2회")</f>
        <v>추가</v>
      </c>
      <c r="C76" s="145" t="s">
        <v>284</v>
      </c>
      <c r="D76" s="142" t="s">
        <v>281</v>
      </c>
      <c r="E76" s="558" t="s">
        <v>285</v>
      </c>
      <c r="F76" s="54">
        <v>7411653</v>
      </c>
      <c r="G76" s="54"/>
      <c r="H76" s="102" t="str">
        <f>IF(SUMPRODUCT(COUNTIF(C76,{"*본예산*","*1회추경*","*신규*"})),"-",F76-G76)</f>
        <v>-</v>
      </c>
      <c r="I76" s="54">
        <v>-2266317</v>
      </c>
      <c r="J76" s="54"/>
      <c r="K76" s="102">
        <f t="shared" si="27"/>
        <v>5145336</v>
      </c>
      <c r="L76" s="54">
        <v>-2266317</v>
      </c>
      <c r="M76" s="54"/>
      <c r="N76" s="376">
        <f t="shared" si="24"/>
        <v>5145336</v>
      </c>
      <c r="O76" s="275" t="s">
        <v>286</v>
      </c>
      <c r="P76" s="136" t="s">
        <v>90</v>
      </c>
      <c r="Q76" s="136">
        <v>-2259272</v>
      </c>
      <c r="R76" s="638">
        <v>-7045</v>
      </c>
      <c r="S76" s="104" t="str">
        <f t="shared" si="28"/>
        <v>ok</v>
      </c>
      <c r="T76" s="98"/>
      <c r="U76" s="105"/>
      <c r="V76" s="105"/>
      <c r="W76" s="106"/>
    </row>
    <row r="77" spans="1:23" ht="47.25" customHeight="1">
      <c r="A77" s="549"/>
      <c r="B77" s="99" t="str">
        <f>IF(SUMPRODUCT(COUNTIF(C77,{"*본예산*","*1회추경*","*신규*"})),"추가"," 2회")</f>
        <v>추가</v>
      </c>
      <c r="C77" s="145" t="s">
        <v>287</v>
      </c>
      <c r="D77" s="142" t="s">
        <v>281</v>
      </c>
      <c r="E77" s="558" t="s">
        <v>288</v>
      </c>
      <c r="F77" s="54">
        <v>4634086</v>
      </c>
      <c r="G77" s="54"/>
      <c r="H77" s="102" t="str">
        <f>IF(SUMPRODUCT(COUNTIF(C77,{"*본예산*","*1회추경*","*신규*"})),"-",F77-G77)</f>
        <v>-</v>
      </c>
      <c r="I77" s="54"/>
      <c r="J77" s="54">
        <v>236238</v>
      </c>
      <c r="K77" s="102">
        <f t="shared" si="27"/>
        <v>4870324</v>
      </c>
      <c r="L77" s="54"/>
      <c r="M77" s="54">
        <v>236238</v>
      </c>
      <c r="N77" s="376">
        <f t="shared" si="24"/>
        <v>4870324</v>
      </c>
      <c r="O77" s="275" t="s">
        <v>289</v>
      </c>
      <c r="P77" s="136" t="s">
        <v>90</v>
      </c>
      <c r="Q77" s="136">
        <v>236238</v>
      </c>
      <c r="R77" s="136"/>
      <c r="S77" s="104" t="str">
        <f t="shared" si="28"/>
        <v>ok</v>
      </c>
      <c r="T77" s="98"/>
      <c r="U77" s="105"/>
      <c r="V77" s="105"/>
      <c r="W77" s="106"/>
    </row>
    <row r="78" spans="1:23" ht="31.5" customHeight="1">
      <c r="A78" s="549"/>
      <c r="B78" s="99" t="str">
        <f>IF(SUMPRODUCT(COUNTIF(C78,{"*본예산*","*1회추경*","*신규*"})),"추가"," 2회")</f>
        <v>추가</v>
      </c>
      <c r="C78" s="145" t="s">
        <v>290</v>
      </c>
      <c r="D78" s="142" t="s">
        <v>281</v>
      </c>
      <c r="E78" s="558" t="s">
        <v>291</v>
      </c>
      <c r="F78" s="54">
        <v>275560</v>
      </c>
      <c r="G78" s="54"/>
      <c r="H78" s="102" t="str">
        <f>IF(SUMPRODUCT(COUNTIF(C78,{"*본예산*","*1회추경*","*신규*"})),"-",F78-G78)</f>
        <v>-</v>
      </c>
      <c r="I78" s="54">
        <v>-10787</v>
      </c>
      <c r="J78" s="54"/>
      <c r="K78" s="102">
        <f t="shared" si="27"/>
        <v>264773</v>
      </c>
      <c r="L78" s="54">
        <v>-10787</v>
      </c>
      <c r="M78" s="54"/>
      <c r="N78" s="376">
        <f t="shared" si="24"/>
        <v>264773</v>
      </c>
      <c r="O78" s="275" t="s">
        <v>292</v>
      </c>
      <c r="P78" s="136" t="s">
        <v>97</v>
      </c>
      <c r="Q78" s="136"/>
      <c r="R78" s="136">
        <v>-10787</v>
      </c>
      <c r="S78" s="104" t="str">
        <f t="shared" si="28"/>
        <v>ok</v>
      </c>
      <c r="T78" s="98"/>
      <c r="U78" s="105"/>
      <c r="V78" s="105"/>
      <c r="W78" s="106"/>
    </row>
    <row r="79" spans="1:23" ht="56.25" customHeight="1">
      <c r="A79" s="549"/>
      <c r="B79" s="99" t="str">
        <f>IF(SUMPRODUCT(COUNTIF(C79,{"*본예산*","*1회추경*","*신규*"})),"추가"," 2회")</f>
        <v>추가</v>
      </c>
      <c r="C79" s="145" t="s">
        <v>290</v>
      </c>
      <c r="D79" s="142" t="s">
        <v>281</v>
      </c>
      <c r="E79" s="276" t="s">
        <v>293</v>
      </c>
      <c r="F79" s="54">
        <v>461170</v>
      </c>
      <c r="G79" s="54"/>
      <c r="H79" s="102" t="str">
        <f>IF(SUMPRODUCT(COUNTIF(C79,{"*본예산*","*1회추경*","*신규*"})),"-",F79-G79)</f>
        <v>-</v>
      </c>
      <c r="I79" s="54"/>
      <c r="J79" s="54">
        <v>28660</v>
      </c>
      <c r="K79" s="102">
        <f t="shared" si="27"/>
        <v>489830</v>
      </c>
      <c r="L79" s="54"/>
      <c r="M79" s="54">
        <v>28660</v>
      </c>
      <c r="N79" s="376">
        <f t="shared" si="24"/>
        <v>489830</v>
      </c>
      <c r="O79" s="275" t="s">
        <v>294</v>
      </c>
      <c r="P79" s="136" t="s">
        <v>90</v>
      </c>
      <c r="Q79" s="136">
        <v>28660</v>
      </c>
      <c r="R79" s="143"/>
      <c r="S79" s="104" t="str">
        <f t="shared" si="28"/>
        <v>ok</v>
      </c>
      <c r="T79" s="98"/>
      <c r="U79" s="105"/>
      <c r="V79" s="105"/>
      <c r="W79" s="106"/>
    </row>
    <row r="80" spans="1:23" s="551" customFormat="1" ht="31.5" customHeight="1">
      <c r="A80" s="116"/>
      <c r="B80" s="553" t="str">
        <f>IF(SUMPRODUCT(COUNTIF(C80,{"*본예산*","*1회추경*","*신규*"})),"추가"," 2회")</f>
        <v>추가</v>
      </c>
      <c r="C80" s="145" t="s">
        <v>295</v>
      </c>
      <c r="D80" s="142" t="s">
        <v>281</v>
      </c>
      <c r="E80" s="558" t="s">
        <v>296</v>
      </c>
      <c r="F80" s="54">
        <v>17952605</v>
      </c>
      <c r="G80" s="54"/>
      <c r="H80" s="554" t="str">
        <f>IF(SUMPRODUCT(COUNTIF(C80,{"*본예산*","*1회추경*","*신규*"})),"-",F80-G80)</f>
        <v>-</v>
      </c>
      <c r="I80" s="54"/>
      <c r="J80" s="54">
        <v>150042</v>
      </c>
      <c r="K80" s="554">
        <f t="shared" si="27"/>
        <v>18102647</v>
      </c>
      <c r="L80" s="54"/>
      <c r="M80" s="54">
        <v>150042</v>
      </c>
      <c r="N80" s="554">
        <f t="shared" si="24"/>
        <v>18102647</v>
      </c>
      <c r="O80" s="275" t="s">
        <v>270</v>
      </c>
      <c r="P80" s="136" t="s">
        <v>297</v>
      </c>
      <c r="Q80" s="136">
        <v>121440</v>
      </c>
      <c r="R80" s="136">
        <v>28602</v>
      </c>
      <c r="S80" s="555" t="str">
        <f t="shared" si="28"/>
        <v>ok</v>
      </c>
      <c r="T80" s="552"/>
      <c r="U80" s="556"/>
      <c r="V80" s="556"/>
      <c r="W80" s="557"/>
    </row>
    <row r="81" spans="1:23" s="673" customFormat="1" ht="54.75" customHeight="1">
      <c r="A81" s="116"/>
      <c r="B81" s="658" t="str">
        <f>IF(SUMPRODUCT(COUNTIF(C81,{"*본예산*","*1회추경*","*신규*"})),"추가"," 2회")</f>
        <v>추가</v>
      </c>
      <c r="C81" s="145" t="s">
        <v>1668</v>
      </c>
      <c r="D81" s="142" t="s">
        <v>281</v>
      </c>
      <c r="E81" s="558" t="s">
        <v>1669</v>
      </c>
      <c r="F81" s="631">
        <v>2186937</v>
      </c>
      <c r="G81" s="631"/>
      <c r="H81" s="665" t="str">
        <f>IF(SUMPRODUCT(COUNTIF(C81,{"*본예산*","*1회추경*","*신규*"})),"-",F81-G81)</f>
        <v>-</v>
      </c>
      <c r="I81" s="631">
        <v>-513250</v>
      </c>
      <c r="J81" s="631"/>
      <c r="K81" s="665">
        <f t="shared" si="27"/>
        <v>1673687</v>
      </c>
      <c r="L81" s="631">
        <v>-513250</v>
      </c>
      <c r="M81" s="631"/>
      <c r="N81" s="665">
        <f t="shared" si="24"/>
        <v>1673687</v>
      </c>
      <c r="O81" s="275" t="s">
        <v>1201</v>
      </c>
      <c r="P81" s="638" t="s">
        <v>90</v>
      </c>
      <c r="Q81" s="638">
        <v>-513250</v>
      </c>
      <c r="R81" s="638"/>
      <c r="S81" s="648" t="str">
        <f t="shared" si="28"/>
        <v>ok</v>
      </c>
      <c r="T81" s="617"/>
      <c r="U81" s="619"/>
      <c r="V81" s="619"/>
      <c r="W81" s="620"/>
    </row>
    <row r="82" spans="1:23" s="615" customFormat="1" ht="31.5" customHeight="1">
      <c r="A82" s="618"/>
      <c r="B82" s="612" t="s">
        <v>1278</v>
      </c>
      <c r="C82" s="628"/>
      <c r="D82" s="613"/>
      <c r="E82" s="613"/>
      <c r="F82" s="629">
        <f t="shared" ref="F82:N82" si="29">SUM(F83:F85)</f>
        <v>377945</v>
      </c>
      <c r="G82" s="629">
        <f t="shared" si="29"/>
        <v>0</v>
      </c>
      <c r="H82" s="629">
        <f t="shared" si="29"/>
        <v>0</v>
      </c>
      <c r="I82" s="629">
        <f t="shared" si="29"/>
        <v>0</v>
      </c>
      <c r="J82" s="629">
        <f t="shared" si="29"/>
        <v>0</v>
      </c>
      <c r="K82" s="629">
        <f t="shared" si="29"/>
        <v>377945</v>
      </c>
      <c r="L82" s="629">
        <f t="shared" si="29"/>
        <v>-19373</v>
      </c>
      <c r="M82" s="629">
        <f t="shared" si="29"/>
        <v>19373</v>
      </c>
      <c r="N82" s="629">
        <f t="shared" si="29"/>
        <v>377945</v>
      </c>
      <c r="O82" s="622"/>
      <c r="P82" s="629"/>
      <c r="Q82" s="629">
        <f>SUM(Q83:Q85)</f>
        <v>0</v>
      </c>
      <c r="R82" s="629">
        <f>SUM(R83:R85)</f>
        <v>0</v>
      </c>
      <c r="S82" s="628" t="str">
        <f t="shared" si="28"/>
        <v>ok</v>
      </c>
      <c r="T82" s="617"/>
      <c r="U82" s="629">
        <f>SUM(U85)</f>
        <v>0</v>
      </c>
      <c r="V82" s="629">
        <f>SUM(V85)</f>
        <v>0</v>
      </c>
      <c r="W82" s="611"/>
    </row>
    <row r="83" spans="1:23" s="673" customFormat="1" ht="54.75" customHeight="1">
      <c r="A83" s="116"/>
      <c r="B83" s="658" t="str">
        <f>IF(SUMPRODUCT(COUNTIF(C83,{"*본예산*","*1회추경*","*신규*"})),"추가"," 2회")</f>
        <v>추가</v>
      </c>
      <c r="C83" s="145" t="s">
        <v>1670</v>
      </c>
      <c r="D83" s="142" t="s">
        <v>1283</v>
      </c>
      <c r="E83" s="558" t="s">
        <v>1671</v>
      </c>
      <c r="F83" s="631">
        <v>5367</v>
      </c>
      <c r="G83" s="631"/>
      <c r="H83" s="665" t="str">
        <f>IF(SUMPRODUCT(COUNTIF(C83,{"*본예산*","*1회추경*","*신규*"})),"-",F83-G83)</f>
        <v>-</v>
      </c>
      <c r="I83" s="631"/>
      <c r="J83" s="631"/>
      <c r="K83" s="665">
        <f>F83+I83+J83</f>
        <v>5367</v>
      </c>
      <c r="L83" s="631">
        <v>-895</v>
      </c>
      <c r="M83" s="631"/>
      <c r="N83" s="665">
        <f t="shared" ref="N83:N128" si="30">F83+L83+M83</f>
        <v>4472</v>
      </c>
      <c r="O83" s="275"/>
      <c r="P83" s="638" t="s">
        <v>1223</v>
      </c>
      <c r="Q83" s="638"/>
      <c r="R83" s="638"/>
      <c r="S83" s="648" t="str">
        <f t="shared" si="28"/>
        <v>검토</v>
      </c>
      <c r="T83" s="617"/>
      <c r="U83" s="619"/>
      <c r="V83" s="619"/>
      <c r="W83" s="620"/>
    </row>
    <row r="84" spans="1:23" s="673" customFormat="1" ht="54.75" customHeight="1">
      <c r="A84" s="116"/>
      <c r="B84" s="658" t="str">
        <f>IF(SUMPRODUCT(COUNTIF(C84,{"*본예산*","*1회추경*","*신규*"})),"추가"," 2회")</f>
        <v>추가</v>
      </c>
      <c r="C84" s="145" t="s">
        <v>1670</v>
      </c>
      <c r="D84" s="142" t="s">
        <v>1283</v>
      </c>
      <c r="E84" s="558" t="s">
        <v>1672</v>
      </c>
      <c r="F84" s="631">
        <v>18478</v>
      </c>
      <c r="G84" s="631"/>
      <c r="H84" s="665" t="str">
        <f>IF(SUMPRODUCT(COUNTIF(C84,{"*본예산*","*1회추경*","*신규*"})),"-",F84-G84)</f>
        <v>-</v>
      </c>
      <c r="I84" s="631"/>
      <c r="J84" s="631"/>
      <c r="K84" s="665">
        <f>F84+I84+J84</f>
        <v>18478</v>
      </c>
      <c r="L84" s="631">
        <v>-18478</v>
      </c>
      <c r="M84" s="631"/>
      <c r="N84" s="665">
        <f t="shared" si="30"/>
        <v>0</v>
      </c>
      <c r="O84" s="275"/>
      <c r="P84" s="638" t="s">
        <v>1223</v>
      </c>
      <c r="Q84" s="638"/>
      <c r="R84" s="638"/>
      <c r="S84" s="648" t="str">
        <f t="shared" si="28"/>
        <v>검토</v>
      </c>
      <c r="T84" s="617"/>
      <c r="U84" s="619"/>
      <c r="V84" s="619"/>
      <c r="W84" s="620"/>
    </row>
    <row r="85" spans="1:23" s="673" customFormat="1" ht="54.75" customHeight="1">
      <c r="A85" s="116"/>
      <c r="B85" s="658" t="str">
        <f>IF(SUMPRODUCT(COUNTIF(C85,{"*본예산*","*1회추경*","*신규*"})),"추가"," 2회")</f>
        <v>추가</v>
      </c>
      <c r="C85" s="145" t="s">
        <v>1673</v>
      </c>
      <c r="D85" s="142" t="s">
        <v>1284</v>
      </c>
      <c r="E85" s="558" t="s">
        <v>1674</v>
      </c>
      <c r="F85" s="631">
        <v>354100</v>
      </c>
      <c r="G85" s="631"/>
      <c r="H85" s="665" t="str">
        <f>IF(SUMPRODUCT(COUNTIF(C85,{"*본예산*","*1회추경*","*신규*"})),"-",F85-G85)</f>
        <v>-</v>
      </c>
      <c r="I85" s="631"/>
      <c r="J85" s="631"/>
      <c r="K85" s="665">
        <f>F85+I85+J85</f>
        <v>354100</v>
      </c>
      <c r="L85" s="631"/>
      <c r="M85" s="631">
        <v>19373</v>
      </c>
      <c r="N85" s="665">
        <f t="shared" si="30"/>
        <v>373473</v>
      </c>
      <c r="O85" s="275"/>
      <c r="P85" s="638" t="s">
        <v>1223</v>
      </c>
      <c r="Q85" s="638"/>
      <c r="R85" s="638"/>
      <c r="S85" s="648" t="str">
        <f t="shared" si="28"/>
        <v>검토</v>
      </c>
      <c r="T85" s="617"/>
      <c r="U85" s="619"/>
      <c r="V85" s="619"/>
      <c r="W85" s="620"/>
    </row>
    <row r="86" spans="1:23" ht="31.5" customHeight="1">
      <c r="A86" s="445" t="s">
        <v>170</v>
      </c>
      <c r="B86" s="626"/>
      <c r="C86" s="626"/>
      <c r="D86" s="626"/>
      <c r="E86" s="626"/>
      <c r="F86" s="627">
        <f t="shared" ref="F86:M86" si="31">SUM(F87:F95)/2</f>
        <v>47531980</v>
      </c>
      <c r="G86" s="627">
        <f t="shared" si="31"/>
        <v>11101000</v>
      </c>
      <c r="H86" s="627">
        <f t="shared" si="31"/>
        <v>587280</v>
      </c>
      <c r="I86" s="627">
        <f t="shared" si="31"/>
        <v>-4052000</v>
      </c>
      <c r="J86" s="627">
        <f t="shared" si="31"/>
        <v>1687775</v>
      </c>
      <c r="K86" s="627">
        <f t="shared" si="31"/>
        <v>45167755</v>
      </c>
      <c r="L86" s="627">
        <f t="shared" si="31"/>
        <v>-4052000</v>
      </c>
      <c r="M86" s="627">
        <f t="shared" si="31"/>
        <v>387275</v>
      </c>
      <c r="N86" s="627">
        <f t="shared" si="30"/>
        <v>43867255</v>
      </c>
      <c r="O86" s="268"/>
      <c r="P86" s="627"/>
      <c r="Q86" s="627">
        <f>SUM(Q87:Q95)/2</f>
        <v>-3723000</v>
      </c>
      <c r="R86" s="627">
        <f>SUM(R87:R95)/2</f>
        <v>58275</v>
      </c>
      <c r="S86" s="626" t="str">
        <f t="shared" si="28"/>
        <v>ok</v>
      </c>
      <c r="T86" s="98"/>
      <c r="U86" s="627">
        <f>SUM(U87:U95)/2</f>
        <v>0</v>
      </c>
      <c r="V86" s="627">
        <f>SUM(V87:V95)/2</f>
        <v>0</v>
      </c>
      <c r="W86" s="9"/>
    </row>
    <row r="87" spans="1:23" ht="31.5" customHeight="1">
      <c r="A87" s="658"/>
      <c r="B87" s="612" t="s">
        <v>171</v>
      </c>
      <c r="C87" s="628"/>
      <c r="D87" s="613"/>
      <c r="E87" s="613"/>
      <c r="F87" s="629">
        <f t="shared" ref="F87:M87" si="32">SUM(F88)</f>
        <v>3951155</v>
      </c>
      <c r="G87" s="629">
        <f t="shared" si="32"/>
        <v>3039350</v>
      </c>
      <c r="H87" s="629">
        <f t="shared" si="32"/>
        <v>911805</v>
      </c>
      <c r="I87" s="629">
        <f t="shared" si="32"/>
        <v>0</v>
      </c>
      <c r="J87" s="629">
        <f t="shared" si="32"/>
        <v>90150</v>
      </c>
      <c r="K87" s="629">
        <f t="shared" si="32"/>
        <v>4041305</v>
      </c>
      <c r="L87" s="629">
        <f t="shared" si="32"/>
        <v>0</v>
      </c>
      <c r="M87" s="629">
        <f t="shared" si="32"/>
        <v>90150</v>
      </c>
      <c r="N87" s="629">
        <f t="shared" si="30"/>
        <v>4041305</v>
      </c>
      <c r="O87" s="622"/>
      <c r="P87" s="629"/>
      <c r="Q87" s="629">
        <f>SUM(Q88)</f>
        <v>90150</v>
      </c>
      <c r="R87" s="629">
        <f>SUM(R88)</f>
        <v>0</v>
      </c>
      <c r="S87" s="628" t="str">
        <f t="shared" si="28"/>
        <v>ok</v>
      </c>
      <c r="T87" s="98"/>
      <c r="U87" s="629">
        <f>SUM(U88)</f>
        <v>0</v>
      </c>
      <c r="V87" s="629">
        <f>SUM(V88)</f>
        <v>0</v>
      </c>
      <c r="W87" s="611"/>
    </row>
    <row r="88" spans="1:23" ht="31.5" customHeight="1">
      <c r="A88" s="658"/>
      <c r="B88" s="658" t="str">
        <f>IF(SUMPRODUCT(COUNTIF(C88,{"*본예산*","*1회추경*","*신규*"})),"추가"," 2회")</f>
        <v xml:space="preserve"> 2회</v>
      </c>
      <c r="C88" s="644">
        <v>373</v>
      </c>
      <c r="D88" s="659" t="s">
        <v>173</v>
      </c>
      <c r="E88" s="550" t="s">
        <v>347</v>
      </c>
      <c r="F88" s="657">
        <v>3951155</v>
      </c>
      <c r="G88" s="657">
        <v>3039350</v>
      </c>
      <c r="H88" s="665">
        <f>IF(SUMPRODUCT(COUNTIF(C88,{"*본예산*","*1회추경*","*신규*"})),"-",F88-G88)</f>
        <v>911805</v>
      </c>
      <c r="I88" s="657"/>
      <c r="J88" s="657">
        <v>90150</v>
      </c>
      <c r="K88" s="665">
        <f>F88+I88+J88</f>
        <v>4041305</v>
      </c>
      <c r="L88" s="657"/>
      <c r="M88" s="657">
        <v>90150</v>
      </c>
      <c r="N88" s="665">
        <f t="shared" si="30"/>
        <v>4041305</v>
      </c>
      <c r="O88" s="381" t="s">
        <v>298</v>
      </c>
      <c r="P88" s="661" t="s">
        <v>90</v>
      </c>
      <c r="Q88" s="661">
        <v>90150</v>
      </c>
      <c r="R88" s="661"/>
      <c r="S88" s="648" t="str">
        <f t="shared" si="28"/>
        <v>ok</v>
      </c>
      <c r="T88" s="98"/>
      <c r="U88" s="105"/>
      <c r="V88" s="105"/>
      <c r="W88" s="106"/>
    </row>
    <row r="89" spans="1:23" ht="31.5" customHeight="1">
      <c r="A89" s="99"/>
      <c r="B89" s="29" t="s">
        <v>176</v>
      </c>
      <c r="C89" s="30"/>
      <c r="D89" s="31"/>
      <c r="E89" s="31"/>
      <c r="F89" s="32">
        <f t="shared" ref="F89:M89" si="33">SUM(F90:F93)</f>
        <v>28890825</v>
      </c>
      <c r="G89" s="559">
        <f t="shared" si="33"/>
        <v>8061650</v>
      </c>
      <c r="H89" s="559">
        <f t="shared" si="33"/>
        <v>-324525</v>
      </c>
      <c r="I89" s="559">
        <f t="shared" si="33"/>
        <v>-3145000</v>
      </c>
      <c r="J89" s="559">
        <f t="shared" si="33"/>
        <v>1597625</v>
      </c>
      <c r="K89" s="559">
        <f t="shared" si="33"/>
        <v>27343450</v>
      </c>
      <c r="L89" s="559">
        <f t="shared" si="33"/>
        <v>-3145000</v>
      </c>
      <c r="M89" s="559">
        <f t="shared" si="33"/>
        <v>297125</v>
      </c>
      <c r="N89" s="559">
        <f t="shared" si="30"/>
        <v>26042950</v>
      </c>
      <c r="O89" s="269"/>
      <c r="P89" s="32"/>
      <c r="Q89" s="559">
        <f>SUM(Q90:Q93)</f>
        <v>-2906150</v>
      </c>
      <c r="R89" s="559">
        <f>SUM(R90:R93)</f>
        <v>58275</v>
      </c>
      <c r="S89" s="30" t="str">
        <f t="shared" si="28"/>
        <v>ok</v>
      </c>
      <c r="T89" s="98"/>
      <c r="U89" s="629">
        <f>SUM(U93:U93)</f>
        <v>0</v>
      </c>
      <c r="V89" s="629">
        <f>SUM(V93:V93)</f>
        <v>0</v>
      </c>
      <c r="W89" s="11"/>
    </row>
    <row r="90" spans="1:23" s="673" customFormat="1" ht="54.75" customHeight="1">
      <c r="A90" s="116"/>
      <c r="B90" s="658" t="str">
        <f>IF(SUMPRODUCT(COUNTIF(C90,{"*본예산*","*1회추경*","*신규*"})),"추가"," 2회")</f>
        <v xml:space="preserve"> 2회</v>
      </c>
      <c r="C90" s="145">
        <v>379</v>
      </c>
      <c r="D90" s="142" t="s">
        <v>178</v>
      </c>
      <c r="E90" s="558" t="s">
        <v>1675</v>
      </c>
      <c r="F90" s="631">
        <v>3154125</v>
      </c>
      <c r="G90" s="631">
        <v>1261650</v>
      </c>
      <c r="H90" s="665">
        <f>IF(SUMPRODUCT(COUNTIF(C90,{"*본예산*","*1회추경*","*신규*"})),"-",F90-G90)</f>
        <v>1892475</v>
      </c>
      <c r="I90" s="631"/>
      <c r="J90" s="631">
        <v>1397625</v>
      </c>
      <c r="K90" s="665">
        <f>F90+I90+J90</f>
        <v>4551750</v>
      </c>
      <c r="L90" s="631"/>
      <c r="M90" s="631">
        <v>97125</v>
      </c>
      <c r="N90" s="665">
        <f t="shared" si="30"/>
        <v>3251250</v>
      </c>
      <c r="O90" s="275" t="s">
        <v>1232</v>
      </c>
      <c r="P90" s="638" t="s">
        <v>90</v>
      </c>
      <c r="Q90" s="638">
        <v>38850</v>
      </c>
      <c r="R90" s="638">
        <v>58275</v>
      </c>
      <c r="S90" s="648" t="str">
        <f t="shared" si="28"/>
        <v>ok</v>
      </c>
      <c r="T90" s="617"/>
      <c r="U90" s="619"/>
      <c r="V90" s="619"/>
      <c r="W90" s="620"/>
    </row>
    <row r="91" spans="1:23" s="673" customFormat="1" ht="54.75" customHeight="1">
      <c r="A91" s="116"/>
      <c r="B91" s="658" t="str">
        <f>IF(SUMPRODUCT(COUNTIF(C91,{"*본예산*","*1회추경*","*신규*"})),"추가"," 2회")</f>
        <v>추가</v>
      </c>
      <c r="C91" s="145" t="s">
        <v>1676</v>
      </c>
      <c r="D91" s="142" t="s">
        <v>871</v>
      </c>
      <c r="E91" s="558" t="s">
        <v>1677</v>
      </c>
      <c r="F91" s="631">
        <v>21500000</v>
      </c>
      <c r="G91" s="631"/>
      <c r="H91" s="665" t="str">
        <f>IF(SUMPRODUCT(COUNTIF(C91,{"*본예산*","*1회추경*","*신규*"})),"-",F91-G91)</f>
        <v>-</v>
      </c>
      <c r="I91" s="631">
        <v>-2500000</v>
      </c>
      <c r="J91" s="631"/>
      <c r="K91" s="665">
        <f>F91+I91+J91</f>
        <v>19000000</v>
      </c>
      <c r="L91" s="631">
        <v>-2500000</v>
      </c>
      <c r="M91" s="631"/>
      <c r="N91" s="665">
        <f t="shared" si="30"/>
        <v>19000000</v>
      </c>
      <c r="O91" s="275" t="s">
        <v>1218</v>
      </c>
      <c r="P91" s="638" t="s">
        <v>907</v>
      </c>
      <c r="Q91" s="638">
        <v>-2500000</v>
      </c>
      <c r="R91" s="638"/>
      <c r="S91" s="648" t="str">
        <f t="shared" si="28"/>
        <v>ok</v>
      </c>
      <c r="T91" s="617"/>
      <c r="U91" s="619"/>
      <c r="V91" s="619"/>
      <c r="W91" s="620"/>
    </row>
    <row r="92" spans="1:23" s="673" customFormat="1" ht="54.75" customHeight="1">
      <c r="A92" s="116"/>
      <c r="B92" s="658" t="str">
        <f>IF(SUMPRODUCT(COUNTIF(C92,{"*본예산*","*1회추경*","*신규*"})),"추가"," 2회")</f>
        <v xml:space="preserve"> 2회</v>
      </c>
      <c r="C92" s="145">
        <v>383</v>
      </c>
      <c r="D92" s="142" t="s">
        <v>871</v>
      </c>
      <c r="E92" s="558" t="s">
        <v>1678</v>
      </c>
      <c r="F92" s="631">
        <v>1183000</v>
      </c>
      <c r="G92" s="631">
        <v>3400000</v>
      </c>
      <c r="H92" s="665">
        <f>IF(SUMPRODUCT(COUNTIF(C92,{"*본예산*","*1회추경*","*신규*"})),"-",F92-G92)</f>
        <v>-2217000</v>
      </c>
      <c r="I92" s="631">
        <v>-645000</v>
      </c>
      <c r="J92" s="631"/>
      <c r="K92" s="665">
        <f>F92+I92+J92</f>
        <v>538000</v>
      </c>
      <c r="L92" s="631">
        <v>-645000</v>
      </c>
      <c r="M92" s="631"/>
      <c r="N92" s="665">
        <f t="shared" si="30"/>
        <v>538000</v>
      </c>
      <c r="O92" s="275" t="s">
        <v>1218</v>
      </c>
      <c r="P92" s="638" t="s">
        <v>907</v>
      </c>
      <c r="Q92" s="638">
        <v>-645000</v>
      </c>
      <c r="R92" s="638"/>
      <c r="S92" s="648" t="str">
        <f t="shared" si="28"/>
        <v>ok</v>
      </c>
      <c r="T92" s="617"/>
      <c r="U92" s="619"/>
      <c r="V92" s="619"/>
      <c r="W92" s="620"/>
    </row>
    <row r="93" spans="1:23" s="673" customFormat="1" ht="54.75" customHeight="1">
      <c r="A93" s="116"/>
      <c r="B93" s="658" t="str">
        <f>IF(SUMPRODUCT(COUNTIF(C93,{"*본예산*","*1회추경*","*신규*"})),"추가"," 2회")</f>
        <v>추가</v>
      </c>
      <c r="C93" s="145" t="s">
        <v>1679</v>
      </c>
      <c r="D93" s="142" t="s">
        <v>871</v>
      </c>
      <c r="E93" s="558" t="s">
        <v>1680</v>
      </c>
      <c r="F93" s="631">
        <v>3053700</v>
      </c>
      <c r="G93" s="631">
        <v>3400000</v>
      </c>
      <c r="H93" s="665" t="str">
        <f>IF(SUMPRODUCT(COUNTIF(C93,{"*본예산*","*1회추경*","*신규*"})),"-",F93-G93)</f>
        <v>-</v>
      </c>
      <c r="I93" s="631"/>
      <c r="J93" s="631">
        <v>200000</v>
      </c>
      <c r="K93" s="665">
        <f>F93+I93+J93</f>
        <v>3253700</v>
      </c>
      <c r="L93" s="631"/>
      <c r="M93" s="631">
        <v>200000</v>
      </c>
      <c r="N93" s="665">
        <f t="shared" si="30"/>
        <v>3253700</v>
      </c>
      <c r="O93" s="275" t="s">
        <v>1208</v>
      </c>
      <c r="P93" s="638" t="s">
        <v>90</v>
      </c>
      <c r="Q93" s="638">
        <v>200000</v>
      </c>
      <c r="R93" s="638"/>
      <c r="S93" s="648" t="str">
        <f t="shared" si="28"/>
        <v>ok</v>
      </c>
      <c r="T93" s="617"/>
      <c r="U93" s="619"/>
      <c r="V93" s="619"/>
      <c r="W93" s="620"/>
    </row>
    <row r="94" spans="1:23" ht="31.5" customHeight="1">
      <c r="A94" s="658"/>
      <c r="B94" s="612" t="s">
        <v>181</v>
      </c>
      <c r="C94" s="628"/>
      <c r="D94" s="613"/>
      <c r="E94" s="613"/>
      <c r="F94" s="629">
        <f t="shared" ref="F94:M94" si="34">SUM(F95)</f>
        <v>14690000</v>
      </c>
      <c r="G94" s="629">
        <f t="shared" si="34"/>
        <v>0</v>
      </c>
      <c r="H94" s="629">
        <f t="shared" si="34"/>
        <v>0</v>
      </c>
      <c r="I94" s="629">
        <f t="shared" si="34"/>
        <v>-907000</v>
      </c>
      <c r="J94" s="629">
        <f t="shared" si="34"/>
        <v>0</v>
      </c>
      <c r="K94" s="629">
        <f t="shared" si="34"/>
        <v>13783000</v>
      </c>
      <c r="L94" s="629">
        <f t="shared" si="34"/>
        <v>-907000</v>
      </c>
      <c r="M94" s="629">
        <f t="shared" si="34"/>
        <v>0</v>
      </c>
      <c r="N94" s="629">
        <f t="shared" si="30"/>
        <v>13783000</v>
      </c>
      <c r="O94" s="622"/>
      <c r="P94" s="629"/>
      <c r="Q94" s="629">
        <f>SUM(Q95)</f>
        <v>-907000</v>
      </c>
      <c r="R94" s="629">
        <f>SUM(R95)</f>
        <v>0</v>
      </c>
      <c r="S94" s="628" t="str">
        <f t="shared" si="28"/>
        <v>ok</v>
      </c>
      <c r="T94" s="98"/>
      <c r="U94" s="629">
        <f>SUM(U95)</f>
        <v>0</v>
      </c>
      <c r="V94" s="629">
        <f>SUM(V95)</f>
        <v>0</v>
      </c>
      <c r="W94" s="611"/>
    </row>
    <row r="95" spans="1:23" ht="31.5" customHeight="1">
      <c r="A95" s="658"/>
      <c r="B95" s="658" t="str">
        <f>IF(SUMPRODUCT(COUNTIF(C95,{"*본예산*","*1회추경*","*신규*"})),"추가"," 2회")</f>
        <v>추가</v>
      </c>
      <c r="C95" s="380" t="s">
        <v>299</v>
      </c>
      <c r="D95" s="659" t="s">
        <v>183</v>
      </c>
      <c r="E95" s="270" t="s">
        <v>1030</v>
      </c>
      <c r="F95" s="657">
        <v>14690000</v>
      </c>
      <c r="G95" s="657"/>
      <c r="H95" s="665" t="str">
        <f>IF(SUMPRODUCT(COUNTIF(C95,{"*본예산*","*1회추경*","*신규*"})),"-",F95-G95)</f>
        <v>-</v>
      </c>
      <c r="I95" s="657">
        <v>-907000</v>
      </c>
      <c r="J95" s="657"/>
      <c r="K95" s="665">
        <f>F95+I95+J95</f>
        <v>13783000</v>
      </c>
      <c r="L95" s="657">
        <v>-907000</v>
      </c>
      <c r="M95" s="657"/>
      <c r="N95" s="665">
        <f t="shared" si="30"/>
        <v>13783000</v>
      </c>
      <c r="O95" s="381" t="s">
        <v>300</v>
      </c>
      <c r="P95" s="661" t="s">
        <v>90</v>
      </c>
      <c r="Q95" s="661">
        <v>-907000</v>
      </c>
      <c r="R95" s="661"/>
      <c r="S95" s="648" t="str">
        <f t="shared" si="28"/>
        <v>ok</v>
      </c>
      <c r="T95" s="98"/>
      <c r="U95" s="105"/>
      <c r="V95" s="105"/>
      <c r="W95" s="106"/>
    </row>
    <row r="96" spans="1:23" ht="31.5" customHeight="1">
      <c r="A96" s="445" t="s">
        <v>186</v>
      </c>
      <c r="B96" s="626"/>
      <c r="C96" s="626"/>
      <c r="D96" s="626"/>
      <c r="E96" s="60"/>
      <c r="F96" s="627">
        <f t="shared" ref="F96:M96" si="35">SUM(F97:F107)/2</f>
        <v>321066206</v>
      </c>
      <c r="G96" s="627">
        <f t="shared" si="35"/>
        <v>336171750</v>
      </c>
      <c r="H96" s="627">
        <f t="shared" si="35"/>
        <v>-42158044</v>
      </c>
      <c r="I96" s="627">
        <f t="shared" si="35"/>
        <v>-9816357</v>
      </c>
      <c r="J96" s="627">
        <f t="shared" si="35"/>
        <v>2876800</v>
      </c>
      <c r="K96" s="627">
        <f t="shared" si="35"/>
        <v>314126649</v>
      </c>
      <c r="L96" s="627">
        <f t="shared" si="35"/>
        <v>-5996357</v>
      </c>
      <c r="M96" s="627">
        <f t="shared" si="35"/>
        <v>3187800</v>
      </c>
      <c r="N96" s="627">
        <f t="shared" si="30"/>
        <v>318257649</v>
      </c>
      <c r="O96" s="268"/>
      <c r="P96" s="627"/>
      <c r="Q96" s="627">
        <f>SUM(Q97:Q107)/2</f>
        <v>-2365200</v>
      </c>
      <c r="R96" s="627">
        <f>SUM(R97:R107)/2</f>
        <v>-443357</v>
      </c>
      <c r="S96" s="626" t="str">
        <f t="shared" si="28"/>
        <v>ok</v>
      </c>
      <c r="T96" s="98"/>
      <c r="U96" s="627">
        <f>SUM(U97:U107)/2</f>
        <v>0</v>
      </c>
      <c r="V96" s="627">
        <f>SUM(V97:V107)/2</f>
        <v>0</v>
      </c>
      <c r="W96" s="9"/>
    </row>
    <row r="97" spans="1:23" ht="31.5" customHeight="1">
      <c r="A97" s="99"/>
      <c r="B97" s="612" t="s">
        <v>187</v>
      </c>
      <c r="C97" s="628"/>
      <c r="D97" s="613"/>
      <c r="E97" s="560"/>
      <c r="F97" s="629">
        <f t="shared" ref="F97:M97" si="36">SUM(F98)</f>
        <v>0</v>
      </c>
      <c r="G97" s="629">
        <f t="shared" si="36"/>
        <v>0</v>
      </c>
      <c r="H97" s="629">
        <f t="shared" si="36"/>
        <v>0</v>
      </c>
      <c r="I97" s="629">
        <f t="shared" si="36"/>
        <v>0</v>
      </c>
      <c r="J97" s="629">
        <f t="shared" si="36"/>
        <v>140800</v>
      </c>
      <c r="K97" s="629">
        <f t="shared" si="36"/>
        <v>140800</v>
      </c>
      <c r="L97" s="629">
        <f t="shared" si="36"/>
        <v>0</v>
      </c>
      <c r="M97" s="629">
        <f t="shared" si="36"/>
        <v>140800</v>
      </c>
      <c r="N97" s="629">
        <f t="shared" si="30"/>
        <v>140800</v>
      </c>
      <c r="O97" s="622"/>
      <c r="P97" s="629"/>
      <c r="Q97" s="629">
        <f>SUM(Q98)</f>
        <v>140800</v>
      </c>
      <c r="R97" s="629">
        <f>SUM(R98)</f>
        <v>0</v>
      </c>
      <c r="S97" s="628" t="str">
        <f t="shared" si="28"/>
        <v>ok</v>
      </c>
      <c r="T97" s="98"/>
      <c r="U97" s="629">
        <f>SUM(U98)</f>
        <v>0</v>
      </c>
      <c r="V97" s="629">
        <f>SUM(V98)</f>
        <v>0</v>
      </c>
      <c r="W97" s="611"/>
    </row>
    <row r="98" spans="1:23" ht="31.5" customHeight="1">
      <c r="A98" s="99"/>
      <c r="B98" s="658" t="str">
        <f>IF(SUMPRODUCT(COUNTIF(C98,{"*본예산*","*1회추경*","*신규*"})),"추가"," 2회")</f>
        <v>추가</v>
      </c>
      <c r="C98" s="666" t="s">
        <v>1027</v>
      </c>
      <c r="D98" s="659" t="s">
        <v>188</v>
      </c>
      <c r="E98" s="144" t="s">
        <v>301</v>
      </c>
      <c r="F98" s="657"/>
      <c r="G98" s="658"/>
      <c r="H98" s="665" t="str">
        <f>IF(SUMPRODUCT(COUNTIF(C98,{"*본예산*","*1회추경*","*신규*"})),"-",F98-G98)</f>
        <v>-</v>
      </c>
      <c r="I98" s="657"/>
      <c r="J98" s="657">
        <v>140800</v>
      </c>
      <c r="K98" s="665">
        <f>F98+I98+J98</f>
        <v>140800</v>
      </c>
      <c r="L98" s="657"/>
      <c r="M98" s="657">
        <v>140800</v>
      </c>
      <c r="N98" s="665">
        <f t="shared" si="30"/>
        <v>140800</v>
      </c>
      <c r="O98" s="275" t="s">
        <v>190</v>
      </c>
      <c r="P98" s="661" t="s">
        <v>191</v>
      </c>
      <c r="Q98" s="661">
        <v>140800</v>
      </c>
      <c r="R98" s="661">
        <v>0</v>
      </c>
      <c r="S98" s="648" t="str">
        <f t="shared" si="28"/>
        <v>ok</v>
      </c>
      <c r="T98" s="98"/>
      <c r="U98" s="619"/>
      <c r="V98" s="619"/>
      <c r="W98" s="620"/>
    </row>
    <row r="99" spans="1:23" s="561" customFormat="1" ht="31.5" customHeight="1">
      <c r="A99" s="563"/>
      <c r="B99" s="612" t="s">
        <v>1219</v>
      </c>
      <c r="C99" s="628"/>
      <c r="D99" s="613"/>
      <c r="E99" s="560"/>
      <c r="F99" s="629">
        <f t="shared" ref="F99:M99" si="37">SUM(F100)</f>
        <v>6272500</v>
      </c>
      <c r="G99" s="629">
        <f t="shared" si="37"/>
        <v>0</v>
      </c>
      <c r="H99" s="629">
        <f t="shared" si="37"/>
        <v>0</v>
      </c>
      <c r="I99" s="629">
        <f t="shared" si="37"/>
        <v>-975000</v>
      </c>
      <c r="J99" s="629">
        <f t="shared" si="37"/>
        <v>0</v>
      </c>
      <c r="K99" s="629">
        <f t="shared" si="37"/>
        <v>5297500</v>
      </c>
      <c r="L99" s="629">
        <f t="shared" si="37"/>
        <v>-975000</v>
      </c>
      <c r="M99" s="629">
        <f t="shared" si="37"/>
        <v>0</v>
      </c>
      <c r="N99" s="629">
        <f t="shared" si="30"/>
        <v>5297500</v>
      </c>
      <c r="O99" s="622"/>
      <c r="P99" s="629"/>
      <c r="Q99" s="629">
        <f>SUM(Q100)</f>
        <v>-450000</v>
      </c>
      <c r="R99" s="629">
        <f>SUM(R100)</f>
        <v>-525000</v>
      </c>
      <c r="S99" s="628" t="str">
        <f t="shared" si="28"/>
        <v>ok</v>
      </c>
      <c r="T99" s="562"/>
      <c r="U99" s="629">
        <f>SUM(U100)</f>
        <v>0</v>
      </c>
      <c r="V99" s="629">
        <f>SUM(V100)</f>
        <v>0</v>
      </c>
      <c r="W99" s="611"/>
    </row>
    <row r="100" spans="1:23" s="673" customFormat="1" ht="54.75" customHeight="1">
      <c r="A100" s="116"/>
      <c r="B100" s="658" t="str">
        <f>IF(SUMPRODUCT(COUNTIF(C100,{"*본예산*","*1회추경*","*신규*"})),"추가"," 2회")</f>
        <v>추가</v>
      </c>
      <c r="C100" s="145" t="s">
        <v>1681</v>
      </c>
      <c r="D100" s="142" t="s">
        <v>935</v>
      </c>
      <c r="E100" s="558" t="s">
        <v>1682</v>
      </c>
      <c r="F100" s="631">
        <v>6272500</v>
      </c>
      <c r="G100" s="631"/>
      <c r="H100" s="665" t="str">
        <f>IF(SUMPRODUCT(COUNTIF(C100,{"*본예산*","*1회추경*","*신규*"})),"-",F100-G100)</f>
        <v>-</v>
      </c>
      <c r="I100" s="631">
        <v>-975000</v>
      </c>
      <c r="J100" s="631"/>
      <c r="K100" s="665">
        <f>F100+I100+J100</f>
        <v>5297500</v>
      </c>
      <c r="L100" s="631">
        <v>-975000</v>
      </c>
      <c r="M100" s="631"/>
      <c r="N100" s="665">
        <f t="shared" si="30"/>
        <v>5297500</v>
      </c>
      <c r="O100" s="275" t="s">
        <v>1220</v>
      </c>
      <c r="P100" s="638" t="s">
        <v>90</v>
      </c>
      <c r="Q100" s="638">
        <v>-450000</v>
      </c>
      <c r="R100" s="638">
        <v>-525000</v>
      </c>
      <c r="S100" s="648" t="str">
        <f t="shared" si="28"/>
        <v>ok</v>
      </c>
      <c r="T100" s="617"/>
      <c r="U100" s="619"/>
      <c r="V100" s="619"/>
      <c r="W100" s="620"/>
    </row>
    <row r="101" spans="1:23" ht="31.5" customHeight="1">
      <c r="A101" s="658"/>
      <c r="B101" s="612" t="s">
        <v>192</v>
      </c>
      <c r="C101" s="628"/>
      <c r="D101" s="613"/>
      <c r="E101" s="560"/>
      <c r="F101" s="629">
        <f t="shared" ref="F101:M101" si="38">SUM(F102:F107)</f>
        <v>314793706</v>
      </c>
      <c r="G101" s="629">
        <f t="shared" si="38"/>
        <v>336171750</v>
      </c>
      <c r="H101" s="629">
        <f t="shared" si="38"/>
        <v>-42158044</v>
      </c>
      <c r="I101" s="629">
        <f t="shared" si="38"/>
        <v>-8841357</v>
      </c>
      <c r="J101" s="629">
        <f t="shared" si="38"/>
        <v>2736000</v>
      </c>
      <c r="K101" s="629">
        <f t="shared" si="38"/>
        <v>308688349</v>
      </c>
      <c r="L101" s="629">
        <f t="shared" si="38"/>
        <v>-5021357</v>
      </c>
      <c r="M101" s="629">
        <f t="shared" si="38"/>
        <v>3047000</v>
      </c>
      <c r="N101" s="629">
        <f t="shared" si="30"/>
        <v>312819349</v>
      </c>
      <c r="O101" s="622"/>
      <c r="P101" s="629"/>
      <c r="Q101" s="629">
        <f>SUM(Q102:Q107)</f>
        <v>-2056000</v>
      </c>
      <c r="R101" s="629">
        <f>SUM(R102:R107)</f>
        <v>81643</v>
      </c>
      <c r="S101" s="628" t="str">
        <f t="shared" si="28"/>
        <v>ok</v>
      </c>
      <c r="T101" s="98"/>
      <c r="U101" s="629">
        <f>SUM(U102:U107)</f>
        <v>0</v>
      </c>
      <c r="V101" s="629">
        <f>SUM(V102:V107)</f>
        <v>0</v>
      </c>
      <c r="W101" s="611"/>
    </row>
    <row r="102" spans="1:23" ht="31.5" customHeight="1">
      <c r="A102" s="99"/>
      <c r="B102" s="658" t="str">
        <f>IF(SUMPRODUCT(COUNTIF(C102,{"*본예산*","*1회추경*","*신규*"})),"추가"," 2회")</f>
        <v xml:space="preserve"> 2회</v>
      </c>
      <c r="C102" s="147">
        <v>436</v>
      </c>
      <c r="D102" s="635" t="s">
        <v>194</v>
      </c>
      <c r="E102" s="550" t="s">
        <v>302</v>
      </c>
      <c r="F102" s="631">
        <v>25028950</v>
      </c>
      <c r="G102" s="631">
        <v>24966450</v>
      </c>
      <c r="H102" s="665">
        <f>IF(SUMPRODUCT(COUNTIF(C102,{"*본예산*","*1회추경*","*신규*"})),"-",F102-G102)</f>
        <v>62500</v>
      </c>
      <c r="I102" s="657">
        <v>-3642857</v>
      </c>
      <c r="J102" s="657"/>
      <c r="K102" s="665">
        <f t="shared" ref="K102:K107" si="39">F102+I102+J102</f>
        <v>21386093</v>
      </c>
      <c r="L102" s="657">
        <v>-3642857</v>
      </c>
      <c r="M102" s="657"/>
      <c r="N102" s="665">
        <f t="shared" si="30"/>
        <v>21386093</v>
      </c>
      <c r="O102" s="278" t="s">
        <v>87</v>
      </c>
      <c r="P102" s="148" t="s">
        <v>90</v>
      </c>
      <c r="Q102" s="148">
        <v>-3400000</v>
      </c>
      <c r="R102" s="148">
        <v>-242857</v>
      </c>
      <c r="S102" s="648" t="str">
        <f t="shared" ref="S102:S128" si="40">IF((L102+M102)=(Q102+R102),"ok","검토")</f>
        <v>ok</v>
      </c>
      <c r="T102" s="98"/>
      <c r="U102" s="619"/>
      <c r="V102" s="619"/>
      <c r="W102" s="620"/>
    </row>
    <row r="103" spans="1:23" s="673" customFormat="1" ht="54.75" customHeight="1">
      <c r="A103" s="116"/>
      <c r="B103" s="658" t="str">
        <f>IF(SUMPRODUCT(COUNTIF(C103,{"*본예산*","*1회추경*","*신규*"})),"추가"," 2회")</f>
        <v xml:space="preserve"> 2회</v>
      </c>
      <c r="C103" s="145">
        <v>437</v>
      </c>
      <c r="D103" s="142" t="s">
        <v>196</v>
      </c>
      <c r="E103" s="558" t="s">
        <v>1683</v>
      </c>
      <c r="F103" s="631">
        <v>125584756</v>
      </c>
      <c r="G103" s="631">
        <v>152002300</v>
      </c>
      <c r="H103" s="665">
        <f>IF(SUMPRODUCT(COUNTIF(C103,{"*본예산*","*1회추경*","*신규*"})),"-",F103-G103)</f>
        <v>-26417544</v>
      </c>
      <c r="I103" s="631">
        <v>-3907500</v>
      </c>
      <c r="J103" s="631"/>
      <c r="K103" s="665">
        <f t="shared" si="39"/>
        <v>121677256</v>
      </c>
      <c r="L103" s="631">
        <v>-87500</v>
      </c>
      <c r="M103" s="631"/>
      <c r="N103" s="665">
        <f t="shared" si="30"/>
        <v>125497256</v>
      </c>
      <c r="O103" s="275" t="s">
        <v>1233</v>
      </c>
      <c r="P103" s="638" t="s">
        <v>90</v>
      </c>
      <c r="Q103" s="638">
        <v>-412000</v>
      </c>
      <c r="R103" s="638">
        <v>324500</v>
      </c>
      <c r="S103" s="648" t="str">
        <f t="shared" si="40"/>
        <v>ok</v>
      </c>
      <c r="T103" s="617"/>
      <c r="U103" s="619"/>
      <c r="V103" s="619"/>
      <c r="W103" s="620"/>
    </row>
    <row r="104" spans="1:23" s="673" customFormat="1" ht="54.75" customHeight="1">
      <c r="A104" s="116"/>
      <c r="B104" s="658" t="str">
        <f>IF(SUMPRODUCT(COUNTIF(C104,{"*본예산*","*1회추경*","*신규*"})),"추가"," 2회")</f>
        <v>추가</v>
      </c>
      <c r="C104" s="145" t="s">
        <v>1684</v>
      </c>
      <c r="D104" s="142" t="s">
        <v>196</v>
      </c>
      <c r="E104" s="558" t="s">
        <v>1685</v>
      </c>
      <c r="F104" s="631">
        <v>4215000</v>
      </c>
      <c r="G104" s="631"/>
      <c r="H104" s="665" t="str">
        <f>IF(SUMPRODUCT(COUNTIF(C104,{"*본예산*","*1회추경*","*신규*"})),"-",F104-G104)</f>
        <v>-</v>
      </c>
      <c r="I104" s="631"/>
      <c r="J104" s="631">
        <v>171000</v>
      </c>
      <c r="K104" s="665">
        <f t="shared" si="39"/>
        <v>4386000</v>
      </c>
      <c r="L104" s="631"/>
      <c r="M104" s="631">
        <v>482000</v>
      </c>
      <c r="N104" s="665">
        <f t="shared" si="30"/>
        <v>4697000</v>
      </c>
      <c r="O104" s="275" t="s">
        <v>1234</v>
      </c>
      <c r="P104" s="638" t="s">
        <v>90</v>
      </c>
      <c r="Q104" s="638">
        <v>482000</v>
      </c>
      <c r="R104" s="638"/>
      <c r="S104" s="648" t="str">
        <f t="shared" si="40"/>
        <v>ok</v>
      </c>
      <c r="T104" s="617"/>
      <c r="U104" s="619"/>
      <c r="V104" s="619"/>
      <c r="W104" s="620"/>
    </row>
    <row r="105" spans="1:23" s="673" customFormat="1" ht="54.75" customHeight="1">
      <c r="A105" s="116"/>
      <c r="B105" s="658" t="str">
        <f>IF(SUMPRODUCT(COUNTIF(C105,{"*본예산*","*1회추경*","*신규*"})),"추가"," 2회")</f>
        <v xml:space="preserve"> 2회</v>
      </c>
      <c r="C105" s="145">
        <v>437</v>
      </c>
      <c r="D105" s="142" t="s">
        <v>196</v>
      </c>
      <c r="E105" s="558" t="s">
        <v>1686</v>
      </c>
      <c r="F105" s="631">
        <v>139400000</v>
      </c>
      <c r="G105" s="631">
        <v>159203000</v>
      </c>
      <c r="H105" s="665">
        <f>IF(SUMPRODUCT(COUNTIF(C105,{"*본예산*","*1회추경*","*신규*"})),"-",F105-G105)</f>
        <v>-19803000</v>
      </c>
      <c r="I105" s="631"/>
      <c r="J105" s="631">
        <v>2565000</v>
      </c>
      <c r="K105" s="665">
        <f t="shared" si="39"/>
        <v>141965000</v>
      </c>
      <c r="L105" s="631"/>
      <c r="M105" s="631">
        <v>2565000</v>
      </c>
      <c r="N105" s="665">
        <f t="shared" si="30"/>
        <v>141965000</v>
      </c>
      <c r="O105" s="275" t="s">
        <v>1214</v>
      </c>
      <c r="P105" s="638" t="s">
        <v>1451</v>
      </c>
      <c r="Q105" s="638">
        <v>2565000</v>
      </c>
      <c r="R105" s="638"/>
      <c r="S105" s="648" t="str">
        <f t="shared" si="40"/>
        <v>ok</v>
      </c>
      <c r="T105" s="617"/>
      <c r="U105" s="619"/>
      <c r="V105" s="619"/>
      <c r="W105" s="620"/>
    </row>
    <row r="106" spans="1:23" s="673" customFormat="1" ht="54.75" customHeight="1">
      <c r="A106" s="116"/>
      <c r="B106" s="658" t="str">
        <f>IF(SUMPRODUCT(COUNTIF(C106,{"*본예산*","*1회추경*","*신규*"})),"추가"," 2회")</f>
        <v xml:space="preserve"> 2회</v>
      </c>
      <c r="C106" s="145">
        <v>438</v>
      </c>
      <c r="D106" s="142" t="s">
        <v>196</v>
      </c>
      <c r="E106" s="558" t="s">
        <v>1687</v>
      </c>
      <c r="F106" s="631">
        <v>4000000</v>
      </c>
      <c r="G106" s="631">
        <v>0</v>
      </c>
      <c r="H106" s="665">
        <f>IF(SUMPRODUCT(COUNTIF(C106,{"*본예산*","*1회추경*","*신규*"})),"-",F106-G106)</f>
        <v>4000000</v>
      </c>
      <c r="I106" s="631">
        <v>-1200000</v>
      </c>
      <c r="J106" s="631"/>
      <c r="K106" s="665">
        <f t="shared" si="39"/>
        <v>2800000</v>
      </c>
      <c r="L106" s="631">
        <v>-1200000</v>
      </c>
      <c r="M106" s="631"/>
      <c r="N106" s="665">
        <f t="shared" si="30"/>
        <v>2800000</v>
      </c>
      <c r="O106" s="275" t="s">
        <v>1221</v>
      </c>
      <c r="P106" s="638" t="s">
        <v>1452</v>
      </c>
      <c r="Q106" s="638">
        <v>-1200000</v>
      </c>
      <c r="R106" s="638"/>
      <c r="S106" s="648" t="str">
        <f t="shared" si="40"/>
        <v>ok</v>
      </c>
      <c r="T106" s="617"/>
      <c r="U106" s="619"/>
      <c r="V106" s="619"/>
      <c r="W106" s="620"/>
    </row>
    <row r="107" spans="1:23" s="673" customFormat="1" ht="54.75" customHeight="1">
      <c r="A107" s="116"/>
      <c r="B107" s="658" t="str">
        <f>IF(SUMPRODUCT(COUNTIF(C107,{"*본예산*","*1회추경*","*신규*"})),"추가"," 2회")</f>
        <v>추가</v>
      </c>
      <c r="C107" s="145" t="s">
        <v>1684</v>
      </c>
      <c r="D107" s="142" t="s">
        <v>196</v>
      </c>
      <c r="E107" s="558" t="s">
        <v>1688</v>
      </c>
      <c r="F107" s="631">
        <v>16565000</v>
      </c>
      <c r="G107" s="631"/>
      <c r="H107" s="665" t="str">
        <f>IF(SUMPRODUCT(COUNTIF(C107,{"*본예산*","*1회추경*","*신규*"})),"-",F107-G107)</f>
        <v>-</v>
      </c>
      <c r="I107" s="631">
        <v>-91000</v>
      </c>
      <c r="J107" s="631"/>
      <c r="K107" s="665">
        <f t="shared" si="39"/>
        <v>16474000</v>
      </c>
      <c r="L107" s="631">
        <v>-91000</v>
      </c>
      <c r="M107" s="631"/>
      <c r="N107" s="665">
        <f t="shared" si="30"/>
        <v>16474000</v>
      </c>
      <c r="O107" s="275" t="s">
        <v>1214</v>
      </c>
      <c r="P107" s="638" t="s">
        <v>1451</v>
      </c>
      <c r="Q107" s="638">
        <v>-91000</v>
      </c>
      <c r="R107" s="638"/>
      <c r="S107" s="648" t="str">
        <f t="shared" si="40"/>
        <v>ok</v>
      </c>
      <c r="T107" s="617"/>
      <c r="U107" s="619"/>
      <c r="V107" s="619"/>
      <c r="W107" s="620"/>
    </row>
    <row r="108" spans="1:23" ht="31.5" customHeight="1">
      <c r="A108" s="445" t="s">
        <v>303</v>
      </c>
      <c r="B108" s="626"/>
      <c r="C108" s="626"/>
      <c r="D108" s="626"/>
      <c r="E108" s="626"/>
      <c r="F108" s="627">
        <f t="shared" ref="F108:M108" si="41">SUM(F109:F128)/2</f>
        <v>1531244789</v>
      </c>
      <c r="G108" s="627">
        <f t="shared" si="41"/>
        <v>1372145882</v>
      </c>
      <c r="H108" s="627">
        <f t="shared" si="41"/>
        <v>112737954</v>
      </c>
      <c r="I108" s="627">
        <f t="shared" si="41"/>
        <v>-40188202</v>
      </c>
      <c r="J108" s="627">
        <f t="shared" si="41"/>
        <v>42041773</v>
      </c>
      <c r="K108" s="627">
        <f t="shared" si="41"/>
        <v>1533098360</v>
      </c>
      <c r="L108" s="627">
        <f t="shared" si="41"/>
        <v>-40188202</v>
      </c>
      <c r="M108" s="627">
        <f t="shared" si="41"/>
        <v>42041773</v>
      </c>
      <c r="N108" s="627">
        <f t="shared" si="30"/>
        <v>1533098360</v>
      </c>
      <c r="O108" s="268"/>
      <c r="P108" s="627"/>
      <c r="Q108" s="627">
        <f>SUM(Q109:Q128)/2</f>
        <v>765670</v>
      </c>
      <c r="R108" s="627">
        <f>SUM(R109:R128)/2</f>
        <v>1087901</v>
      </c>
      <c r="S108" s="626" t="str">
        <f t="shared" si="40"/>
        <v>ok</v>
      </c>
      <c r="T108" s="98"/>
      <c r="U108" s="627">
        <f>SUM(U109:U128)/2</f>
        <v>0</v>
      </c>
      <c r="V108" s="627">
        <f>SUM(V109:V128)/2</f>
        <v>0</v>
      </c>
      <c r="W108" s="9"/>
    </row>
    <row r="109" spans="1:23" ht="31.5" customHeight="1">
      <c r="A109" s="99"/>
      <c r="B109" s="29" t="s">
        <v>202</v>
      </c>
      <c r="C109" s="30"/>
      <c r="D109" s="31"/>
      <c r="E109" s="31"/>
      <c r="F109" s="32">
        <f t="shared" ref="F109:M109" si="42">SUM(F110:F117)</f>
        <v>1117297385</v>
      </c>
      <c r="G109" s="32">
        <f t="shared" si="42"/>
        <v>988969651</v>
      </c>
      <c r="H109" s="32">
        <f t="shared" si="42"/>
        <v>97228755</v>
      </c>
      <c r="I109" s="32">
        <f t="shared" si="42"/>
        <v>-28385020</v>
      </c>
      <c r="J109" s="32">
        <f t="shared" si="42"/>
        <v>29861086</v>
      </c>
      <c r="K109" s="32">
        <f t="shared" si="42"/>
        <v>1118773451</v>
      </c>
      <c r="L109" s="370">
        <f t="shared" si="42"/>
        <v>-28385020</v>
      </c>
      <c r="M109" s="370">
        <f t="shared" si="42"/>
        <v>29861086</v>
      </c>
      <c r="N109" s="370">
        <f t="shared" si="30"/>
        <v>1118773451</v>
      </c>
      <c r="O109" s="269"/>
      <c r="P109" s="32"/>
      <c r="Q109" s="32">
        <f>SUM(Q110:Q117)</f>
        <v>920392</v>
      </c>
      <c r="R109" s="32">
        <f>SUM(R110:R117)</f>
        <v>555674</v>
      </c>
      <c r="S109" s="30" t="str">
        <f t="shared" si="40"/>
        <v>ok</v>
      </c>
      <c r="T109" s="98"/>
      <c r="U109" s="32">
        <f>SUM(U110:U117)</f>
        <v>0</v>
      </c>
      <c r="V109" s="32">
        <f>SUM(V110:V117)</f>
        <v>0</v>
      </c>
      <c r="W109" s="11"/>
    </row>
    <row r="110" spans="1:23" ht="31.5" customHeight="1">
      <c r="A110" s="99"/>
      <c r="B110" s="99" t="str">
        <f>IF(SUMPRODUCT(COUNTIF(C110,{"*본예산*","*1회추경*","*신규*"})),"추가"," 2회")</f>
        <v>추가</v>
      </c>
      <c r="C110" s="149" t="s">
        <v>304</v>
      </c>
      <c r="D110" s="111" t="s">
        <v>65</v>
      </c>
      <c r="E110" s="278" t="s">
        <v>305</v>
      </c>
      <c r="F110" s="126">
        <v>9923440</v>
      </c>
      <c r="G110" s="126"/>
      <c r="H110" s="102" t="str">
        <f>IF(SUMPRODUCT(COUNTIF(C110,{"*본예산*","*1회추경*","*신규*"})),"-",F110-G110)</f>
        <v>-</v>
      </c>
      <c r="I110" s="54">
        <v>-1254591</v>
      </c>
      <c r="J110" s="150"/>
      <c r="K110" s="102">
        <f t="shared" ref="K110:K117" si="43">F110+I110+J110</f>
        <v>8668849</v>
      </c>
      <c r="L110" s="54">
        <v>-1254591</v>
      </c>
      <c r="M110" s="150"/>
      <c r="N110" s="376">
        <f t="shared" si="30"/>
        <v>8668849</v>
      </c>
      <c r="O110" s="271" t="s">
        <v>204</v>
      </c>
      <c r="P110" s="151" t="s">
        <v>90</v>
      </c>
      <c r="Q110" s="152">
        <v>-1133338</v>
      </c>
      <c r="R110" s="152">
        <v>-121253</v>
      </c>
      <c r="S110" s="104" t="str">
        <f t="shared" si="40"/>
        <v>ok</v>
      </c>
      <c r="T110" s="98"/>
      <c r="U110" s="105"/>
      <c r="V110" s="105"/>
      <c r="W110" s="106"/>
    </row>
    <row r="111" spans="1:23" ht="31.5" customHeight="1">
      <c r="A111" s="99"/>
      <c r="B111" s="99" t="str">
        <f>IF(SUMPRODUCT(COUNTIF(C111,{"*본예산*","*1회추경*","*신규*"})),"추가"," 2회")</f>
        <v xml:space="preserve"> 2회</v>
      </c>
      <c r="C111" s="153">
        <v>450</v>
      </c>
      <c r="D111" s="111" t="s">
        <v>65</v>
      </c>
      <c r="E111" s="305" t="s">
        <v>306</v>
      </c>
      <c r="F111" s="154">
        <v>9047534</v>
      </c>
      <c r="G111" s="95">
        <v>8831046</v>
      </c>
      <c r="H111" s="102">
        <f>IF(SUMPRODUCT(COUNTIF(C111,{"*본예산*","*1회추경*","*신규*"})),"-",F111-G111)</f>
        <v>216488</v>
      </c>
      <c r="I111" s="54"/>
      <c r="J111" s="155">
        <v>425238</v>
      </c>
      <c r="K111" s="102">
        <f t="shared" si="43"/>
        <v>9472772</v>
      </c>
      <c r="L111" s="54"/>
      <c r="M111" s="155">
        <v>425238</v>
      </c>
      <c r="N111" s="376">
        <f t="shared" si="30"/>
        <v>9472772</v>
      </c>
      <c r="O111" s="271" t="s">
        <v>208</v>
      </c>
      <c r="P111" s="151" t="s">
        <v>90</v>
      </c>
      <c r="Q111" s="156">
        <v>310000</v>
      </c>
      <c r="R111" s="156">
        <v>115238</v>
      </c>
      <c r="S111" s="104" t="str">
        <f t="shared" si="40"/>
        <v>ok</v>
      </c>
      <c r="T111" s="98"/>
      <c r="U111" s="105"/>
      <c r="V111" s="105"/>
      <c r="W111" s="106"/>
    </row>
    <row r="112" spans="1:23" ht="31.5" customHeight="1">
      <c r="A112" s="99"/>
      <c r="B112" s="99" t="str">
        <f>IF(SUMPRODUCT(COUNTIF(C112,{"*본예산*","*1회추경*","*신규*"})),"추가"," 2회")</f>
        <v xml:space="preserve"> 2회</v>
      </c>
      <c r="C112" s="100">
        <v>453</v>
      </c>
      <c r="D112" s="101" t="s">
        <v>69</v>
      </c>
      <c r="E112" s="272" t="s">
        <v>307</v>
      </c>
      <c r="F112" s="95">
        <v>84629474</v>
      </c>
      <c r="G112" s="95">
        <v>78656725</v>
      </c>
      <c r="H112" s="102">
        <f>IF(SUMPRODUCT(COUNTIF(C112,{"*본예산*","*1회추경*","*신규*"})),"-",F112-G112)</f>
        <v>5972749</v>
      </c>
      <c r="I112" s="54">
        <v>-3099164</v>
      </c>
      <c r="J112" s="95"/>
      <c r="K112" s="102">
        <f t="shared" si="43"/>
        <v>81530310</v>
      </c>
      <c r="L112" s="54">
        <v>-3099164</v>
      </c>
      <c r="M112" s="375"/>
      <c r="N112" s="376">
        <f t="shared" si="30"/>
        <v>81530310</v>
      </c>
      <c r="O112" s="271" t="s">
        <v>210</v>
      </c>
      <c r="P112" s="103" t="s">
        <v>90</v>
      </c>
      <c r="Q112" s="103">
        <v>-2087443</v>
      </c>
      <c r="R112" s="103">
        <v>-1011721</v>
      </c>
      <c r="S112" s="104" t="str">
        <f t="shared" si="40"/>
        <v>ok</v>
      </c>
      <c r="T112" s="98"/>
      <c r="U112" s="105"/>
      <c r="V112" s="105"/>
      <c r="W112" s="106"/>
    </row>
    <row r="113" spans="1:23" ht="31.5" customHeight="1">
      <c r="A113" s="99"/>
      <c r="B113" s="99" t="str">
        <f>IF(SUMPRODUCT(COUNTIF(C113,{"*본예산*","*1회추경*","*신규*"})),"추가"," 2회")</f>
        <v xml:space="preserve"> 2회</v>
      </c>
      <c r="C113" s="100">
        <v>454</v>
      </c>
      <c r="D113" s="101" t="s">
        <v>69</v>
      </c>
      <c r="E113" s="272" t="s">
        <v>308</v>
      </c>
      <c r="F113" s="95">
        <v>3653164</v>
      </c>
      <c r="G113" s="95">
        <v>2390500</v>
      </c>
      <c r="H113" s="102">
        <f>IF(SUMPRODUCT(COUNTIF(C113,{"*본예산*","*1회추경*","*신규*"})),"-",F113-G113)</f>
        <v>1262664</v>
      </c>
      <c r="I113" s="54"/>
      <c r="J113" s="95">
        <v>74710</v>
      </c>
      <c r="K113" s="102">
        <f t="shared" si="43"/>
        <v>3727874</v>
      </c>
      <c r="L113" s="54"/>
      <c r="M113" s="375">
        <v>74710</v>
      </c>
      <c r="N113" s="376">
        <f t="shared" si="30"/>
        <v>3727874</v>
      </c>
      <c r="O113" s="271" t="s">
        <v>309</v>
      </c>
      <c r="P113" s="103" t="s">
        <v>90</v>
      </c>
      <c r="Q113" s="103">
        <v>50000</v>
      </c>
      <c r="R113" s="103">
        <v>24710</v>
      </c>
      <c r="S113" s="104" t="str">
        <f t="shared" si="40"/>
        <v>ok</v>
      </c>
      <c r="T113" s="98"/>
      <c r="U113" s="105"/>
      <c r="V113" s="105"/>
      <c r="W113" s="106"/>
    </row>
    <row r="114" spans="1:23" ht="66" customHeight="1">
      <c r="A114" s="99"/>
      <c r="B114" s="99" t="str">
        <f>IF(SUMPRODUCT(COUNTIF(C114,{"*본예산*","*1회추경*","*신규*"})),"추가"," 2회")</f>
        <v xml:space="preserve"> 2회</v>
      </c>
      <c r="C114" s="100">
        <v>454</v>
      </c>
      <c r="D114" s="101" t="s">
        <v>69</v>
      </c>
      <c r="E114" s="140" t="s">
        <v>310</v>
      </c>
      <c r="F114" s="95">
        <v>216034557</v>
      </c>
      <c r="G114" s="95">
        <v>171610672</v>
      </c>
      <c r="H114" s="102">
        <f>IF(SUMPRODUCT(COUNTIF(C114,{"*본예산*","*1회추경*","*신규*"})),"-",F114-G114)</f>
        <v>44423885</v>
      </c>
      <c r="I114" s="54">
        <v>-23935704</v>
      </c>
      <c r="J114" s="95"/>
      <c r="K114" s="102">
        <f t="shared" si="43"/>
        <v>192098853</v>
      </c>
      <c r="L114" s="54">
        <v>-23935704</v>
      </c>
      <c r="M114" s="375"/>
      <c r="N114" s="376">
        <f t="shared" si="30"/>
        <v>192098853</v>
      </c>
      <c r="O114" s="271" t="s">
        <v>311</v>
      </c>
      <c r="P114" s="103" t="s">
        <v>312</v>
      </c>
      <c r="Q114" s="103"/>
      <c r="R114" s="103">
        <v>-23935704</v>
      </c>
      <c r="S114" s="104" t="str">
        <f t="shared" si="40"/>
        <v>ok</v>
      </c>
      <c r="T114" s="98"/>
      <c r="U114" s="105"/>
      <c r="V114" s="105"/>
      <c r="W114" s="106"/>
    </row>
    <row r="115" spans="1:23" ht="31.5" customHeight="1">
      <c r="A115" s="99"/>
      <c r="B115" s="99" t="str">
        <f>IF(SUMPRODUCT(COUNTIF(C115,{"*본예산*","*1회추경*","*신규*"})),"추가"," 2회")</f>
        <v>추가</v>
      </c>
      <c r="C115" s="107" t="s">
        <v>313</v>
      </c>
      <c r="D115" s="101" t="s">
        <v>69</v>
      </c>
      <c r="E115" s="140" t="s">
        <v>314</v>
      </c>
      <c r="F115" s="95">
        <v>20935861</v>
      </c>
      <c r="G115" s="95"/>
      <c r="H115" s="102" t="str">
        <f>IF(SUMPRODUCT(COUNTIF(C115,{"*본예산*","*1회추경*","*신규*"})),"-",F115-G115)</f>
        <v>-</v>
      </c>
      <c r="I115" s="54"/>
      <c r="J115" s="95">
        <v>25279304</v>
      </c>
      <c r="K115" s="102">
        <f t="shared" si="43"/>
        <v>46215165</v>
      </c>
      <c r="L115" s="54"/>
      <c r="M115" s="375">
        <v>25279304</v>
      </c>
      <c r="N115" s="376">
        <f t="shared" si="30"/>
        <v>46215165</v>
      </c>
      <c r="O115" s="271" t="s">
        <v>311</v>
      </c>
      <c r="P115" s="103" t="s">
        <v>312</v>
      </c>
      <c r="Q115" s="103"/>
      <c r="R115" s="103">
        <v>25279304</v>
      </c>
      <c r="S115" s="104" t="str">
        <f t="shared" si="40"/>
        <v>ok</v>
      </c>
      <c r="T115" s="98"/>
      <c r="U115" s="105"/>
      <c r="V115" s="105"/>
      <c r="W115" s="106"/>
    </row>
    <row r="116" spans="1:23" s="564" customFormat="1" ht="31.5" customHeight="1">
      <c r="A116" s="567"/>
      <c r="B116" s="567" t="str">
        <f>IF(SUMPRODUCT(COUNTIF(C116,{"*본예산*","*1회추경*","*신규*"})),"추가"," 2회")</f>
        <v>추가</v>
      </c>
      <c r="C116" s="157" t="s">
        <v>315</v>
      </c>
      <c r="D116" s="111" t="s">
        <v>212</v>
      </c>
      <c r="E116" s="572" t="s">
        <v>316</v>
      </c>
      <c r="F116" s="565">
        <v>239678</v>
      </c>
      <c r="G116" s="565"/>
      <c r="H116" s="568" t="str">
        <f>IF(SUMPRODUCT(COUNTIF(C116,{"*본예산*","*1회추경*","*신규*"})),"-",F116-G116)</f>
        <v>-</v>
      </c>
      <c r="I116" s="54">
        <v>-95561</v>
      </c>
      <c r="J116" s="159"/>
      <c r="K116" s="568">
        <f t="shared" si="43"/>
        <v>144117</v>
      </c>
      <c r="L116" s="54">
        <v>-95561</v>
      </c>
      <c r="M116" s="159"/>
      <c r="N116" s="568">
        <f t="shared" si="30"/>
        <v>144117</v>
      </c>
      <c r="O116" s="381" t="s">
        <v>214</v>
      </c>
      <c r="P116" s="151" t="s">
        <v>1451</v>
      </c>
      <c r="Q116" s="160">
        <v>-78696</v>
      </c>
      <c r="R116" s="160">
        <v>-16865</v>
      </c>
      <c r="S116" s="569" t="str">
        <f t="shared" si="40"/>
        <v>ok</v>
      </c>
      <c r="T116" s="566"/>
      <c r="U116" s="570"/>
      <c r="V116" s="570"/>
      <c r="W116" s="571"/>
    </row>
    <row r="117" spans="1:23" s="673" customFormat="1" ht="54.75" customHeight="1">
      <c r="A117" s="116"/>
      <c r="B117" s="658" t="str">
        <f>IF(SUMPRODUCT(COUNTIF(C117,{"*본예산*","*1회추경*","*신규*"})),"추가"," 2회")</f>
        <v xml:space="preserve"> 2회</v>
      </c>
      <c r="C117" s="145">
        <v>454</v>
      </c>
      <c r="D117" s="142" t="s">
        <v>69</v>
      </c>
      <c r="E117" s="558" t="s">
        <v>1689</v>
      </c>
      <c r="F117" s="631">
        <v>772833677</v>
      </c>
      <c r="G117" s="631">
        <v>727480708</v>
      </c>
      <c r="H117" s="665">
        <f>IF(SUMPRODUCT(COUNTIF(C117,{"*본예산*","*1회추경*","*신규*"})),"-",F117-G117)</f>
        <v>45352969</v>
      </c>
      <c r="I117" s="631"/>
      <c r="J117" s="631">
        <v>4081834</v>
      </c>
      <c r="K117" s="665">
        <f t="shared" si="43"/>
        <v>776915511</v>
      </c>
      <c r="L117" s="631"/>
      <c r="M117" s="631">
        <v>4081834</v>
      </c>
      <c r="N117" s="665">
        <f t="shared" si="30"/>
        <v>776915511</v>
      </c>
      <c r="O117" s="275" t="s">
        <v>1217</v>
      </c>
      <c r="P117" s="638" t="s">
        <v>90</v>
      </c>
      <c r="Q117" s="638">
        <v>3859869</v>
      </c>
      <c r="R117" s="638">
        <v>221965</v>
      </c>
      <c r="S117" s="648" t="str">
        <f t="shared" si="40"/>
        <v>ok</v>
      </c>
      <c r="T117" s="617"/>
      <c r="U117" s="619"/>
      <c r="V117" s="619"/>
      <c r="W117" s="620"/>
    </row>
    <row r="118" spans="1:23" ht="31.5" customHeight="1">
      <c r="A118" s="99"/>
      <c r="B118" s="161" t="s">
        <v>166</v>
      </c>
      <c r="C118" s="162"/>
      <c r="D118" s="31"/>
      <c r="E118" s="31"/>
      <c r="F118" s="32">
        <f t="shared" ref="F118:M118" si="44">SUM(F119:F128)</f>
        <v>413947404</v>
      </c>
      <c r="G118" s="32">
        <f t="shared" si="44"/>
        <v>383176231</v>
      </c>
      <c r="H118" s="32">
        <f t="shared" si="44"/>
        <v>15509199</v>
      </c>
      <c r="I118" s="32">
        <f t="shared" si="44"/>
        <v>-11803182</v>
      </c>
      <c r="J118" s="32">
        <f t="shared" si="44"/>
        <v>12180687</v>
      </c>
      <c r="K118" s="32">
        <f t="shared" si="44"/>
        <v>414324909</v>
      </c>
      <c r="L118" s="370">
        <f t="shared" si="44"/>
        <v>-11803182</v>
      </c>
      <c r="M118" s="370">
        <f t="shared" si="44"/>
        <v>12180687</v>
      </c>
      <c r="N118" s="370">
        <f t="shared" si="30"/>
        <v>414324909</v>
      </c>
      <c r="O118" s="269"/>
      <c r="P118" s="32"/>
      <c r="Q118" s="32">
        <f>SUM(Q119:Q128)</f>
        <v>-154722</v>
      </c>
      <c r="R118" s="32">
        <f>SUM(R119:R128)</f>
        <v>532227</v>
      </c>
      <c r="S118" s="30" t="str">
        <f t="shared" si="40"/>
        <v>ok</v>
      </c>
      <c r="T118" s="98"/>
      <c r="U118" s="32">
        <f>SUM(U119:U128)</f>
        <v>0</v>
      </c>
      <c r="V118" s="32">
        <f>SUM(V119:V128)</f>
        <v>0</v>
      </c>
      <c r="W118" s="11"/>
    </row>
    <row r="119" spans="1:23" ht="31.5" customHeight="1">
      <c r="A119" s="99"/>
      <c r="B119" s="99" t="str">
        <f>IF(SUMPRODUCT(COUNTIF(C119,{"*본예산*","*1회추경*","*신규*"})),"추가"," 2회")</f>
        <v xml:space="preserve"> 2회</v>
      </c>
      <c r="C119" s="163">
        <v>463</v>
      </c>
      <c r="D119" s="111" t="s">
        <v>73</v>
      </c>
      <c r="E119" s="305" t="s">
        <v>317</v>
      </c>
      <c r="F119" s="164">
        <v>3877519</v>
      </c>
      <c r="G119" s="95">
        <v>3784738</v>
      </c>
      <c r="H119" s="102">
        <f>IF(SUMPRODUCT(COUNTIF(C119,{"*본예산*","*1회추경*","*신규*"})),"-",F119-G119)</f>
        <v>92781</v>
      </c>
      <c r="I119" s="81"/>
      <c r="J119" s="81">
        <v>190281</v>
      </c>
      <c r="K119" s="102">
        <f t="shared" ref="K119:K128" si="45">F119+I119+J119</f>
        <v>4067800</v>
      </c>
      <c r="L119" s="81"/>
      <c r="M119" s="81">
        <v>190281</v>
      </c>
      <c r="N119" s="376">
        <f t="shared" si="30"/>
        <v>4067800</v>
      </c>
      <c r="O119" s="271" t="s">
        <v>318</v>
      </c>
      <c r="P119" s="103" t="s">
        <v>90</v>
      </c>
      <c r="Q119" s="165">
        <v>140000</v>
      </c>
      <c r="R119" s="165">
        <v>50281</v>
      </c>
      <c r="S119" s="104" t="str">
        <f t="shared" si="40"/>
        <v>ok</v>
      </c>
      <c r="T119" s="98"/>
      <c r="U119" s="105"/>
      <c r="V119" s="105"/>
      <c r="W119" s="106"/>
    </row>
    <row r="120" spans="1:23" ht="31.5" customHeight="1">
      <c r="A120" s="99"/>
      <c r="B120" s="99" t="str">
        <f>IF(SUMPRODUCT(COUNTIF(C120,{"*본예산*","*1회추경*","*신규*"})),"추가"," 2회")</f>
        <v xml:space="preserve"> 2회</v>
      </c>
      <c r="C120" s="163">
        <v>463</v>
      </c>
      <c r="D120" s="111" t="s">
        <v>73</v>
      </c>
      <c r="E120" s="343" t="s">
        <v>319</v>
      </c>
      <c r="F120" s="126">
        <v>489751</v>
      </c>
      <c r="G120" s="95">
        <v>329751</v>
      </c>
      <c r="H120" s="102">
        <f>IF(SUMPRODUCT(COUNTIF(C120,{"*본예산*","*1회추경*","*신규*"})),"-",F120-G120)</f>
        <v>160000</v>
      </c>
      <c r="I120" s="54">
        <v>-480000</v>
      </c>
      <c r="J120" s="54"/>
      <c r="K120" s="102">
        <f t="shared" si="45"/>
        <v>9751</v>
      </c>
      <c r="L120" s="54">
        <v>-480000</v>
      </c>
      <c r="M120" s="54"/>
      <c r="N120" s="376">
        <f t="shared" si="30"/>
        <v>9751</v>
      </c>
      <c r="O120" s="271" t="s">
        <v>320</v>
      </c>
      <c r="P120" s="103" t="s">
        <v>90</v>
      </c>
      <c r="Q120" s="166">
        <v>-320000</v>
      </c>
      <c r="R120" s="166">
        <v>-160000</v>
      </c>
      <c r="S120" s="104" t="str">
        <f t="shared" si="40"/>
        <v>ok</v>
      </c>
      <c r="T120" s="98"/>
      <c r="U120" s="105"/>
      <c r="V120" s="105"/>
      <c r="W120" s="106"/>
    </row>
    <row r="121" spans="1:23" ht="31.5" customHeight="1">
      <c r="A121" s="99"/>
      <c r="B121" s="99" t="str">
        <f>IF(SUMPRODUCT(COUNTIF(C121,{"*본예산*","*1회추경*","*신규*"})),"추가"," 2회")</f>
        <v>추가</v>
      </c>
      <c r="C121" s="167" t="s">
        <v>321</v>
      </c>
      <c r="D121" s="111" t="s">
        <v>73</v>
      </c>
      <c r="E121" s="305" t="s">
        <v>322</v>
      </c>
      <c r="F121" s="168">
        <v>4563519</v>
      </c>
      <c r="G121" s="168"/>
      <c r="H121" s="102" t="str">
        <f>IF(SUMPRODUCT(COUNTIF(C121,{"*본예산*","*1회추경*","*신규*"})),"-",F121-G121)</f>
        <v>-</v>
      </c>
      <c r="I121" s="53">
        <v>-674774</v>
      </c>
      <c r="J121" s="53"/>
      <c r="K121" s="102">
        <f t="shared" si="45"/>
        <v>3888745</v>
      </c>
      <c r="L121" s="53">
        <v>-674774</v>
      </c>
      <c r="M121" s="53"/>
      <c r="N121" s="376">
        <f t="shared" si="30"/>
        <v>3888745</v>
      </c>
      <c r="O121" s="271" t="s">
        <v>323</v>
      </c>
      <c r="P121" s="103" t="s">
        <v>90</v>
      </c>
      <c r="Q121" s="156">
        <v>-606940</v>
      </c>
      <c r="R121" s="156">
        <v>-67834</v>
      </c>
      <c r="S121" s="104" t="str">
        <f t="shared" si="40"/>
        <v>ok</v>
      </c>
      <c r="T121" s="98"/>
      <c r="U121" s="105"/>
      <c r="V121" s="105"/>
      <c r="W121" s="106"/>
    </row>
    <row r="122" spans="1:23" ht="31.5" customHeight="1">
      <c r="A122" s="99"/>
      <c r="B122" s="99" t="str">
        <f>IF(SUMPRODUCT(COUNTIF(C122,{"*본예산*","*1회추경*","*신규*"})),"추가"," 2회")</f>
        <v xml:space="preserve"> 2회</v>
      </c>
      <c r="C122" s="169">
        <v>466</v>
      </c>
      <c r="D122" s="170" t="s">
        <v>74</v>
      </c>
      <c r="E122" s="179" t="s">
        <v>307</v>
      </c>
      <c r="F122" s="126">
        <v>30924762</v>
      </c>
      <c r="G122" s="95">
        <v>29065793</v>
      </c>
      <c r="H122" s="102">
        <f>IF(SUMPRODUCT(COUNTIF(C122,{"*본예산*","*1회추경*","*신규*"})),"-",F122-G122)</f>
        <v>1858969</v>
      </c>
      <c r="I122" s="54">
        <v>-1129674</v>
      </c>
      <c r="J122" s="54"/>
      <c r="K122" s="102">
        <f t="shared" si="45"/>
        <v>29795088</v>
      </c>
      <c r="L122" s="54">
        <v>-1129674</v>
      </c>
      <c r="M122" s="54"/>
      <c r="N122" s="376">
        <f t="shared" si="30"/>
        <v>29795088</v>
      </c>
      <c r="O122" s="271" t="s">
        <v>324</v>
      </c>
      <c r="P122" s="103" t="s">
        <v>90</v>
      </c>
      <c r="Q122" s="166">
        <v>-762354</v>
      </c>
      <c r="R122" s="166">
        <v>-367320</v>
      </c>
      <c r="S122" s="104" t="str">
        <f t="shared" si="40"/>
        <v>ok</v>
      </c>
      <c r="T122" s="98"/>
      <c r="U122" s="105"/>
      <c r="V122" s="105"/>
      <c r="W122" s="106"/>
    </row>
    <row r="123" spans="1:23" ht="31.5" customHeight="1">
      <c r="A123" s="99"/>
      <c r="B123" s="99" t="str">
        <f>IF(SUMPRODUCT(COUNTIF(C123,{"*본예산*","*1회추경*","*신규*"})),"추가"," 2회")</f>
        <v xml:space="preserve"> 2회</v>
      </c>
      <c r="C123" s="171">
        <v>466</v>
      </c>
      <c r="D123" s="170" t="s">
        <v>74</v>
      </c>
      <c r="E123" s="179" t="s">
        <v>325</v>
      </c>
      <c r="F123" s="126">
        <v>1669407</v>
      </c>
      <c r="G123" s="95">
        <v>1017500</v>
      </c>
      <c r="H123" s="102">
        <f>IF(SUMPRODUCT(COUNTIF(C123,{"*본예산*","*1회추경*","*신규*"})),"-",F123-G123)</f>
        <v>651907</v>
      </c>
      <c r="I123" s="54">
        <v>-74710</v>
      </c>
      <c r="J123" s="54"/>
      <c r="K123" s="102">
        <f t="shared" si="45"/>
        <v>1594697</v>
      </c>
      <c r="L123" s="54">
        <v>-74710</v>
      </c>
      <c r="M123" s="54"/>
      <c r="N123" s="376">
        <f t="shared" si="30"/>
        <v>1594697</v>
      </c>
      <c r="O123" s="271" t="s">
        <v>326</v>
      </c>
      <c r="P123" s="103" t="s">
        <v>90</v>
      </c>
      <c r="Q123" s="166">
        <v>-50000</v>
      </c>
      <c r="R123" s="166">
        <v>-24710</v>
      </c>
      <c r="S123" s="104" t="str">
        <f t="shared" si="40"/>
        <v>ok</v>
      </c>
      <c r="T123" s="172"/>
      <c r="U123" s="173"/>
      <c r="V123" s="173"/>
      <c r="W123" s="174"/>
    </row>
    <row r="124" spans="1:23" ht="62.25" customHeight="1">
      <c r="A124" s="99"/>
      <c r="B124" s="99" t="str">
        <f>IF(SUMPRODUCT(COUNTIF(C124,{"*본예산*","*1회추경*","*신규*"})),"추가"," 2회")</f>
        <v xml:space="preserve"> 2회</v>
      </c>
      <c r="C124" s="171">
        <v>467</v>
      </c>
      <c r="D124" s="170" t="s">
        <v>74</v>
      </c>
      <c r="E124" s="140" t="s">
        <v>310</v>
      </c>
      <c r="F124" s="126">
        <v>80781700</v>
      </c>
      <c r="G124" s="95">
        <v>63701155</v>
      </c>
      <c r="H124" s="102">
        <f>IF(SUMPRODUCT(COUNTIF(C124,{"*본예산*","*1회추경*","*신규*"})),"-",F124-G124)</f>
        <v>17080545</v>
      </c>
      <c r="I124" s="54">
        <v>-9362967</v>
      </c>
      <c r="J124" s="54"/>
      <c r="K124" s="102">
        <f t="shared" si="45"/>
        <v>71418733</v>
      </c>
      <c r="L124" s="54">
        <v>-9362967</v>
      </c>
      <c r="M124" s="54"/>
      <c r="N124" s="376">
        <f t="shared" si="30"/>
        <v>71418733</v>
      </c>
      <c r="O124" s="271" t="s">
        <v>327</v>
      </c>
      <c r="P124" s="103" t="s">
        <v>97</v>
      </c>
      <c r="Q124" s="166"/>
      <c r="R124" s="166">
        <v>-9362967</v>
      </c>
      <c r="S124" s="104" t="str">
        <f t="shared" si="40"/>
        <v>ok</v>
      </c>
      <c r="T124" s="172"/>
      <c r="U124" s="173"/>
      <c r="V124" s="173"/>
      <c r="W124" s="174"/>
    </row>
    <row r="125" spans="1:23" ht="31.5" customHeight="1">
      <c r="A125" s="99"/>
      <c r="B125" s="99" t="str">
        <f>IF(SUMPRODUCT(COUNTIF(C125,{"*본예산*","*1회추경*","*신규*"})),"추가"," 2회")</f>
        <v>추가</v>
      </c>
      <c r="C125" s="171" t="s">
        <v>328</v>
      </c>
      <c r="D125" s="170" t="s">
        <v>74</v>
      </c>
      <c r="E125" s="140" t="s">
        <v>314</v>
      </c>
      <c r="F125" s="95">
        <v>10331081</v>
      </c>
      <c r="G125" s="95"/>
      <c r="H125" s="102" t="str">
        <f>IF(SUMPRODUCT(COUNTIF(C125,{"*본예산*","*1회추경*","*신규*"})),"-",F125-G125)</f>
        <v>-</v>
      </c>
      <c r="I125" s="54"/>
      <c r="J125" s="54">
        <v>8019367</v>
      </c>
      <c r="K125" s="102">
        <f t="shared" si="45"/>
        <v>18350448</v>
      </c>
      <c r="L125" s="54"/>
      <c r="M125" s="54">
        <v>8019367</v>
      </c>
      <c r="N125" s="376">
        <f t="shared" si="30"/>
        <v>18350448</v>
      </c>
      <c r="O125" s="271" t="s">
        <v>327</v>
      </c>
      <c r="P125" s="103" t="s">
        <v>97</v>
      </c>
      <c r="Q125" s="166"/>
      <c r="R125" s="166">
        <v>8019367</v>
      </c>
      <c r="S125" s="104" t="str">
        <f t="shared" si="40"/>
        <v>ok</v>
      </c>
      <c r="T125" s="172"/>
      <c r="U125" s="173"/>
      <c r="V125" s="173"/>
      <c r="W125" s="174"/>
    </row>
    <row r="126" spans="1:23" ht="31.5" customHeight="1">
      <c r="A126" s="99"/>
      <c r="B126" s="99" t="str">
        <f>IF(SUMPRODUCT(COUNTIF(C126,{"*본예산*","*1회추경*","*신규*"})),"추가"," 2회")</f>
        <v>추가</v>
      </c>
      <c r="C126" s="175" t="s">
        <v>329</v>
      </c>
      <c r="D126" s="170" t="s">
        <v>74</v>
      </c>
      <c r="E126" s="179" t="s">
        <v>330</v>
      </c>
      <c r="F126" s="95">
        <v>133229</v>
      </c>
      <c r="G126" s="95"/>
      <c r="H126" s="102" t="str">
        <f>IF(SUMPRODUCT(COUNTIF(C126,{"*본예산*","*1회추경*","*신규*"})),"-",F126-G126)</f>
        <v>-</v>
      </c>
      <c r="I126" s="176">
        <v>-45297</v>
      </c>
      <c r="J126" s="177"/>
      <c r="K126" s="102">
        <f t="shared" si="45"/>
        <v>87932</v>
      </c>
      <c r="L126" s="176">
        <v>-45297</v>
      </c>
      <c r="M126" s="177"/>
      <c r="N126" s="376">
        <f t="shared" si="30"/>
        <v>87932</v>
      </c>
      <c r="O126" s="271" t="s">
        <v>331</v>
      </c>
      <c r="P126" s="103" t="s">
        <v>90</v>
      </c>
      <c r="Q126" s="178">
        <v>-37304</v>
      </c>
      <c r="R126" s="178">
        <v>-7993</v>
      </c>
      <c r="S126" s="104" t="str">
        <f t="shared" si="40"/>
        <v>ok</v>
      </c>
      <c r="T126" s="172"/>
      <c r="U126" s="173"/>
      <c r="V126" s="173"/>
      <c r="W126" s="174"/>
    </row>
    <row r="127" spans="1:23" s="573" customFormat="1" ht="31.5" customHeight="1">
      <c r="A127" s="574"/>
      <c r="B127" s="574" t="str">
        <f>IF(SUMPRODUCT(COUNTIF(C127,{"*본예산*","*1회추경*","*신규*"})),"추가"," 2회")</f>
        <v>추가</v>
      </c>
      <c r="C127" s="175" t="s">
        <v>329</v>
      </c>
      <c r="D127" s="170" t="s">
        <v>74</v>
      </c>
      <c r="E127" s="579" t="s">
        <v>332</v>
      </c>
      <c r="F127" s="180">
        <v>234145</v>
      </c>
      <c r="G127" s="180"/>
      <c r="H127" s="575" t="str">
        <f>IF(SUMPRODUCT(COUNTIF(C127,{"*본예산*","*1회추경*","*신규*"})),"-",F127-G127)</f>
        <v>-</v>
      </c>
      <c r="I127" s="578">
        <v>-35760</v>
      </c>
      <c r="J127" s="578"/>
      <c r="K127" s="575">
        <f t="shared" si="45"/>
        <v>198385</v>
      </c>
      <c r="L127" s="578">
        <v>-35760</v>
      </c>
      <c r="M127" s="578"/>
      <c r="N127" s="575">
        <f t="shared" si="30"/>
        <v>198385</v>
      </c>
      <c r="O127" s="381" t="s">
        <v>333</v>
      </c>
      <c r="P127" s="377" t="s">
        <v>97</v>
      </c>
      <c r="Q127" s="160"/>
      <c r="R127" s="160">
        <v>-35760</v>
      </c>
      <c r="S127" s="576" t="str">
        <f t="shared" si="40"/>
        <v>ok</v>
      </c>
      <c r="T127" s="181"/>
      <c r="U127" s="182"/>
      <c r="V127" s="182"/>
      <c r="W127" s="577"/>
    </row>
    <row r="128" spans="1:23" s="673" customFormat="1" ht="54.75" customHeight="1">
      <c r="A128" s="116"/>
      <c r="B128" s="658" t="str">
        <f>IF(SUMPRODUCT(COUNTIF(C128,{"*본예산*","*1회추경*","*신규*"})),"추가"," 2회")</f>
        <v xml:space="preserve"> 2회</v>
      </c>
      <c r="C128" s="145">
        <v>467</v>
      </c>
      <c r="D128" s="142" t="s">
        <v>74</v>
      </c>
      <c r="E128" s="558" t="s">
        <v>1689</v>
      </c>
      <c r="F128" s="631">
        <v>280942291</v>
      </c>
      <c r="G128" s="631">
        <v>285277294</v>
      </c>
      <c r="H128" s="665">
        <f>IF(SUMPRODUCT(COUNTIF(C128,{"*본예산*","*1회추경*","*신규*"})),"-",F128-G128)</f>
        <v>-4335003</v>
      </c>
      <c r="I128" s="631"/>
      <c r="J128" s="631">
        <v>3971039</v>
      </c>
      <c r="K128" s="665">
        <f t="shared" si="45"/>
        <v>284913330</v>
      </c>
      <c r="L128" s="631"/>
      <c r="M128" s="631">
        <v>3971039</v>
      </c>
      <c r="N128" s="665">
        <f t="shared" si="30"/>
        <v>284913330</v>
      </c>
      <c r="O128" s="275" t="s">
        <v>1217</v>
      </c>
      <c r="P128" s="638" t="s">
        <v>90</v>
      </c>
      <c r="Q128" s="638">
        <v>1481876</v>
      </c>
      <c r="R128" s="638">
        <v>2489163</v>
      </c>
      <c r="S128" s="648" t="str">
        <f t="shared" si="40"/>
        <v>ok</v>
      </c>
      <c r="T128" s="617"/>
      <c r="U128" s="619"/>
      <c r="V128" s="619"/>
      <c r="W128" s="620"/>
    </row>
  </sheetData>
  <autoFilter ref="A6:W128"/>
  <mergeCells count="17">
    <mergeCell ref="U4:V4"/>
    <mergeCell ref="W4:W5"/>
    <mergeCell ref="O4:O5"/>
    <mergeCell ref="P4:P5"/>
    <mergeCell ref="Q4:S4"/>
    <mergeCell ref="L4:M4"/>
    <mergeCell ref="N4:N5"/>
    <mergeCell ref="A1:O1"/>
    <mergeCell ref="A4:B5"/>
    <mergeCell ref="C4:C5"/>
    <mergeCell ref="D4:D5"/>
    <mergeCell ref="E4:E5"/>
    <mergeCell ref="F4:F5"/>
    <mergeCell ref="G4:G5"/>
    <mergeCell ref="H4:H5"/>
    <mergeCell ref="I4:J4"/>
    <mergeCell ref="K4:K5"/>
  </mergeCells>
  <phoneticPr fontId="2" type="noConversion"/>
  <pageMargins left="0.23622047244094491" right="0.15748031496062992" top="0.74803149606299213" bottom="0.74803149606299213" header="0.31496062992125984" footer="0.31496062992125984"/>
  <pageSetup paperSize="9" scale="68" orientation="portrait" cellComments="asDisplayed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J38"/>
  <sheetViews>
    <sheetView view="pageBreakPreview" zoomScaleNormal="100" zoomScaleSheetLayoutView="100" workbookViewId="0">
      <selection activeCell="B1" sqref="B1:K1"/>
    </sheetView>
  </sheetViews>
  <sheetFormatPr defaultRowHeight="13.5"/>
  <cols>
    <col min="1" max="10" width="8.125" style="69" customWidth="1"/>
    <col min="11" max="16384" width="9" style="69"/>
  </cols>
  <sheetData>
    <row r="1" spans="1:10" ht="27" customHeight="1"/>
    <row r="2" spans="1:10" ht="27" customHeight="1"/>
    <row r="3" spans="1:10" ht="27" customHeight="1"/>
    <row r="4" spans="1:10" ht="27" customHeight="1"/>
    <row r="5" spans="1:10" ht="16.5" customHeight="1">
      <c r="A5" s="878" t="s">
        <v>1511</v>
      </c>
      <c r="B5" s="878"/>
      <c r="C5" s="878"/>
      <c r="D5" s="878"/>
      <c r="E5" s="878"/>
      <c r="F5" s="878"/>
      <c r="G5" s="878"/>
      <c r="H5" s="878"/>
      <c r="I5" s="878"/>
      <c r="J5" s="878"/>
    </row>
    <row r="6" spans="1:10" ht="18.75">
      <c r="B6" s="72"/>
      <c r="C6" s="73"/>
      <c r="E6" s="74"/>
      <c r="F6" s="73"/>
      <c r="G6" s="73"/>
      <c r="H6" s="73"/>
      <c r="I6" s="73"/>
    </row>
    <row r="7" spans="1:10" ht="43.5" customHeight="1">
      <c r="A7" s="879" t="s">
        <v>1479</v>
      </c>
      <c r="B7" s="879"/>
      <c r="C7" s="879"/>
      <c r="D7" s="879"/>
      <c r="E7" s="879"/>
      <c r="F7" s="879"/>
      <c r="G7" s="879"/>
      <c r="H7" s="879"/>
      <c r="I7" s="879"/>
      <c r="J7" s="879"/>
    </row>
    <row r="8" spans="1:10" ht="19.5">
      <c r="B8" s="77"/>
      <c r="C8" s="76"/>
      <c r="D8" s="76"/>
      <c r="E8" s="76"/>
      <c r="F8" s="76"/>
      <c r="G8" s="76"/>
      <c r="H8" s="76"/>
      <c r="I8" s="76"/>
    </row>
    <row r="9" spans="1:10" ht="19.5">
      <c r="B9" s="77"/>
      <c r="C9" s="76"/>
      <c r="D9" s="76"/>
      <c r="E9" s="76"/>
      <c r="F9" s="76"/>
      <c r="G9" s="76"/>
      <c r="H9" s="76"/>
      <c r="I9" s="76"/>
    </row>
    <row r="10" spans="1:10" ht="19.5">
      <c r="B10" s="77"/>
      <c r="C10" s="76"/>
      <c r="D10" s="76"/>
      <c r="E10" s="76"/>
      <c r="F10" s="76"/>
      <c r="G10" s="76"/>
      <c r="H10" s="76"/>
      <c r="I10" s="76"/>
    </row>
    <row r="11" spans="1:10" ht="19.5">
      <c r="B11" s="77"/>
      <c r="C11" s="76"/>
      <c r="D11" s="76"/>
      <c r="E11" s="76"/>
      <c r="F11" s="76"/>
      <c r="G11" s="76"/>
      <c r="H11" s="76"/>
      <c r="I11" s="76"/>
    </row>
    <row r="12" spans="1:10" ht="19.5">
      <c r="B12" s="77"/>
      <c r="C12" s="76"/>
      <c r="D12" s="76"/>
      <c r="E12" s="76"/>
      <c r="F12" s="76"/>
      <c r="G12" s="76"/>
      <c r="H12" s="76"/>
      <c r="I12" s="76"/>
    </row>
    <row r="13" spans="1:10" ht="19.5">
      <c r="B13" s="77"/>
      <c r="C13" s="76"/>
      <c r="D13" s="76"/>
      <c r="E13" s="76"/>
      <c r="F13" s="76"/>
      <c r="G13" s="76"/>
      <c r="H13" s="76"/>
      <c r="I13" s="76"/>
    </row>
    <row r="14" spans="1:10">
      <c r="B14" s="76"/>
      <c r="C14" s="76"/>
      <c r="D14" s="76"/>
      <c r="E14" s="76"/>
      <c r="F14" s="76"/>
      <c r="G14" s="76"/>
      <c r="H14" s="76"/>
      <c r="I14" s="76"/>
    </row>
    <row r="15" spans="1:10">
      <c r="B15" s="76"/>
      <c r="C15" s="76"/>
      <c r="D15" s="76"/>
      <c r="E15" s="76"/>
      <c r="F15" s="76"/>
      <c r="G15" s="76"/>
      <c r="H15" s="76"/>
      <c r="I15" s="76"/>
    </row>
    <row r="16" spans="1:10">
      <c r="B16" s="76"/>
      <c r="C16" s="76"/>
      <c r="D16" s="76"/>
      <c r="E16" s="76"/>
      <c r="F16" s="76"/>
      <c r="G16" s="76"/>
      <c r="H16" s="76"/>
      <c r="I16" s="76"/>
    </row>
    <row r="17" spans="2:9">
      <c r="B17" s="76"/>
      <c r="C17" s="76"/>
      <c r="D17" s="76"/>
      <c r="E17" s="76"/>
      <c r="F17" s="76"/>
      <c r="G17" s="76"/>
      <c r="H17" s="76"/>
      <c r="I17" s="76"/>
    </row>
    <row r="18" spans="2:9">
      <c r="B18" s="76"/>
      <c r="C18" s="76"/>
      <c r="D18" s="76"/>
      <c r="E18" s="76"/>
      <c r="F18" s="76"/>
      <c r="G18" s="76"/>
      <c r="H18" s="76"/>
      <c r="I18" s="76"/>
    </row>
    <row r="19" spans="2:9">
      <c r="B19" s="76"/>
      <c r="C19" s="76"/>
      <c r="D19" s="76"/>
      <c r="E19" s="76"/>
      <c r="F19" s="76"/>
      <c r="G19" s="76"/>
      <c r="H19" s="76"/>
      <c r="I19" s="76"/>
    </row>
    <row r="20" spans="2:9">
      <c r="B20" s="76"/>
      <c r="C20" s="76"/>
      <c r="D20" s="76"/>
      <c r="E20" s="76"/>
      <c r="F20" s="76"/>
      <c r="G20" s="76"/>
      <c r="H20" s="76"/>
      <c r="I20" s="76"/>
    </row>
    <row r="21" spans="2:9">
      <c r="B21" s="76"/>
      <c r="C21" s="76"/>
      <c r="D21" s="76"/>
      <c r="E21" s="76"/>
      <c r="F21" s="76"/>
      <c r="G21" s="76"/>
      <c r="H21" s="76"/>
      <c r="I21" s="76"/>
    </row>
    <row r="22" spans="2:9">
      <c r="B22" s="76"/>
      <c r="C22" s="76"/>
      <c r="D22" s="76"/>
      <c r="E22" s="76"/>
      <c r="F22" s="76"/>
      <c r="G22" s="76"/>
      <c r="H22" s="76"/>
      <c r="I22" s="76"/>
    </row>
    <row r="23" spans="2:9">
      <c r="B23" s="76"/>
      <c r="C23" s="76"/>
      <c r="D23" s="76"/>
      <c r="E23" s="76"/>
      <c r="F23" s="76"/>
      <c r="G23" s="76"/>
      <c r="H23" s="76"/>
      <c r="I23" s="76"/>
    </row>
    <row r="24" spans="2:9">
      <c r="B24" s="76"/>
      <c r="C24" s="76"/>
      <c r="D24" s="76"/>
      <c r="E24" s="76"/>
      <c r="F24" s="76"/>
      <c r="G24" s="76"/>
      <c r="H24" s="76"/>
      <c r="I24" s="76"/>
    </row>
    <row r="25" spans="2:9">
      <c r="B25" s="76"/>
      <c r="C25" s="76"/>
      <c r="D25" s="76"/>
      <c r="E25" s="76"/>
      <c r="F25" s="76"/>
      <c r="G25" s="76"/>
      <c r="H25" s="76"/>
      <c r="I25" s="76"/>
    </row>
    <row r="26" spans="2:9">
      <c r="B26" s="76"/>
      <c r="C26" s="76"/>
      <c r="D26" s="76"/>
      <c r="E26" s="76"/>
      <c r="F26" s="76"/>
      <c r="G26" s="76"/>
      <c r="H26" s="76"/>
      <c r="I26" s="76"/>
    </row>
    <row r="27" spans="2:9">
      <c r="B27" s="76"/>
      <c r="C27" s="76"/>
      <c r="D27" s="76"/>
      <c r="E27" s="76"/>
      <c r="F27" s="76"/>
      <c r="G27" s="76"/>
      <c r="H27" s="76"/>
      <c r="I27" s="76"/>
    </row>
    <row r="28" spans="2:9">
      <c r="B28" s="76"/>
      <c r="C28" s="76"/>
      <c r="D28" s="76"/>
      <c r="E28" s="76"/>
      <c r="F28" s="76"/>
      <c r="G28" s="76"/>
      <c r="H28" s="76"/>
      <c r="I28" s="76"/>
    </row>
    <row r="29" spans="2:9">
      <c r="B29" s="76"/>
      <c r="C29" s="76"/>
      <c r="D29" s="76"/>
      <c r="E29" s="76"/>
      <c r="F29" s="76"/>
      <c r="G29" s="76"/>
      <c r="H29" s="76"/>
      <c r="I29" s="76"/>
    </row>
    <row r="30" spans="2:9">
      <c r="B30" s="76"/>
      <c r="C30" s="76"/>
      <c r="D30" s="76"/>
      <c r="E30" s="76"/>
      <c r="F30" s="76"/>
      <c r="G30" s="76"/>
      <c r="H30" s="76"/>
      <c r="I30" s="76"/>
    </row>
    <row r="31" spans="2:9">
      <c r="B31" s="76"/>
      <c r="C31" s="76"/>
      <c r="D31" s="76"/>
      <c r="E31" s="76"/>
      <c r="F31" s="76"/>
      <c r="G31" s="76"/>
      <c r="H31" s="76"/>
      <c r="I31" s="76"/>
    </row>
    <row r="32" spans="2:9">
      <c r="B32" s="76"/>
      <c r="C32" s="76"/>
      <c r="D32" s="76"/>
      <c r="E32" s="76"/>
      <c r="F32" s="76"/>
      <c r="G32" s="76"/>
      <c r="H32" s="76"/>
      <c r="I32" s="76"/>
    </row>
    <row r="33" spans="2:9" s="80" customFormat="1" ht="33.75">
      <c r="B33" s="78" t="s">
        <v>1512</v>
      </c>
      <c r="C33" s="79"/>
      <c r="D33" s="79"/>
      <c r="E33" s="79"/>
      <c r="F33" s="79"/>
      <c r="G33" s="79"/>
      <c r="H33" s="79"/>
      <c r="I33" s="79"/>
    </row>
    <row r="34" spans="2:9">
      <c r="B34" s="76"/>
      <c r="C34" s="76"/>
      <c r="D34" s="76"/>
      <c r="E34" s="76"/>
      <c r="F34" s="76"/>
      <c r="G34" s="76"/>
      <c r="H34" s="76"/>
      <c r="I34" s="76"/>
    </row>
    <row r="35" spans="2:9" ht="46.5">
      <c r="B35" s="75"/>
      <c r="C35" s="76"/>
      <c r="D35" s="76"/>
      <c r="E35" s="76"/>
      <c r="F35" s="76"/>
      <c r="G35" s="76"/>
      <c r="H35" s="76"/>
      <c r="I35" s="76"/>
    </row>
    <row r="36" spans="2:9">
      <c r="B36" s="76"/>
      <c r="C36" s="76"/>
      <c r="D36" s="76"/>
      <c r="E36" s="76"/>
      <c r="F36" s="76"/>
      <c r="G36" s="76"/>
      <c r="H36" s="76"/>
      <c r="I36" s="76"/>
    </row>
    <row r="37" spans="2:9">
      <c r="B37" s="76"/>
      <c r="C37" s="76"/>
      <c r="D37" s="76"/>
      <c r="E37" s="76"/>
      <c r="F37" s="76"/>
      <c r="G37" s="76"/>
      <c r="H37" s="76"/>
      <c r="I37" s="76"/>
    </row>
    <row r="38" spans="2:9">
      <c r="B38" s="76"/>
      <c r="C38" s="76"/>
      <c r="D38" s="76"/>
      <c r="E38" s="76"/>
      <c r="F38" s="76"/>
      <c r="G38" s="76"/>
      <c r="H38" s="76"/>
      <c r="I38" s="76"/>
    </row>
  </sheetData>
  <mergeCells count="2">
    <mergeCell ref="A5:J5"/>
    <mergeCell ref="A7:J7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97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Z24"/>
  <sheetViews>
    <sheetView showGridLines="0" view="pageBreakPreview" zoomScale="80" zoomScaleNormal="90" zoomScaleSheetLayoutView="80" workbookViewId="0">
      <pane xSplit="2" ySplit="5" topLeftCell="C6" activePane="bottomRight" state="frozen"/>
      <selection activeCell="J7" sqref="J7"/>
      <selection pane="topRight" activeCell="J7" sqref="J7"/>
      <selection pane="bottomLeft" activeCell="J7" sqref="J7"/>
      <selection pane="bottomRight" activeCell="B1" sqref="B1:K1"/>
    </sheetView>
  </sheetViews>
  <sheetFormatPr defaultColWidth="8.75" defaultRowHeight="13.5"/>
  <cols>
    <col min="1" max="1" width="2.5" style="603" customWidth="1"/>
    <col min="2" max="2" width="19.625" style="603" customWidth="1"/>
    <col min="3" max="3" width="12.25" style="602" customWidth="1"/>
    <col min="4" max="4" width="13.75" style="603" customWidth="1"/>
    <col min="5" max="5" width="17.375" style="603" customWidth="1"/>
    <col min="6" max="6" width="18.375" style="603" customWidth="1"/>
    <col min="7" max="7" width="14" style="603" bestFit="1" customWidth="1"/>
    <col min="8" max="8" width="12.125" style="603" customWidth="1"/>
    <col min="9" max="9" width="12.125" style="603" hidden="1" customWidth="1"/>
    <col min="10" max="10" width="12.125" style="603" customWidth="1"/>
    <col min="11" max="11" width="23.375" style="603" customWidth="1"/>
    <col min="12" max="12" width="6.25" style="603" bestFit="1" customWidth="1"/>
    <col min="13" max="13" width="7.5" style="603" bestFit="1" customWidth="1"/>
    <col min="14" max="15" width="10" style="603" hidden="1" customWidth="1"/>
    <col min="16" max="16" width="10.625" style="603" hidden="1" customWidth="1"/>
    <col min="17" max="17" width="9.25" style="603" hidden="1" customWidth="1"/>
    <col min="18" max="18" width="11.75" style="603" bestFit="1" customWidth="1"/>
    <col min="19" max="19" width="4" style="603" customWidth="1"/>
    <col min="20" max="21" width="9.25" style="603" customWidth="1"/>
    <col min="22" max="22" width="6" style="602" customWidth="1"/>
    <col min="23" max="23" width="8.25" style="600" hidden="1" customWidth="1"/>
    <col min="24" max="25" width="9.25" style="603" hidden="1" customWidth="1"/>
    <col min="26" max="26" width="8.75" style="603" hidden="1" customWidth="1"/>
    <col min="27" max="16384" width="8.75" style="603"/>
  </cols>
  <sheetData>
    <row r="1" spans="1:18" ht="29.25" customHeight="1">
      <c r="B1" s="885" t="s">
        <v>1504</v>
      </c>
      <c r="C1" s="885"/>
      <c r="D1" s="885"/>
      <c r="E1" s="885"/>
      <c r="F1" s="885"/>
      <c r="G1" s="885"/>
      <c r="H1" s="885"/>
      <c r="I1" s="885"/>
      <c r="J1" s="885"/>
      <c r="K1" s="885"/>
      <c r="L1" s="601"/>
      <c r="M1" s="601"/>
      <c r="N1" s="601"/>
      <c r="O1" s="601"/>
      <c r="P1" s="601"/>
      <c r="Q1" s="601"/>
      <c r="R1" s="601"/>
    </row>
    <row r="2" spans="1:18" ht="22.5" customHeight="1">
      <c r="A2" s="592"/>
      <c r="B2" s="592"/>
    </row>
    <row r="3" spans="1:18" ht="21.75" customHeight="1">
      <c r="K3" s="597" t="s">
        <v>1235</v>
      </c>
    </row>
    <row r="4" spans="1:18" ht="24.75" customHeight="1">
      <c r="B4" s="887" t="s">
        <v>1236</v>
      </c>
      <c r="C4" s="887"/>
      <c r="D4" s="887"/>
      <c r="E4" s="887"/>
      <c r="F4" s="887" t="s">
        <v>1237</v>
      </c>
      <c r="G4" s="887" t="s">
        <v>1238</v>
      </c>
      <c r="H4" s="880" t="s">
        <v>1476</v>
      </c>
      <c r="I4" s="880"/>
      <c r="J4" s="880"/>
      <c r="K4" s="886" t="s">
        <v>1239</v>
      </c>
    </row>
    <row r="5" spans="1:18" ht="31.5" customHeight="1">
      <c r="B5" s="757" t="s">
        <v>1240</v>
      </c>
      <c r="C5" s="757" t="s">
        <v>1241</v>
      </c>
      <c r="D5" s="757" t="s">
        <v>1242</v>
      </c>
      <c r="E5" s="758" t="s">
        <v>1243</v>
      </c>
      <c r="F5" s="887"/>
      <c r="G5" s="887"/>
      <c r="H5" s="757" t="s">
        <v>1489</v>
      </c>
      <c r="I5" s="785"/>
      <c r="J5" s="789" t="s">
        <v>1478</v>
      </c>
      <c r="K5" s="886"/>
    </row>
    <row r="6" spans="1:18" ht="24.95" customHeight="1">
      <c r="B6" s="607" t="s">
        <v>1244</v>
      </c>
      <c r="C6" s="609"/>
      <c r="D6" s="607"/>
      <c r="E6" s="609"/>
      <c r="F6" s="608"/>
      <c r="G6" s="759">
        <f>SUM(G7:G42)/2</f>
        <v>20554650</v>
      </c>
      <c r="H6" s="769">
        <f>SUM(H7:H42)/2</f>
        <v>3800283</v>
      </c>
      <c r="I6" s="786"/>
      <c r="J6" s="786">
        <f>SUM(K7:K42)/2</f>
        <v>0</v>
      </c>
      <c r="K6" s="599"/>
    </row>
    <row r="7" spans="1:18" ht="24.95" customHeight="1">
      <c r="B7" s="881" t="s">
        <v>380</v>
      </c>
      <c r="C7" s="881"/>
      <c r="D7" s="881"/>
      <c r="E7" s="881"/>
      <c r="F7" s="596"/>
      <c r="G7" s="606">
        <f>SUM(G8:G10)</f>
        <v>2464900</v>
      </c>
      <c r="H7" s="606">
        <f>SUM(H8:H10)</f>
        <v>2464900</v>
      </c>
      <c r="I7" s="606">
        <f t="shared" ref="I7:J7" si="0">SUM(I8:I10)</f>
        <v>0</v>
      </c>
      <c r="J7" s="606">
        <f t="shared" si="0"/>
        <v>2464900</v>
      </c>
      <c r="K7" s="598"/>
    </row>
    <row r="8" spans="1:18" ht="38.25" customHeight="1">
      <c r="B8" s="889" t="s">
        <v>1249</v>
      </c>
      <c r="C8" s="890" t="s">
        <v>1250</v>
      </c>
      <c r="D8" s="891" t="s">
        <v>1251</v>
      </c>
      <c r="E8" s="674" t="s">
        <v>1252</v>
      </c>
      <c r="F8" s="675" t="s">
        <v>1253</v>
      </c>
      <c r="G8" s="682">
        <v>2344900</v>
      </c>
      <c r="H8" s="682">
        <v>2344900</v>
      </c>
      <c r="I8" s="787"/>
      <c r="J8" s="787">
        <v>2344900</v>
      </c>
      <c r="K8" s="888" t="s">
        <v>1514</v>
      </c>
    </row>
    <row r="9" spans="1:18" ht="38.25" customHeight="1">
      <c r="B9" s="889"/>
      <c r="C9" s="890"/>
      <c r="D9" s="891"/>
      <c r="E9" s="674" t="s">
        <v>1254</v>
      </c>
      <c r="F9" s="675" t="s">
        <v>1255</v>
      </c>
      <c r="G9" s="682">
        <v>70000</v>
      </c>
      <c r="H9" s="682">
        <v>70000</v>
      </c>
      <c r="I9" s="787"/>
      <c r="J9" s="787">
        <v>70000</v>
      </c>
      <c r="K9" s="888"/>
    </row>
    <row r="10" spans="1:18" ht="38.25" customHeight="1">
      <c r="B10" s="889"/>
      <c r="C10" s="890"/>
      <c r="D10" s="891"/>
      <c r="E10" s="674" t="s">
        <v>1256</v>
      </c>
      <c r="F10" s="675" t="s">
        <v>1257</v>
      </c>
      <c r="G10" s="682">
        <v>50000</v>
      </c>
      <c r="H10" s="682">
        <v>50000</v>
      </c>
      <c r="I10" s="787"/>
      <c r="J10" s="787">
        <v>50000</v>
      </c>
      <c r="K10" s="888"/>
    </row>
    <row r="11" spans="1:18" ht="24.95" customHeight="1">
      <c r="B11" s="881" t="s">
        <v>227</v>
      </c>
      <c r="C11" s="881"/>
      <c r="D11" s="881"/>
      <c r="E11" s="881"/>
      <c r="F11" s="604"/>
      <c r="G11" s="760">
        <f>SUM(G12)</f>
        <v>18904000</v>
      </c>
      <c r="H11" s="606">
        <f>SUM(H12)</f>
        <v>2221000</v>
      </c>
      <c r="I11" s="606"/>
      <c r="J11" s="606">
        <f t="shared" ref="J11" si="1">SUM(J12)</f>
        <v>2221000</v>
      </c>
      <c r="K11" s="610"/>
    </row>
    <row r="12" spans="1:18" ht="148.5" customHeight="1">
      <c r="B12" s="594" t="s">
        <v>1245</v>
      </c>
      <c r="C12" s="594" t="s">
        <v>1246</v>
      </c>
      <c r="D12" s="792" t="s">
        <v>1247</v>
      </c>
      <c r="E12" s="594" t="s">
        <v>1274</v>
      </c>
      <c r="F12" s="605" t="s">
        <v>1248</v>
      </c>
      <c r="G12" s="761">
        <v>18904000</v>
      </c>
      <c r="H12" s="762">
        <v>2221000</v>
      </c>
      <c r="I12" s="788"/>
      <c r="J12" s="788">
        <v>2221000</v>
      </c>
      <c r="K12" s="776" t="s">
        <v>1513</v>
      </c>
    </row>
    <row r="13" spans="1:18" ht="15.75" customHeight="1">
      <c r="B13" s="764"/>
      <c r="C13" s="764"/>
      <c r="D13" s="764"/>
      <c r="E13" s="764"/>
      <c r="F13" s="765"/>
      <c r="G13" s="766"/>
      <c r="H13" s="767"/>
      <c r="I13" s="767"/>
      <c r="J13" s="767"/>
      <c r="K13" s="768"/>
    </row>
    <row r="14" spans="1:18" ht="24.75" customHeight="1">
      <c r="K14" s="597" t="s">
        <v>19</v>
      </c>
    </row>
    <row r="15" spans="1:18" ht="24.75" customHeight="1">
      <c r="B15" s="887" t="s">
        <v>1236</v>
      </c>
      <c r="C15" s="887"/>
      <c r="D15" s="887"/>
      <c r="E15" s="887"/>
      <c r="F15" s="887" t="s">
        <v>1237</v>
      </c>
      <c r="G15" s="887" t="s">
        <v>1238</v>
      </c>
      <c r="H15" s="880" t="s">
        <v>1476</v>
      </c>
      <c r="I15" s="880"/>
      <c r="J15" s="880"/>
      <c r="K15" s="886" t="s">
        <v>1239</v>
      </c>
    </row>
    <row r="16" spans="1:18" ht="31.5" customHeight="1">
      <c r="B16" s="757" t="s">
        <v>1240</v>
      </c>
      <c r="C16" s="757" t="s">
        <v>1241</v>
      </c>
      <c r="D16" s="757" t="s">
        <v>1242</v>
      </c>
      <c r="E16" s="758" t="s">
        <v>1243</v>
      </c>
      <c r="F16" s="887"/>
      <c r="G16" s="887"/>
      <c r="H16" s="757" t="s">
        <v>1490</v>
      </c>
      <c r="I16" s="757" t="s">
        <v>1477</v>
      </c>
      <c r="J16" s="757" t="s">
        <v>1478</v>
      </c>
      <c r="K16" s="886"/>
    </row>
    <row r="17" spans="2:11" ht="24.95" customHeight="1">
      <c r="B17" s="881" t="s">
        <v>113</v>
      </c>
      <c r="C17" s="881"/>
      <c r="D17" s="881"/>
      <c r="E17" s="881"/>
      <c r="F17" s="604"/>
      <c r="G17" s="760">
        <f>SUM(G18:G24)</f>
        <v>-814250</v>
      </c>
      <c r="H17" s="760">
        <f>SUM(H18:H24)</f>
        <v>-885617</v>
      </c>
      <c r="I17" s="760">
        <f>SUM(I18:I24)</f>
        <v>-1114383</v>
      </c>
      <c r="J17" s="760">
        <f>SUM(J18:J24)</f>
        <v>-1069283</v>
      </c>
      <c r="K17" s="610"/>
    </row>
    <row r="18" spans="2:11" ht="59.25" customHeight="1">
      <c r="B18" s="674" t="s">
        <v>1258</v>
      </c>
      <c r="C18" s="674" t="s">
        <v>1259</v>
      </c>
      <c r="D18" s="793" t="s">
        <v>1260</v>
      </c>
      <c r="E18" s="674" t="s">
        <v>1252</v>
      </c>
      <c r="F18" s="676" t="s">
        <v>1261</v>
      </c>
      <c r="G18" s="682">
        <v>-1000000</v>
      </c>
      <c r="H18" s="682">
        <v>-1000000</v>
      </c>
      <c r="I18" s="682">
        <v>-1000000</v>
      </c>
      <c r="J18" s="682">
        <v>-1000000</v>
      </c>
      <c r="K18" s="674" t="s">
        <v>1262</v>
      </c>
    </row>
    <row r="19" spans="2:11" ht="51" customHeight="1">
      <c r="B19" s="883" t="s">
        <v>1263</v>
      </c>
      <c r="C19" s="883" t="s">
        <v>1264</v>
      </c>
      <c r="D19" s="884" t="s">
        <v>1265</v>
      </c>
      <c r="E19" s="677" t="s">
        <v>1272</v>
      </c>
      <c r="F19" s="676"/>
      <c r="G19" s="678">
        <v>10000</v>
      </c>
      <c r="H19" s="678">
        <v>10000</v>
      </c>
      <c r="I19" s="678">
        <v>-10000</v>
      </c>
      <c r="J19" s="678">
        <v>10000</v>
      </c>
      <c r="K19" s="674" t="s">
        <v>1276</v>
      </c>
    </row>
    <row r="20" spans="2:11" ht="51" customHeight="1">
      <c r="B20" s="883"/>
      <c r="C20" s="883"/>
      <c r="D20" s="884"/>
      <c r="E20" s="677" t="s">
        <v>1273</v>
      </c>
      <c r="F20" s="676"/>
      <c r="G20" s="678">
        <v>12550</v>
      </c>
      <c r="H20" s="678">
        <v>12550</v>
      </c>
      <c r="I20" s="678">
        <v>-12550</v>
      </c>
      <c r="J20" s="678">
        <v>12550</v>
      </c>
      <c r="K20" s="674" t="s">
        <v>1277</v>
      </c>
    </row>
    <row r="21" spans="2:11" ht="51" customHeight="1">
      <c r="B21" s="883"/>
      <c r="C21" s="883"/>
      <c r="D21" s="884"/>
      <c r="E21" s="679" t="s">
        <v>1266</v>
      </c>
      <c r="F21" s="680" t="s">
        <v>1267</v>
      </c>
      <c r="G21" s="681">
        <v>8400</v>
      </c>
      <c r="H21" s="681">
        <v>8400</v>
      </c>
      <c r="I21" s="681">
        <v>-8400</v>
      </c>
      <c r="J21" s="681">
        <v>-8400</v>
      </c>
      <c r="K21" s="882" t="s">
        <v>1275</v>
      </c>
    </row>
    <row r="22" spans="2:11" ht="51" customHeight="1">
      <c r="B22" s="883"/>
      <c r="C22" s="883"/>
      <c r="D22" s="884"/>
      <c r="E22" s="679" t="s">
        <v>1252</v>
      </c>
      <c r="F22" s="680" t="s">
        <v>1268</v>
      </c>
      <c r="G22" s="681">
        <v>75000</v>
      </c>
      <c r="H22" s="682">
        <v>3633</v>
      </c>
      <c r="I22" s="682">
        <v>-3633</v>
      </c>
      <c r="J22" s="682">
        <v>-3633</v>
      </c>
      <c r="K22" s="882"/>
    </row>
    <row r="23" spans="2:11" ht="51" customHeight="1">
      <c r="B23" s="883"/>
      <c r="C23" s="883"/>
      <c r="D23" s="884"/>
      <c r="E23" s="679" t="s">
        <v>1269</v>
      </c>
      <c r="F23" s="680" t="s">
        <v>1270</v>
      </c>
      <c r="G23" s="681">
        <v>49000</v>
      </c>
      <c r="H23" s="681">
        <v>49000</v>
      </c>
      <c r="I23" s="681">
        <v>-49000</v>
      </c>
      <c r="J23" s="681">
        <v>-49000</v>
      </c>
      <c r="K23" s="882"/>
    </row>
    <row r="24" spans="2:11" ht="51" customHeight="1">
      <c r="B24" s="883"/>
      <c r="C24" s="883"/>
      <c r="D24" s="884"/>
      <c r="E24" s="679" t="s">
        <v>1269</v>
      </c>
      <c r="F24" s="680" t="s">
        <v>1271</v>
      </c>
      <c r="G24" s="681">
        <v>30800</v>
      </c>
      <c r="H24" s="681">
        <v>30800</v>
      </c>
      <c r="I24" s="681">
        <v>-30800</v>
      </c>
      <c r="J24" s="681">
        <v>-30800</v>
      </c>
      <c r="K24" s="882"/>
    </row>
  </sheetData>
  <mergeCells count="22">
    <mergeCell ref="B1:K1"/>
    <mergeCell ref="K15:K16"/>
    <mergeCell ref="B4:E4"/>
    <mergeCell ref="F4:F5"/>
    <mergeCell ref="G4:G5"/>
    <mergeCell ref="K4:K5"/>
    <mergeCell ref="H4:J4"/>
    <mergeCell ref="B7:E7"/>
    <mergeCell ref="K8:K10"/>
    <mergeCell ref="B8:B10"/>
    <mergeCell ref="C8:C10"/>
    <mergeCell ref="D8:D10"/>
    <mergeCell ref="B11:E11"/>
    <mergeCell ref="B15:E15"/>
    <mergeCell ref="F15:F16"/>
    <mergeCell ref="G15:G16"/>
    <mergeCell ref="H15:J15"/>
    <mergeCell ref="B17:E17"/>
    <mergeCell ref="K21:K24"/>
    <mergeCell ref="B19:B24"/>
    <mergeCell ref="C19:C24"/>
    <mergeCell ref="D19:D2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4" orientation="portrait" cellComments="asDisplayed" r:id="rId1"/>
  <headerFooter>
    <oddFooter>&amp;C&amp;P/&amp;N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V23"/>
  <sheetViews>
    <sheetView showGridLines="0" view="pageBreakPreview" zoomScale="80" zoomScaleNormal="100" zoomScaleSheetLayoutView="80" workbookViewId="0">
      <selection activeCell="I19" sqref="I19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9.2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>
      <c r="A1" s="855" t="s">
        <v>76</v>
      </c>
      <c r="B1" s="856"/>
      <c r="C1" s="856"/>
      <c r="D1" s="856"/>
      <c r="E1" s="856"/>
      <c r="F1" s="856"/>
      <c r="G1" s="856"/>
      <c r="H1" s="856"/>
      <c r="I1" s="856"/>
      <c r="J1" s="856"/>
      <c r="K1" s="856"/>
      <c r="L1" s="856"/>
      <c r="M1" s="856"/>
      <c r="N1" s="856"/>
    </row>
    <row r="2" spans="1:22" ht="22.5" customHeight="1">
      <c r="A2" s="14" t="s">
        <v>29</v>
      </c>
      <c r="B2" s="14"/>
    </row>
    <row r="3" spans="1:22" ht="16.5" customHeight="1">
      <c r="H3" s="63">
        <f>G6+H6</f>
        <v>0</v>
      </c>
      <c r="N3" s="45" t="s">
        <v>30</v>
      </c>
    </row>
    <row r="4" spans="1:22" ht="27.75" customHeight="1">
      <c r="A4" s="801" t="s">
        <v>31</v>
      </c>
      <c r="B4" s="801"/>
      <c r="C4" s="804" t="s">
        <v>11</v>
      </c>
      <c r="D4" s="801" t="s">
        <v>9</v>
      </c>
      <c r="E4" s="801" t="s">
        <v>8</v>
      </c>
      <c r="F4" s="804" t="s">
        <v>20</v>
      </c>
      <c r="G4" s="857" t="s">
        <v>33</v>
      </c>
      <c r="H4" s="858"/>
      <c r="I4" s="804" t="s">
        <v>34</v>
      </c>
      <c r="J4" s="857" t="s">
        <v>22</v>
      </c>
      <c r="K4" s="858"/>
      <c r="L4" s="804" t="s">
        <v>16</v>
      </c>
      <c r="M4" s="859" t="s">
        <v>17</v>
      </c>
      <c r="N4" s="801" t="s">
        <v>12</v>
      </c>
      <c r="O4" s="861" t="s">
        <v>35</v>
      </c>
      <c r="P4" s="858" t="s">
        <v>36</v>
      </c>
      <c r="Q4" s="858"/>
      <c r="R4" s="858"/>
      <c r="S4" s="13"/>
      <c r="T4" s="863" t="s">
        <v>0</v>
      </c>
      <c r="U4" s="864"/>
      <c r="V4" s="854" t="s">
        <v>3</v>
      </c>
    </row>
    <row r="5" spans="1:22" ht="14.25" customHeight="1">
      <c r="A5" s="801"/>
      <c r="B5" s="801"/>
      <c r="C5" s="804"/>
      <c r="D5" s="801"/>
      <c r="E5" s="801"/>
      <c r="F5" s="801"/>
      <c r="G5" s="83" t="s">
        <v>1</v>
      </c>
      <c r="H5" s="83" t="s">
        <v>37</v>
      </c>
      <c r="I5" s="801"/>
      <c r="J5" s="83" t="s">
        <v>1</v>
      </c>
      <c r="K5" s="83" t="s">
        <v>37</v>
      </c>
      <c r="L5" s="801"/>
      <c r="M5" s="860"/>
      <c r="N5" s="801"/>
      <c r="O5" s="862"/>
      <c r="P5" s="83" t="s">
        <v>6</v>
      </c>
      <c r="Q5" s="83" t="s">
        <v>4</v>
      </c>
      <c r="R5" s="83" t="s">
        <v>7</v>
      </c>
      <c r="S5" s="13"/>
      <c r="T5" s="84" t="s">
        <v>1</v>
      </c>
      <c r="U5" s="84" t="s">
        <v>37</v>
      </c>
      <c r="V5" s="854"/>
    </row>
    <row r="6" spans="1:22" ht="28.5" customHeight="1">
      <c r="A6" s="21"/>
      <c r="B6" s="22" t="s">
        <v>5</v>
      </c>
      <c r="C6" s="23"/>
      <c r="D6" s="23"/>
      <c r="E6" s="23"/>
      <c r="F6" s="62">
        <f>F7</f>
        <v>0</v>
      </c>
      <c r="G6" s="62">
        <f t="shared" ref="G6:Q7" si="0">G7</f>
        <v>0</v>
      </c>
      <c r="H6" s="62">
        <f t="shared" si="0"/>
        <v>0</v>
      </c>
      <c r="I6" s="62">
        <f t="shared" si="0"/>
        <v>0</v>
      </c>
      <c r="J6" s="62">
        <f t="shared" si="0"/>
        <v>-740000</v>
      </c>
      <c r="K6" s="62">
        <f t="shared" si="0"/>
        <v>0</v>
      </c>
      <c r="L6" s="62">
        <f t="shared" si="0"/>
        <v>-740000</v>
      </c>
      <c r="M6" s="62">
        <f t="shared" si="0"/>
        <v>0</v>
      </c>
      <c r="N6" s="62"/>
      <c r="O6" s="62"/>
      <c r="P6" s="62">
        <f t="shared" si="0"/>
        <v>0</v>
      </c>
      <c r="Q6" s="62">
        <f t="shared" si="0"/>
        <v>15000000</v>
      </c>
      <c r="R6" s="37" t="str">
        <f t="shared" ref="R6:R8" si="1">IF((G6+H6)=(P6+Q6),"ok","검토")</f>
        <v>검토</v>
      </c>
      <c r="S6" s="15"/>
      <c r="T6" s="3"/>
      <c r="U6" s="3"/>
      <c r="V6" s="82"/>
    </row>
    <row r="7" spans="1:22" ht="28.5" customHeight="1">
      <c r="A7" s="25"/>
      <c r="B7" s="26"/>
      <c r="C7" s="26"/>
      <c r="D7" s="26"/>
      <c r="E7" s="26"/>
      <c r="F7" s="27">
        <f>F8</f>
        <v>0</v>
      </c>
      <c r="G7" s="27">
        <f t="shared" si="0"/>
        <v>0</v>
      </c>
      <c r="H7" s="27">
        <f t="shared" si="0"/>
        <v>0</v>
      </c>
      <c r="I7" s="27">
        <f t="shared" si="0"/>
        <v>0</v>
      </c>
      <c r="J7" s="27">
        <f t="shared" si="0"/>
        <v>-740000</v>
      </c>
      <c r="K7" s="27">
        <f t="shared" si="0"/>
        <v>0</v>
      </c>
      <c r="L7" s="27">
        <f t="shared" si="0"/>
        <v>-740000</v>
      </c>
      <c r="M7" s="27">
        <f t="shared" si="0"/>
        <v>0</v>
      </c>
      <c r="N7" s="27"/>
      <c r="O7" s="27"/>
      <c r="P7" s="27">
        <f t="shared" si="0"/>
        <v>0</v>
      </c>
      <c r="Q7" s="27">
        <f t="shared" si="0"/>
        <v>15000000</v>
      </c>
      <c r="R7" s="37" t="str">
        <f t="shared" si="1"/>
        <v>검토</v>
      </c>
      <c r="S7" s="16"/>
      <c r="T7" s="9" t="e">
        <f>T8+#REF!</f>
        <v>#REF!</v>
      </c>
      <c r="U7" s="9" t="e">
        <f>U8+#REF!</f>
        <v>#REF!</v>
      </c>
      <c r="V7" s="9"/>
    </row>
    <row r="8" spans="1:22" ht="28.5" customHeight="1">
      <c r="A8" s="28"/>
      <c r="B8" s="29"/>
      <c r="C8" s="30"/>
      <c r="D8" s="31"/>
      <c r="E8" s="30"/>
      <c r="F8" s="32">
        <f t="shared" ref="F8:Q8" si="2">SUM(F9:F9)</f>
        <v>0</v>
      </c>
      <c r="G8" s="32">
        <f t="shared" si="2"/>
        <v>0</v>
      </c>
      <c r="H8" s="32">
        <f t="shared" si="2"/>
        <v>0</v>
      </c>
      <c r="I8" s="32">
        <f t="shared" si="2"/>
        <v>0</v>
      </c>
      <c r="J8" s="32">
        <f t="shared" si="2"/>
        <v>-740000</v>
      </c>
      <c r="K8" s="32">
        <f t="shared" si="2"/>
        <v>0</v>
      </c>
      <c r="L8" s="32">
        <f t="shared" si="2"/>
        <v>-740000</v>
      </c>
      <c r="M8" s="32">
        <f t="shared" si="2"/>
        <v>0</v>
      </c>
      <c r="N8" s="32">
        <f t="shared" si="2"/>
        <v>0</v>
      </c>
      <c r="O8" s="32">
        <f t="shared" si="2"/>
        <v>0</v>
      </c>
      <c r="P8" s="32">
        <f t="shared" si="2"/>
        <v>0</v>
      </c>
      <c r="Q8" s="32">
        <f t="shared" si="2"/>
        <v>15000000</v>
      </c>
      <c r="R8" s="37" t="str">
        <f t="shared" si="1"/>
        <v>검토</v>
      </c>
      <c r="S8" s="16"/>
      <c r="T8" s="11">
        <f>SUM(T9:T9)</f>
        <v>0</v>
      </c>
      <c r="U8" s="11">
        <f>SUM(U9:U9)</f>
        <v>0</v>
      </c>
      <c r="V8" s="11"/>
    </row>
    <row r="9" spans="1:22" ht="42" customHeight="1">
      <c r="A9" s="28"/>
      <c r="B9" s="28"/>
      <c r="C9" s="33"/>
      <c r="D9" s="34"/>
      <c r="E9" s="51"/>
      <c r="F9" s="35"/>
      <c r="G9" s="35"/>
      <c r="H9" s="35"/>
      <c r="I9" s="44">
        <f>F9+G9+H9</f>
        <v>0</v>
      </c>
      <c r="J9" s="36">
        <v>-740000</v>
      </c>
      <c r="K9" s="38"/>
      <c r="L9" s="44">
        <f>F9+J9+K9</f>
        <v>-740000</v>
      </c>
      <c r="M9" s="37" t="str">
        <f>IF(G9-J9&lt;0,"동의필요","-")</f>
        <v>-</v>
      </c>
      <c r="N9" s="36"/>
      <c r="O9" s="36" t="s">
        <v>38</v>
      </c>
      <c r="P9" s="36"/>
      <c r="Q9" s="36">
        <v>15000000</v>
      </c>
      <c r="R9" s="37" t="str">
        <f>IF((G9+H9)=(P9+Q9),"ok","검토")</f>
        <v>검토</v>
      </c>
      <c r="S9" s="17"/>
      <c r="T9" s="8"/>
      <c r="U9" s="8"/>
      <c r="V9" s="7"/>
    </row>
    <row r="11" spans="1:22" ht="22.5" customHeight="1">
      <c r="A11" s="14" t="s">
        <v>39</v>
      </c>
      <c r="B11" s="14"/>
    </row>
    <row r="12" spans="1:22" ht="16.5" customHeight="1">
      <c r="H12" s="63">
        <f>G15+H15</f>
        <v>0</v>
      </c>
      <c r="N12" s="45" t="s">
        <v>19</v>
      </c>
    </row>
    <row r="13" spans="1:22" ht="27.75" customHeight="1">
      <c r="A13" s="801" t="s">
        <v>40</v>
      </c>
      <c r="B13" s="801"/>
      <c r="C13" s="804" t="s">
        <v>11</v>
      </c>
      <c r="D13" s="801" t="s">
        <v>41</v>
      </c>
      <c r="E13" s="801" t="s">
        <v>8</v>
      </c>
      <c r="F13" s="804" t="s">
        <v>20</v>
      </c>
      <c r="G13" s="857" t="s">
        <v>21</v>
      </c>
      <c r="H13" s="858"/>
      <c r="I13" s="804" t="s">
        <v>42</v>
      </c>
      <c r="J13" s="857" t="s">
        <v>43</v>
      </c>
      <c r="K13" s="858"/>
      <c r="L13" s="804" t="s">
        <v>16</v>
      </c>
      <c r="M13" s="859" t="s">
        <v>17</v>
      </c>
      <c r="N13" s="801" t="s">
        <v>12</v>
      </c>
      <c r="O13" s="861" t="s">
        <v>13</v>
      </c>
      <c r="P13" s="858" t="s">
        <v>44</v>
      </c>
      <c r="Q13" s="858"/>
      <c r="R13" s="858"/>
      <c r="S13" s="13"/>
      <c r="T13" s="863" t="s">
        <v>0</v>
      </c>
      <c r="U13" s="864"/>
      <c r="V13" s="854" t="s">
        <v>45</v>
      </c>
    </row>
    <row r="14" spans="1:22" ht="14.25" customHeight="1">
      <c r="A14" s="801"/>
      <c r="B14" s="801"/>
      <c r="C14" s="804"/>
      <c r="D14" s="801"/>
      <c r="E14" s="801"/>
      <c r="F14" s="801"/>
      <c r="G14" s="83" t="s">
        <v>1</v>
      </c>
      <c r="H14" s="83" t="s">
        <v>2</v>
      </c>
      <c r="I14" s="801"/>
      <c r="J14" s="83" t="s">
        <v>1</v>
      </c>
      <c r="K14" s="83" t="s">
        <v>2</v>
      </c>
      <c r="L14" s="801"/>
      <c r="M14" s="860"/>
      <c r="N14" s="801"/>
      <c r="O14" s="862"/>
      <c r="P14" s="83" t="s">
        <v>46</v>
      </c>
      <c r="Q14" s="83" t="s">
        <v>47</v>
      </c>
      <c r="R14" s="83" t="s">
        <v>7</v>
      </c>
      <c r="S14" s="13"/>
      <c r="T14" s="84" t="s">
        <v>1</v>
      </c>
      <c r="U14" s="84" t="s">
        <v>2</v>
      </c>
      <c r="V14" s="854"/>
    </row>
    <row r="15" spans="1:22" ht="34.5" customHeight="1">
      <c r="A15" s="21"/>
      <c r="B15" s="22" t="s">
        <v>5</v>
      </c>
      <c r="C15" s="23"/>
      <c r="D15" s="23"/>
      <c r="E15" s="23"/>
      <c r="F15" s="62">
        <f>F16+F19</f>
        <v>0</v>
      </c>
      <c r="G15" s="62">
        <f t="shared" ref="G15:I15" si="3">G16+G19</f>
        <v>0</v>
      </c>
      <c r="H15" s="62">
        <f t="shared" si="3"/>
        <v>0</v>
      </c>
      <c r="I15" s="62">
        <f t="shared" si="3"/>
        <v>0</v>
      </c>
      <c r="J15" s="62">
        <f t="shared" ref="J15:Q15" si="4">J16</f>
        <v>-740000</v>
      </c>
      <c r="K15" s="62">
        <f t="shared" si="4"/>
        <v>0</v>
      </c>
      <c r="L15" s="62">
        <f t="shared" si="4"/>
        <v>-740000</v>
      </c>
      <c r="M15" s="62">
        <f t="shared" si="4"/>
        <v>0</v>
      </c>
      <c r="N15" s="62"/>
      <c r="O15" s="62"/>
      <c r="P15" s="62">
        <f t="shared" si="4"/>
        <v>0</v>
      </c>
      <c r="Q15" s="62">
        <f t="shared" si="4"/>
        <v>0</v>
      </c>
      <c r="R15" s="37" t="str">
        <f t="shared" ref="R15:R20" si="5">IF((G15+H15)=(P15+Q15),"ok","검토")</f>
        <v>ok</v>
      </c>
      <c r="S15" s="15"/>
      <c r="T15" s="3"/>
      <c r="U15" s="3"/>
      <c r="V15" s="82"/>
    </row>
    <row r="16" spans="1:22" ht="34.5" customHeight="1">
      <c r="A16" s="25" t="s">
        <v>26</v>
      </c>
      <c r="B16" s="26"/>
      <c r="C16" s="26"/>
      <c r="D16" s="26"/>
      <c r="E16" s="26"/>
      <c r="F16" s="27">
        <f>F17</f>
        <v>0</v>
      </c>
      <c r="G16" s="27">
        <f t="shared" ref="G16:Q16" si="6">G17</f>
        <v>0</v>
      </c>
      <c r="H16" s="27">
        <f t="shared" si="6"/>
        <v>0</v>
      </c>
      <c r="I16" s="27">
        <f t="shared" si="6"/>
        <v>0</v>
      </c>
      <c r="J16" s="27">
        <f t="shared" si="6"/>
        <v>-740000</v>
      </c>
      <c r="K16" s="27">
        <f t="shared" si="6"/>
        <v>0</v>
      </c>
      <c r="L16" s="27">
        <f t="shared" si="6"/>
        <v>-740000</v>
      </c>
      <c r="M16" s="27">
        <f t="shared" si="6"/>
        <v>0</v>
      </c>
      <c r="N16" s="27"/>
      <c r="O16" s="27"/>
      <c r="P16" s="27">
        <f t="shared" si="6"/>
        <v>0</v>
      </c>
      <c r="Q16" s="27">
        <f t="shared" si="6"/>
        <v>0</v>
      </c>
      <c r="R16" s="37" t="str">
        <f t="shared" si="5"/>
        <v>ok</v>
      </c>
      <c r="S16" s="27">
        <f t="shared" ref="S16:V16" si="7">S17</f>
        <v>0</v>
      </c>
      <c r="T16" s="27">
        <f t="shared" si="7"/>
        <v>0</v>
      </c>
      <c r="U16" s="27">
        <f t="shared" si="7"/>
        <v>0</v>
      </c>
      <c r="V16" s="27">
        <f t="shared" si="7"/>
        <v>0</v>
      </c>
    </row>
    <row r="17" spans="1:22" ht="34.5" customHeight="1">
      <c r="A17" s="28"/>
      <c r="B17" s="29"/>
      <c r="C17" s="30"/>
      <c r="D17" s="31"/>
      <c r="E17" s="30"/>
      <c r="F17" s="32">
        <f t="shared" ref="F17:V17" si="8">SUM(F18:F18)</f>
        <v>0</v>
      </c>
      <c r="G17" s="32">
        <f t="shared" si="8"/>
        <v>0</v>
      </c>
      <c r="H17" s="32">
        <f t="shared" si="8"/>
        <v>0</v>
      </c>
      <c r="I17" s="32">
        <f t="shared" si="8"/>
        <v>0</v>
      </c>
      <c r="J17" s="32">
        <f t="shared" si="8"/>
        <v>-740000</v>
      </c>
      <c r="K17" s="32">
        <f t="shared" si="8"/>
        <v>0</v>
      </c>
      <c r="L17" s="32">
        <f t="shared" si="8"/>
        <v>-740000</v>
      </c>
      <c r="M17" s="32">
        <f t="shared" si="8"/>
        <v>0</v>
      </c>
      <c r="N17" s="32"/>
      <c r="O17" s="32"/>
      <c r="P17" s="32">
        <f t="shared" si="8"/>
        <v>0</v>
      </c>
      <c r="Q17" s="32">
        <f t="shared" si="8"/>
        <v>0</v>
      </c>
      <c r="R17" s="37" t="str">
        <f t="shared" si="5"/>
        <v>ok</v>
      </c>
      <c r="S17" s="32">
        <f t="shared" si="8"/>
        <v>0</v>
      </c>
      <c r="T17" s="32">
        <f t="shared" si="8"/>
        <v>0</v>
      </c>
      <c r="U17" s="32">
        <f t="shared" si="8"/>
        <v>0</v>
      </c>
      <c r="V17" s="32">
        <f t="shared" si="8"/>
        <v>0</v>
      </c>
    </row>
    <row r="18" spans="1:22" ht="30" customHeight="1">
      <c r="A18" s="28"/>
      <c r="B18" s="28"/>
      <c r="C18" s="33"/>
      <c r="D18" s="34"/>
      <c r="E18" s="34"/>
      <c r="F18" s="35"/>
      <c r="G18" s="35"/>
      <c r="H18" s="35"/>
      <c r="I18" s="44">
        <f>F18+G18+H18</f>
        <v>0</v>
      </c>
      <c r="J18" s="36">
        <v>-740000</v>
      </c>
      <c r="K18" s="38"/>
      <c r="L18" s="44">
        <f>F18+J18+K18</f>
        <v>-740000</v>
      </c>
      <c r="M18" s="37" t="str">
        <f>IF(G18-J18&lt;0,"동의필요","-")</f>
        <v>-</v>
      </c>
      <c r="N18" s="36"/>
      <c r="O18" s="36"/>
      <c r="P18" s="36"/>
      <c r="Q18" s="36"/>
      <c r="R18" s="37" t="str">
        <f t="shared" si="5"/>
        <v>ok</v>
      </c>
      <c r="S18" s="17"/>
      <c r="T18" s="8"/>
      <c r="U18" s="8"/>
      <c r="V18" s="7"/>
    </row>
    <row r="19" spans="1:22" ht="34.5" customHeight="1">
      <c r="A19" s="25" t="s">
        <v>54</v>
      </c>
      <c r="B19" s="26"/>
      <c r="C19" s="26"/>
      <c r="D19" s="26"/>
      <c r="E19" s="26"/>
      <c r="F19" s="27">
        <f>F20</f>
        <v>0</v>
      </c>
      <c r="G19" s="27">
        <f t="shared" ref="G19:Q19" si="9">G20</f>
        <v>0</v>
      </c>
      <c r="H19" s="27">
        <f t="shared" si="9"/>
        <v>0</v>
      </c>
      <c r="I19" s="27">
        <f t="shared" si="9"/>
        <v>0</v>
      </c>
      <c r="J19" s="27">
        <f t="shared" si="9"/>
        <v>-1340000</v>
      </c>
      <c r="K19" s="27">
        <f t="shared" si="9"/>
        <v>750000</v>
      </c>
      <c r="L19" s="27">
        <f t="shared" si="9"/>
        <v>-590000</v>
      </c>
      <c r="M19" s="27">
        <f t="shared" si="9"/>
        <v>0</v>
      </c>
      <c r="N19" s="27"/>
      <c r="O19" s="27"/>
      <c r="P19" s="27">
        <f t="shared" si="9"/>
        <v>0</v>
      </c>
      <c r="Q19" s="27">
        <f t="shared" si="9"/>
        <v>0</v>
      </c>
      <c r="R19" s="37" t="str">
        <f t="shared" si="5"/>
        <v>ok</v>
      </c>
      <c r="S19" s="27">
        <f t="shared" ref="S19:V19" si="10">S20</f>
        <v>0</v>
      </c>
      <c r="T19" s="27">
        <f t="shared" si="10"/>
        <v>-100000</v>
      </c>
      <c r="U19" s="27">
        <f t="shared" si="10"/>
        <v>0</v>
      </c>
      <c r="V19" s="27">
        <f t="shared" si="10"/>
        <v>0</v>
      </c>
    </row>
    <row r="20" spans="1:22" ht="26.25" customHeight="1">
      <c r="A20" s="28"/>
      <c r="B20" s="29"/>
      <c r="C20" s="30"/>
      <c r="D20" s="31"/>
      <c r="E20" s="30"/>
      <c r="F20" s="32">
        <f>SUM(F21:F31)</f>
        <v>0</v>
      </c>
      <c r="G20" s="32">
        <f t="shared" ref="G20:I20" si="11">SUM(G21:G31)</f>
        <v>0</v>
      </c>
      <c r="H20" s="32">
        <f t="shared" si="11"/>
        <v>0</v>
      </c>
      <c r="I20" s="32">
        <f t="shared" si="11"/>
        <v>0</v>
      </c>
      <c r="J20" s="32">
        <f t="shared" ref="J20:L20" si="12">SUM(J21:J25)</f>
        <v>-1340000</v>
      </c>
      <c r="K20" s="32">
        <f t="shared" si="12"/>
        <v>750000</v>
      </c>
      <c r="L20" s="32">
        <f t="shared" si="12"/>
        <v>-590000</v>
      </c>
      <c r="M20" s="32"/>
      <c r="N20" s="32"/>
      <c r="O20" s="32"/>
      <c r="P20" s="32"/>
      <c r="Q20" s="32"/>
      <c r="R20" s="37" t="str">
        <f t="shared" si="5"/>
        <v>ok</v>
      </c>
      <c r="S20" s="16"/>
      <c r="T20" s="11">
        <f t="shared" ref="T20:U20" si="13">SUM(T21:T25)</f>
        <v>-100000</v>
      </c>
      <c r="U20" s="11">
        <f t="shared" si="13"/>
        <v>0</v>
      </c>
      <c r="V20" s="11"/>
    </row>
    <row r="21" spans="1:22" ht="26.25" customHeight="1">
      <c r="A21" s="28"/>
      <c r="B21" s="28"/>
      <c r="C21" s="33"/>
      <c r="D21" s="34"/>
      <c r="E21" s="34"/>
      <c r="F21" s="35"/>
      <c r="G21" s="35"/>
      <c r="H21" s="35"/>
      <c r="I21" s="44">
        <f>F21+G21+H21</f>
        <v>0</v>
      </c>
      <c r="J21" s="36">
        <v>-740000</v>
      </c>
      <c r="K21" s="38"/>
      <c r="L21" s="44">
        <f t="shared" ref="L21:L23" si="14">F21+J21+K21</f>
        <v>-740000</v>
      </c>
      <c r="M21" s="37" t="str">
        <f>IF(G21-J21&lt;0,"동의필요","-")</f>
        <v>-</v>
      </c>
      <c r="N21" s="36"/>
      <c r="O21" s="36"/>
      <c r="P21" s="36"/>
      <c r="Q21" s="36"/>
      <c r="R21" s="37" t="str">
        <f>IF((G21+H21)=(P21+Q21),"ok","검토")</f>
        <v>ok</v>
      </c>
      <c r="S21" s="17"/>
      <c r="T21" s="8"/>
      <c r="U21" s="8"/>
      <c r="V21" s="7"/>
    </row>
    <row r="22" spans="1:22" ht="26.25" customHeight="1">
      <c r="A22" s="28"/>
      <c r="B22" s="28"/>
      <c r="C22" s="33"/>
      <c r="D22" s="34"/>
      <c r="E22" s="51"/>
      <c r="F22" s="35"/>
      <c r="G22" s="35"/>
      <c r="H22" s="35"/>
      <c r="I22" s="44">
        <f>F22+G22+H22</f>
        <v>0</v>
      </c>
      <c r="J22" s="36"/>
      <c r="K22" s="38">
        <v>750000</v>
      </c>
      <c r="L22" s="44">
        <f t="shared" si="14"/>
        <v>750000</v>
      </c>
      <c r="M22" s="37" t="str">
        <f t="shared" ref="M22:M23" si="15">IF(G22-J22&lt;0,"동의필요","-")</f>
        <v>-</v>
      </c>
      <c r="N22" s="36"/>
      <c r="O22" s="36"/>
      <c r="P22" s="36"/>
      <c r="Q22" s="36"/>
      <c r="R22" s="37" t="str">
        <f>IF((G22+H22)=(P22+Q22),"ok","검토")</f>
        <v>ok</v>
      </c>
      <c r="S22" s="17"/>
      <c r="T22" s="8"/>
      <c r="U22" s="8"/>
      <c r="V22" s="7"/>
    </row>
    <row r="23" spans="1:22" ht="26.25" customHeight="1">
      <c r="A23" s="28"/>
      <c r="B23" s="28"/>
      <c r="C23" s="33"/>
      <c r="D23" s="34"/>
      <c r="E23" s="51"/>
      <c r="F23" s="35"/>
      <c r="G23" s="35"/>
      <c r="H23" s="35"/>
      <c r="I23" s="44">
        <f>F23+G23+H23</f>
        <v>0</v>
      </c>
      <c r="J23" s="36">
        <v>-600000</v>
      </c>
      <c r="K23" s="38"/>
      <c r="L23" s="44">
        <f t="shared" si="14"/>
        <v>-600000</v>
      </c>
      <c r="M23" s="37" t="str">
        <f t="shared" si="15"/>
        <v>-</v>
      </c>
      <c r="N23" s="38"/>
      <c r="O23" s="36"/>
      <c r="P23" s="36"/>
      <c r="Q23" s="36"/>
      <c r="R23" s="37" t="str">
        <f>IF((G23+H23)=(P23+Q23),"ok","검토")</f>
        <v>ok</v>
      </c>
      <c r="S23" s="16"/>
      <c r="T23" s="8">
        <v>-100000</v>
      </c>
      <c r="U23" s="8"/>
      <c r="V23" s="7"/>
    </row>
  </sheetData>
  <mergeCells count="31">
    <mergeCell ref="T13:U13"/>
    <mergeCell ref="V13:V14"/>
    <mergeCell ref="I13:I14"/>
    <mergeCell ref="J13:K13"/>
    <mergeCell ref="L13:L14"/>
    <mergeCell ref="M13:M14"/>
    <mergeCell ref="N13:N14"/>
    <mergeCell ref="O13:O14"/>
    <mergeCell ref="A13:B14"/>
    <mergeCell ref="C13:C14"/>
    <mergeCell ref="D13:D14"/>
    <mergeCell ref="E13:E14"/>
    <mergeCell ref="F13:F14"/>
    <mergeCell ref="G13:H13"/>
    <mergeCell ref="M4:M5"/>
    <mergeCell ref="N4:N5"/>
    <mergeCell ref="O4:O5"/>
    <mergeCell ref="P4:R4"/>
    <mergeCell ref="P13:R13"/>
    <mergeCell ref="T4:U4"/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8" orientation="portrait" cellComments="asDisplayed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23</vt:i4>
      </vt:variant>
      <vt:variant>
        <vt:lpstr>이름이 지정된 범위</vt:lpstr>
      </vt:variant>
      <vt:variant>
        <vt:i4>28</vt:i4>
      </vt:variant>
    </vt:vector>
  </HeadingPairs>
  <TitlesOfParts>
    <vt:vector size="51" baseType="lpstr">
      <vt:lpstr>추가</vt:lpstr>
      <vt:lpstr>감액</vt:lpstr>
      <vt:lpstr>표지</vt:lpstr>
      <vt:lpstr>총괄표 </vt:lpstr>
      <vt:lpstr>표</vt:lpstr>
      <vt:lpstr>일입</vt:lpstr>
      <vt:lpstr>일출</vt:lpstr>
      <vt:lpstr>특입</vt:lpstr>
      <vt:lpstr>특출</vt:lpstr>
      <vt:lpstr>표지(기특)</vt:lpstr>
      <vt:lpstr>기특입출</vt:lpstr>
      <vt:lpstr>표지(기)</vt:lpstr>
      <vt:lpstr>기입출</vt:lpstr>
      <vt:lpstr>표지(중기)</vt:lpstr>
      <vt:lpstr>중기재정</vt:lpstr>
      <vt:lpstr>추 표지</vt:lpstr>
      <vt:lpstr>총괄표</vt:lpstr>
      <vt:lpstr>추 표</vt:lpstr>
      <vt:lpstr>추 일입</vt:lpstr>
      <vt:lpstr>추 일출</vt:lpstr>
      <vt:lpstr>추 표지(명)</vt:lpstr>
      <vt:lpstr>명시</vt:lpstr>
      <vt:lpstr>추 기입출</vt:lpstr>
      <vt:lpstr>감액!Print_Area</vt:lpstr>
      <vt:lpstr>기입출!Print_Area</vt:lpstr>
      <vt:lpstr>기특입출!Print_Area</vt:lpstr>
      <vt:lpstr>명시!Print_Area</vt:lpstr>
      <vt:lpstr>일입!Print_Area</vt:lpstr>
      <vt:lpstr>일출!Print_Area</vt:lpstr>
      <vt:lpstr>중기재정!Print_Area</vt:lpstr>
      <vt:lpstr>총괄표!Print_Area</vt:lpstr>
      <vt:lpstr>'총괄표 '!Print_Area</vt:lpstr>
      <vt:lpstr>'추 기입출'!Print_Area</vt:lpstr>
      <vt:lpstr>'추 일입'!Print_Area</vt:lpstr>
      <vt:lpstr>'추 일출'!Print_Area</vt:lpstr>
      <vt:lpstr>'추 표'!Print_Area</vt:lpstr>
      <vt:lpstr>'추 표지'!Print_Area</vt:lpstr>
      <vt:lpstr>'추 표지(명)'!Print_Area</vt:lpstr>
      <vt:lpstr>추가!Print_Area</vt:lpstr>
      <vt:lpstr>표!Print_Area</vt:lpstr>
      <vt:lpstr>표지!Print_Area</vt:lpstr>
      <vt:lpstr>'표지(기)'!Print_Area</vt:lpstr>
      <vt:lpstr>'표지(기특)'!Print_Area</vt:lpstr>
      <vt:lpstr>'표지(중기)'!Print_Area</vt:lpstr>
      <vt:lpstr>감액!Print_Titles</vt:lpstr>
      <vt:lpstr>일입!Print_Titles</vt:lpstr>
      <vt:lpstr>일출!Print_Titles</vt:lpstr>
      <vt:lpstr>'추 기입출'!Print_Titles</vt:lpstr>
      <vt:lpstr>'추 일입'!Print_Titles</vt:lpstr>
      <vt:lpstr>'추 일출'!Print_Titles</vt:lpstr>
      <vt:lpstr>추가!Print_Titles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2013-12-16T05:48:53Z</cp:lastPrinted>
  <dcterms:created xsi:type="dcterms:W3CDTF">2013-08-23T08:00:50Z</dcterms:created>
  <dcterms:modified xsi:type="dcterms:W3CDTF">2014-01-20T00:56:59Z</dcterms:modified>
</cp:coreProperties>
</file>