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604" firstSheet="2" activeTab="2"/>
  </bookViews>
  <sheets>
    <sheet name="추 표지" sheetId="20" state="hidden" r:id="rId1"/>
    <sheet name="총괄표" sheetId="48" state="hidden" r:id="rId2"/>
    <sheet name="계수조정최종(세출)" sheetId="36" r:id="rId3"/>
  </sheets>
  <definedNames>
    <definedName name="_xlnm._FilterDatabase" localSheetId="2" hidden="1">'계수조정최종(세출)'!$A$6:$T$15</definedName>
    <definedName name="_xlnm.Print_Area" localSheetId="2">'계수조정최종(세출)'!$A$1:$T$15</definedName>
    <definedName name="_xlnm.Print_Area" localSheetId="1">총괄표!$B$1:$H$28</definedName>
    <definedName name="_xlnm.Print_Area" localSheetId="0">'추 표지'!$A$1:$J$37</definedName>
    <definedName name="_xlnm.Print_Titles" localSheetId="2">'계수조정최종(세출)'!$3:$5</definedName>
  </definedNames>
  <calcPr calcId="145621"/>
</workbook>
</file>

<file path=xl/calcChain.xml><?xml version="1.0" encoding="utf-8"?>
<calcChain xmlns="http://schemas.openxmlformats.org/spreadsheetml/2006/main">
  <c r="S8" i="36" l="1"/>
  <c r="S12" i="36"/>
  <c r="N10" i="36"/>
  <c r="K10" i="36"/>
  <c r="H10" i="36"/>
  <c r="N14" i="36"/>
  <c r="N13" i="36"/>
  <c r="K14" i="36"/>
  <c r="H14" i="36"/>
  <c r="T14" i="36"/>
  <c r="T13" i="36"/>
  <c r="K13" i="36"/>
  <c r="H13" i="36"/>
  <c r="R12" i="36"/>
  <c r="L12" i="36"/>
  <c r="J12" i="36"/>
  <c r="I12" i="36"/>
  <c r="G12" i="36"/>
  <c r="F12" i="36"/>
  <c r="T12" i="36" l="1"/>
  <c r="T9" i="36" l="1"/>
  <c r="O9" i="36"/>
  <c r="N9" i="36"/>
  <c r="K9" i="36"/>
  <c r="H9" i="36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M12" i="36" l="1"/>
  <c r="N11" i="36"/>
  <c r="E13" i="48" l="1"/>
  <c r="G18" i="48" l="1"/>
  <c r="F18" i="48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E14" i="48"/>
  <c r="E12" i="48"/>
  <c r="T15" i="36"/>
  <c r="O15" i="36"/>
  <c r="N15" i="36"/>
  <c r="N12" i="36" s="1"/>
  <c r="K15" i="36"/>
  <c r="K12" i="36" s="1"/>
  <c r="H15" i="36"/>
  <c r="H12" i="36" s="1"/>
  <c r="T11" i="36"/>
  <c r="O11" i="36"/>
  <c r="K11" i="36"/>
  <c r="H11" i="36"/>
  <c r="S7" i="36"/>
  <c r="R8" i="36"/>
  <c r="R7" i="36" s="1"/>
  <c r="N8" i="36"/>
  <c r="N7" i="36" s="1"/>
  <c r="M8" i="36"/>
  <c r="M7" i="36" s="1"/>
  <c r="E11" i="48" s="1"/>
  <c r="L8" i="36"/>
  <c r="L7" i="36" s="1"/>
  <c r="J8" i="36"/>
  <c r="J7" i="36" s="1"/>
  <c r="I8" i="36"/>
  <c r="G8" i="36"/>
  <c r="G7" i="36" s="1"/>
  <c r="F8" i="36"/>
  <c r="F7" i="36" s="1"/>
  <c r="K8" i="36" l="1"/>
  <c r="K7" i="36" s="1"/>
  <c r="E16" i="48"/>
  <c r="G13" i="48"/>
  <c r="F14" i="48"/>
  <c r="H14" i="48" s="1"/>
  <c r="D12" i="48"/>
  <c r="D15" i="48"/>
  <c r="D18" i="48"/>
  <c r="D11" i="48"/>
  <c r="D16" i="48"/>
  <c r="E17" i="48"/>
  <c r="E15" i="48"/>
  <c r="E18" i="48"/>
  <c r="H8" i="36"/>
  <c r="H7" i="36" s="1"/>
  <c r="T8" i="36"/>
  <c r="S6" i="36"/>
  <c r="I7" i="36"/>
  <c r="R6" i="36" l="1"/>
  <c r="G6" i="36"/>
  <c r="F13" i="48"/>
  <c r="H13" i="48" s="1"/>
  <c r="G12" i="48"/>
  <c r="L6" i="36"/>
  <c r="D17" i="48"/>
  <c r="D14" i="48"/>
  <c r="E7" i="48"/>
  <c r="M6" i="36"/>
  <c r="E25" i="48" s="1"/>
  <c r="K6" i="36"/>
  <c r="F6" i="36"/>
  <c r="N6" i="36"/>
  <c r="H6" i="36"/>
  <c r="J6" i="36"/>
  <c r="T7" i="36"/>
  <c r="I6" i="36"/>
  <c r="D7" i="48" l="1"/>
  <c r="I8" i="48" s="1"/>
  <c r="E24" i="48"/>
  <c r="I10" i="48"/>
  <c r="D25" i="48"/>
  <c r="G11" i="48"/>
  <c r="F12" i="48"/>
  <c r="H12" i="48" s="1"/>
  <c r="T6" i="36"/>
  <c r="I25" i="48" l="1"/>
  <c r="D24" i="48"/>
  <c r="I7" i="48"/>
  <c r="F11" i="48"/>
  <c r="H11" i="48" s="1"/>
  <c r="G10" i="48"/>
  <c r="M7" i="48" l="1"/>
  <c r="I24" i="48"/>
  <c r="G9" i="48"/>
  <c r="G7" i="48" s="1"/>
  <c r="G25" i="48"/>
  <c r="G24" i="48" s="1"/>
  <c r="F10" i="48"/>
  <c r="H10" i="48" s="1"/>
  <c r="F9" i="48" l="1"/>
  <c r="F7" i="48" s="1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<sst xmlns="http://schemas.openxmlformats.org/spreadsheetml/2006/main" count="145" uniqueCount="121">
  <si>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</si>
  <si>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</si>
  <si>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</si>
  <si>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</si>
  <si>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</si>
  <si>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</si>
  <si>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</si>
  <si>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</si>
  <si>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</si>
  <si>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</si>
  <si>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</si>
  <si>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</si>
  <si>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</si>
  <si>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</si>
  <si>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</si>
  <si>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</si>
  <si>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</si>
  <si>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</si>
  <si>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기정액
(나)</t>
    <phoneticPr fontId="6" type="noConversion"/>
  </si>
  <si>
    <t>경제과학기술위원회</t>
  </si>
  <si>
    <t>도비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</si>
  <si>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</si>
  <si>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</si>
  <si>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</si>
  <si>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</si>
  <si>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</si>
  <si>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</si>
  <si>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</si>
  <si>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</si>
  <si>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</si>
  <si>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</si>
  <si>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</si>
  <si>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</si>
  <si>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</si>
  <si>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신규</t>
    <phoneticPr fontId="6" type="noConversion"/>
  </si>
  <si>
    <t>본예산
58</t>
    <phoneticPr fontId="6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</si>
  <si>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</si>
  <si>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</si>
  <si>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</si>
  <si>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</si>
  <si>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</si>
  <si>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</si>
  <si>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</si>
  <si>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</si>
  <si>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</si>
  <si>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</si>
  <si>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</si>
  <si>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</si>
  <si>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</si>
  <si>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</si>
  <si>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</si>
  <si>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</si>
  <si>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</si>
  <si>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</si>
  <si>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</si>
  <si>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</si>
  <si>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</si>
  <si>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</si>
  <si>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</si>
  <si>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</si>
  <si>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</si>
  <si>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</si>
  <si>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</si>
  <si>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</si>
  <si>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</si>
  <si>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</si>
  <si>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</si>
  <si>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</si>
  <si>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</si>
  <si>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</si>
  <si>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</si>
  <si>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</si>
  <si>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</si>
  <si>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</si>
  <si>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</si>
  <si>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</si>
  <si>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</si>
  <si>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</si>
  <si>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</si>
  <si>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</si>
  <si>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</si>
  <si>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</si>
  <si>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</si>
  <si>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</si>
  <si>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</si>
  <si>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</si>
  <si>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</si>
  <si>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</si>
  <si>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</si>
  <si>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</si>
  <si>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조정액(마)</t>
    <phoneticPr fontId="6" type="noConversion"/>
  </si>
  <si>
    <t>1회</t>
    <phoneticPr fontId="6" type="noConversion"/>
  </si>
  <si>
    <t>추가</t>
    <phoneticPr fontId="6" type="noConversion"/>
  </si>
  <si>
    <t xml:space="preserve">  1회 추경 예산안에 요구된 사업의 경우 "1회"라고 기재하고 추경예산안의 페이지 기재 </t>
    <phoneticPr fontId="6" type="noConversion"/>
  </si>
  <si>
    <t xml:space="preserve">  본예산에도 없고 추경예산안에서도 요구하지 않은 신규 사업울 추가할 경우 "추가"라고 기재하고 "신규"라고 기재</t>
    <phoneticPr fontId="6" type="noConversion"/>
  </si>
  <si>
    <t>※ 예산안 페이지 작성 방법</t>
    <phoneticPr fontId="6" type="noConversion"/>
  </si>
  <si>
    <t xml:space="preserve">  본예산에는 있고 추경예산안에서는 요구하지 않은 사업을 추가하는 경우 "추가"라고 기재하고 "본예산 페이지" 기재</t>
    <phoneticPr fontId="6" type="noConversion"/>
  </si>
  <si>
    <t>건설교통위원회</t>
    <phoneticPr fontId="6" type="noConversion"/>
  </si>
  <si>
    <t>교통건설국</t>
    <phoneticPr fontId="6" type="noConversion"/>
  </si>
  <si>
    <t>추가</t>
    <phoneticPr fontId="6" type="noConversion"/>
  </si>
  <si>
    <t>신규</t>
    <phoneticPr fontId="6" type="noConversion"/>
  </si>
  <si>
    <t>교통정책과</t>
    <phoneticPr fontId="6" type="noConversion"/>
  </si>
  <si>
    <t>광역이동지원센터시스템 구축</t>
    <phoneticPr fontId="6" type="noConversion"/>
  </si>
  <si>
    <t>도비</t>
    <phoneticPr fontId="6" type="noConversion"/>
  </si>
  <si>
    <t>도로계획과</t>
    <phoneticPr fontId="6" type="noConversion"/>
  </si>
  <si>
    <t>범안로 도로확포장공사(자체/직접)</t>
    <phoneticPr fontId="2" type="noConversion"/>
  </si>
  <si>
    <t>건설본부</t>
    <phoneticPr fontId="6" type="noConversion"/>
  </si>
  <si>
    <t>도로건설과</t>
    <phoneticPr fontId="6" type="noConversion"/>
  </si>
  <si>
    <t>1회</t>
    <phoneticPr fontId="6" type="noConversion"/>
  </si>
  <si>
    <t>건축시설과</t>
    <phoneticPr fontId="6" type="noConversion"/>
  </si>
  <si>
    <t>민간인국외여비(감4천만원)
국제화여비(공무원)(증1천만원)</t>
    <phoneticPr fontId="6" type="noConversion"/>
  </si>
  <si>
    <t>1회</t>
    <phoneticPr fontId="6" type="noConversion"/>
  </si>
  <si>
    <t>하천과</t>
    <phoneticPr fontId="6" type="noConversion"/>
  </si>
  <si>
    <t>지방하천개수시군대행사업(자체/지원)</t>
    <phoneticPr fontId="6" type="noConversion"/>
  </si>
  <si>
    <t>구조물유지관리(자체/직접)</t>
    <phoneticPr fontId="6" type="noConversion"/>
  </si>
  <si>
    <t>도 신청사 관련 벤치마킹(자체/직접)</t>
    <phoneticPr fontId="6" type="noConversion"/>
  </si>
  <si>
    <t>파주 놀노천(10억원)
김포 나진포천(7억원)</t>
    <phoneticPr fontId="6" type="noConversion"/>
  </si>
  <si>
    <t>도비</t>
    <phoneticPr fontId="6" type="noConversion"/>
  </si>
  <si>
    <t>도로구역 정비 추진(자체/직접)</t>
    <phoneticPr fontId="6" type="noConversion"/>
  </si>
  <si>
    <t>양평군 1억원</t>
    <phoneticPr fontId="6" type="noConversion"/>
  </si>
  <si>
    <t>세출예산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</si>
</sst>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7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9"/>
      <color theme="1"/>
      <name val="맑은 고딕"/>
      <family val="3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5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9" fillId="0" borderId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1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7" applyNumberFormat="0" applyAlignment="0" applyProtection="0">
      <alignment horizontal="left" vertical="center"/>
    </xf>
    <xf numFmtId="0" fontId="43" fillId="0" borderId="16">
      <alignment horizontal="left" vertical="center"/>
    </xf>
    <xf numFmtId="10" fontId="42" fillId="23" borderId="10" applyNumberFormat="0" applyBorder="0" applyAlignment="0" applyProtection="0"/>
    <xf numFmtId="182" fontId="11" fillId="0" borderId="0"/>
    <xf numFmtId="0" fontId="44" fillId="0" borderId="0"/>
    <xf numFmtId="10" fontId="44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9" fontId="61" fillId="0" borderId="0" applyFont="0" applyFill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19" fillId="51" borderId="3" applyNumberFormat="0" applyAlignment="0" applyProtection="0">
      <alignment vertical="center"/>
    </xf>
    <xf numFmtId="18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2" fontId="11" fillId="0" borderId="0"/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</cellStyleXfs>
  <cellXfs count="186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5" fillId="3" borderId="10" xfId="1" applyNumberFormat="1" applyFont="1" applyFill="1" applyBorder="1" applyAlignment="1">
      <alignment horizontal="left" vertical="center" shrinkToFit="1"/>
    </xf>
    <xf numFmtId="0" fontId="11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8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29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0" fontId="48" fillId="0" borderId="0" xfId="2" applyFont="1"/>
    <xf numFmtId="0" fontId="49" fillId="0" borderId="0" xfId="2" applyFont="1"/>
    <xf numFmtId="0" fontId="47" fillId="0" borderId="0" xfId="2" applyFont="1" applyAlignment="1">
      <alignment horizontal="center" vertical="center"/>
    </xf>
    <xf numFmtId="0" fontId="50" fillId="0" borderId="0" xfId="2" applyFont="1" applyAlignment="1">
      <alignment vertical="center"/>
    </xf>
    <xf numFmtId="0" fontId="50" fillId="0" borderId="0" xfId="2" applyFont="1" applyAlignment="1"/>
    <xf numFmtId="0" fontId="50" fillId="0" borderId="0" xfId="2" applyFont="1"/>
    <xf numFmtId="0" fontId="51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83" fontId="49" fillId="0" borderId="0" xfId="2" applyNumberFormat="1" applyFont="1" applyAlignment="1">
      <alignment vertical="center"/>
    </xf>
    <xf numFmtId="0" fontId="49" fillId="0" borderId="0" xfId="2" applyFont="1" applyAlignment="1">
      <alignment horizontal="right" vertical="center"/>
    </xf>
    <xf numFmtId="41" fontId="48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18" xfId="2" applyFont="1" applyBorder="1" applyAlignment="1">
      <alignment vertical="center"/>
    </xf>
    <xf numFmtId="0" fontId="48" fillId="0" borderId="14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 wrapText="1"/>
    </xf>
    <xf numFmtId="0" fontId="48" fillId="0" borderId="10" xfId="2" applyFont="1" applyBorder="1" applyAlignment="1">
      <alignment horizontal="center" vertical="center" wrapText="1"/>
    </xf>
    <xf numFmtId="183" fontId="53" fillId="29" borderId="15" xfId="2" applyNumberFormat="1" applyFont="1" applyFill="1" applyBorder="1" applyAlignment="1">
      <alignment horizontal="right" vertical="center"/>
    </xf>
    <xf numFmtId="183" fontId="48" fillId="0" borderId="14" xfId="2" applyNumberFormat="1" applyFont="1" applyBorder="1" applyAlignment="1">
      <alignment horizontal="right" vertical="center"/>
    </xf>
    <xf numFmtId="184" fontId="54" fillId="0" borderId="27" xfId="2" applyNumberFormat="1" applyFont="1" applyBorder="1" applyAlignment="1">
      <alignment vertical="center"/>
    </xf>
    <xf numFmtId="0" fontId="55" fillId="13" borderId="28" xfId="2" applyFont="1" applyFill="1" applyBorder="1" applyAlignment="1">
      <alignment vertical="center" wrapText="1"/>
    </xf>
    <xf numFmtId="184" fontId="53" fillId="0" borderId="15" xfId="45" applyNumberFormat="1" applyFont="1" applyBorder="1" applyAlignment="1">
      <alignment vertical="center"/>
    </xf>
    <xf numFmtId="184" fontId="48" fillId="0" borderId="10" xfId="45" applyNumberFormat="1" applyFont="1" applyBorder="1" applyAlignment="1">
      <alignment vertical="center"/>
    </xf>
    <xf numFmtId="184" fontId="48" fillId="0" borderId="10" xfId="2" applyNumberFormat="1" applyFont="1" applyBorder="1" applyAlignment="1">
      <alignment vertical="center"/>
    </xf>
    <xf numFmtId="41" fontId="53" fillId="0" borderId="0" xfId="45" applyFont="1" applyBorder="1" applyAlignment="1">
      <alignment vertical="center"/>
    </xf>
    <xf numFmtId="183" fontId="57" fillId="0" borderId="15" xfId="2" applyNumberFormat="1" applyFont="1" applyBorder="1" applyAlignment="1">
      <alignment horizontal="right" vertical="center" wrapText="1"/>
    </xf>
    <xf numFmtId="183" fontId="57" fillId="0" borderId="10" xfId="2" applyNumberFormat="1" applyFont="1" applyBorder="1" applyAlignment="1">
      <alignment horizontal="right" vertical="center" wrapText="1"/>
    </xf>
    <xf numFmtId="183" fontId="56" fillId="9" borderId="29" xfId="2" applyNumberFormat="1" applyFont="1" applyFill="1" applyBorder="1" applyAlignment="1">
      <alignment vertical="center"/>
    </xf>
    <xf numFmtId="183" fontId="48" fillId="0" borderId="0" xfId="2" applyNumberFormat="1" applyFont="1"/>
    <xf numFmtId="0" fontId="48" fillId="0" borderId="0" xfId="2" applyFont="1" applyAlignment="1">
      <alignment horizontal="center" wrapText="1"/>
    </xf>
    <xf numFmtId="0" fontId="48" fillId="0" borderId="0" xfId="2" applyFont="1" applyAlignment="1">
      <alignment wrapText="1"/>
    </xf>
    <xf numFmtId="176" fontId="52" fillId="0" borderId="0" xfId="45" applyNumberFormat="1" applyFont="1" applyFill="1" applyBorder="1" applyAlignment="1">
      <alignment horizontal="right" vertical="center" shrinkToFit="1"/>
    </xf>
    <xf numFmtId="176" fontId="52" fillId="0" borderId="0" xfId="45" applyNumberFormat="1" applyFont="1" applyFill="1" applyBorder="1" applyAlignment="1">
      <alignment horizontal="center" vertical="center" shrinkToFit="1"/>
    </xf>
    <xf numFmtId="0" fontId="48" fillId="0" borderId="0" xfId="2" applyFont="1" applyFill="1"/>
    <xf numFmtId="183" fontId="48" fillId="0" borderId="0" xfId="45" applyNumberFormat="1" applyFont="1" applyBorder="1" applyAlignment="1">
      <alignment vertical="center"/>
    </xf>
    <xf numFmtId="0" fontId="49" fillId="0" borderId="0" xfId="2" applyFont="1" applyFill="1"/>
    <xf numFmtId="0" fontId="56" fillId="0" borderId="0" xfId="2" applyFont="1" applyFill="1"/>
    <xf numFmtId="0" fontId="58" fillId="0" borderId="0" xfId="2" applyFont="1" applyFill="1"/>
    <xf numFmtId="0" fontId="50" fillId="0" borderId="0" xfId="2" applyFont="1" applyAlignment="1">
      <alignment horizontal="left" vertical="center"/>
    </xf>
    <xf numFmtId="0" fontId="50" fillId="0" borderId="0" xfId="2" applyFont="1" applyAlignment="1">
      <alignment horizontal="right" vertical="center"/>
    </xf>
    <xf numFmtId="177" fontId="48" fillId="0" borderId="0" xfId="2" applyNumberFormat="1" applyFont="1" applyAlignment="1">
      <alignment vertical="center"/>
    </xf>
    <xf numFmtId="0" fontId="59" fillId="0" borderId="30" xfId="2" applyNumberFormat="1" applyFont="1" applyFill="1" applyBorder="1" applyAlignment="1"/>
    <xf numFmtId="0" fontId="49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9" fillId="0" borderId="13" xfId="2" applyNumberFormat="1" applyFont="1" applyFill="1" applyBorder="1" applyAlignment="1"/>
    <xf numFmtId="176" fontId="33" fillId="0" borderId="0" xfId="2" applyNumberFormat="1" applyFont="1" applyAlignment="1">
      <alignment vertical="center"/>
    </xf>
    <xf numFmtId="176" fontId="60" fillId="0" borderId="0" xfId="2" applyNumberFormat="1" applyFont="1" applyAlignment="1">
      <alignment vertical="center"/>
    </xf>
    <xf numFmtId="0" fontId="49" fillId="0" borderId="18" xfId="2" applyFont="1" applyBorder="1"/>
    <xf numFmtId="0" fontId="48" fillId="0" borderId="18" xfId="2" applyFont="1" applyBorder="1"/>
    <xf numFmtId="0" fontId="48" fillId="28" borderId="0" xfId="2" applyFont="1" applyFill="1"/>
    <xf numFmtId="176" fontId="4" fillId="0" borderId="10" xfId="0" applyNumberFormat="1" applyFont="1" applyFill="1" applyBorder="1">
      <alignment vertical="center"/>
    </xf>
    <xf numFmtId="176" fontId="63" fillId="0" borderId="10" xfId="0" applyNumberFormat="1" applyFont="1" applyBorder="1" applyAlignment="1">
      <alignment vertical="center" wrapText="1"/>
    </xf>
    <xf numFmtId="176" fontId="10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7" fillId="0" borderId="10" xfId="0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left" vertical="center"/>
    </xf>
    <xf numFmtId="176" fontId="30" fillId="0" borderId="10" xfId="0" applyNumberFormat="1" applyFont="1" applyBorder="1" applyAlignment="1">
      <alignment vertical="center" wrapText="1"/>
    </xf>
    <xf numFmtId="176" fontId="31" fillId="3" borderId="10" xfId="1" applyNumberFormat="1" applyFont="1" applyFill="1" applyBorder="1" applyAlignment="1">
      <alignment vertical="center" wrapText="1"/>
    </xf>
    <xf numFmtId="176" fontId="31" fillId="4" borderId="10" xfId="1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0" applyNumberFormat="1" applyFont="1" applyFill="1" applyBorder="1">
      <alignment vertical="center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7" fillId="0" borderId="0" xfId="2" applyFont="1" applyAlignment="1">
      <alignment horizontal="center" vertical="center" wrapText="1"/>
    </xf>
    <xf numFmtId="0" fontId="49" fillId="29" borderId="10" xfId="2" applyFont="1" applyFill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34" xfId="2" applyFont="1" applyBorder="1" applyAlignment="1">
      <alignment horizontal="center" vertical="center"/>
    </xf>
    <xf numFmtId="41" fontId="48" fillId="0" borderId="10" xfId="45" applyFont="1" applyBorder="1" applyAlignment="1">
      <alignment horizontal="right" vertical="center"/>
    </xf>
    <xf numFmtId="176" fontId="52" fillId="0" borderId="10" xfId="45" applyNumberFormat="1" applyFont="1" applyFill="1" applyBorder="1" applyAlignment="1">
      <alignment horizontal="right" vertical="center" shrinkToFit="1"/>
    </xf>
    <xf numFmtId="41" fontId="48" fillId="0" borderId="35" xfId="45" applyFont="1" applyBorder="1" applyAlignment="1">
      <alignment horizontal="right" vertical="center"/>
    </xf>
    <xf numFmtId="0" fontId="48" fillId="0" borderId="34" xfId="2" applyFont="1" applyBorder="1" applyAlignment="1">
      <alignment horizontal="center" vertical="center" wrapText="1"/>
    </xf>
    <xf numFmtId="183" fontId="53" fillId="29" borderId="16" xfId="2" applyNumberFormat="1" applyFont="1" applyFill="1" applyBorder="1" applyAlignment="1">
      <alignment vertical="center"/>
    </xf>
    <xf numFmtId="41" fontId="48" fillId="0" borderId="16" xfId="2" applyNumberFormat="1" applyFont="1" applyBorder="1" applyAlignment="1">
      <alignment horizontal="center" vertical="center"/>
    </xf>
    <xf numFmtId="184" fontId="54" fillId="0" borderId="0" xfId="2" applyNumberFormat="1" applyFont="1" applyBorder="1" applyAlignment="1">
      <alignment vertical="center"/>
    </xf>
    <xf numFmtId="0" fontId="55" fillId="13" borderId="0" xfId="2" applyFont="1" applyFill="1" applyBorder="1" applyAlignment="1">
      <alignment vertical="center" wrapText="1"/>
    </xf>
    <xf numFmtId="41" fontId="48" fillId="0" borderId="0" xfId="45" applyFont="1" applyBorder="1" applyAlignment="1">
      <alignment vertical="center"/>
    </xf>
    <xf numFmtId="183" fontId="48" fillId="0" borderId="0" xfId="2" applyNumberFormat="1" applyFont="1" applyBorder="1" applyAlignment="1">
      <alignment vertical="center"/>
    </xf>
    <xf numFmtId="0" fontId="48" fillId="0" borderId="34" xfId="2" applyFont="1" applyFill="1" applyBorder="1" applyAlignment="1">
      <alignment horizontal="center" vertical="center"/>
    </xf>
    <xf numFmtId="41" fontId="56" fillId="0" borderId="10" xfId="45" applyFont="1" applyBorder="1" applyAlignment="1">
      <alignment horizontal="right" vertical="center"/>
    </xf>
    <xf numFmtId="0" fontId="48" fillId="0" borderId="36" xfId="2" applyFont="1" applyBorder="1" applyAlignment="1">
      <alignment horizontal="center" vertical="center"/>
    </xf>
    <xf numFmtId="41" fontId="64" fillId="0" borderId="0" xfId="2" applyNumberFormat="1" applyFont="1"/>
    <xf numFmtId="0" fontId="54" fillId="0" borderId="0" xfId="2" applyFont="1" applyAlignment="1">
      <alignment wrapText="1"/>
    </xf>
    <xf numFmtId="41" fontId="48" fillId="0" borderId="10" xfId="45" applyFont="1" applyFill="1" applyBorder="1" applyAlignment="1">
      <alignment horizontal="right" vertical="center"/>
    </xf>
    <xf numFmtId="0" fontId="56" fillId="0" borderId="34" xfId="2" applyFont="1" applyFill="1" applyBorder="1" applyAlignment="1">
      <alignment horizontal="center" vertical="center"/>
    </xf>
    <xf numFmtId="41" fontId="56" fillId="0" borderId="10" xfId="45" applyFont="1" applyFill="1" applyBorder="1" applyAlignment="1">
      <alignment horizontal="right" vertical="center"/>
    </xf>
    <xf numFmtId="0" fontId="48" fillId="0" borderId="27" xfId="2" applyFont="1" applyFill="1" applyBorder="1" applyAlignment="1">
      <alignment horizontal="center" vertical="center"/>
    </xf>
    <xf numFmtId="41" fontId="48" fillId="0" borderId="37" xfId="45" applyFont="1" applyFill="1" applyBorder="1" applyAlignment="1">
      <alignment horizontal="right" vertical="center"/>
    </xf>
    <xf numFmtId="176" fontId="52" fillId="0" borderId="37" xfId="45" applyNumberFormat="1" applyFont="1" applyFill="1" applyBorder="1" applyAlignment="1">
      <alignment horizontal="right" vertical="center" shrinkToFit="1"/>
    </xf>
    <xf numFmtId="41" fontId="48" fillId="0" borderId="28" xfId="45" applyFont="1" applyBorder="1" applyAlignment="1">
      <alignment horizontal="right" vertical="center"/>
    </xf>
    <xf numFmtId="0" fontId="48" fillId="0" borderId="27" xfId="2" applyFont="1" applyBorder="1" applyAlignment="1">
      <alignment horizontal="center" vertical="center"/>
    </xf>
    <xf numFmtId="41" fontId="48" fillId="0" borderId="37" xfId="45" applyFont="1" applyBorder="1" applyAlignment="1">
      <alignment horizontal="right" vertical="center"/>
    </xf>
    <xf numFmtId="41" fontId="49" fillId="0" borderId="0" xfId="2" applyNumberFormat="1" applyFont="1"/>
    <xf numFmtId="41" fontId="48" fillId="0" borderId="0" xfId="2" applyNumberFormat="1" applyFont="1"/>
    <xf numFmtId="177" fontId="65" fillId="0" borderId="10" xfId="2" applyNumberFormat="1" applyFont="1" applyFill="1" applyBorder="1" applyAlignment="1"/>
    <xf numFmtId="176" fontId="7" fillId="0" borderId="0" xfId="0" applyNumberFormat="1" applyFont="1" applyAlignment="1">
      <alignment horizontal="left" vertical="center"/>
    </xf>
    <xf numFmtId="176" fontId="3" fillId="52" borderId="10" xfId="0" applyNumberFormat="1" applyFont="1" applyFill="1" applyBorder="1" applyAlignment="1">
      <alignment horizontal="center" vertical="center"/>
    </xf>
    <xf numFmtId="176" fontId="4" fillId="5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left" vertical="center"/>
    </xf>
    <xf numFmtId="176" fontId="4" fillId="52" borderId="10" xfId="0" applyNumberFormat="1" applyFont="1" applyFill="1" applyBorder="1" applyAlignment="1">
      <alignment horizontal="center" vertical="center" wrapText="1"/>
    </xf>
    <xf numFmtId="176" fontId="5" fillId="27" borderId="10" xfId="1" applyNumberFormat="1" applyFont="1" applyFill="1" applyBorder="1" applyAlignment="1">
      <alignment horizontal="right" vertical="center" shrinkToFit="1"/>
    </xf>
    <xf numFmtId="176" fontId="68" fillId="52" borderId="10" xfId="1" applyNumberFormat="1" applyFont="1" applyFill="1" applyBorder="1" applyAlignment="1">
      <alignment horizontal="left" vertical="center"/>
    </xf>
    <xf numFmtId="176" fontId="68" fillId="52" borderId="10" xfId="1" applyNumberFormat="1" applyFont="1" applyFill="1" applyBorder="1" applyAlignment="1">
      <alignment horizontal="center" vertical="center" shrinkToFit="1"/>
    </xf>
    <xf numFmtId="176" fontId="68" fillId="27" borderId="10" xfId="1" applyNumberFormat="1" applyFont="1" applyFill="1" applyBorder="1" applyAlignment="1">
      <alignment vertical="center" shrinkToFit="1"/>
    </xf>
    <xf numFmtId="176" fontId="68" fillId="52" borderId="10" xfId="1" applyNumberFormat="1" applyFont="1" applyFill="1" applyBorder="1" applyAlignment="1">
      <alignment horizontal="center" vertical="center" wrapText="1" shrinkToFit="1"/>
    </xf>
    <xf numFmtId="176" fontId="69" fillId="27" borderId="10" xfId="1" applyNumberFormat="1" applyFont="1" applyFill="1" applyBorder="1" applyAlignment="1">
      <alignment vertical="center" wrapText="1"/>
    </xf>
    <xf numFmtId="176" fontId="68" fillId="27" borderId="10" xfId="1" applyNumberFormat="1" applyFont="1" applyFill="1" applyBorder="1" applyAlignment="1">
      <alignment horizontal="right" vertical="center" shrinkToFit="1"/>
    </xf>
    <xf numFmtId="0" fontId="37" fillId="0" borderId="0" xfId="2" applyNumberFormat="1" applyFont="1" applyAlignment="1">
      <alignment horizontal="center"/>
    </xf>
    <xf numFmtId="0" fontId="47" fillId="0" borderId="0" xfId="2" quotePrefix="1" applyFont="1" applyAlignment="1">
      <alignment horizontal="center" vertical="center" wrapText="1"/>
    </xf>
    <xf numFmtId="0" fontId="47" fillId="0" borderId="0" xfId="2" applyFont="1" applyAlignment="1">
      <alignment horizontal="center" vertical="center"/>
    </xf>
    <xf numFmtId="0" fontId="49" fillId="29" borderId="31" xfId="2" applyFont="1" applyFill="1" applyBorder="1" applyAlignment="1">
      <alignment horizontal="center" vertical="center"/>
    </xf>
    <xf numFmtId="0" fontId="49" fillId="29" borderId="34" xfId="2" applyFont="1" applyFill="1" applyBorder="1" applyAlignment="1">
      <alignment horizontal="center" vertical="center"/>
    </xf>
    <xf numFmtId="0" fontId="49" fillId="29" borderId="32" xfId="2" applyFont="1" applyFill="1" applyBorder="1" applyAlignment="1">
      <alignment horizontal="center" vertical="center" shrinkToFit="1"/>
    </xf>
    <xf numFmtId="0" fontId="49" fillId="29" borderId="10" xfId="2" applyFont="1" applyFill="1" applyBorder="1" applyAlignment="1">
      <alignment horizontal="center" vertical="center" shrinkToFit="1"/>
    </xf>
    <xf numFmtId="0" fontId="49" fillId="29" borderId="32" xfId="2" applyFont="1" applyFill="1" applyBorder="1" applyAlignment="1">
      <alignment horizontal="center" vertical="center"/>
    </xf>
    <xf numFmtId="0" fontId="49" fillId="29" borderId="33" xfId="2" applyFont="1" applyFill="1" applyBorder="1" applyAlignment="1">
      <alignment horizontal="center" vertical="center"/>
    </xf>
    <xf numFmtId="0" fontId="49" fillId="29" borderId="35" xfId="2" applyFont="1" applyFill="1" applyBorder="1" applyAlignment="1">
      <alignment horizontal="center" vertical="center"/>
    </xf>
    <xf numFmtId="0" fontId="48" fillId="0" borderId="19" xfId="2" applyFont="1" applyBorder="1" applyAlignment="1">
      <alignment horizontal="center" vertical="center"/>
    </xf>
    <xf numFmtId="0" fontId="48" fillId="0" borderId="23" xfId="2" applyFont="1" applyBorder="1" applyAlignment="1">
      <alignment horizontal="center" vertical="center"/>
    </xf>
    <xf numFmtId="0" fontId="48" fillId="0" borderId="20" xfId="2" applyFont="1" applyBorder="1" applyAlignment="1">
      <alignment horizontal="center" vertical="center"/>
    </xf>
    <xf numFmtId="0" fontId="48" fillId="0" borderId="24" xfId="2" applyFont="1" applyBorder="1" applyAlignment="1">
      <alignment horizontal="center" vertical="center"/>
    </xf>
    <xf numFmtId="0" fontId="48" fillId="0" borderId="16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21" xfId="2" applyFont="1" applyBorder="1" applyAlignment="1">
      <alignment horizontal="center" vertical="center"/>
    </xf>
    <xf numFmtId="0" fontId="48" fillId="0" borderId="22" xfId="2" applyFont="1" applyBorder="1" applyAlignment="1">
      <alignment horizontal="center" vertical="center"/>
    </xf>
    <xf numFmtId="0" fontId="48" fillId="0" borderId="25" xfId="2" applyFont="1" applyBorder="1" applyAlignment="1">
      <alignment horizontal="center" vertical="center"/>
    </xf>
    <xf numFmtId="0" fontId="48" fillId="0" borderId="26" xfId="2" applyFont="1" applyBorder="1" applyAlignment="1">
      <alignment horizontal="center" vertical="center"/>
    </xf>
    <xf numFmtId="0" fontId="49" fillId="29" borderId="38" xfId="2" applyFont="1" applyFill="1" applyBorder="1" applyAlignment="1">
      <alignment horizontal="center" vertical="center" wrapText="1" shrinkToFit="1"/>
    </xf>
    <xf numFmtId="0" fontId="49" fillId="29" borderId="12" xfId="2" applyFont="1" applyFill="1" applyBorder="1" applyAlignment="1">
      <alignment horizontal="center" vertical="center" wrapText="1" shrinkToFit="1"/>
    </xf>
    <xf numFmtId="0" fontId="56" fillId="0" borderId="16" xfId="2" applyFont="1" applyBorder="1" applyAlignment="1">
      <alignment horizontal="center" vertical="center" wrapText="1"/>
    </xf>
    <xf numFmtId="0" fontId="56" fillId="0" borderId="15" xfId="2" applyFont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22" xfId="0" applyNumberFormat="1" applyFont="1" applyFill="1" applyBorder="1" applyAlignment="1">
      <alignment horizontal="center" vertical="center"/>
    </xf>
    <xf numFmtId="176" fontId="5" fillId="2" borderId="39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9" fillId="2" borderId="11" xfId="0" applyNumberFormat="1" applyFont="1" applyFill="1" applyBorder="1" applyAlignment="1">
      <alignment horizontal="center" vertical="center" wrapText="1"/>
    </xf>
    <xf numFmtId="176" fontId="9" fillId="2" borderId="1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10" customWidth="1"/>
    <col min="11" max="16384" width="9" style="10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11" t="s">
        <v>84</v>
      </c>
      <c r="C5" s="12"/>
      <c r="D5" s="12"/>
      <c r="E5" s="12"/>
      <c r="F5" s="12"/>
      <c r="G5" s="12"/>
      <c r="H5" s="12"/>
      <c r="I5" s="12"/>
    </row>
    <row r="6" spans="2:9" ht="18.75">
      <c r="B6" s="13"/>
      <c r="C6" s="14"/>
      <c r="E6" s="15"/>
      <c r="F6" s="14"/>
      <c r="G6" s="14"/>
      <c r="H6" s="14"/>
      <c r="I6" s="14"/>
    </row>
    <row r="7" spans="2:9" ht="46.5">
      <c r="B7" s="16" t="s">
        <v>82</v>
      </c>
      <c r="C7" s="17"/>
      <c r="D7" s="17"/>
      <c r="E7" s="17"/>
      <c r="F7" s="17"/>
      <c r="G7" s="17"/>
      <c r="H7" s="17"/>
      <c r="I7" s="17"/>
    </row>
    <row r="8" spans="2:9" ht="19.5">
      <c r="B8" s="18"/>
      <c r="C8" s="17"/>
      <c r="D8" s="17"/>
      <c r="E8" s="17"/>
      <c r="F8" s="17"/>
      <c r="G8" s="17"/>
      <c r="H8" s="17"/>
      <c r="I8" s="17"/>
    </row>
    <row r="9" spans="2:9" ht="19.5">
      <c r="B9" s="18"/>
      <c r="C9" s="17"/>
      <c r="D9" s="17"/>
      <c r="E9" s="17"/>
      <c r="F9" s="17"/>
      <c r="G9" s="17"/>
      <c r="H9" s="17"/>
      <c r="I9" s="17"/>
    </row>
    <row r="10" spans="2:9" ht="19.5">
      <c r="B10" s="18"/>
      <c r="C10" s="17"/>
      <c r="D10" s="17"/>
      <c r="E10" s="17"/>
      <c r="F10" s="17"/>
      <c r="G10" s="17"/>
      <c r="H10" s="17"/>
      <c r="I10" s="17"/>
    </row>
    <row r="11" spans="2:9" ht="19.5">
      <c r="B11" s="18"/>
      <c r="C11" s="17"/>
      <c r="D11" s="17"/>
      <c r="E11" s="17"/>
      <c r="F11" s="17"/>
      <c r="G11" s="17"/>
      <c r="H11" s="17"/>
      <c r="I11" s="17"/>
    </row>
    <row r="12" spans="2:9" ht="19.5">
      <c r="B12" s="18"/>
      <c r="C12" s="17"/>
      <c r="D12" s="17"/>
      <c r="E12" s="17"/>
      <c r="F12" s="17"/>
      <c r="G12" s="17"/>
      <c r="H12" s="17"/>
      <c r="I12" s="17"/>
    </row>
    <row r="13" spans="2:9" ht="19.5">
      <c r="B13" s="18"/>
      <c r="C13" s="17"/>
      <c r="D13" s="17"/>
      <c r="E13" s="17"/>
      <c r="F13" s="17"/>
      <c r="G13" s="17"/>
      <c r="H13" s="17"/>
      <c r="I13" s="17"/>
    </row>
    <row r="14" spans="2:9">
      <c r="B14" s="17"/>
      <c r="C14" s="17"/>
      <c r="D14" s="17"/>
      <c r="E14" s="17"/>
      <c r="F14" s="17"/>
      <c r="G14" s="17"/>
      <c r="H14" s="17"/>
      <c r="I14" s="17"/>
    </row>
    <row r="15" spans="2:9">
      <c r="B15" s="17"/>
      <c r="C15" s="17"/>
      <c r="D15" s="17"/>
      <c r="E15" s="17"/>
      <c r="F15" s="17"/>
      <c r="G15" s="17"/>
      <c r="H15" s="17"/>
      <c r="I15" s="17"/>
    </row>
    <row r="16" spans="2:9">
      <c r="B16" s="17"/>
      <c r="C16" s="17"/>
      <c r="D16" s="17"/>
      <c r="E16" s="17"/>
      <c r="F16" s="17"/>
      <c r="G16" s="17"/>
      <c r="H16" s="17"/>
      <c r="I16" s="17"/>
    </row>
    <row r="17" spans="2:9">
      <c r="B17" s="17"/>
      <c r="C17" s="17"/>
      <c r="D17" s="17"/>
      <c r="E17" s="17"/>
      <c r="F17" s="17"/>
      <c r="G17" s="17"/>
      <c r="H17" s="17"/>
      <c r="I17" s="17"/>
    </row>
    <row r="18" spans="2:9">
      <c r="B18" s="17"/>
      <c r="C18" s="17"/>
      <c r="D18" s="17"/>
      <c r="E18" s="17"/>
      <c r="F18" s="17"/>
      <c r="G18" s="17"/>
      <c r="H18" s="17"/>
      <c r="I18" s="17"/>
    </row>
    <row r="19" spans="2:9">
      <c r="B19" s="17"/>
      <c r="C19" s="17"/>
      <c r="D19" s="17"/>
      <c r="E19" s="17"/>
      <c r="F19" s="17"/>
      <c r="G19" s="17"/>
      <c r="H19" s="17"/>
      <c r="I19" s="17"/>
    </row>
    <row r="20" spans="2:9">
      <c r="B20" s="17"/>
      <c r="C20" s="17"/>
      <c r="D20" s="17"/>
      <c r="E20" s="17"/>
      <c r="F20" s="17"/>
      <c r="G20" s="17"/>
      <c r="H20" s="17"/>
      <c r="I20" s="17"/>
    </row>
    <row r="21" spans="2:9">
      <c r="B21" s="17"/>
      <c r="C21" s="17"/>
      <c r="D21" s="17"/>
      <c r="E21" s="17"/>
      <c r="F21" s="17"/>
      <c r="G21" s="17"/>
      <c r="H21" s="17"/>
      <c r="I21" s="17"/>
    </row>
    <row r="22" spans="2:9">
      <c r="B22" s="17"/>
      <c r="C22" s="17"/>
      <c r="D22" s="17"/>
      <c r="E22" s="17"/>
      <c r="F22" s="17"/>
      <c r="G22" s="17"/>
      <c r="H22" s="17"/>
      <c r="I22" s="17"/>
    </row>
    <row r="23" spans="2:9">
      <c r="B23" s="17"/>
      <c r="C23" s="17"/>
      <c r="D23" s="17"/>
      <c r="E23" s="17"/>
      <c r="F23" s="17"/>
      <c r="G23" s="17"/>
      <c r="H23" s="17"/>
      <c r="I23" s="17"/>
    </row>
    <row r="24" spans="2:9">
      <c r="B24" s="17"/>
      <c r="C24" s="17"/>
      <c r="D24" s="17"/>
      <c r="E24" s="17"/>
      <c r="F24" s="17"/>
      <c r="G24" s="17"/>
      <c r="H24" s="17"/>
      <c r="I24" s="17"/>
    </row>
    <row r="25" spans="2:9">
      <c r="B25" s="17"/>
      <c r="C25" s="17"/>
      <c r="D25" s="17"/>
      <c r="E25" s="17"/>
      <c r="F25" s="17"/>
      <c r="G25" s="17"/>
      <c r="H25" s="17"/>
      <c r="I25" s="17"/>
    </row>
    <row r="26" spans="2:9">
      <c r="B26" s="17"/>
      <c r="C26" s="17"/>
      <c r="D26" s="17"/>
      <c r="E26" s="17"/>
      <c r="F26" s="17"/>
      <c r="G26" s="17"/>
      <c r="H26" s="17"/>
      <c r="I26" s="17"/>
    </row>
    <row r="27" spans="2:9">
      <c r="B27" s="17"/>
      <c r="C27" s="17"/>
      <c r="D27" s="17"/>
      <c r="E27" s="17"/>
      <c r="F27" s="17"/>
      <c r="G27" s="17"/>
      <c r="H27" s="17"/>
      <c r="I27" s="17"/>
    </row>
    <row r="28" spans="2:9">
      <c r="B28" s="17"/>
      <c r="C28" s="17"/>
      <c r="D28" s="17"/>
      <c r="E28" s="17"/>
      <c r="F28" s="17"/>
      <c r="G28" s="17"/>
      <c r="H28" s="17"/>
      <c r="I28" s="17"/>
    </row>
    <row r="29" spans="2:9">
      <c r="B29" s="17"/>
      <c r="C29" s="17"/>
      <c r="D29" s="17"/>
      <c r="E29" s="17"/>
      <c r="F29" s="17"/>
      <c r="G29" s="17"/>
      <c r="H29" s="17"/>
      <c r="I29" s="17"/>
    </row>
    <row r="30" spans="2:9">
      <c r="B30" s="17"/>
      <c r="C30" s="17"/>
      <c r="D30" s="17"/>
      <c r="E30" s="17"/>
      <c r="F30" s="17"/>
      <c r="G30" s="17"/>
      <c r="H30" s="17"/>
      <c r="I30" s="17"/>
    </row>
    <row r="31" spans="2:9">
      <c r="B31" s="17"/>
      <c r="C31" s="17"/>
      <c r="D31" s="17"/>
      <c r="E31" s="17"/>
      <c r="F31" s="17"/>
      <c r="G31" s="17"/>
      <c r="H31" s="17"/>
      <c r="I31" s="17"/>
    </row>
    <row r="32" spans="2:9">
      <c r="B32" s="17"/>
      <c r="C32" s="17"/>
      <c r="D32" s="17"/>
      <c r="E32" s="17"/>
      <c r="F32" s="17"/>
      <c r="G32" s="17"/>
      <c r="H32" s="17"/>
      <c r="I32" s="17"/>
    </row>
    <row r="33" spans="2:9" s="19" customFormat="1" ht="33.75">
      <c r="B33" s="146" t="s">
        <v>83</v>
      </c>
      <c r="C33" s="146"/>
      <c r="D33" s="146"/>
      <c r="E33" s="146"/>
      <c r="F33" s="146"/>
      <c r="G33" s="146"/>
      <c r="H33" s="146"/>
      <c r="I33" s="146"/>
    </row>
    <row r="34" spans="2:9">
      <c r="B34" s="17"/>
      <c r="C34" s="17"/>
      <c r="D34" s="17"/>
      <c r="E34" s="17"/>
      <c r="F34" s="17"/>
      <c r="G34" s="17"/>
      <c r="H34" s="17"/>
      <c r="I34" s="17"/>
    </row>
    <row r="35" spans="2:9" ht="46.5">
      <c r="B35" s="16"/>
      <c r="C35" s="17"/>
      <c r="D35" s="17"/>
      <c r="E35" s="17"/>
      <c r="F35" s="17"/>
      <c r="G35" s="17"/>
      <c r="H35" s="17"/>
      <c r="I35" s="17"/>
    </row>
    <row r="36" spans="2:9">
      <c r="B36" s="17"/>
      <c r="C36" s="17"/>
      <c r="D36" s="17"/>
      <c r="E36" s="17"/>
      <c r="F36" s="17"/>
      <c r="G36" s="17"/>
      <c r="H36" s="17"/>
      <c r="I36" s="17"/>
    </row>
    <row r="37" spans="2:9">
      <c r="B37" s="17"/>
      <c r="C37" s="17"/>
      <c r="D37" s="17"/>
      <c r="E37" s="17"/>
      <c r="F37" s="17"/>
      <c r="G37" s="17"/>
      <c r="H37" s="17"/>
      <c r="I37" s="17"/>
    </row>
    <row r="38" spans="2:9">
      <c r="B38" s="17"/>
      <c r="C38" s="17"/>
      <c r="D38" s="17"/>
      <c r="E38" s="17"/>
      <c r="F38" s="17"/>
      <c r="G38" s="17"/>
      <c r="H38" s="17"/>
      <c r="I38" s="17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33" customWidth="1"/>
    <col min="2" max="3" width="17.875" style="33" customWidth="1"/>
    <col min="4" max="4" width="14.25" style="33" customWidth="1"/>
    <col min="5" max="5" width="15.875" style="33" customWidth="1"/>
    <col min="6" max="6" width="14.25" style="33" customWidth="1"/>
    <col min="7" max="7" width="13.5" style="33" customWidth="1"/>
    <col min="8" max="8" width="17.25" style="33" customWidth="1"/>
    <col min="9" max="9" width="17.125" style="32" hidden="1" customWidth="1"/>
    <col min="10" max="10" width="16" style="32" hidden="1" customWidth="1"/>
    <col min="11" max="11" width="14.625" style="32" hidden="1" customWidth="1"/>
    <col min="12" max="12" width="21.75" style="32" hidden="1" customWidth="1"/>
    <col min="13" max="14" width="14.75" style="32" hidden="1" customWidth="1"/>
    <col min="15" max="15" width="12.25" style="32" hidden="1" customWidth="1"/>
    <col min="16" max="16" width="13.375" style="32" hidden="1" customWidth="1"/>
    <col min="17" max="16384" width="9" style="33"/>
  </cols>
  <sheetData>
    <row r="1" spans="2:16" ht="33" customHeight="1">
      <c r="B1" s="147" t="s">
        <v>85</v>
      </c>
      <c r="C1" s="148"/>
      <c r="D1" s="148"/>
      <c r="E1" s="148"/>
      <c r="F1" s="148"/>
      <c r="G1" s="148"/>
      <c r="H1" s="148"/>
    </row>
    <row r="2" spans="2:16" ht="12.75" customHeight="1">
      <c r="B2" s="103"/>
      <c r="C2" s="34"/>
      <c r="D2" s="34"/>
      <c r="E2" s="34"/>
      <c r="F2" s="34"/>
      <c r="G2" s="34"/>
      <c r="H2" s="34"/>
    </row>
    <row r="3" spans="2:16" ht="23.25" customHeight="1">
      <c r="B3" s="35" t="s">
        <v>36</v>
      </c>
      <c r="C3" s="36"/>
      <c r="D3" s="37"/>
      <c r="E3" s="37"/>
    </row>
    <row r="4" spans="2:16" s="39" customFormat="1" ht="18" customHeight="1" thickBot="1">
      <c r="B4" s="38"/>
      <c r="F4" s="40"/>
      <c r="H4" s="41" t="s">
        <v>37</v>
      </c>
      <c r="I4" s="42"/>
      <c r="J4" s="43"/>
      <c r="K4" s="43"/>
      <c r="L4" s="43"/>
      <c r="M4" s="44" t="s">
        <v>38</v>
      </c>
      <c r="N4" s="43"/>
      <c r="O4" s="44" t="s">
        <v>39</v>
      </c>
      <c r="P4" s="44"/>
    </row>
    <row r="5" spans="2:16" ht="24" customHeight="1">
      <c r="B5" s="149" t="s">
        <v>40</v>
      </c>
      <c r="C5" s="151" t="s">
        <v>41</v>
      </c>
      <c r="D5" s="153" t="s">
        <v>42</v>
      </c>
      <c r="E5" s="153"/>
      <c r="F5" s="153" t="s">
        <v>43</v>
      </c>
      <c r="G5" s="153"/>
      <c r="H5" s="154" t="s">
        <v>44</v>
      </c>
      <c r="I5" s="160" t="s">
        <v>45</v>
      </c>
      <c r="J5" s="160"/>
      <c r="K5" s="156" t="s">
        <v>46</v>
      </c>
      <c r="L5" s="158" t="s">
        <v>47</v>
      </c>
      <c r="M5" s="160" t="s">
        <v>48</v>
      </c>
      <c r="N5" s="161"/>
      <c r="O5" s="162" t="s">
        <v>49</v>
      </c>
      <c r="P5" s="163"/>
    </row>
    <row r="6" spans="2:16" ht="24" customHeight="1">
      <c r="B6" s="150"/>
      <c r="C6" s="152"/>
      <c r="D6" s="104" t="s">
        <v>50</v>
      </c>
      <c r="E6" s="104" t="s">
        <v>51</v>
      </c>
      <c r="F6" s="104" t="s">
        <v>50</v>
      </c>
      <c r="G6" s="104" t="s">
        <v>51</v>
      </c>
      <c r="H6" s="155"/>
      <c r="I6" s="105" t="s">
        <v>52</v>
      </c>
      <c r="J6" s="45" t="s">
        <v>53</v>
      </c>
      <c r="K6" s="157"/>
      <c r="L6" s="159"/>
      <c r="M6" s="46" t="s">
        <v>52</v>
      </c>
      <c r="N6" s="47" t="s">
        <v>53</v>
      </c>
      <c r="O6" s="164"/>
      <c r="P6" s="165"/>
    </row>
    <row r="7" spans="2:16" ht="38.25" customHeight="1" thickBot="1">
      <c r="B7" s="106" t="s">
        <v>54</v>
      </c>
      <c r="C7" s="107">
        <f t="shared" ref="C7:H7" si="0">SUM(C8:C18)</f>
        <v>16221327381</v>
      </c>
      <c r="D7" s="108">
        <f t="shared" si="0"/>
        <v>0</v>
      </c>
      <c r="E7" s="108">
        <f t="shared" si="0"/>
        <v>0</v>
      </c>
      <c r="F7" s="108" t="e">
        <f t="shared" si="0"/>
        <v>#REF!</v>
      </c>
      <c r="G7" s="108" t="e">
        <f t="shared" si="0"/>
        <v>#REF!</v>
      </c>
      <c r="H7" s="109" t="e">
        <f t="shared" si="0"/>
        <v>#REF!</v>
      </c>
      <c r="I7" s="48">
        <f>E25+D25</f>
        <v>0</v>
      </c>
      <c r="J7" s="49" t="e">
        <f>F25+G25</f>
        <v>#REF!</v>
      </c>
      <c r="K7" s="50" t="e">
        <f>I7-J7</f>
        <v>#REF!</v>
      </c>
      <c r="L7" s="51" t="s">
        <v>55</v>
      </c>
      <c r="M7" s="52">
        <f>D24+E24</f>
        <v>0</v>
      </c>
      <c r="N7" s="53" t="e">
        <f>F24+G24</f>
        <v>#REF!</v>
      </c>
      <c r="O7" s="54">
        <v>0</v>
      </c>
      <c r="P7" s="54">
        <v>0</v>
      </c>
    </row>
    <row r="8" spans="2:16" ht="38.25" hidden="1" customHeight="1" thickBot="1">
      <c r="B8" s="110" t="s">
        <v>56</v>
      </c>
      <c r="C8" s="107">
        <v>0</v>
      </c>
      <c r="D8" s="108"/>
      <c r="E8" s="108"/>
      <c r="F8" s="108"/>
      <c r="G8" s="108"/>
      <c r="H8" s="109">
        <f>C8-F8+G8</f>
        <v>0</v>
      </c>
      <c r="I8" s="111">
        <f>D7+E7</f>
        <v>0</v>
      </c>
      <c r="J8" s="112" t="e">
        <f>F7+G7</f>
        <v>#REF!</v>
      </c>
      <c r="K8" s="113" t="e">
        <f>I8-J8</f>
        <v>#REF!</v>
      </c>
      <c r="L8" s="114"/>
      <c r="M8" s="55"/>
      <c r="N8" s="115"/>
      <c r="O8" s="116"/>
      <c r="P8" s="116"/>
    </row>
    <row r="9" spans="2:16" ht="38.25" customHeight="1">
      <c r="B9" s="117" t="s">
        <v>57</v>
      </c>
      <c r="C9" s="118">
        <v>29571741</v>
      </c>
      <c r="D9" s="108">
        <f>SUMIF('계수조정최종(세출)'!$A$7:$A$15,"의회운영위원회",'계수조정최종(세출)'!$L$7:$L$15)</f>
        <v>0</v>
      </c>
      <c r="E9" s="108">
        <f>SUMIF('계수조정최종(세출)'!$A$7:$A$15,"의회운영위원회",'계수조정최종(세출)'!$M$7:$M$15)</f>
        <v>0</v>
      </c>
      <c r="F9" s="108" t="e">
        <f>SUMIF(#REF!,"의회운영위원회",#REF!)</f>
        <v>#REF!</v>
      </c>
      <c r="G9" s="108" t="e">
        <f>SUMIF(#REF!,"의회운영위원회",#REF!)</f>
        <v>#REF!</v>
      </c>
      <c r="H9" s="109" t="e">
        <f>C9+F9+G9</f>
        <v>#REF!</v>
      </c>
      <c r="I9" s="168" t="s">
        <v>58</v>
      </c>
      <c r="J9" s="169"/>
      <c r="K9" s="43"/>
      <c r="N9" s="119" t="s">
        <v>59</v>
      </c>
    </row>
    <row r="10" spans="2:16" ht="38.25" customHeight="1" thickBot="1">
      <c r="B10" s="117" t="s">
        <v>60</v>
      </c>
      <c r="C10" s="107">
        <v>3898493309</v>
      </c>
      <c r="D10" s="108">
        <f>SUMIF('계수조정최종(세출)'!$A$7:$A$15,"기획재정위원회",'계수조정최종(세출)'!$L$7:$L$15)</f>
        <v>0</v>
      </c>
      <c r="E10" s="108">
        <f>SUMIF('계수조정최종(세출)'!$A$7:$A$15,"기획재정위원회",'계수조정최종(세출)'!$M$7:$M$15)</f>
        <v>0</v>
      </c>
      <c r="F10" s="108" t="e">
        <f>SUMIF(#REF!,"기획재정위원회",#REF!)</f>
        <v>#REF!</v>
      </c>
      <c r="G10" s="108" t="e">
        <f>SUMIF(#REF!,"기획재정위원회",#REF!)</f>
        <v>#REF!</v>
      </c>
      <c r="H10" s="109" t="e">
        <f t="shared" ref="H10:H18" si="1">C10+F10+G10</f>
        <v>#REF!</v>
      </c>
      <c r="I10" s="56">
        <f>'계수조정최종(세출)'!L6+'계수조정최종(세출)'!M6</f>
        <v>0</v>
      </c>
      <c r="J10" s="57" t="e">
        <f>#REF!+#REF!</f>
        <v>#REF!</v>
      </c>
      <c r="K10" s="43"/>
      <c r="N10" s="58" t="e">
        <f>M7-N7</f>
        <v>#REF!</v>
      </c>
    </row>
    <row r="11" spans="2:16" ht="38.25" customHeight="1">
      <c r="B11" s="117" t="s">
        <v>61</v>
      </c>
      <c r="C11" s="107">
        <v>568447623</v>
      </c>
      <c r="D11" s="108">
        <f>SUMIF('계수조정최종(세출)'!$A$7:$A$15,"경제과학기술위원회",'계수조정최종(세출)'!$L$7:$L$15)</f>
        <v>0</v>
      </c>
      <c r="E11" s="108">
        <f>SUMIF('계수조정최종(세출)'!$A$7:$A$15,"경제과학기술위원회",'계수조정최종(세출)'!$M$7:$M$15)</f>
        <v>0</v>
      </c>
      <c r="F11" s="108" t="e">
        <f>SUMIF(#REF!,"경제과학기술위원회",#REF!)</f>
        <v>#REF!</v>
      </c>
      <c r="G11" s="108" t="e">
        <f>SUMIF(#REF!,"경제과학기술위원회",#REF!)</f>
        <v>#REF!</v>
      </c>
      <c r="H11" s="109" t="e">
        <f t="shared" si="1"/>
        <v>#REF!</v>
      </c>
      <c r="I11" s="59"/>
      <c r="J11" s="60"/>
      <c r="K11" s="61"/>
      <c r="N11" s="59"/>
    </row>
    <row r="12" spans="2:16" ht="38.25" customHeight="1">
      <c r="B12" s="117" t="s">
        <v>62</v>
      </c>
      <c r="C12" s="107">
        <v>1084349076</v>
      </c>
      <c r="D12" s="108">
        <f>SUMIF('계수조정최종(세출)'!$A$7:$A$15,"행정자치위원회",'계수조정최종(세출)'!$L$7:$L$15)</f>
        <v>0</v>
      </c>
      <c r="E12" s="108">
        <f>SUMIF('계수조정최종(세출)'!$A$7:$A$15,"행정자치위원회",'계수조정최종(세출)'!$M$7:$M$15)</f>
        <v>0</v>
      </c>
      <c r="F12" s="108" t="e">
        <f>SUMIF(#REF!,"행정자치위원회",#REF!)</f>
        <v>#REF!</v>
      </c>
      <c r="G12" s="108" t="e">
        <f>SUMIF(#REF!,"행정자치위원회",#REF!)</f>
        <v>#REF!</v>
      </c>
      <c r="H12" s="109" t="e">
        <f t="shared" si="1"/>
        <v>#REF!</v>
      </c>
      <c r="I12" s="59"/>
      <c r="J12" s="120"/>
      <c r="L12" s="121"/>
      <c r="M12" s="121"/>
    </row>
    <row r="13" spans="2:16" ht="38.25" customHeight="1">
      <c r="B13" s="117" t="s">
        <v>63</v>
      </c>
      <c r="C13" s="107">
        <v>273648191</v>
      </c>
      <c r="D13" s="108">
        <f>SUMIF('계수조정최종(세출)'!$A$7:$A$15,"문화체육관광위원회",'계수조정최종(세출)'!$L$7:$L$15)</f>
        <v>0</v>
      </c>
      <c r="E13" s="108">
        <f>SUMIF('계수조정최종(세출)'!$A$7:$A$15,"문화체육관광위원회",'계수조정최종(세출)'!$M$7:$M$15)</f>
        <v>0</v>
      </c>
      <c r="F13" s="108" t="e">
        <f>SUMIF(#REF!,"문화체육관광위원회",#REF!)</f>
        <v>#REF!</v>
      </c>
      <c r="G13" s="108" t="e">
        <f>SUMIF(#REF!,"문화체육관광위원회",#REF!)</f>
        <v>#REF!</v>
      </c>
      <c r="H13" s="109" t="e">
        <f t="shared" si="1"/>
        <v>#REF!</v>
      </c>
      <c r="K13" s="62"/>
      <c r="L13" s="63"/>
      <c r="N13" s="32" t="s">
        <v>64</v>
      </c>
    </row>
    <row r="14" spans="2:16" s="66" customFormat="1" ht="38.25" customHeight="1">
      <c r="B14" s="117" t="s">
        <v>65</v>
      </c>
      <c r="C14" s="122">
        <v>536493471</v>
      </c>
      <c r="D14" s="108">
        <f>SUMIF('계수조정최종(세출)'!$A$7:$A$15,"농림수산위원회",'계수조정최종(세출)'!$L$7:$L$15)</f>
        <v>0</v>
      </c>
      <c r="E14" s="108">
        <f>SUMIF('계수조정최종(세출)'!$A$7:$A$15,"농림수산위원회",'계수조정최종(세출)'!$M$7:$M$15)</f>
        <v>0</v>
      </c>
      <c r="F14" s="108" t="e">
        <f>SUMIF(#REF!,"농림수산위원회",#REF!)</f>
        <v>#REF!</v>
      </c>
      <c r="G14" s="108" t="e">
        <f>SUMIF(#REF!,"농림수산위원회",#REF!)</f>
        <v>#REF!</v>
      </c>
      <c r="H14" s="109" t="e">
        <f t="shared" si="1"/>
        <v>#REF!</v>
      </c>
      <c r="I14" s="64"/>
      <c r="J14" s="64"/>
      <c r="K14" s="62"/>
      <c r="L14" s="63"/>
      <c r="M14" s="55"/>
      <c r="N14" s="65" t="e">
        <f>N10-K7</f>
        <v>#REF!</v>
      </c>
      <c r="O14" s="64"/>
      <c r="P14" s="64"/>
    </row>
    <row r="15" spans="2:16" s="66" customFormat="1" ht="38.25" customHeight="1">
      <c r="B15" s="117" t="s">
        <v>66</v>
      </c>
      <c r="C15" s="122">
        <v>2948270941</v>
      </c>
      <c r="D15" s="108">
        <f>SUMIF('계수조정최종(세출)'!$A$7:$A$15,"보건복지공보위원회",'계수조정최종(세출)'!$L$7:$L$15)</f>
        <v>0</v>
      </c>
      <c r="E15" s="108">
        <f>SUMIF('계수조정최종(세출)'!$A$7:$A$15,"보건복지공보위원회",'계수조정최종(세출)'!$M$7:$M$15)</f>
        <v>0</v>
      </c>
      <c r="F15" s="108" t="e">
        <f>SUMIF(#REF!,"보건복지공보위원회",#REF!)</f>
        <v>#REF!</v>
      </c>
      <c r="G15" s="108" t="e">
        <f>SUMIF(#REF!,"보건복지공보위원회",#REF!)</f>
        <v>#REF!</v>
      </c>
      <c r="H15" s="109" t="e">
        <f t="shared" si="1"/>
        <v>#REF!</v>
      </c>
      <c r="I15" s="64"/>
      <c r="J15" s="64"/>
      <c r="K15" s="62"/>
      <c r="L15" s="63"/>
      <c r="M15" s="64"/>
      <c r="N15" s="64"/>
      <c r="O15" s="64"/>
      <c r="P15" s="64"/>
    </row>
    <row r="16" spans="2:16" s="66" customFormat="1" ht="38.25" customHeight="1">
      <c r="B16" s="117" t="s">
        <v>67</v>
      </c>
      <c r="C16" s="122">
        <v>1196035699</v>
      </c>
      <c r="D16" s="108">
        <f>SUMIF('계수조정최종(세출)'!$A$7:$A$15,"건설교통위원회",'계수조정최종(세출)'!$L$7:$L$15)</f>
        <v>0</v>
      </c>
      <c r="E16" s="108">
        <f>SUMIF('계수조정최종(세출)'!$A$7:$A$15,"건설교통위원회",'계수조정최종(세출)'!$M$7:$M$15)</f>
        <v>0</v>
      </c>
      <c r="F16" s="108" t="e">
        <f>SUMIF(#REF!,"건설교통위원회",#REF!)</f>
        <v>#REF!</v>
      </c>
      <c r="G16" s="108" t="e">
        <f>SUMIF(#REF!,"건설교통위원회",#REF!)</f>
        <v>#REF!</v>
      </c>
      <c r="H16" s="109" t="e">
        <f t="shared" si="1"/>
        <v>#REF!</v>
      </c>
      <c r="I16" s="64"/>
      <c r="J16" s="64"/>
      <c r="K16" s="62"/>
      <c r="L16" s="63"/>
      <c r="M16" s="64"/>
      <c r="N16" s="64"/>
      <c r="O16" s="64"/>
      <c r="P16" s="64"/>
    </row>
    <row r="17" spans="2:16" s="68" customFormat="1" ht="38.25" customHeight="1">
      <c r="B17" s="123" t="s">
        <v>68</v>
      </c>
      <c r="C17" s="124">
        <v>916276929</v>
      </c>
      <c r="D17" s="108">
        <f>SUMIF('계수조정최종(세출)'!$A$7:$A$15,"도시환경위원회",'계수조정최종(세출)'!$L$7:$L$15)</f>
        <v>0</v>
      </c>
      <c r="E17" s="108">
        <f>SUMIF('계수조정최종(세출)'!$A$7:$A$15,"도시환경위원회",'계수조정최종(세출)'!$M$7:$M$15)</f>
        <v>0</v>
      </c>
      <c r="F17" s="108" t="e">
        <f>SUMIF(#REF!,"도시환경위원회",#REF!)</f>
        <v>#REF!</v>
      </c>
      <c r="G17" s="108" t="e">
        <f>SUMIF(#REF!,"도시환경위원회",#REF!)</f>
        <v>#REF!</v>
      </c>
      <c r="H17" s="109" t="e">
        <f t="shared" si="1"/>
        <v>#REF!</v>
      </c>
      <c r="I17" s="67"/>
      <c r="J17" s="67"/>
      <c r="K17" s="62"/>
      <c r="L17" s="63"/>
      <c r="M17" s="67"/>
      <c r="N17" s="67"/>
      <c r="O17" s="67"/>
      <c r="P17" s="67"/>
    </row>
    <row r="18" spans="2:16" s="66" customFormat="1" ht="38.25" customHeight="1" thickBot="1">
      <c r="B18" s="125" t="s">
        <v>69</v>
      </c>
      <c r="C18" s="126">
        <v>4769740401</v>
      </c>
      <c r="D18" s="127">
        <f>SUMIF('계수조정최종(세출)'!$A$7:$A$15,"여성가족평생교육위원회",'계수조정최종(세출)'!$L$7:$L$15)</f>
        <v>0</v>
      </c>
      <c r="E18" s="127">
        <f>SUMIF('계수조정최종(세출)'!$A$7:$A$15,"여성가족평생교육위원회",'계수조정최종(세출)'!$M$7:$M$15)</f>
        <v>0</v>
      </c>
      <c r="F18" s="127" t="e">
        <f>SUMIF(#REF!,"여성가족평생교육위원회",#REF!)</f>
        <v>#REF!</v>
      </c>
      <c r="G18" s="127" t="e">
        <f>SUMIF(#REF!,"여성가족평생교육위원회",#REF!)</f>
        <v>#REF!</v>
      </c>
      <c r="H18" s="128" t="e">
        <f t="shared" si="1"/>
        <v>#REF!</v>
      </c>
      <c r="I18" s="64"/>
      <c r="J18" s="64"/>
      <c r="K18" s="62"/>
      <c r="L18" s="63"/>
      <c r="M18" s="64"/>
      <c r="N18" s="64"/>
      <c r="O18" s="64"/>
      <c r="P18" s="64"/>
    </row>
    <row r="19" spans="2:16" ht="18" customHeight="1">
      <c r="B19" s="39"/>
      <c r="C19" s="39"/>
      <c r="D19" s="39"/>
      <c r="E19" s="39"/>
      <c r="F19" s="39"/>
      <c r="G19" s="39"/>
      <c r="H19" s="39"/>
      <c r="K19" s="62"/>
      <c r="L19" s="63"/>
    </row>
    <row r="20" spans="2:16" ht="20.25">
      <c r="B20" s="69" t="s">
        <v>70</v>
      </c>
      <c r="C20" s="35"/>
      <c r="D20" s="35"/>
      <c r="E20" s="35"/>
      <c r="F20" s="35"/>
      <c r="G20" s="35"/>
      <c r="H20" s="70"/>
      <c r="K20" s="62"/>
      <c r="L20" s="63"/>
    </row>
    <row r="21" spans="2:16" ht="19.5" thickBot="1">
      <c r="B21" s="38"/>
      <c r="C21" s="39"/>
      <c r="D21" s="39"/>
      <c r="E21" s="39"/>
      <c r="F21" s="39"/>
      <c r="G21" s="39"/>
      <c r="H21" s="41" t="s">
        <v>28</v>
      </c>
    </row>
    <row r="22" spans="2:16" ht="24.75" customHeight="1">
      <c r="B22" s="149" t="s">
        <v>71</v>
      </c>
      <c r="C22" s="166" t="s">
        <v>72</v>
      </c>
      <c r="D22" s="153" t="s">
        <v>42</v>
      </c>
      <c r="E22" s="153"/>
      <c r="F22" s="153" t="s">
        <v>43</v>
      </c>
      <c r="G22" s="153"/>
      <c r="H22" s="154" t="s">
        <v>44</v>
      </c>
    </row>
    <row r="23" spans="2:16" ht="24.75" customHeight="1">
      <c r="B23" s="150"/>
      <c r="C23" s="167"/>
      <c r="D23" s="104" t="s">
        <v>50</v>
      </c>
      <c r="E23" s="104" t="s">
        <v>51</v>
      </c>
      <c r="F23" s="104" t="s">
        <v>50</v>
      </c>
      <c r="G23" s="104" t="s">
        <v>51</v>
      </c>
      <c r="H23" s="155"/>
      <c r="I23" s="32" t="s">
        <v>73</v>
      </c>
    </row>
    <row r="24" spans="2:16" ht="36" customHeight="1">
      <c r="B24" s="106" t="s">
        <v>74</v>
      </c>
      <c r="C24" s="107">
        <f t="shared" ref="C24:G24" si="2">SUM(C25:C26)</f>
        <v>16221327381</v>
      </c>
      <c r="D24" s="108">
        <f t="shared" si="2"/>
        <v>0</v>
      </c>
      <c r="E24" s="107">
        <f t="shared" si="2"/>
        <v>0</v>
      </c>
      <c r="F24" s="108" t="e">
        <f t="shared" si="2"/>
        <v>#REF!</v>
      </c>
      <c r="G24" s="107" t="e">
        <f t="shared" si="2"/>
        <v>#REF!</v>
      </c>
      <c r="H24" s="109" t="e">
        <f>SUM(H25:H26)</f>
        <v>#REF!</v>
      </c>
      <c r="I24" s="42">
        <f>C24+D24+E24</f>
        <v>16221327381</v>
      </c>
      <c r="J24" s="71" t="e">
        <f>I24-H24</f>
        <v>#REF!</v>
      </c>
      <c r="K24" s="43" t="s">
        <v>75</v>
      </c>
    </row>
    <row r="25" spans="2:16" ht="36" customHeight="1">
      <c r="B25" s="106" t="s">
        <v>29</v>
      </c>
      <c r="C25" s="107">
        <v>13099250390</v>
      </c>
      <c r="D25" s="108">
        <f>'계수조정최종(세출)'!L6</f>
        <v>0</v>
      </c>
      <c r="E25" s="108">
        <f>'계수조정최종(세출)'!M6</f>
        <v>0</v>
      </c>
      <c r="F25" s="108" t="e">
        <f>#REF!</f>
        <v>#REF!</v>
      </c>
      <c r="G25" s="108" t="e">
        <f>#REF!</f>
        <v>#REF!</v>
      </c>
      <c r="H25" s="109" t="e">
        <f>C25+F25+G25</f>
        <v>#REF!</v>
      </c>
      <c r="I25" s="42">
        <f>C25+D25+E25</f>
        <v>13099250390</v>
      </c>
      <c r="J25" s="71" t="e">
        <f>I25-H25</f>
        <v>#REF!</v>
      </c>
      <c r="K25" s="43" t="s">
        <v>75</v>
      </c>
    </row>
    <row r="26" spans="2:16" ht="36" customHeight="1" thickBot="1">
      <c r="B26" s="129" t="s">
        <v>76</v>
      </c>
      <c r="C26" s="130">
        <v>3122076991</v>
      </c>
      <c r="D26" s="127"/>
      <c r="E26" s="127"/>
      <c r="F26" s="127"/>
      <c r="G26" s="127"/>
      <c r="H26" s="128">
        <f>C26+F26+G26</f>
        <v>3122076991</v>
      </c>
      <c r="I26" s="42">
        <f>C26+D26+E26</f>
        <v>3122076991</v>
      </c>
      <c r="J26" s="71">
        <f>I26-H26</f>
        <v>0</v>
      </c>
      <c r="K26" s="43" t="s">
        <v>75</v>
      </c>
    </row>
    <row r="27" spans="2:16" ht="9" customHeight="1">
      <c r="B27" s="39"/>
      <c r="C27" s="39"/>
      <c r="D27" s="39"/>
      <c r="E27" s="39"/>
      <c r="F27" s="39"/>
      <c r="G27" s="39"/>
      <c r="H27" s="39"/>
    </row>
    <row r="28" spans="2:16" ht="20.25" customHeight="1">
      <c r="H28" s="131"/>
      <c r="J28" s="132"/>
    </row>
    <row r="29" spans="2:16" ht="20.25" customHeight="1"/>
    <row r="30" spans="2:16" ht="14.25">
      <c r="B30" s="72" t="s">
        <v>30</v>
      </c>
      <c r="C30" s="73" t="s">
        <v>77</v>
      </c>
      <c r="D30" s="74" t="s">
        <v>78</v>
      </c>
      <c r="E30" s="73" t="s">
        <v>79</v>
      </c>
      <c r="G30" s="32"/>
      <c r="H30" s="32"/>
      <c r="O30" s="33"/>
      <c r="P30" s="33"/>
    </row>
    <row r="31" spans="2:16" ht="15">
      <c r="B31" s="75" t="s">
        <v>31</v>
      </c>
      <c r="C31" s="133">
        <v>29571741</v>
      </c>
      <c r="D31" s="133"/>
      <c r="E31" s="133">
        <f>SUM(C31:D31)</f>
        <v>29571741</v>
      </c>
      <c r="G31" s="32"/>
      <c r="H31" s="32"/>
      <c r="O31" s="33"/>
      <c r="P31" s="33"/>
    </row>
    <row r="32" spans="2:16" ht="15">
      <c r="B32" s="75" t="s">
        <v>32</v>
      </c>
      <c r="C32" s="133">
        <v>2482731231</v>
      </c>
      <c r="D32" s="133">
        <v>1415762078</v>
      </c>
      <c r="E32" s="133">
        <f t="shared" ref="E32:E41" si="3">SUM(C32:D32)</f>
        <v>3898493309</v>
      </c>
      <c r="G32" s="32"/>
      <c r="H32" s="32"/>
      <c r="O32" s="33"/>
      <c r="P32" s="33"/>
    </row>
    <row r="33" spans="2:16" ht="15">
      <c r="B33" s="75" t="s">
        <v>19</v>
      </c>
      <c r="C33" s="133">
        <v>195073838</v>
      </c>
      <c r="D33" s="133">
        <v>373373785</v>
      </c>
      <c r="E33" s="133">
        <f t="shared" si="3"/>
        <v>568447623</v>
      </c>
      <c r="G33" s="32"/>
      <c r="H33" s="32"/>
      <c r="O33" s="33"/>
      <c r="P33" s="33"/>
    </row>
    <row r="34" spans="2:16" ht="15">
      <c r="B34" s="75" t="s">
        <v>21</v>
      </c>
      <c r="C34" s="133">
        <v>1084349076</v>
      </c>
      <c r="D34" s="133"/>
      <c r="E34" s="133">
        <f t="shared" si="3"/>
        <v>1084349076</v>
      </c>
      <c r="G34" s="32"/>
      <c r="H34" s="32"/>
      <c r="O34" s="33"/>
      <c r="P34" s="33"/>
    </row>
    <row r="35" spans="2:16" ht="15">
      <c r="B35" s="75" t="s">
        <v>27</v>
      </c>
      <c r="C35" s="133">
        <v>257698191</v>
      </c>
      <c r="D35" s="133">
        <v>15950000</v>
      </c>
      <c r="E35" s="133">
        <f t="shared" si="3"/>
        <v>273648191</v>
      </c>
      <c r="G35" s="32"/>
      <c r="H35" s="32"/>
      <c r="O35" s="33"/>
      <c r="P35" s="33"/>
    </row>
    <row r="36" spans="2:16" ht="15">
      <c r="B36" s="75" t="s">
        <v>22</v>
      </c>
      <c r="C36" s="133">
        <v>536493471</v>
      </c>
      <c r="D36" s="133"/>
      <c r="E36" s="133">
        <f t="shared" si="3"/>
        <v>536493471</v>
      </c>
      <c r="G36" s="32"/>
      <c r="H36" s="32"/>
      <c r="O36" s="33"/>
      <c r="P36" s="33"/>
    </row>
    <row r="37" spans="2:16" ht="15">
      <c r="B37" s="75" t="s">
        <v>23</v>
      </c>
      <c r="C37" s="133">
        <v>2948270941</v>
      </c>
      <c r="D37" s="133"/>
      <c r="E37" s="133">
        <f t="shared" si="3"/>
        <v>2948270941</v>
      </c>
      <c r="G37" s="32"/>
      <c r="H37" s="32"/>
      <c r="O37" s="33"/>
      <c r="P37" s="33"/>
    </row>
    <row r="38" spans="2:16" ht="15">
      <c r="B38" s="75" t="s">
        <v>24</v>
      </c>
      <c r="C38" s="133">
        <v>1196035699</v>
      </c>
      <c r="D38" s="133"/>
      <c r="E38" s="133">
        <f t="shared" si="3"/>
        <v>1196035699</v>
      </c>
      <c r="G38" s="32"/>
      <c r="H38" s="32"/>
      <c r="O38" s="33"/>
      <c r="P38" s="33"/>
    </row>
    <row r="39" spans="2:16" ht="15">
      <c r="B39" s="75" t="s">
        <v>25</v>
      </c>
      <c r="C39" s="133">
        <v>870225757</v>
      </c>
      <c r="D39" s="133">
        <v>46051172</v>
      </c>
      <c r="E39" s="133">
        <f t="shared" si="3"/>
        <v>916276929</v>
      </c>
      <c r="G39" s="32"/>
      <c r="H39" s="32"/>
      <c r="O39" s="33"/>
      <c r="P39" s="33"/>
    </row>
    <row r="40" spans="2:16" ht="15">
      <c r="B40" s="75" t="s">
        <v>26</v>
      </c>
      <c r="C40" s="133">
        <v>4769740401</v>
      </c>
      <c r="D40" s="133"/>
      <c r="E40" s="133">
        <f t="shared" si="3"/>
        <v>4769740401</v>
      </c>
      <c r="G40" s="32"/>
      <c r="H40" s="32"/>
      <c r="O40" s="33"/>
      <c r="P40" s="33"/>
    </row>
    <row r="41" spans="2:16" ht="15">
      <c r="B41" s="75" t="s">
        <v>33</v>
      </c>
      <c r="C41" s="133">
        <f>SUM(C31:C40)</f>
        <v>14370190346</v>
      </c>
      <c r="D41" s="133">
        <f>SUM(D31:D40)</f>
        <v>1851137035</v>
      </c>
      <c r="E41" s="133">
        <f t="shared" si="3"/>
        <v>16221327381</v>
      </c>
      <c r="G41" s="32"/>
      <c r="H41" s="32"/>
      <c r="O41" s="33"/>
      <c r="P41" s="33"/>
    </row>
    <row r="43" spans="2:16">
      <c r="B43" s="76" t="s">
        <v>80</v>
      </c>
      <c r="C43" s="77">
        <f>3922478-221377</f>
        <v>3701101</v>
      </c>
    </row>
    <row r="71" spans="1:16">
      <c r="A71" s="78"/>
      <c r="B71" s="78"/>
      <c r="C71" s="78"/>
      <c r="D71" s="78"/>
      <c r="E71" s="78"/>
      <c r="F71" s="78"/>
      <c r="G71" s="78"/>
      <c r="H71" s="78"/>
      <c r="I71" s="79"/>
      <c r="J71" s="79"/>
      <c r="K71" s="79"/>
      <c r="L71" s="79"/>
      <c r="M71" s="79"/>
      <c r="N71" s="79"/>
      <c r="O71" s="79"/>
      <c r="P71" s="79"/>
    </row>
    <row r="181" spans="9:9" ht="24">
      <c r="I181" s="61" t="s">
        <v>81</v>
      </c>
    </row>
    <row r="311" spans="9:11">
      <c r="I311" s="80"/>
      <c r="K311" s="32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T20"/>
  <sheetViews>
    <sheetView showGridLines="0" tabSelected="1" zoomScale="80" zoomScaleNormal="80" zoomScaleSheetLayoutView="80" workbookViewId="0">
      <pane ySplit="6" topLeftCell="A7" activePane="bottomLeft" state="frozen"/>
      <selection activeCell="B1" sqref="B1:K1"/>
      <selection pane="bottomLeft" activeCell="D2" sqref="D2"/>
    </sheetView>
  </sheetViews>
  <sheetFormatPr defaultColWidth="8.75" defaultRowHeight="13.5"/>
  <cols>
    <col min="1" max="1" width="2.5" style="8" customWidth="1"/>
    <col min="2" max="2" width="4.25" style="84" customWidth="1"/>
    <col min="3" max="3" width="6.875" style="20" customWidth="1"/>
    <col min="4" max="4" width="12.75" style="8" customWidth="1"/>
    <col min="5" max="5" width="32" style="8" customWidth="1"/>
    <col min="6" max="6" width="12.375" style="8" customWidth="1"/>
    <col min="7" max="7" width="10.875" style="8" customWidth="1"/>
    <col min="8" max="8" width="12.375" style="8" customWidth="1"/>
    <col min="9" max="9" width="10.125" style="8" customWidth="1"/>
    <col min="10" max="10" width="10.75" style="8" customWidth="1"/>
    <col min="11" max="11" width="12.125" style="8" customWidth="1"/>
    <col min="12" max="13" width="10" style="8" customWidth="1"/>
    <col min="14" max="14" width="11.625" style="8" customWidth="1"/>
    <col min="15" max="15" width="9.25" style="8" customWidth="1"/>
    <col min="16" max="16" width="25.625" style="8" customWidth="1"/>
    <col min="17" max="17" width="5.375" style="8" customWidth="1"/>
    <col min="18" max="18" width="11.125" style="8" customWidth="1"/>
    <col min="19" max="19" width="11.25" style="8" customWidth="1"/>
    <col min="20" max="20" width="6" style="20" customWidth="1"/>
    <col min="21" max="21" width="8.75" style="8" customWidth="1"/>
    <col min="22" max="16384" width="8.75" style="8"/>
  </cols>
  <sheetData>
    <row r="1" spans="1:20" ht="29.25" customHeight="1">
      <c r="A1" s="173" t="s">
        <v>86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</row>
    <row r="2" spans="1:20" ht="22.5" customHeight="1">
      <c r="A2" s="21" t="s">
        <v>12</v>
      </c>
      <c r="B2" s="83" t="s">
        <v>120</v>
      </c>
      <c r="C2" s="185"/>
    </row>
    <row r="3" spans="1:20" ht="16.5" customHeight="1">
      <c r="P3" s="22" t="s">
        <v>17</v>
      </c>
      <c r="R3" s="20"/>
    </row>
    <row r="4" spans="1:20" ht="27.75" customHeight="1">
      <c r="A4" s="174" t="s">
        <v>8</v>
      </c>
      <c r="B4" s="175"/>
      <c r="C4" s="178" t="s">
        <v>9</v>
      </c>
      <c r="D4" s="179" t="s">
        <v>7</v>
      </c>
      <c r="E4" s="179" t="s">
        <v>6</v>
      </c>
      <c r="F4" s="178" t="s">
        <v>87</v>
      </c>
      <c r="G4" s="178" t="s">
        <v>18</v>
      </c>
      <c r="H4" s="180" t="s">
        <v>88</v>
      </c>
      <c r="I4" s="182" t="s">
        <v>89</v>
      </c>
      <c r="J4" s="172"/>
      <c r="K4" s="178" t="s">
        <v>13</v>
      </c>
      <c r="L4" s="182" t="s">
        <v>90</v>
      </c>
      <c r="M4" s="172"/>
      <c r="N4" s="178" t="s">
        <v>14</v>
      </c>
      <c r="O4" s="183" t="s">
        <v>15</v>
      </c>
      <c r="P4" s="179" t="s">
        <v>10</v>
      </c>
      <c r="Q4" s="170" t="s">
        <v>11</v>
      </c>
      <c r="R4" s="172" t="s">
        <v>16</v>
      </c>
      <c r="S4" s="172"/>
      <c r="T4" s="172"/>
    </row>
    <row r="5" spans="1:20" ht="14.25" customHeight="1">
      <c r="A5" s="176"/>
      <c r="B5" s="177"/>
      <c r="C5" s="178"/>
      <c r="D5" s="179"/>
      <c r="E5" s="179"/>
      <c r="F5" s="179"/>
      <c r="G5" s="179"/>
      <c r="H5" s="181"/>
      <c r="I5" s="23" t="s">
        <v>0</v>
      </c>
      <c r="J5" s="23" t="s">
        <v>1</v>
      </c>
      <c r="K5" s="179"/>
      <c r="L5" s="23" t="s">
        <v>0</v>
      </c>
      <c r="M5" s="23" t="s">
        <v>1</v>
      </c>
      <c r="N5" s="179"/>
      <c r="O5" s="184"/>
      <c r="P5" s="179"/>
      <c r="Q5" s="171"/>
      <c r="R5" s="23" t="s">
        <v>4</v>
      </c>
      <c r="S5" s="23" t="s">
        <v>2</v>
      </c>
      <c r="T5" s="23" t="s">
        <v>5</v>
      </c>
    </row>
    <row r="6" spans="1:20" ht="33" customHeight="1">
      <c r="A6" s="24"/>
      <c r="B6" s="85" t="s">
        <v>3</v>
      </c>
      <c r="C6" s="25"/>
      <c r="D6" s="25"/>
      <c r="E6" s="25"/>
      <c r="F6" s="26">
        <f t="shared" ref="F6:N6" si="0">SUM(F7:F146)/3</f>
        <v>33170811</v>
      </c>
      <c r="G6" s="26">
        <f t="shared" si="0"/>
        <v>25880811</v>
      </c>
      <c r="H6" s="26">
        <f t="shared" si="0"/>
        <v>7290000</v>
      </c>
      <c r="I6" s="26">
        <f t="shared" si="0"/>
        <v>-40000</v>
      </c>
      <c r="J6" s="26">
        <f t="shared" si="0"/>
        <v>6860000</v>
      </c>
      <c r="K6" s="26">
        <f t="shared" si="0"/>
        <v>39990811</v>
      </c>
      <c r="L6" s="26">
        <f t="shared" si="0"/>
        <v>0</v>
      </c>
      <c r="M6" s="26">
        <f t="shared" si="0"/>
        <v>0</v>
      </c>
      <c r="N6" s="26">
        <f t="shared" si="0"/>
        <v>33170811</v>
      </c>
      <c r="O6" s="7"/>
      <c r="P6" s="87"/>
      <c r="Q6" s="7"/>
      <c r="R6" s="26">
        <f>SUM(R7:R146)/3</f>
        <v>0</v>
      </c>
      <c r="S6" s="26">
        <f>SUM(S7:S146)/3</f>
        <v>5120000</v>
      </c>
      <c r="T6" s="7" t="str">
        <f t="shared" ref="T6:T15" si="1">IF((I6+J6)=(R6+S6),"ok","검토")</f>
        <v>검토</v>
      </c>
    </row>
    <row r="7" spans="1:20" ht="33" customHeight="1">
      <c r="A7" s="1" t="s">
        <v>97</v>
      </c>
      <c r="B7" s="9"/>
      <c r="C7" s="2"/>
      <c r="D7" s="2"/>
      <c r="E7" s="2"/>
      <c r="F7" s="3">
        <f t="shared" ref="F7:N7" si="2">SUM(F8:F15)/2</f>
        <v>33170811</v>
      </c>
      <c r="G7" s="3">
        <f t="shared" si="2"/>
        <v>25880811</v>
      </c>
      <c r="H7" s="3">
        <f t="shared" si="2"/>
        <v>7290000</v>
      </c>
      <c r="I7" s="3">
        <f t="shared" si="2"/>
        <v>-40000</v>
      </c>
      <c r="J7" s="3">
        <f t="shared" si="2"/>
        <v>6860000</v>
      </c>
      <c r="K7" s="3">
        <f t="shared" si="2"/>
        <v>39990811</v>
      </c>
      <c r="L7" s="3">
        <f t="shared" si="2"/>
        <v>0</v>
      </c>
      <c r="M7" s="3">
        <f t="shared" si="2"/>
        <v>0</v>
      </c>
      <c r="N7" s="3">
        <f t="shared" si="2"/>
        <v>33170811</v>
      </c>
      <c r="O7" s="3"/>
      <c r="P7" s="88"/>
      <c r="Q7" s="3"/>
      <c r="R7" s="3">
        <f>SUM(R8:R15)/2</f>
        <v>0</v>
      </c>
      <c r="S7" s="3">
        <f>SUM(S8:S15)/2</f>
        <v>5120000</v>
      </c>
      <c r="T7" s="2" t="str">
        <f t="shared" si="1"/>
        <v>검토</v>
      </c>
    </row>
    <row r="8" spans="1:20" ht="33" customHeight="1">
      <c r="A8" s="27"/>
      <c r="B8" s="86" t="s">
        <v>98</v>
      </c>
      <c r="C8" s="4"/>
      <c r="D8" s="5"/>
      <c r="E8" s="5"/>
      <c r="F8" s="6">
        <f t="shared" ref="F8:N8" si="3">SUM(F9:F15)</f>
        <v>33170811</v>
      </c>
      <c r="G8" s="6">
        <f t="shared" si="3"/>
        <v>25880811</v>
      </c>
      <c r="H8" s="6">
        <f t="shared" si="3"/>
        <v>7290000</v>
      </c>
      <c r="I8" s="6">
        <f t="shared" si="3"/>
        <v>-40000</v>
      </c>
      <c r="J8" s="6">
        <f t="shared" si="3"/>
        <v>6860000</v>
      </c>
      <c r="K8" s="6">
        <f t="shared" si="3"/>
        <v>39990811</v>
      </c>
      <c r="L8" s="6">
        <f t="shared" si="3"/>
        <v>0</v>
      </c>
      <c r="M8" s="6">
        <f t="shared" si="3"/>
        <v>0</v>
      </c>
      <c r="N8" s="6">
        <f t="shared" si="3"/>
        <v>33170811</v>
      </c>
      <c r="O8" s="6"/>
      <c r="P8" s="89"/>
      <c r="Q8" s="6"/>
      <c r="R8" s="6">
        <f>SUM(R9:R15)</f>
        <v>0</v>
      </c>
      <c r="S8" s="6">
        <f>SUM(S9:S11)</f>
        <v>1750000</v>
      </c>
      <c r="T8" s="4" t="str">
        <f t="shared" si="1"/>
        <v>검토</v>
      </c>
    </row>
    <row r="9" spans="1:20" s="102" customFormat="1" ht="48" customHeight="1">
      <c r="A9" s="97"/>
      <c r="B9" s="135" t="s">
        <v>99</v>
      </c>
      <c r="C9" s="136" t="s">
        <v>100</v>
      </c>
      <c r="D9" s="100" t="s">
        <v>101</v>
      </c>
      <c r="E9" s="90" t="s">
        <v>102</v>
      </c>
      <c r="F9" s="96">
        <v>0</v>
      </c>
      <c r="G9" s="96">
        <v>0</v>
      </c>
      <c r="H9" s="99" t="str">
        <f>IF(SUMPRODUCT(COUNTIF(C9,{"*본예산*","*1회추경*","*신규*"})),"-",F9-G9)</f>
        <v>-</v>
      </c>
      <c r="I9" s="101"/>
      <c r="J9" s="101">
        <v>650000</v>
      </c>
      <c r="K9" s="99">
        <f t="shared" ref="K9:K15" si="4">F9+I9+J9</f>
        <v>650000</v>
      </c>
      <c r="L9" s="94"/>
      <c r="M9" s="98">
        <v>0</v>
      </c>
      <c r="N9" s="99">
        <f t="shared" ref="N9:N10" si="5">F9+L9+M9</f>
        <v>0</v>
      </c>
      <c r="O9" s="95" t="str">
        <f t="shared" ref="O9" si="6">IF(I9-L9&lt;0,"동의필요","-")</f>
        <v>-</v>
      </c>
      <c r="P9" s="82"/>
      <c r="Q9" s="98" t="s">
        <v>103</v>
      </c>
      <c r="R9" s="96">
        <v>0</v>
      </c>
      <c r="S9" s="98">
        <v>650000</v>
      </c>
      <c r="T9" s="95" t="str">
        <f t="shared" si="1"/>
        <v>ok</v>
      </c>
    </row>
    <row r="10" spans="1:20" s="102" customFormat="1" ht="48" customHeight="1">
      <c r="A10" s="97"/>
      <c r="B10" s="135" t="s">
        <v>108</v>
      </c>
      <c r="C10" s="136">
        <v>645</v>
      </c>
      <c r="D10" s="100" t="s">
        <v>104</v>
      </c>
      <c r="E10" s="90" t="s">
        <v>118</v>
      </c>
      <c r="F10" s="96">
        <v>20000</v>
      </c>
      <c r="G10" s="96">
        <v>0</v>
      </c>
      <c r="H10" s="99">
        <f>IF(SUMPRODUCT(COUNTIF(C10,{"*본예산*","*1회추경*","*신규*"})),"-",F10-G10)</f>
        <v>20000</v>
      </c>
      <c r="I10" s="101"/>
      <c r="J10" s="101">
        <v>100000</v>
      </c>
      <c r="K10" s="99">
        <f t="shared" si="4"/>
        <v>120000</v>
      </c>
      <c r="L10" s="94"/>
      <c r="M10" s="98"/>
      <c r="N10" s="99">
        <f t="shared" si="5"/>
        <v>20000</v>
      </c>
      <c r="O10" s="95"/>
      <c r="P10" s="82" t="s">
        <v>119</v>
      </c>
      <c r="Q10" s="98" t="s">
        <v>117</v>
      </c>
      <c r="R10" s="96"/>
      <c r="S10" s="98">
        <v>100000</v>
      </c>
      <c r="T10" s="95"/>
    </row>
    <row r="11" spans="1:20" ht="33" customHeight="1">
      <c r="A11" s="27"/>
      <c r="B11" s="137" t="s">
        <v>92</v>
      </c>
      <c r="C11" s="136" t="s">
        <v>34</v>
      </c>
      <c r="D11" s="28" t="s">
        <v>104</v>
      </c>
      <c r="E11" s="81" t="s">
        <v>105</v>
      </c>
      <c r="F11" s="26">
        <v>0</v>
      </c>
      <c r="G11" s="26">
        <v>0</v>
      </c>
      <c r="H11" s="29" t="str">
        <f>IF(SUMPRODUCT(COUNTIF(C11,{"*본예산*","*1회추경*","*신규*"})),"-",F11-G11)</f>
        <v>-</v>
      </c>
      <c r="I11" s="26"/>
      <c r="J11" s="26">
        <v>1000000</v>
      </c>
      <c r="K11" s="29">
        <f>F11+I11+J11</f>
        <v>1000000</v>
      </c>
      <c r="L11" s="30"/>
      <c r="M11" s="30">
        <v>0</v>
      </c>
      <c r="N11" s="29">
        <f>F11+L11+M11</f>
        <v>0</v>
      </c>
      <c r="O11" s="31" t="str">
        <f>IF(I11-L11&lt;0,"동의필요","-")</f>
        <v>-</v>
      </c>
      <c r="P11" s="82"/>
      <c r="Q11" s="30" t="s">
        <v>20</v>
      </c>
      <c r="R11" s="30"/>
      <c r="S11" s="30">
        <v>1000000</v>
      </c>
      <c r="T11" s="31" t="str">
        <f>IF((I11+J11)=(R11+S11),"ok","검토")</f>
        <v>ok</v>
      </c>
    </row>
    <row r="12" spans="1:20" s="102" customFormat="1" ht="33" customHeight="1">
      <c r="A12" s="97"/>
      <c r="B12" s="86" t="s">
        <v>106</v>
      </c>
      <c r="C12" s="92"/>
      <c r="D12" s="91"/>
      <c r="E12" s="91"/>
      <c r="F12" s="93">
        <f t="shared" ref="F12:N12" si="7">SUM(F15:F18)</f>
        <v>14657051</v>
      </c>
      <c r="G12" s="93">
        <f t="shared" si="7"/>
        <v>11302051</v>
      </c>
      <c r="H12" s="93">
        <f t="shared" si="7"/>
        <v>3355000</v>
      </c>
      <c r="I12" s="93">
        <f t="shared" si="7"/>
        <v>0</v>
      </c>
      <c r="J12" s="93">
        <f t="shared" si="7"/>
        <v>1700000</v>
      </c>
      <c r="K12" s="93">
        <f t="shared" si="7"/>
        <v>16357051</v>
      </c>
      <c r="L12" s="93">
        <f t="shared" si="7"/>
        <v>0</v>
      </c>
      <c r="M12" s="93">
        <f t="shared" si="7"/>
        <v>0</v>
      </c>
      <c r="N12" s="93">
        <f t="shared" si="7"/>
        <v>14657051</v>
      </c>
      <c r="O12" s="93"/>
      <c r="P12" s="89"/>
      <c r="Q12" s="93"/>
      <c r="R12" s="93">
        <f>SUM(R15:R18)</f>
        <v>0</v>
      </c>
      <c r="S12" s="93">
        <f>SUM(S13:S15)</f>
        <v>3370000</v>
      </c>
      <c r="T12" s="92" t="str">
        <f t="shared" ref="T12" si="8">IF((I12+J12)=(R12+S12),"ok","검토")</f>
        <v>검토</v>
      </c>
    </row>
    <row r="13" spans="1:20" s="102" customFormat="1" ht="33" customHeight="1">
      <c r="A13" s="97"/>
      <c r="B13" s="140" t="s">
        <v>108</v>
      </c>
      <c r="C13" s="143">
        <v>655</v>
      </c>
      <c r="D13" s="142" t="s">
        <v>107</v>
      </c>
      <c r="E13" s="142" t="s">
        <v>114</v>
      </c>
      <c r="F13" s="145">
        <v>3776709</v>
      </c>
      <c r="G13" s="145">
        <v>3276709</v>
      </c>
      <c r="H13" s="99">
        <f>IF(SUMPRODUCT(COUNTIF(C13,{"*본예산*","*1회추경*","*신규*"})),"-",F13-G13)</f>
        <v>500000</v>
      </c>
      <c r="I13" s="145"/>
      <c r="J13" s="145">
        <v>1700000</v>
      </c>
      <c r="K13" s="99">
        <f t="shared" si="4"/>
        <v>5476709</v>
      </c>
      <c r="L13" s="145"/>
      <c r="M13" s="145"/>
      <c r="N13" s="99">
        <f t="shared" ref="N13:N14" si="9">F13+L13+M13</f>
        <v>3776709</v>
      </c>
      <c r="O13" s="139"/>
      <c r="P13" s="144"/>
      <c r="Q13" s="145" t="s">
        <v>117</v>
      </c>
      <c r="R13" s="139"/>
      <c r="S13" s="145">
        <v>1700000</v>
      </c>
      <c r="T13" s="95" t="str">
        <f>IF((I13+J13)=(R13+S13),"ok","검토")</f>
        <v>ok</v>
      </c>
    </row>
    <row r="14" spans="1:20" s="102" customFormat="1" ht="33" customHeight="1">
      <c r="A14" s="97"/>
      <c r="B14" s="140" t="s">
        <v>108</v>
      </c>
      <c r="C14" s="141">
        <v>657</v>
      </c>
      <c r="D14" s="142" t="s">
        <v>109</v>
      </c>
      <c r="E14" s="142" t="s">
        <v>115</v>
      </c>
      <c r="F14" s="145">
        <v>60000</v>
      </c>
      <c r="G14" s="145">
        <v>0</v>
      </c>
      <c r="H14" s="99">
        <f>IF(SUMPRODUCT(COUNTIF(C14,{"*본예산*","*1회추경*","*신규*"})),"-",F14-G14)</f>
        <v>60000</v>
      </c>
      <c r="I14" s="145">
        <v>-40000</v>
      </c>
      <c r="J14" s="145">
        <v>10000</v>
      </c>
      <c r="K14" s="99">
        <f t="shared" si="4"/>
        <v>30000</v>
      </c>
      <c r="L14" s="145"/>
      <c r="M14" s="145"/>
      <c r="N14" s="99">
        <f t="shared" si="9"/>
        <v>60000</v>
      </c>
      <c r="O14" s="139"/>
      <c r="P14" s="144" t="s">
        <v>110</v>
      </c>
      <c r="Q14" s="145" t="s">
        <v>117</v>
      </c>
      <c r="R14" s="139"/>
      <c r="S14" s="145">
        <v>-30000</v>
      </c>
      <c r="T14" s="95" t="str">
        <f t="shared" ref="T14" si="10">IF((I14+J14)=(R14+S14),"ok","검토")</f>
        <v>ok</v>
      </c>
    </row>
    <row r="15" spans="1:20" ht="44.25" customHeight="1">
      <c r="A15" s="27"/>
      <c r="B15" s="137" t="s">
        <v>111</v>
      </c>
      <c r="C15" s="138">
        <v>662</v>
      </c>
      <c r="D15" s="28" t="s">
        <v>112</v>
      </c>
      <c r="E15" s="81" t="s">
        <v>113</v>
      </c>
      <c r="F15" s="96">
        <v>14657051</v>
      </c>
      <c r="G15" s="96">
        <v>11302051</v>
      </c>
      <c r="H15" s="99">
        <f>IF(SUMPRODUCT(COUNTIF(C15,{"*본예산*","*1회추경*","*신규*"})),"-",F15-G15)</f>
        <v>3355000</v>
      </c>
      <c r="I15" s="96"/>
      <c r="J15" s="96">
        <v>1700000</v>
      </c>
      <c r="K15" s="99">
        <f t="shared" si="4"/>
        <v>16357051</v>
      </c>
      <c r="L15" s="98"/>
      <c r="M15" s="98">
        <v>0</v>
      </c>
      <c r="N15" s="99">
        <f t="shared" ref="N15" si="11">F15+L15+M15</f>
        <v>14657051</v>
      </c>
      <c r="O15" s="31" t="str">
        <f>IF(I15-L15&lt;0,"동의필요","-")</f>
        <v>-</v>
      </c>
      <c r="P15" s="82" t="s">
        <v>116</v>
      </c>
      <c r="Q15" s="98" t="s">
        <v>117</v>
      </c>
      <c r="R15" s="30"/>
      <c r="S15" s="98">
        <v>1700000</v>
      </c>
      <c r="T15" s="31" t="str">
        <f t="shared" si="1"/>
        <v>ok</v>
      </c>
    </row>
    <row r="17" spans="2:4" ht="29.25" customHeight="1">
      <c r="B17" s="134" t="s">
        <v>95</v>
      </c>
    </row>
    <row r="18" spans="2:4" ht="31.5" customHeight="1">
      <c r="B18" s="135" t="s">
        <v>91</v>
      </c>
      <c r="C18" s="136">
        <v>290</v>
      </c>
      <c r="D18" s="8" t="s">
        <v>93</v>
      </c>
    </row>
    <row r="19" spans="2:4" ht="31.5" customHeight="1">
      <c r="B19" s="137" t="s">
        <v>92</v>
      </c>
      <c r="C19" s="136" t="s">
        <v>34</v>
      </c>
      <c r="D19" s="8" t="s">
        <v>94</v>
      </c>
    </row>
    <row r="20" spans="2:4" ht="31.5" customHeight="1">
      <c r="B20" s="137" t="s">
        <v>92</v>
      </c>
      <c r="C20" s="138" t="s">
        <v>35</v>
      </c>
      <c r="D20" s="8" t="s">
        <v>96</v>
      </c>
    </row>
  </sheetData>
  <autoFilter ref="A6:T15"/>
  <mergeCells count="16"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</mergeCells>
  <phoneticPr fontId="6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45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추 표지</vt:lpstr>
      <vt:lpstr>총괄표</vt:lpstr>
      <vt:lpstr>계수조정최종(세출)</vt:lpstr>
      <vt:lpstr>'계수조정최종(세출)'!Print_Area</vt:lpstr>
      <vt:lpstr>총괄표!Print_Area</vt:lpstr>
      <vt:lpstr>'추 표지'!Print_Area</vt:lpstr>
      <vt:lpstr>'계수조정최종(세출)'!Print_Titles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2014-09-22T12:22:27Z</cp:lastPrinted>
  <dcterms:created xsi:type="dcterms:W3CDTF">2013-08-23T08:00:50Z</dcterms:created>
  <dcterms:modified xsi:type="dcterms:W3CDTF">2014-09-22T12:34:10Z</dcterms:modified>
</cp:coreProperties>
</file>