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19320" windowHeight="11700" tabRatio="604" firstSheet="3" activeTab="4"/>
  </bookViews>
  <sheets>
    <sheet name="추 표지" sheetId="20" state="hidden" r:id="rId1"/>
    <sheet name="총괄표" sheetId="48" state="hidden" r:id="rId2"/>
    <sheet name="일반 세입" sheetId="36" r:id="rId3"/>
    <sheet name="일반 세입 (집행부)" sheetId="57" r:id="rId4"/>
    <sheet name="일반 세출 (집행부)" sheetId="58" r:id="rId5"/>
    <sheet name="Sheet3" sheetId="51" r:id="rId6"/>
  </sheets>
  <definedNames>
    <definedName name="_xlnm._FilterDatabase" localSheetId="2" hidden="1">'일반 세입'!$A$6:$T$11</definedName>
    <definedName name="_xlnm._FilterDatabase" localSheetId="3" hidden="1">'일반 세입 (집행부)'!$A$6:$T$9</definedName>
    <definedName name="_xlnm._FilterDatabase" localSheetId="4" hidden="1">'일반 세출 (집행부)'!$A$6:$S$13</definedName>
    <definedName name="_xlnm.Print_Area" localSheetId="2">'일반 세입'!$A$1:$T$19</definedName>
    <definedName name="_xlnm.Print_Area" localSheetId="3">'일반 세입 (집행부)'!$A$1:$T$12</definedName>
    <definedName name="_xlnm.Print_Area" localSheetId="4">'일반 세출 (집행부)'!$A$1:$S$22</definedName>
    <definedName name="_xlnm.Print_Area" localSheetId="1">총괄표!$B$1:$H$28</definedName>
    <definedName name="_xlnm.Print_Area" localSheetId="0">'추 표지'!$A$1:$J$37</definedName>
    <definedName name="_xlnm.Print_Titles" localSheetId="2">'일반 세입'!$3:$5</definedName>
    <definedName name="_xlnm.Print_Titles" localSheetId="3">'일반 세입 (집행부)'!$3:$5</definedName>
    <definedName name="_xlnm.Print_Titles" localSheetId="4">'일반 세출 (집행부)'!$4:$5</definedName>
  </definedNames>
  <calcPr calcId="145621"/>
</workbook>
</file>

<file path=xl/calcChain.xml><?xml version="1.0" encoding="utf-8"?>
<calcChain xmlns="http://schemas.openxmlformats.org/spreadsheetml/2006/main">
  <c r="S13" i="58" l="1"/>
  <c r="S12" i="58"/>
  <c r="S10" i="58"/>
  <c r="K13" i="58"/>
  <c r="H12" i="58"/>
  <c r="H13" i="58"/>
  <c r="K12" i="58"/>
  <c r="S23" i="58" l="1"/>
  <c r="N23" i="58"/>
  <c r="K23" i="58"/>
  <c r="H23" i="58"/>
  <c r="S22" i="58"/>
  <c r="N22" i="58"/>
  <c r="N21" i="58" s="1"/>
  <c r="K22" i="58"/>
  <c r="H22" i="58"/>
  <c r="H21" i="58" s="1"/>
  <c r="R21" i="58"/>
  <c r="Q21" i="58"/>
  <c r="M21" i="58"/>
  <c r="L21" i="58"/>
  <c r="K21" i="58"/>
  <c r="J21" i="58"/>
  <c r="I21" i="58"/>
  <c r="G21" i="58"/>
  <c r="F21" i="58"/>
  <c r="S20" i="58"/>
  <c r="K20" i="58"/>
  <c r="H20" i="58"/>
  <c r="S19" i="58"/>
  <c r="K19" i="58"/>
  <c r="H19" i="58"/>
  <c r="S18" i="58"/>
  <c r="K18" i="58"/>
  <c r="H18" i="58"/>
  <c r="S17" i="58"/>
  <c r="K17" i="58"/>
  <c r="H17" i="58"/>
  <c r="S16" i="58"/>
  <c r="N16" i="58"/>
  <c r="K16" i="58"/>
  <c r="H16" i="58"/>
  <c r="S15" i="58"/>
  <c r="N15" i="58"/>
  <c r="N14" i="58" s="1"/>
  <c r="K15" i="58"/>
  <c r="H15" i="58"/>
  <c r="R14" i="58"/>
  <c r="Q14" i="58"/>
  <c r="M14" i="58"/>
  <c r="L14" i="58"/>
  <c r="J14" i="58"/>
  <c r="J7" i="58" s="1"/>
  <c r="J6" i="58" s="1"/>
  <c r="I14" i="58"/>
  <c r="G14" i="58"/>
  <c r="F14" i="58"/>
  <c r="S11" i="58"/>
  <c r="N11" i="58"/>
  <c r="K11" i="58"/>
  <c r="H11" i="58"/>
  <c r="K10" i="58"/>
  <c r="H10" i="58"/>
  <c r="S9" i="58"/>
  <c r="N9" i="58"/>
  <c r="N8" i="58" s="1"/>
  <c r="K9" i="58"/>
  <c r="H9" i="58"/>
  <c r="R8" i="58"/>
  <c r="Q8" i="58"/>
  <c r="Q7" i="58" s="1"/>
  <c r="Q6" i="58" s="1"/>
  <c r="M8" i="58"/>
  <c r="M7" i="58" s="1"/>
  <c r="M6" i="58" s="1"/>
  <c r="L8" i="58"/>
  <c r="L7" i="58" s="1"/>
  <c r="L6" i="58" s="1"/>
  <c r="J8" i="58"/>
  <c r="I8" i="58"/>
  <c r="I7" i="58" s="1"/>
  <c r="I6" i="58" s="1"/>
  <c r="G8" i="58"/>
  <c r="G7" i="58" s="1"/>
  <c r="G6" i="58" s="1"/>
  <c r="F8" i="58"/>
  <c r="F7" i="58" s="1"/>
  <c r="F6" i="58" s="1"/>
  <c r="R7" i="58" l="1"/>
  <c r="R6" i="58" s="1"/>
  <c r="S6" i="58" s="1"/>
  <c r="H14" i="58"/>
  <c r="S14" i="58"/>
  <c r="S21" i="58"/>
  <c r="N6" i="58"/>
  <c r="S8" i="58"/>
  <c r="N7" i="58"/>
  <c r="K14" i="58"/>
  <c r="H8" i="58"/>
  <c r="K8" i="58"/>
  <c r="R6" i="57"/>
  <c r="G6" i="57"/>
  <c r="H6" i="57"/>
  <c r="I6" i="57"/>
  <c r="J6" i="57"/>
  <c r="K6" i="57"/>
  <c r="F6" i="57"/>
  <c r="H9" i="57"/>
  <c r="K9" i="57"/>
  <c r="M9" i="57"/>
  <c r="N9" i="57" s="1"/>
  <c r="O9" i="57"/>
  <c r="T9" i="57"/>
  <c r="T12" i="57"/>
  <c r="O12" i="57"/>
  <c r="M12" i="57"/>
  <c r="N12" i="57" s="1"/>
  <c r="K12" i="57"/>
  <c r="H12" i="57"/>
  <c r="T11" i="57"/>
  <c r="O11" i="57"/>
  <c r="N11" i="57"/>
  <c r="K11" i="57"/>
  <c r="H11" i="57"/>
  <c r="S10" i="57"/>
  <c r="R10" i="57"/>
  <c r="M10" i="57"/>
  <c r="L10" i="57"/>
  <c r="J10" i="57"/>
  <c r="I10" i="57"/>
  <c r="G10" i="57"/>
  <c r="F10" i="57"/>
  <c r="T8" i="57"/>
  <c r="O8" i="57"/>
  <c r="N8" i="57"/>
  <c r="K8" i="57"/>
  <c r="K7" i="57" s="1"/>
  <c r="H8" i="57"/>
  <c r="S7" i="57"/>
  <c r="R7" i="57"/>
  <c r="M7" i="57"/>
  <c r="L7" i="57"/>
  <c r="J7" i="57"/>
  <c r="I7" i="57"/>
  <c r="G7" i="57"/>
  <c r="F7" i="57"/>
  <c r="H7" i="58" l="1"/>
  <c r="H6" i="58" s="1"/>
  <c r="K7" i="58"/>
  <c r="K6" i="58" s="1"/>
  <c r="S7" i="58"/>
  <c r="H7" i="57"/>
  <c r="N7" i="57"/>
  <c r="T7" i="57"/>
  <c r="K10" i="57"/>
  <c r="T10" i="57"/>
  <c r="N10" i="57"/>
  <c r="H10" i="57"/>
  <c r="L7" i="36" l="1"/>
  <c r="M7" i="36"/>
  <c r="O7" i="36"/>
  <c r="P7" i="36"/>
  <c r="Q7" i="36"/>
  <c r="R7" i="36"/>
  <c r="S7" i="36"/>
  <c r="I7" i="36" l="1"/>
  <c r="T19" i="36" l="1"/>
  <c r="O19" i="36"/>
  <c r="M19" i="36"/>
  <c r="N19" i="36" s="1"/>
  <c r="K19" i="36"/>
  <c r="H19" i="36"/>
  <c r="T18" i="36"/>
  <c r="O18" i="36"/>
  <c r="M18" i="36"/>
  <c r="N18" i="36" s="1"/>
  <c r="K18" i="36"/>
  <c r="H18" i="36"/>
  <c r="T17" i="36"/>
  <c r="O17" i="36"/>
  <c r="N17" i="36"/>
  <c r="K17" i="36"/>
  <c r="H17" i="36"/>
  <c r="H16" i="36" s="1"/>
  <c r="S16" i="36"/>
  <c r="R16" i="36"/>
  <c r="M16" i="36"/>
  <c r="L16" i="36"/>
  <c r="K16" i="36"/>
  <c r="J16" i="36"/>
  <c r="I16" i="36"/>
  <c r="T16" i="36" s="1"/>
  <c r="G16" i="36"/>
  <c r="F16" i="36"/>
  <c r="T15" i="36"/>
  <c r="O15" i="36"/>
  <c r="N15" i="36"/>
  <c r="M15" i="36"/>
  <c r="K15" i="36"/>
  <c r="H15" i="36"/>
  <c r="T14" i="36"/>
  <c r="O14" i="36"/>
  <c r="M14" i="36"/>
  <c r="N14" i="36" s="1"/>
  <c r="K14" i="36"/>
  <c r="H14" i="36"/>
  <c r="T13" i="36"/>
  <c r="O13" i="36"/>
  <c r="N13" i="36"/>
  <c r="K13" i="36"/>
  <c r="H13" i="36"/>
  <c r="S12" i="36"/>
  <c r="R12" i="36"/>
  <c r="M12" i="36"/>
  <c r="L12" i="36"/>
  <c r="J12" i="36"/>
  <c r="J7" i="36" s="1"/>
  <c r="I12" i="36"/>
  <c r="G12" i="36"/>
  <c r="F12" i="36"/>
  <c r="H12" i="36" l="1"/>
  <c r="T12" i="36"/>
  <c r="N16" i="36"/>
  <c r="N12" i="36"/>
  <c r="N7" i="36" s="1"/>
  <c r="K12" i="36"/>
  <c r="T9" i="36" l="1"/>
  <c r="O9" i="36"/>
  <c r="N9" i="36"/>
  <c r="K9" i="36"/>
  <c r="H9" i="36"/>
  <c r="E9" i="48" l="1"/>
  <c r="E10" i="48"/>
  <c r="D10" i="48"/>
  <c r="D9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I26" i="48"/>
  <c r="H26" i="48"/>
  <c r="C24" i="48"/>
  <c r="H8" i="48"/>
  <c r="C7" i="48"/>
  <c r="J26" i="48" l="1"/>
  <c r="E41" i="48"/>
  <c r="M11" i="36" l="1"/>
  <c r="M10" i="36"/>
  <c r="N10" i="36" s="1"/>
  <c r="E13" i="48" l="1"/>
  <c r="G18" i="48" l="1"/>
  <c r="F18" i="48"/>
  <c r="D13" i="48"/>
  <c r="H18" i="48" l="1"/>
  <c r="G17" i="48"/>
  <c r="F17" i="48" l="1"/>
  <c r="H17" i="48" s="1"/>
  <c r="G16" i="48"/>
  <c r="G15" i="48" l="1"/>
  <c r="F16" i="48"/>
  <c r="H16" i="48" s="1"/>
  <c r="F15" i="48" l="1"/>
  <c r="H15" i="48" s="1"/>
  <c r="G14" i="48"/>
  <c r="E14" i="48"/>
  <c r="E12" i="48"/>
  <c r="T11" i="36"/>
  <c r="O11" i="36"/>
  <c r="N11" i="36"/>
  <c r="N8" i="36" s="1"/>
  <c r="K11" i="36"/>
  <c r="H11" i="36"/>
  <c r="T10" i="36"/>
  <c r="O10" i="36"/>
  <c r="K10" i="36"/>
  <c r="H10" i="36"/>
  <c r="S8" i="36"/>
  <c r="R8" i="36"/>
  <c r="M8" i="36"/>
  <c r="E11" i="48" s="1"/>
  <c r="L8" i="36"/>
  <c r="J8" i="36"/>
  <c r="I8" i="36"/>
  <c r="G8" i="36"/>
  <c r="G7" i="36" s="1"/>
  <c r="F8" i="36"/>
  <c r="F7" i="36" s="1"/>
  <c r="K8" i="36" l="1"/>
  <c r="K7" i="36" s="1"/>
  <c r="E16" i="48"/>
  <c r="G13" i="48"/>
  <c r="F14" i="48"/>
  <c r="H14" i="48" s="1"/>
  <c r="D12" i="48"/>
  <c r="D15" i="48"/>
  <c r="D18" i="48"/>
  <c r="D11" i="48"/>
  <c r="D16" i="48"/>
  <c r="E17" i="48"/>
  <c r="E15" i="48"/>
  <c r="E18" i="48"/>
  <c r="H8" i="36"/>
  <c r="H7" i="36" s="1"/>
  <c r="T8" i="36"/>
  <c r="S6" i="36"/>
  <c r="R6" i="36" l="1"/>
  <c r="G6" i="36"/>
  <c r="F13" i="48"/>
  <c r="H13" i="48" s="1"/>
  <c r="G12" i="48"/>
  <c r="L6" i="36"/>
  <c r="D17" i="48"/>
  <c r="D14" i="48"/>
  <c r="E7" i="48"/>
  <c r="M6" i="36"/>
  <c r="E25" i="48" s="1"/>
  <c r="K6" i="36"/>
  <c r="F6" i="36"/>
  <c r="N6" i="36"/>
  <c r="H6" i="36"/>
  <c r="J6" i="36"/>
  <c r="T7" i="36"/>
  <c r="I6" i="36"/>
  <c r="D7" i="48" l="1"/>
  <c r="I8" i="48" s="1"/>
  <c r="E24" i="48"/>
  <c r="I10" i="48"/>
  <c r="D25" i="48"/>
  <c r="G11" i="48"/>
  <c r="F12" i="48"/>
  <c r="H12" i="48" s="1"/>
  <c r="T6" i="36"/>
  <c r="I25" i="48" l="1"/>
  <c r="D24" i="48"/>
  <c r="I7" i="48"/>
  <c r="F11" i="48"/>
  <c r="H11" i="48" s="1"/>
  <c r="G10" i="48"/>
  <c r="M7" i="48" l="1"/>
  <c r="I24" i="48"/>
  <c r="G9" i="48"/>
  <c r="G7" i="48" s="1"/>
  <c r="G25" i="48"/>
  <c r="G24" i="48" s="1"/>
  <c r="F10" i="48"/>
  <c r="H10" i="48" s="1"/>
  <c r="F9" i="48" l="1"/>
  <c r="F7" i="48" s="1"/>
  <c r="J10" i="48" l="1"/>
  <c r="F25" i="48"/>
  <c r="J8" i="48"/>
  <c r="K8" i="48" s="1"/>
  <c r="H9" i="48"/>
  <c r="H7" i="48" s="1"/>
  <c r="H25" i="48" l="1"/>
  <c r="F24" i="48"/>
  <c r="N7" i="48" s="1"/>
  <c r="N10" i="48" s="1"/>
  <c r="J7" i="48"/>
  <c r="K7" i="48" s="1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<sst xmlns="http://schemas.openxmlformats.org/spreadsheetml/2006/main" count="245" uniqueCount="145">
  <si>
    <t>감액</t>
    <phoneticPr fontId="2" type="noConversion"/>
  </si>
  <si>
    <t>증액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</si>
  <si>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</si>
  <si>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</si>
  <si>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</si>
  <si>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</si>
  <si>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</si>
  <si>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</si>
  <si>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</si>
  <si>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</si>
  <si>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</si>
  <si>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</si>
  <si>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</si>
  <si>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</si>
  <si>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</si>
  <si>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</si>
  <si>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</si>
  <si>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</si>
  <si>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□세출예산</t>
    <phoneticPr fontId="6" type="noConversion"/>
  </si>
  <si>
    <t>기정액
(나)</t>
    <phoneticPr fontId="6" type="noConversion"/>
  </si>
  <si>
    <t>경제과학기술위원회</t>
  </si>
  <si>
    <t>행정자치위원회</t>
  </si>
  <si>
    <t>농림수산위원회</t>
  </si>
  <si>
    <t>보건복지공보위원회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</si>
  <si>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</si>
  <si>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</si>
  <si>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</si>
  <si>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</si>
  <si>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</si>
  <si>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</si>
  <si>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</si>
  <si>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</si>
  <si>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</si>
  <si>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</si>
  <si>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</si>
  <si>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</si>
  <si>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</si>
  <si>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</si>
  <si>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</si>
  <si>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</si>
  <si>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</si>
  <si>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</si>
  <si>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</si>
  <si>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</si>
  <si>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</si>
  <si>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</si>
  <si>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</si>
  <si>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</si>
  <si>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</si>
  <si>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</si>
  <si>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</si>
  <si>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</si>
  <si>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</si>
  <si>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</si>
  <si>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</si>
  <si>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운 영 위</t>
    <phoneticPr fontId="6" type="noConversion"/>
  </si>
  <si>
    <t>일반회계 증감(시트)</t>
    <phoneticPr fontId="6" type="noConversion"/>
  </si>
  <si>
    <t>전체 증감</t>
    <phoneticPr fontId="6" type="noConversion"/>
  </si>
  <si>
    <t>기 획 위</t>
    <phoneticPr fontId="6" type="noConversion"/>
  </si>
  <si>
    <t>경 제 위</t>
    <phoneticPr fontId="6" type="noConversion"/>
  </si>
  <si>
    <t>행 정 위</t>
    <phoneticPr fontId="6" type="noConversion"/>
  </si>
  <si>
    <t>문 광 위</t>
    <phoneticPr fontId="6" type="noConversion"/>
  </si>
  <si>
    <t>기금</t>
    <phoneticPr fontId="6" type="noConversion"/>
  </si>
  <si>
    <t>농 림 위</t>
    <phoneticPr fontId="6" type="noConversion"/>
  </si>
  <si>
    <t>복 지 위</t>
    <phoneticPr fontId="6" type="noConversion"/>
  </si>
  <si>
    <t>건 설 위</t>
    <phoneticPr fontId="6" type="noConversion"/>
  </si>
  <si>
    <t>도 시 위</t>
    <phoneticPr fontId="6" type="noConversion"/>
  </si>
  <si>
    <t>여가평위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</si>
  <si>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</si>
  <si>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</si>
  <si>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</si>
  <si>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</si>
  <si>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</si>
  <si>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</si>
  <si>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</si>
  <si>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</si>
  <si>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</si>
  <si>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</si>
  <si>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</si>
  <si>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</si>
  <si>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</si>
  <si>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</si>
  <si>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국비</t>
    <phoneticPr fontId="6" type="noConversion"/>
  </si>
  <si>
    <t>2014년도 제1회 일반회계 및 특별회계 추가경정 세입·세출 예산안</t>
    <phoneticPr fontId="6" type="noConversion"/>
  </si>
  <si>
    <t>'14년도 제1회 추경 일반 및 특별회계 세입·세출 예산 수정안[전체예산총괄]</t>
    <phoneticPr fontId="6" type="noConversion"/>
  </si>
  <si>
    <t>2014년도 제1회 추경 경기도 일반회계 세출 예산 조정(안)</t>
    <phoneticPr fontId="6" type="noConversion"/>
  </si>
  <si>
    <t>제1회 추경
예산안
(가)</t>
    <phoneticPr fontId="6" type="noConversion"/>
  </si>
  <si>
    <t>제1회 추경
증감액
(다=나-가)</t>
    <phoneticPr fontId="6" type="noConversion"/>
  </si>
  <si>
    <t>상임위 제1회 추경 
예산안 조정액(라)</t>
    <phoneticPr fontId="6" type="noConversion"/>
  </si>
  <si>
    <t>예결위 제1회 추경 
예산안 조정액(라)</t>
    <phoneticPr fontId="6" type="noConversion"/>
  </si>
  <si>
    <t>예결위 제1회 추경 
예산안 조정액(마)</t>
    <phoneticPr fontId="6" type="noConversion"/>
  </si>
  <si>
    <t>2014년도 제1회 추경 경기도 일반회계 세입 예산 조정(안)</t>
    <phoneticPr fontId="6" type="noConversion"/>
  </si>
  <si>
    <t>농정해양위원회</t>
    <phoneticPr fontId="6" type="noConversion"/>
  </si>
  <si>
    <t>농정해양국</t>
    <phoneticPr fontId="6" type="noConversion"/>
  </si>
  <si>
    <t>농정해양위원회</t>
    <phoneticPr fontId="2" type="noConversion"/>
  </si>
  <si>
    <t>농정해양국</t>
    <phoneticPr fontId="2" type="noConversion"/>
  </si>
  <si>
    <t>축산산림국</t>
    <phoneticPr fontId="6" type="noConversion"/>
  </si>
  <si>
    <t>1회</t>
    <phoneticPr fontId="6" type="noConversion"/>
  </si>
  <si>
    <t>친환경농업과</t>
    <phoneticPr fontId="6" type="noConversion"/>
  </si>
  <si>
    <t>친환경농자재 지원</t>
    <phoneticPr fontId="6" type="noConversion"/>
  </si>
  <si>
    <t>농림축산식품부 친환경농업과-2748(2014.8.4)호</t>
    <phoneticPr fontId="6" type="noConversion"/>
  </si>
  <si>
    <t>농업기술원</t>
    <phoneticPr fontId="6" type="noConversion"/>
  </si>
  <si>
    <t>축산산림국</t>
    <phoneticPr fontId="2" type="noConversion"/>
  </si>
  <si>
    <t>농업기술원</t>
    <phoneticPr fontId="2" type="noConversion"/>
  </si>
  <si>
    <t>1회</t>
    <phoneticPr fontId="2" type="noConversion"/>
  </si>
  <si>
    <t>친환경농업과</t>
    <phoneticPr fontId="2" type="noConversion"/>
  </si>
  <si>
    <t>친환경농자재 지원</t>
    <phoneticPr fontId="2" type="noConversion"/>
  </si>
  <si>
    <t>농림축산식품부 친환경농업과-2748(2014.8.4)호 근거</t>
    <phoneticPr fontId="6" type="noConversion"/>
  </si>
  <si>
    <t>국비</t>
    <phoneticPr fontId="2" type="noConversion"/>
  </si>
  <si>
    <t>동물방역위생과</t>
    <phoneticPr fontId="6" type="noConversion"/>
  </si>
  <si>
    <t>시도가축방역사업(성립전)</t>
    <phoneticPr fontId="6" type="noConversion"/>
  </si>
  <si>
    <t>농림축산식품부 방역총괄과-5800(2014.9.3)호</t>
    <phoneticPr fontId="6" type="noConversion"/>
  </si>
  <si>
    <t>동물방역위생과</t>
    <phoneticPr fontId="2" type="noConversion"/>
  </si>
  <si>
    <t>시도가축방역사업(통제초소운영 등)(성립전)</t>
    <phoneticPr fontId="2" type="noConversion"/>
  </si>
  <si>
    <t>추가</t>
    <phoneticPr fontId="2" type="noConversion"/>
  </si>
  <si>
    <t>신규</t>
    <phoneticPr fontId="2" type="noConversion"/>
  </si>
  <si>
    <t>AI 구제역 방역비</t>
    <phoneticPr fontId="2" type="noConversion"/>
  </si>
  <si>
    <t>농림축산식품부 방역총괄과-5800(2014.9.3)호 근거</t>
    <phoneticPr fontId="6" type="noConversion"/>
  </si>
  <si>
    <t>유기동물보호시설 설치지원(용인시)</t>
    <phoneticPr fontId="2" type="noConversion"/>
  </si>
  <si>
    <t>국비매칭 도비부담액 반영</t>
    <phoneticPr fontId="2" type="noConversion"/>
  </si>
  <si>
    <t>도비</t>
    <phoneticPr fontId="2" type="noConversion"/>
  </si>
  <si>
    <t>추가</t>
  </si>
  <si>
    <t>본예산225</t>
  </si>
  <si>
    <t>경기미우수단지 농기계공급 (민간자본보조)</t>
    <phoneticPr fontId="2" type="noConversion"/>
  </si>
  <si>
    <t>사업량 확대</t>
    <phoneticPr fontId="2" type="noConversion"/>
  </si>
  <si>
    <t>살처분보상금지원</t>
    <phoneticPr fontId="2" type="noConversion"/>
  </si>
  <si>
    <t>본예산873</t>
    <phoneticPr fontId="2" type="noConversion"/>
  </si>
  <si>
    <t>축산정책과</t>
    <phoneticPr fontId="2" type="noConversion"/>
  </si>
  <si>
    <t>가축분뇨처리시설 지원</t>
    <phoneticPr fontId="2" type="noConversion"/>
  </si>
  <si>
    <t>본예산874</t>
    <phoneticPr fontId="2" type="noConversion"/>
  </si>
  <si>
    <t>축산환경개선사업</t>
    <phoneticPr fontId="2" type="noConversion"/>
  </si>
  <si>
    <t>도비 부담액 반영</t>
    <phoneticPr fontId="2" type="noConversion"/>
  </si>
  <si>
    <t>도정시책홍보</t>
    <phoneticPr fontId="2" type="noConversion"/>
  </si>
  <si>
    <t>농업정책과</t>
    <phoneticPr fontId="2" type="noConversion"/>
  </si>
  <si>
    <t>추가</t>
    <phoneticPr fontId="2" type="noConversion"/>
  </si>
  <si>
    <t>신규</t>
    <phoneticPr fontId="2" type="noConversion"/>
  </si>
  <si>
    <t>농업정책과</t>
    <phoneticPr fontId="2" type="noConversion"/>
  </si>
  <si>
    <t>농식품유통과</t>
    <phoneticPr fontId="2" type="noConversion"/>
  </si>
  <si>
    <t>시군농정평가 시상금</t>
    <phoneticPr fontId="2" type="noConversion"/>
  </si>
  <si>
    <t>신규사업</t>
    <phoneticPr fontId="2" type="noConversion"/>
  </si>
  <si>
    <t>우수외식업지구 육성사업</t>
    <phoneticPr fontId="2" type="noConversion"/>
  </si>
  <si>
    <t>본예산223</t>
    <phoneticPr fontId="2" type="noConversion"/>
  </si>
  <si>
    <t>도비 부담액 반영</t>
    <phoneticPr fontId="2" type="noConversion"/>
  </si>
  <si>
    <t>도비</t>
    <phoneticPr fontId="2" type="noConversion"/>
  </si>
  <si>
    <t>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</si>
</sst>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#,##0_ 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#,##0;&quot;△&quot;#,##0"/>
    <numFmt numFmtId="184" formatCode="#,##0\ ;&quot;△&quot;#,##0\ "/>
    <numFmt numFmtId="185" formatCode="0.000"/>
  </numFmts>
  <fonts count="6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9"/>
      <color theme="1"/>
      <name val="맑은 고딕"/>
      <family val="3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2" borderId="1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5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9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39" fillId="0" borderId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11" fillId="0" borderId="0" applyFont="0" applyFill="0" applyBorder="0" applyAlignment="0" applyProtection="0"/>
    <xf numFmtId="38" fontId="42" fillId="22" borderId="0" applyNumberFormat="0" applyBorder="0" applyAlignment="0" applyProtection="0"/>
    <xf numFmtId="0" fontId="43" fillId="0" borderId="17" applyNumberFormat="0" applyAlignment="0" applyProtection="0">
      <alignment horizontal="left" vertical="center"/>
    </xf>
    <xf numFmtId="0" fontId="43" fillId="0" borderId="16">
      <alignment horizontal="left" vertical="center"/>
    </xf>
    <xf numFmtId="10" fontId="42" fillId="23" borderId="10" applyNumberFormat="0" applyBorder="0" applyAlignment="0" applyProtection="0"/>
    <xf numFmtId="182" fontId="11" fillId="0" borderId="0"/>
    <xf numFmtId="0" fontId="44" fillId="0" borderId="0"/>
    <xf numFmtId="10" fontId="44" fillId="0" borderId="0" applyFont="0" applyFill="0" applyBorder="0" applyAlignment="0" applyProtection="0"/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9" fontId="61" fillId="0" borderId="0" applyFont="0" applyFill="0" applyAlignment="0" applyProtection="0"/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19" fillId="51" borderId="3" applyNumberFormat="0" applyAlignment="0" applyProtection="0">
      <alignment vertical="center"/>
    </xf>
    <xf numFmtId="185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182" fontId="11" fillId="0" borderId="0"/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</cellStyleXfs>
  <cellXfs count="197">
    <xf numFmtId="0" fontId="0" fillId="0" borderId="0" xfId="0">
      <alignment vertical="center"/>
    </xf>
    <xf numFmtId="176" fontId="5" fillId="3" borderId="10" xfId="1" applyNumberFormat="1" applyFont="1" applyFill="1" applyBorder="1" applyAlignment="1">
      <alignment horizontal="left"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5" fillId="3" borderId="10" xfId="1" applyNumberFormat="1" applyFont="1" applyFill="1" applyBorder="1" applyAlignment="1">
      <alignment horizontal="left" vertical="center" shrinkToFit="1"/>
    </xf>
    <xf numFmtId="0" fontId="11" fillId="0" borderId="0" xfId="2"/>
    <xf numFmtId="0" fontId="32" fillId="0" borderId="0" xfId="2" applyNumberFormat="1" applyFon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4" fillId="0" borderId="0" xfId="2" applyFont="1" applyAlignment="1">
      <alignment horizontal="centerContinuous"/>
    </xf>
    <xf numFmtId="0" fontId="33" fillId="0" borderId="0" xfId="2" applyFont="1" applyAlignment="1">
      <alignment horizontal="centerContinuous"/>
    </xf>
    <xf numFmtId="0" fontId="32" fillId="0" borderId="0" xfId="2" applyFont="1" applyAlignment="1">
      <alignment horizontal="left"/>
    </xf>
    <xf numFmtId="0" fontId="35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6" fillId="0" borderId="0" xfId="2" applyNumberFormat="1" applyFont="1" applyAlignment="1">
      <alignment horizontal="centerContinuous"/>
    </xf>
    <xf numFmtId="0" fontId="38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29" fillId="0" borderId="0" xfId="0" applyNumberFormat="1" applyFont="1" applyAlignment="1">
      <alignment horizontal="right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center" vertical="center" shrinkToFit="1"/>
    </xf>
    <xf numFmtId="0" fontId="48" fillId="0" borderId="0" xfId="2" applyFont="1"/>
    <xf numFmtId="0" fontId="49" fillId="0" borderId="0" xfId="2" applyFont="1"/>
    <xf numFmtId="0" fontId="47" fillId="0" borderId="0" xfId="2" applyFont="1" applyAlignment="1">
      <alignment horizontal="center" vertical="center"/>
    </xf>
    <xf numFmtId="0" fontId="50" fillId="0" borderId="0" xfId="2" applyFont="1" applyAlignment="1">
      <alignment vertical="center"/>
    </xf>
    <xf numFmtId="0" fontId="50" fillId="0" borderId="0" xfId="2" applyFont="1" applyAlignment="1"/>
    <xf numFmtId="0" fontId="50" fillId="0" borderId="0" xfId="2" applyFont="1"/>
    <xf numFmtId="0" fontId="51" fillId="0" borderId="0" xfId="2" applyFont="1" applyAlignment="1">
      <alignment vertical="center"/>
    </xf>
    <xf numFmtId="0" fontId="49" fillId="0" borderId="0" xfId="2" applyFont="1" applyAlignment="1">
      <alignment vertical="center"/>
    </xf>
    <xf numFmtId="183" fontId="49" fillId="0" borderId="0" xfId="2" applyNumberFormat="1" applyFont="1" applyAlignment="1">
      <alignment vertical="center"/>
    </xf>
    <xf numFmtId="0" fontId="49" fillId="0" borderId="0" xfId="2" applyFont="1" applyAlignment="1">
      <alignment horizontal="right" vertical="center"/>
    </xf>
    <xf numFmtId="41" fontId="48" fillId="0" borderId="0" xfId="2" applyNumberFormat="1" applyFont="1" applyAlignment="1">
      <alignment vertical="center"/>
    </xf>
    <xf numFmtId="0" fontId="48" fillId="0" borderId="0" xfId="2" applyFont="1" applyAlignment="1">
      <alignment vertical="center"/>
    </xf>
    <xf numFmtId="0" fontId="48" fillId="0" borderId="18" xfId="2" applyFont="1" applyBorder="1" applyAlignment="1">
      <alignment vertical="center"/>
    </xf>
    <xf numFmtId="0" fontId="48" fillId="0" borderId="14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 wrapText="1"/>
    </xf>
    <xf numFmtId="0" fontId="48" fillId="0" borderId="10" xfId="2" applyFont="1" applyBorder="1" applyAlignment="1">
      <alignment horizontal="center" vertical="center" wrapText="1"/>
    </xf>
    <xf numFmtId="183" fontId="53" fillId="29" borderId="15" xfId="2" applyNumberFormat="1" applyFont="1" applyFill="1" applyBorder="1" applyAlignment="1">
      <alignment horizontal="right" vertical="center"/>
    </xf>
    <xf numFmtId="183" fontId="48" fillId="0" borderId="14" xfId="2" applyNumberFormat="1" applyFont="1" applyBorder="1" applyAlignment="1">
      <alignment horizontal="right" vertical="center"/>
    </xf>
    <xf numFmtId="184" fontId="54" fillId="0" borderId="27" xfId="2" applyNumberFormat="1" applyFont="1" applyBorder="1" applyAlignment="1">
      <alignment vertical="center"/>
    </xf>
    <xf numFmtId="0" fontId="55" fillId="13" borderId="28" xfId="2" applyFont="1" applyFill="1" applyBorder="1" applyAlignment="1">
      <alignment vertical="center" wrapText="1"/>
    </xf>
    <xf numFmtId="184" fontId="53" fillId="0" borderId="15" xfId="45" applyNumberFormat="1" applyFont="1" applyBorder="1" applyAlignment="1">
      <alignment vertical="center"/>
    </xf>
    <xf numFmtId="184" fontId="48" fillId="0" borderId="10" xfId="45" applyNumberFormat="1" applyFont="1" applyBorder="1" applyAlignment="1">
      <alignment vertical="center"/>
    </xf>
    <xf numFmtId="184" fontId="48" fillId="0" borderId="10" xfId="2" applyNumberFormat="1" applyFont="1" applyBorder="1" applyAlignment="1">
      <alignment vertical="center"/>
    </xf>
    <xf numFmtId="41" fontId="53" fillId="0" borderId="0" xfId="45" applyFont="1" applyBorder="1" applyAlignment="1">
      <alignment vertical="center"/>
    </xf>
    <xf numFmtId="183" fontId="57" fillId="0" borderId="15" xfId="2" applyNumberFormat="1" applyFont="1" applyBorder="1" applyAlignment="1">
      <alignment horizontal="right" vertical="center" wrapText="1"/>
    </xf>
    <xf numFmtId="183" fontId="57" fillId="0" borderId="10" xfId="2" applyNumberFormat="1" applyFont="1" applyBorder="1" applyAlignment="1">
      <alignment horizontal="right" vertical="center" wrapText="1"/>
    </xf>
    <xf numFmtId="183" fontId="56" fillId="9" borderId="29" xfId="2" applyNumberFormat="1" applyFont="1" applyFill="1" applyBorder="1" applyAlignment="1">
      <alignment vertical="center"/>
    </xf>
    <xf numFmtId="183" fontId="48" fillId="0" borderId="0" xfId="2" applyNumberFormat="1" applyFont="1"/>
    <xf numFmtId="0" fontId="48" fillId="0" borderId="0" xfId="2" applyFont="1" applyAlignment="1">
      <alignment horizontal="center" wrapText="1"/>
    </xf>
    <xf numFmtId="0" fontId="48" fillId="0" borderId="0" xfId="2" applyFont="1" applyAlignment="1">
      <alignment wrapText="1"/>
    </xf>
    <xf numFmtId="176" fontId="52" fillId="0" borderId="0" xfId="45" applyNumberFormat="1" applyFont="1" applyFill="1" applyBorder="1" applyAlignment="1">
      <alignment horizontal="right" vertical="center" shrinkToFit="1"/>
    </xf>
    <xf numFmtId="176" fontId="52" fillId="0" borderId="0" xfId="45" applyNumberFormat="1" applyFont="1" applyFill="1" applyBorder="1" applyAlignment="1">
      <alignment horizontal="center" vertical="center" shrinkToFit="1"/>
    </xf>
    <xf numFmtId="0" fontId="48" fillId="0" borderId="0" xfId="2" applyFont="1" applyFill="1"/>
    <xf numFmtId="183" fontId="48" fillId="0" borderId="0" xfId="45" applyNumberFormat="1" applyFont="1" applyBorder="1" applyAlignment="1">
      <alignment vertical="center"/>
    </xf>
    <xf numFmtId="0" fontId="49" fillId="0" borderId="0" xfId="2" applyFont="1" applyFill="1"/>
    <xf numFmtId="0" fontId="56" fillId="0" borderId="0" xfId="2" applyFont="1" applyFill="1"/>
    <xf numFmtId="0" fontId="58" fillId="0" borderId="0" xfId="2" applyFont="1" applyFill="1"/>
    <xf numFmtId="0" fontId="50" fillId="0" borderId="0" xfId="2" applyFont="1" applyAlignment="1">
      <alignment horizontal="left" vertical="center"/>
    </xf>
    <xf numFmtId="0" fontId="50" fillId="0" borderId="0" xfId="2" applyFont="1" applyAlignment="1">
      <alignment horizontal="right" vertical="center"/>
    </xf>
    <xf numFmtId="177" fontId="48" fillId="0" borderId="0" xfId="2" applyNumberFormat="1" applyFont="1" applyAlignment="1">
      <alignment vertical="center"/>
    </xf>
    <xf numFmtId="0" fontId="59" fillId="0" borderId="30" xfId="2" applyNumberFormat="1" applyFont="1" applyFill="1" applyBorder="1" applyAlignment="1"/>
    <xf numFmtId="0" fontId="49" fillId="0" borderId="10" xfId="2" applyFont="1" applyBorder="1" applyAlignment="1">
      <alignment horizontal="center"/>
    </xf>
    <xf numFmtId="0" fontId="5" fillId="0" borderId="10" xfId="2" applyNumberFormat="1" applyFont="1" applyFill="1" applyBorder="1" applyAlignment="1">
      <alignment horizontal="center"/>
    </xf>
    <xf numFmtId="177" fontId="59" fillId="0" borderId="13" xfId="2" applyNumberFormat="1" applyFont="1" applyFill="1" applyBorder="1" applyAlignment="1"/>
    <xf numFmtId="176" fontId="33" fillId="0" borderId="0" xfId="2" applyNumberFormat="1" applyFont="1" applyAlignment="1">
      <alignment vertical="center"/>
    </xf>
    <xf numFmtId="176" fontId="60" fillId="0" borderId="0" xfId="2" applyNumberFormat="1" applyFont="1" applyAlignment="1">
      <alignment vertical="center"/>
    </xf>
    <xf numFmtId="0" fontId="49" fillId="0" borderId="18" xfId="2" applyFont="1" applyBorder="1"/>
    <xf numFmtId="0" fontId="48" fillId="0" borderId="18" xfId="2" applyFont="1" applyBorder="1"/>
    <xf numFmtId="0" fontId="48" fillId="28" borderId="0" xfId="2" applyFont="1" applyFill="1"/>
    <xf numFmtId="176" fontId="7" fillId="0" borderId="10" xfId="0" applyNumberFormat="1" applyFont="1" applyBorder="1" applyAlignment="1">
      <alignment horizontal="left" vertical="center" wrapText="1"/>
    </xf>
    <xf numFmtId="176" fontId="4" fillId="0" borderId="10" xfId="0" applyNumberFormat="1" applyFont="1" applyFill="1" applyBorder="1">
      <alignment vertical="center"/>
    </xf>
    <xf numFmtId="176" fontId="63" fillId="0" borderId="10" xfId="0" applyNumberFormat="1" applyFont="1" applyBorder="1" applyAlignment="1">
      <alignment vertical="center" wrapText="1"/>
    </xf>
    <xf numFmtId="176" fontId="10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7" fillId="0" borderId="10" xfId="0" applyNumberFormat="1" applyFont="1" applyBorder="1" applyAlignment="1">
      <alignment horizontal="left" vertical="center"/>
    </xf>
    <xf numFmtId="176" fontId="5" fillId="4" borderId="10" xfId="1" applyNumberFormat="1" applyFont="1" applyFill="1" applyBorder="1" applyAlignment="1">
      <alignment horizontal="left" vertical="center"/>
    </xf>
    <xf numFmtId="176" fontId="30" fillId="0" borderId="10" xfId="0" applyNumberFormat="1" applyFont="1" applyBorder="1" applyAlignment="1">
      <alignment vertical="center" wrapText="1"/>
    </xf>
    <xf numFmtId="176" fontId="31" fillId="4" borderId="10" xfId="1" applyNumberFormat="1" applyFont="1" applyFill="1" applyBorder="1" applyAlignment="1">
      <alignment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left" vertical="center" wrapText="1"/>
    </xf>
    <xf numFmtId="176" fontId="4" fillId="0" borderId="10" xfId="0" applyNumberFormat="1" applyFont="1" applyFill="1" applyBorder="1">
      <alignment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vertical="center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vertical="center" shrinkToFit="1"/>
    </xf>
    <xf numFmtId="176" fontId="4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27" borderId="10" xfId="0" applyNumberFormat="1" applyFont="1" applyFill="1" applyBorder="1">
      <alignment vertical="center"/>
    </xf>
    <xf numFmtId="176" fontId="4" fillId="27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0" fontId="47" fillId="0" borderId="0" xfId="2" applyFont="1" applyAlignment="1">
      <alignment horizontal="center" vertical="center" wrapText="1"/>
    </xf>
    <xf numFmtId="0" fontId="49" fillId="29" borderId="10" xfId="2" applyFont="1" applyFill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34" xfId="2" applyFont="1" applyBorder="1" applyAlignment="1">
      <alignment horizontal="center" vertical="center"/>
    </xf>
    <xf numFmtId="41" fontId="48" fillId="0" borderId="10" xfId="45" applyFont="1" applyBorder="1" applyAlignment="1">
      <alignment horizontal="right" vertical="center"/>
    </xf>
    <xf numFmtId="176" fontId="52" fillId="0" borderId="10" xfId="45" applyNumberFormat="1" applyFont="1" applyFill="1" applyBorder="1" applyAlignment="1">
      <alignment horizontal="right" vertical="center" shrinkToFit="1"/>
    </xf>
    <xf numFmtId="41" fontId="48" fillId="0" borderId="35" xfId="45" applyFont="1" applyBorder="1" applyAlignment="1">
      <alignment horizontal="right" vertical="center"/>
    </xf>
    <xf numFmtId="0" fontId="48" fillId="0" borderId="34" xfId="2" applyFont="1" applyBorder="1" applyAlignment="1">
      <alignment horizontal="center" vertical="center" wrapText="1"/>
    </xf>
    <xf numFmtId="183" fontId="53" fillId="29" borderId="16" xfId="2" applyNumberFormat="1" applyFont="1" applyFill="1" applyBorder="1" applyAlignment="1">
      <alignment vertical="center"/>
    </xf>
    <xf numFmtId="41" fontId="48" fillId="0" borderId="16" xfId="2" applyNumberFormat="1" applyFont="1" applyBorder="1" applyAlignment="1">
      <alignment horizontal="center" vertical="center"/>
    </xf>
    <xf numFmtId="184" fontId="54" fillId="0" borderId="0" xfId="2" applyNumberFormat="1" applyFont="1" applyBorder="1" applyAlignment="1">
      <alignment vertical="center"/>
    </xf>
    <xf numFmtId="0" fontId="55" fillId="13" borderId="0" xfId="2" applyFont="1" applyFill="1" applyBorder="1" applyAlignment="1">
      <alignment vertical="center" wrapText="1"/>
    </xf>
    <xf numFmtId="41" fontId="48" fillId="0" borderId="0" xfId="45" applyFont="1" applyBorder="1" applyAlignment="1">
      <alignment vertical="center"/>
    </xf>
    <xf numFmtId="183" fontId="48" fillId="0" borderId="0" xfId="2" applyNumberFormat="1" applyFont="1" applyBorder="1" applyAlignment="1">
      <alignment vertical="center"/>
    </xf>
    <xf numFmtId="0" fontId="48" fillId="0" borderId="34" xfId="2" applyFont="1" applyFill="1" applyBorder="1" applyAlignment="1">
      <alignment horizontal="center" vertical="center"/>
    </xf>
    <xf numFmtId="41" fontId="56" fillId="0" borderId="10" xfId="45" applyFont="1" applyBorder="1" applyAlignment="1">
      <alignment horizontal="right" vertical="center"/>
    </xf>
    <xf numFmtId="0" fontId="48" fillId="0" borderId="36" xfId="2" applyFont="1" applyBorder="1" applyAlignment="1">
      <alignment horizontal="center" vertical="center"/>
    </xf>
    <xf numFmtId="41" fontId="65" fillId="0" borderId="0" xfId="2" applyNumberFormat="1" applyFont="1"/>
    <xf numFmtId="0" fontId="54" fillId="0" borderId="0" xfId="2" applyFont="1" applyAlignment="1">
      <alignment wrapText="1"/>
    </xf>
    <xf numFmtId="41" fontId="48" fillId="0" borderId="10" xfId="45" applyFont="1" applyFill="1" applyBorder="1" applyAlignment="1">
      <alignment horizontal="right" vertical="center"/>
    </xf>
    <xf numFmtId="0" fontId="56" fillId="0" borderId="34" xfId="2" applyFont="1" applyFill="1" applyBorder="1" applyAlignment="1">
      <alignment horizontal="center" vertical="center"/>
    </xf>
    <xf numFmtId="41" fontId="56" fillId="0" borderId="10" xfId="45" applyFont="1" applyFill="1" applyBorder="1" applyAlignment="1">
      <alignment horizontal="right" vertical="center"/>
    </xf>
    <xf numFmtId="0" fontId="48" fillId="0" borderId="27" xfId="2" applyFont="1" applyFill="1" applyBorder="1" applyAlignment="1">
      <alignment horizontal="center" vertical="center"/>
    </xf>
    <xf numFmtId="41" fontId="48" fillId="0" borderId="37" xfId="45" applyFont="1" applyFill="1" applyBorder="1" applyAlignment="1">
      <alignment horizontal="right" vertical="center"/>
    </xf>
    <xf numFmtId="176" fontId="52" fillId="0" borderId="37" xfId="45" applyNumberFormat="1" applyFont="1" applyFill="1" applyBorder="1" applyAlignment="1">
      <alignment horizontal="right" vertical="center" shrinkToFit="1"/>
    </xf>
    <xf numFmtId="41" fontId="48" fillId="0" borderId="28" xfId="45" applyFont="1" applyBorder="1" applyAlignment="1">
      <alignment horizontal="right" vertical="center"/>
    </xf>
    <xf numFmtId="0" fontId="48" fillId="0" borderId="27" xfId="2" applyFont="1" applyBorder="1" applyAlignment="1">
      <alignment horizontal="center" vertical="center"/>
    </xf>
    <xf numFmtId="41" fontId="48" fillId="0" borderId="37" xfId="45" applyFont="1" applyBorder="1" applyAlignment="1">
      <alignment horizontal="right" vertical="center"/>
    </xf>
    <xf numFmtId="41" fontId="49" fillId="0" borderId="0" xfId="2" applyNumberFormat="1" applyFont="1"/>
    <xf numFmtId="41" fontId="48" fillId="0" borderId="0" xfId="2" applyNumberFormat="1" applyFont="1"/>
    <xf numFmtId="177" fontId="66" fillId="0" borderId="10" xfId="2" applyNumberFormat="1" applyFont="1" applyFill="1" applyBorder="1" applyAlignment="1"/>
    <xf numFmtId="176" fontId="64" fillId="0" borderId="0" xfId="0" applyNumberFormat="1" applyFont="1">
      <alignment vertical="center"/>
    </xf>
    <xf numFmtId="183" fontId="64" fillId="0" borderId="0" xfId="0" applyNumberFormat="1" applyFont="1">
      <alignment vertical="center"/>
    </xf>
    <xf numFmtId="176" fontId="3" fillId="52" borderId="10" xfId="0" applyNumberFormat="1" applyFont="1" applyFill="1" applyBorder="1" applyAlignment="1">
      <alignment horizontal="center" vertical="center"/>
    </xf>
    <xf numFmtId="176" fontId="4" fillId="52" borderId="10" xfId="0" applyNumberFormat="1" applyFont="1" applyFill="1" applyBorder="1" applyAlignment="1">
      <alignment horizontal="center" vertical="center"/>
    </xf>
    <xf numFmtId="176" fontId="3" fillId="52" borderId="10" xfId="0" applyNumberFormat="1" applyFont="1" applyFill="1" applyBorder="1" applyAlignment="1">
      <alignment horizontal="left" vertical="center"/>
    </xf>
    <xf numFmtId="176" fontId="4" fillId="52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>
      <alignment vertical="center"/>
    </xf>
    <xf numFmtId="176" fontId="4" fillId="0" borderId="10" xfId="0" applyNumberFormat="1" applyFont="1" applyBorder="1" applyAlignment="1">
      <alignment vertical="center" wrapText="1" shrinkToFit="1"/>
    </xf>
    <xf numFmtId="176" fontId="8" fillId="2" borderId="10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vertical="center" wrapText="1"/>
    </xf>
    <xf numFmtId="176" fontId="5" fillId="0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vertical="center" wrapText="1"/>
    </xf>
    <xf numFmtId="176" fontId="3" fillId="0" borderId="10" xfId="0" applyNumberFormat="1" applyFont="1" applyBorder="1" applyAlignment="1">
      <alignment horizontal="center" vertical="center" wrapText="1"/>
    </xf>
    <xf numFmtId="176" fontId="8" fillId="2" borderId="10" xfId="0" applyNumberFormat="1" applyFont="1" applyFill="1" applyBorder="1" applyAlignment="1">
      <alignment horizontal="center" vertical="center"/>
    </xf>
    <xf numFmtId="0" fontId="37" fillId="0" borderId="0" xfId="2" applyNumberFormat="1" applyFont="1" applyAlignment="1">
      <alignment horizontal="center"/>
    </xf>
    <xf numFmtId="0" fontId="47" fillId="0" borderId="0" xfId="2" quotePrefix="1" applyFont="1" applyAlignment="1">
      <alignment horizontal="center" vertical="center" wrapText="1"/>
    </xf>
    <xf numFmtId="0" fontId="47" fillId="0" borderId="0" xfId="2" applyFont="1" applyAlignment="1">
      <alignment horizontal="center" vertical="center"/>
    </xf>
    <xf numFmtId="0" fontId="49" fillId="29" borderId="31" xfId="2" applyFont="1" applyFill="1" applyBorder="1" applyAlignment="1">
      <alignment horizontal="center" vertical="center"/>
    </xf>
    <xf numFmtId="0" fontId="49" fillId="29" borderId="34" xfId="2" applyFont="1" applyFill="1" applyBorder="1" applyAlignment="1">
      <alignment horizontal="center" vertical="center"/>
    </xf>
    <xf numFmtId="0" fontId="49" fillId="29" borderId="32" xfId="2" applyFont="1" applyFill="1" applyBorder="1" applyAlignment="1">
      <alignment horizontal="center" vertical="center" shrinkToFit="1"/>
    </xf>
    <xf numFmtId="0" fontId="49" fillId="29" borderId="10" xfId="2" applyFont="1" applyFill="1" applyBorder="1" applyAlignment="1">
      <alignment horizontal="center" vertical="center" shrinkToFit="1"/>
    </xf>
    <xf numFmtId="0" fontId="49" fillId="29" borderId="32" xfId="2" applyFont="1" applyFill="1" applyBorder="1" applyAlignment="1">
      <alignment horizontal="center" vertical="center"/>
    </xf>
    <xf numFmtId="0" fontId="49" fillId="29" borderId="33" xfId="2" applyFont="1" applyFill="1" applyBorder="1" applyAlignment="1">
      <alignment horizontal="center" vertical="center"/>
    </xf>
    <xf numFmtId="0" fontId="49" fillId="29" borderId="35" xfId="2" applyFont="1" applyFill="1" applyBorder="1" applyAlignment="1">
      <alignment horizontal="center" vertical="center"/>
    </xf>
    <xf numFmtId="0" fontId="48" fillId="0" borderId="19" xfId="2" applyFont="1" applyBorder="1" applyAlignment="1">
      <alignment horizontal="center" vertical="center"/>
    </xf>
    <xf numFmtId="0" fontId="48" fillId="0" borderId="23" xfId="2" applyFont="1" applyBorder="1" applyAlignment="1">
      <alignment horizontal="center" vertical="center"/>
    </xf>
    <xf numFmtId="0" fontId="48" fillId="0" borderId="20" xfId="2" applyFont="1" applyBorder="1" applyAlignment="1">
      <alignment horizontal="center" vertical="center"/>
    </xf>
    <xf numFmtId="0" fontId="48" fillId="0" borderId="24" xfId="2" applyFont="1" applyBorder="1" applyAlignment="1">
      <alignment horizontal="center" vertical="center"/>
    </xf>
    <xf numFmtId="0" fontId="48" fillId="0" borderId="16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21" xfId="2" applyFont="1" applyBorder="1" applyAlignment="1">
      <alignment horizontal="center" vertical="center"/>
    </xf>
    <xf numFmtId="0" fontId="48" fillId="0" borderId="22" xfId="2" applyFont="1" applyBorder="1" applyAlignment="1">
      <alignment horizontal="center" vertical="center"/>
    </xf>
    <xf numFmtId="0" fontId="48" fillId="0" borderId="25" xfId="2" applyFont="1" applyBorder="1" applyAlignment="1">
      <alignment horizontal="center" vertical="center"/>
    </xf>
    <xf numFmtId="0" fontId="48" fillId="0" borderId="26" xfId="2" applyFont="1" applyBorder="1" applyAlignment="1">
      <alignment horizontal="center" vertical="center"/>
    </xf>
    <xf numFmtId="0" fontId="49" fillId="29" borderId="38" xfId="2" applyFont="1" applyFill="1" applyBorder="1" applyAlignment="1">
      <alignment horizontal="center" vertical="center" wrapText="1" shrinkToFit="1"/>
    </xf>
    <xf numFmtId="0" fontId="49" fillId="29" borderId="12" xfId="2" applyFont="1" applyFill="1" applyBorder="1" applyAlignment="1">
      <alignment horizontal="center" vertical="center" wrapText="1" shrinkToFit="1"/>
    </xf>
    <xf numFmtId="0" fontId="56" fillId="0" borderId="16" xfId="2" applyFont="1" applyBorder="1" applyAlignment="1">
      <alignment horizontal="center" vertical="center" wrapText="1"/>
    </xf>
    <xf numFmtId="0" fontId="56" fillId="0" borderId="15" xfId="2" applyFont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5" fillId="2" borderId="21" xfId="0" applyNumberFormat="1" applyFont="1" applyFill="1" applyBorder="1" applyAlignment="1">
      <alignment horizontal="center" vertical="center"/>
    </xf>
    <xf numFmtId="176" fontId="5" fillId="2" borderId="22" xfId="0" applyNumberFormat="1" applyFont="1" applyFill="1" applyBorder="1" applyAlignment="1">
      <alignment horizontal="center" vertical="center"/>
    </xf>
    <xf numFmtId="176" fontId="5" fillId="2" borderId="39" xfId="0" applyNumberFormat="1" applyFont="1" applyFill="1" applyBorder="1" applyAlignment="1">
      <alignment horizontal="center" vertical="center"/>
    </xf>
    <xf numFmtId="176" fontId="5" fillId="2" borderId="40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 wrapText="1"/>
    </xf>
    <xf numFmtId="176" fontId="9" fillId="2" borderId="11" xfId="0" applyNumberFormat="1" applyFont="1" applyFill="1" applyBorder="1" applyAlignment="1">
      <alignment horizontal="center" vertical="center" wrapText="1"/>
    </xf>
    <xf numFmtId="176" fontId="9" fillId="2" borderId="12" xfId="0" applyNumberFormat="1" applyFont="1" applyFill="1" applyBorder="1" applyAlignment="1">
      <alignment horizontal="center" vertical="center" wrapText="1"/>
    </xf>
  </cellXfs>
  <cellStyles count="17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5" xfId="123"/>
    <cellStyle name="쉼표 [0] 3" xfId="124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0"/>
  <tableStyles count="0" defaultTableStyle="TableStyleMedium2" defaultPivotStyle="PivotStyleLight16"/>
  <colors>
    <mruColors>
      <color rgb="FFFF66CC"/>
      <color rgb="FF99FF33"/>
      <color rgb="FF0000CC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G5" sqref="G5"/>
    </sheetView>
  </sheetViews>
  <sheetFormatPr defaultRowHeight="13.5"/>
  <cols>
    <col min="1" max="10" width="8.875" style="10" customWidth="1"/>
    <col min="11" max="16384" width="9" style="10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11" t="s">
        <v>83</v>
      </c>
      <c r="C5" s="12"/>
      <c r="D5" s="12"/>
      <c r="E5" s="12"/>
      <c r="F5" s="12"/>
      <c r="G5" s="12"/>
      <c r="H5" s="12"/>
      <c r="I5" s="12"/>
    </row>
    <row r="6" spans="2:9" ht="18.75">
      <c r="B6" s="13"/>
      <c r="C6" s="14"/>
      <c r="E6" s="15"/>
      <c r="F6" s="14"/>
      <c r="G6" s="14"/>
      <c r="H6" s="14"/>
      <c r="I6" s="14"/>
    </row>
    <row r="7" spans="2:9" ht="46.5">
      <c r="B7" s="16" t="s">
        <v>80</v>
      </c>
      <c r="C7" s="17"/>
      <c r="D7" s="17"/>
      <c r="E7" s="17"/>
      <c r="F7" s="17"/>
      <c r="G7" s="17"/>
      <c r="H7" s="17"/>
      <c r="I7" s="17"/>
    </row>
    <row r="8" spans="2:9" ht="19.5">
      <c r="B8" s="18"/>
      <c r="C8" s="17"/>
      <c r="D8" s="17"/>
      <c r="E8" s="17"/>
      <c r="F8" s="17"/>
      <c r="G8" s="17"/>
      <c r="H8" s="17"/>
      <c r="I8" s="17"/>
    </row>
    <row r="9" spans="2:9" ht="19.5">
      <c r="B9" s="18"/>
      <c r="C9" s="17"/>
      <c r="D9" s="17"/>
      <c r="E9" s="17"/>
      <c r="F9" s="17"/>
      <c r="G9" s="17"/>
      <c r="H9" s="17"/>
      <c r="I9" s="17"/>
    </row>
    <row r="10" spans="2:9" ht="19.5">
      <c r="B10" s="18"/>
      <c r="C10" s="17"/>
      <c r="D10" s="17"/>
      <c r="E10" s="17"/>
      <c r="F10" s="17"/>
      <c r="G10" s="17"/>
      <c r="H10" s="17"/>
      <c r="I10" s="17"/>
    </row>
    <row r="11" spans="2:9" ht="19.5">
      <c r="B11" s="18"/>
      <c r="C11" s="17"/>
      <c r="D11" s="17"/>
      <c r="E11" s="17"/>
      <c r="F11" s="17"/>
      <c r="G11" s="17"/>
      <c r="H11" s="17"/>
      <c r="I11" s="17"/>
    </row>
    <row r="12" spans="2:9" ht="19.5">
      <c r="B12" s="18"/>
      <c r="C12" s="17"/>
      <c r="D12" s="17"/>
      <c r="E12" s="17"/>
      <c r="F12" s="17"/>
      <c r="G12" s="17"/>
      <c r="H12" s="17"/>
      <c r="I12" s="17"/>
    </row>
    <row r="13" spans="2:9" ht="19.5">
      <c r="B13" s="18"/>
      <c r="C13" s="17"/>
      <c r="D13" s="17"/>
      <c r="E13" s="17"/>
      <c r="F13" s="17"/>
      <c r="G13" s="17"/>
      <c r="H13" s="17"/>
      <c r="I13" s="17"/>
    </row>
    <row r="14" spans="2:9">
      <c r="B14" s="17"/>
      <c r="C14" s="17"/>
      <c r="D14" s="17"/>
      <c r="E14" s="17"/>
      <c r="F14" s="17"/>
      <c r="G14" s="17"/>
      <c r="H14" s="17"/>
      <c r="I14" s="17"/>
    </row>
    <row r="15" spans="2:9">
      <c r="B15" s="17"/>
      <c r="C15" s="17"/>
      <c r="D15" s="17"/>
      <c r="E15" s="17"/>
      <c r="F15" s="17"/>
      <c r="G15" s="17"/>
      <c r="H15" s="17"/>
      <c r="I15" s="17"/>
    </row>
    <row r="16" spans="2:9">
      <c r="B16" s="17"/>
      <c r="C16" s="17"/>
      <c r="D16" s="17"/>
      <c r="E16" s="17"/>
      <c r="F16" s="17"/>
      <c r="G16" s="17"/>
      <c r="H16" s="17"/>
      <c r="I16" s="17"/>
    </row>
    <row r="17" spans="2:9">
      <c r="B17" s="17"/>
      <c r="C17" s="17"/>
      <c r="D17" s="17"/>
      <c r="E17" s="17"/>
      <c r="F17" s="17"/>
      <c r="G17" s="17"/>
      <c r="H17" s="17"/>
      <c r="I17" s="17"/>
    </row>
    <row r="18" spans="2:9">
      <c r="B18" s="17"/>
      <c r="C18" s="17"/>
      <c r="D18" s="17"/>
      <c r="E18" s="17"/>
      <c r="F18" s="17"/>
      <c r="G18" s="17"/>
      <c r="H18" s="17"/>
      <c r="I18" s="17"/>
    </row>
    <row r="19" spans="2:9">
      <c r="B19" s="17"/>
      <c r="C19" s="17"/>
      <c r="D19" s="17"/>
      <c r="E19" s="17"/>
      <c r="F19" s="17"/>
      <c r="G19" s="17"/>
      <c r="H19" s="17"/>
      <c r="I19" s="17"/>
    </row>
    <row r="20" spans="2:9">
      <c r="B20" s="17"/>
      <c r="C20" s="17"/>
      <c r="D20" s="17"/>
      <c r="E20" s="17"/>
      <c r="F20" s="17"/>
      <c r="G20" s="17"/>
      <c r="H20" s="17"/>
      <c r="I20" s="17"/>
    </row>
    <row r="21" spans="2:9">
      <c r="B21" s="17"/>
      <c r="C21" s="17"/>
      <c r="D21" s="17"/>
      <c r="E21" s="17"/>
      <c r="F21" s="17"/>
      <c r="G21" s="17"/>
      <c r="H21" s="17"/>
      <c r="I21" s="17"/>
    </row>
    <row r="22" spans="2:9">
      <c r="B22" s="17"/>
      <c r="C22" s="17"/>
      <c r="D22" s="17"/>
      <c r="E22" s="17"/>
      <c r="F22" s="17"/>
      <c r="G22" s="17"/>
      <c r="H22" s="17"/>
      <c r="I22" s="17"/>
    </row>
    <row r="23" spans="2:9">
      <c r="B23" s="17"/>
      <c r="C23" s="17"/>
      <c r="D23" s="17"/>
      <c r="E23" s="17"/>
      <c r="F23" s="17"/>
      <c r="G23" s="17"/>
      <c r="H23" s="17"/>
      <c r="I23" s="17"/>
    </row>
    <row r="24" spans="2:9">
      <c r="B24" s="17"/>
      <c r="C24" s="17"/>
      <c r="D24" s="17"/>
      <c r="E24" s="17"/>
      <c r="F24" s="17"/>
      <c r="G24" s="17"/>
      <c r="H24" s="17"/>
      <c r="I24" s="17"/>
    </row>
    <row r="25" spans="2:9">
      <c r="B25" s="17"/>
      <c r="C25" s="17"/>
      <c r="D25" s="17"/>
      <c r="E25" s="17"/>
      <c r="F25" s="17"/>
      <c r="G25" s="17"/>
      <c r="H25" s="17"/>
      <c r="I25" s="17"/>
    </row>
    <row r="26" spans="2:9">
      <c r="B26" s="17"/>
      <c r="C26" s="17"/>
      <c r="D26" s="17"/>
      <c r="E26" s="17"/>
      <c r="F26" s="17"/>
      <c r="G26" s="17"/>
      <c r="H26" s="17"/>
      <c r="I26" s="17"/>
    </row>
    <row r="27" spans="2:9">
      <c r="B27" s="17"/>
      <c r="C27" s="17"/>
      <c r="D27" s="17"/>
      <c r="E27" s="17"/>
      <c r="F27" s="17"/>
      <c r="G27" s="17"/>
      <c r="H27" s="17"/>
      <c r="I27" s="17"/>
    </row>
    <row r="28" spans="2:9">
      <c r="B28" s="17"/>
      <c r="C28" s="17"/>
      <c r="D28" s="17"/>
      <c r="E28" s="17"/>
      <c r="F28" s="17"/>
      <c r="G28" s="17"/>
      <c r="H28" s="17"/>
      <c r="I28" s="17"/>
    </row>
    <row r="29" spans="2:9">
      <c r="B29" s="17"/>
      <c r="C29" s="17"/>
      <c r="D29" s="17"/>
      <c r="E29" s="17"/>
      <c r="F29" s="17"/>
      <c r="G29" s="17"/>
      <c r="H29" s="17"/>
      <c r="I29" s="17"/>
    </row>
    <row r="30" spans="2:9">
      <c r="B30" s="17"/>
      <c r="C30" s="17"/>
      <c r="D30" s="17"/>
      <c r="E30" s="17"/>
      <c r="F30" s="17"/>
      <c r="G30" s="17"/>
      <c r="H30" s="17"/>
      <c r="I30" s="17"/>
    </row>
    <row r="31" spans="2:9">
      <c r="B31" s="17"/>
      <c r="C31" s="17"/>
      <c r="D31" s="17"/>
      <c r="E31" s="17"/>
      <c r="F31" s="17"/>
      <c r="G31" s="17"/>
      <c r="H31" s="17"/>
      <c r="I31" s="17"/>
    </row>
    <row r="32" spans="2:9">
      <c r="B32" s="17"/>
      <c r="C32" s="17"/>
      <c r="D32" s="17"/>
      <c r="E32" s="17"/>
      <c r="F32" s="17"/>
      <c r="G32" s="17"/>
      <c r="H32" s="17"/>
      <c r="I32" s="17"/>
    </row>
    <row r="33" spans="2:9" s="19" customFormat="1" ht="33.75">
      <c r="B33" s="158" t="s">
        <v>81</v>
      </c>
      <c r="C33" s="158"/>
      <c r="D33" s="158"/>
      <c r="E33" s="158"/>
      <c r="F33" s="158"/>
      <c r="G33" s="158"/>
      <c r="H33" s="158"/>
      <c r="I33" s="158"/>
    </row>
    <row r="34" spans="2:9">
      <c r="B34" s="17"/>
      <c r="C34" s="17"/>
      <c r="D34" s="17"/>
      <c r="E34" s="17"/>
      <c r="F34" s="17"/>
      <c r="G34" s="17"/>
      <c r="H34" s="17"/>
      <c r="I34" s="17"/>
    </row>
    <row r="35" spans="2:9" ht="46.5">
      <c r="B35" s="16"/>
      <c r="C35" s="17"/>
      <c r="D35" s="17"/>
      <c r="E35" s="17"/>
      <c r="F35" s="17"/>
      <c r="G35" s="17"/>
      <c r="H35" s="17"/>
      <c r="I35" s="17"/>
    </row>
    <row r="36" spans="2:9">
      <c r="B36" s="17"/>
      <c r="C36" s="17"/>
      <c r="D36" s="17"/>
      <c r="E36" s="17"/>
      <c r="F36" s="17"/>
      <c r="G36" s="17"/>
      <c r="H36" s="17"/>
      <c r="I36" s="17"/>
    </row>
    <row r="37" spans="2:9">
      <c r="B37" s="17"/>
      <c r="C37" s="17"/>
      <c r="D37" s="17"/>
      <c r="E37" s="17"/>
      <c r="F37" s="17"/>
      <c r="G37" s="17"/>
      <c r="H37" s="17"/>
      <c r="I37" s="17"/>
    </row>
    <row r="38" spans="2:9">
      <c r="B38" s="17"/>
      <c r="C38" s="17"/>
      <c r="D38" s="17"/>
      <c r="E38" s="17"/>
      <c r="F38" s="17"/>
      <c r="G38" s="17"/>
      <c r="H38" s="17"/>
      <c r="I38" s="17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11"/>
  <sheetViews>
    <sheetView zoomScale="80" zoomScaleNormal="80" zoomScaleSheetLayoutView="85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H1"/>
    </sheetView>
  </sheetViews>
  <sheetFormatPr defaultRowHeight="13.5"/>
  <cols>
    <col min="1" max="1" width="1" style="34" customWidth="1"/>
    <col min="2" max="3" width="17.875" style="34" customWidth="1"/>
    <col min="4" max="4" width="14.25" style="34" customWidth="1"/>
    <col min="5" max="5" width="15.875" style="34" customWidth="1"/>
    <col min="6" max="6" width="14.25" style="34" customWidth="1"/>
    <col min="7" max="7" width="13.5" style="34" customWidth="1"/>
    <col min="8" max="8" width="17.25" style="34" customWidth="1"/>
    <col min="9" max="9" width="17.125" style="33" hidden="1" customWidth="1"/>
    <col min="10" max="10" width="16" style="33" hidden="1" customWidth="1"/>
    <col min="11" max="11" width="14.625" style="33" hidden="1" customWidth="1"/>
    <col min="12" max="12" width="21.75" style="33" hidden="1" customWidth="1"/>
    <col min="13" max="14" width="14.75" style="33" hidden="1" customWidth="1"/>
    <col min="15" max="15" width="12.25" style="33" hidden="1" customWidth="1"/>
    <col min="16" max="16" width="13.375" style="33" hidden="1" customWidth="1"/>
    <col min="17" max="16384" width="9" style="34"/>
  </cols>
  <sheetData>
    <row r="1" spans="2:16" ht="33" customHeight="1">
      <c r="B1" s="159" t="s">
        <v>84</v>
      </c>
      <c r="C1" s="160"/>
      <c r="D1" s="160"/>
      <c r="E1" s="160"/>
      <c r="F1" s="160"/>
      <c r="G1" s="160"/>
      <c r="H1" s="160"/>
    </row>
    <row r="2" spans="2:16" ht="12.75" customHeight="1">
      <c r="B2" s="113"/>
      <c r="C2" s="35"/>
      <c r="D2" s="35"/>
      <c r="E2" s="35"/>
      <c r="F2" s="35"/>
      <c r="G2" s="35"/>
      <c r="H2" s="35"/>
    </row>
    <row r="3" spans="2:16" ht="23.25" customHeight="1">
      <c r="B3" s="36" t="s">
        <v>34</v>
      </c>
      <c r="C3" s="37"/>
      <c r="D3" s="38"/>
      <c r="E3" s="38"/>
    </row>
    <row r="4" spans="2:16" s="40" customFormat="1" ht="18" customHeight="1" thickBot="1">
      <c r="B4" s="39"/>
      <c r="F4" s="41"/>
      <c r="H4" s="42" t="s">
        <v>35</v>
      </c>
      <c r="I4" s="43"/>
      <c r="J4" s="44"/>
      <c r="K4" s="44"/>
      <c r="L4" s="44"/>
      <c r="M4" s="45" t="s">
        <v>36</v>
      </c>
      <c r="N4" s="44"/>
      <c r="O4" s="45" t="s">
        <v>37</v>
      </c>
      <c r="P4" s="45"/>
    </row>
    <row r="5" spans="2:16" ht="24" customHeight="1">
      <c r="B5" s="161" t="s">
        <v>38</v>
      </c>
      <c r="C5" s="163" t="s">
        <v>39</v>
      </c>
      <c r="D5" s="165" t="s">
        <v>40</v>
      </c>
      <c r="E5" s="165"/>
      <c r="F5" s="165" t="s">
        <v>41</v>
      </c>
      <c r="G5" s="165"/>
      <c r="H5" s="166" t="s">
        <v>42</v>
      </c>
      <c r="I5" s="172" t="s">
        <v>43</v>
      </c>
      <c r="J5" s="172"/>
      <c r="K5" s="168" t="s">
        <v>44</v>
      </c>
      <c r="L5" s="170" t="s">
        <v>45</v>
      </c>
      <c r="M5" s="172" t="s">
        <v>46</v>
      </c>
      <c r="N5" s="173"/>
      <c r="O5" s="174" t="s">
        <v>47</v>
      </c>
      <c r="P5" s="175"/>
    </row>
    <row r="6" spans="2:16" ht="24" customHeight="1">
      <c r="B6" s="162"/>
      <c r="C6" s="164"/>
      <c r="D6" s="114" t="s">
        <v>48</v>
      </c>
      <c r="E6" s="114" t="s">
        <v>49</v>
      </c>
      <c r="F6" s="114" t="s">
        <v>48</v>
      </c>
      <c r="G6" s="114" t="s">
        <v>49</v>
      </c>
      <c r="H6" s="167"/>
      <c r="I6" s="115" t="s">
        <v>50</v>
      </c>
      <c r="J6" s="46" t="s">
        <v>51</v>
      </c>
      <c r="K6" s="169"/>
      <c r="L6" s="171"/>
      <c r="M6" s="47" t="s">
        <v>50</v>
      </c>
      <c r="N6" s="48" t="s">
        <v>51</v>
      </c>
      <c r="O6" s="176"/>
      <c r="P6" s="177"/>
    </row>
    <row r="7" spans="2:16" ht="38.25" customHeight="1" thickBot="1">
      <c r="B7" s="116" t="s">
        <v>52</v>
      </c>
      <c r="C7" s="117">
        <f t="shared" ref="C7:H7" si="0">SUM(C8:C18)</f>
        <v>16221327381</v>
      </c>
      <c r="D7" s="118">
        <f t="shared" si="0"/>
        <v>0</v>
      </c>
      <c r="E7" s="118">
        <f t="shared" si="0"/>
        <v>0</v>
      </c>
      <c r="F7" s="118" t="e">
        <f t="shared" si="0"/>
        <v>#REF!</v>
      </c>
      <c r="G7" s="118" t="e">
        <f t="shared" si="0"/>
        <v>#REF!</v>
      </c>
      <c r="H7" s="119" t="e">
        <f t="shared" si="0"/>
        <v>#REF!</v>
      </c>
      <c r="I7" s="49">
        <f>E25+D25</f>
        <v>0</v>
      </c>
      <c r="J7" s="50" t="e">
        <f>F25+G25</f>
        <v>#REF!</v>
      </c>
      <c r="K7" s="51" t="e">
        <f>I7-J7</f>
        <v>#REF!</v>
      </c>
      <c r="L7" s="52" t="s">
        <v>53</v>
      </c>
      <c r="M7" s="53">
        <f>D24+E24</f>
        <v>0</v>
      </c>
      <c r="N7" s="54" t="e">
        <f>F24+G24</f>
        <v>#REF!</v>
      </c>
      <c r="O7" s="55">
        <v>0</v>
      </c>
      <c r="P7" s="55">
        <v>0</v>
      </c>
    </row>
    <row r="8" spans="2:16" ht="38.25" hidden="1" customHeight="1" thickBot="1">
      <c r="B8" s="120" t="s">
        <v>54</v>
      </c>
      <c r="C8" s="117">
        <v>0</v>
      </c>
      <c r="D8" s="118"/>
      <c r="E8" s="118"/>
      <c r="F8" s="118"/>
      <c r="G8" s="118"/>
      <c r="H8" s="119">
        <f>C8-F8+G8</f>
        <v>0</v>
      </c>
      <c r="I8" s="121">
        <f>D7+E7</f>
        <v>0</v>
      </c>
      <c r="J8" s="122" t="e">
        <f>F7+G7</f>
        <v>#REF!</v>
      </c>
      <c r="K8" s="123" t="e">
        <f>I8-J8</f>
        <v>#REF!</v>
      </c>
      <c r="L8" s="124"/>
      <c r="M8" s="56"/>
      <c r="N8" s="125"/>
      <c r="O8" s="126"/>
      <c r="P8" s="126"/>
    </row>
    <row r="9" spans="2:16" ht="38.25" customHeight="1">
      <c r="B9" s="127" t="s">
        <v>55</v>
      </c>
      <c r="C9" s="128">
        <v>29571741</v>
      </c>
      <c r="D9" s="118">
        <f>SUMIF('일반 세입'!$A$7:$A$11,"의회운영위원회",'일반 세입'!$L$7:$L$11)</f>
        <v>0</v>
      </c>
      <c r="E9" s="118">
        <f>SUMIF('일반 세입'!$A$7:$A$11,"의회운영위원회",'일반 세입'!$M$7:$M$11)</f>
        <v>0</v>
      </c>
      <c r="F9" s="118" t="e">
        <f>SUMIF(#REF!,"의회운영위원회",#REF!)</f>
        <v>#REF!</v>
      </c>
      <c r="G9" s="118" t="e">
        <f>SUMIF(#REF!,"의회운영위원회",#REF!)</f>
        <v>#REF!</v>
      </c>
      <c r="H9" s="119" t="e">
        <f>C9+F9+G9</f>
        <v>#REF!</v>
      </c>
      <c r="I9" s="180" t="s">
        <v>56</v>
      </c>
      <c r="J9" s="181"/>
      <c r="K9" s="44"/>
      <c r="N9" s="129" t="s">
        <v>57</v>
      </c>
    </row>
    <row r="10" spans="2:16" ht="38.25" customHeight="1" thickBot="1">
      <c r="B10" s="127" t="s">
        <v>58</v>
      </c>
      <c r="C10" s="117">
        <v>3898493309</v>
      </c>
      <c r="D10" s="118">
        <f>SUMIF('일반 세입'!$A$7:$A$11,"기획재정위원회",'일반 세입'!$L$7:$L$11)</f>
        <v>0</v>
      </c>
      <c r="E10" s="118">
        <f>SUMIF('일반 세입'!$A$7:$A$11,"기획재정위원회",'일반 세입'!$M$7:$M$11)</f>
        <v>0</v>
      </c>
      <c r="F10" s="118" t="e">
        <f>SUMIF(#REF!,"기획재정위원회",#REF!)</f>
        <v>#REF!</v>
      </c>
      <c r="G10" s="118" t="e">
        <f>SUMIF(#REF!,"기획재정위원회",#REF!)</f>
        <v>#REF!</v>
      </c>
      <c r="H10" s="119" t="e">
        <f t="shared" ref="H10:H18" si="1">C10+F10+G10</f>
        <v>#REF!</v>
      </c>
      <c r="I10" s="57">
        <f>'일반 세입'!L6+'일반 세입'!M6</f>
        <v>0</v>
      </c>
      <c r="J10" s="58" t="e">
        <f>#REF!+#REF!</f>
        <v>#REF!</v>
      </c>
      <c r="K10" s="44"/>
      <c r="N10" s="59" t="e">
        <f>M7-N7</f>
        <v>#REF!</v>
      </c>
    </row>
    <row r="11" spans="2:16" ht="38.25" customHeight="1">
      <c r="B11" s="127" t="s">
        <v>59</v>
      </c>
      <c r="C11" s="117">
        <v>568447623</v>
      </c>
      <c r="D11" s="118">
        <f>SUMIF('일반 세입'!$A$7:$A$11,"경제과학기술위원회",'일반 세입'!$L$7:$L$11)</f>
        <v>0</v>
      </c>
      <c r="E11" s="118">
        <f>SUMIF('일반 세입'!$A$7:$A$11,"경제과학기술위원회",'일반 세입'!$M$7:$M$11)</f>
        <v>0</v>
      </c>
      <c r="F11" s="118" t="e">
        <f>SUMIF(#REF!,"경제과학기술위원회",#REF!)</f>
        <v>#REF!</v>
      </c>
      <c r="G11" s="118" t="e">
        <f>SUMIF(#REF!,"경제과학기술위원회",#REF!)</f>
        <v>#REF!</v>
      </c>
      <c r="H11" s="119" t="e">
        <f t="shared" si="1"/>
        <v>#REF!</v>
      </c>
      <c r="I11" s="60"/>
      <c r="J11" s="61"/>
      <c r="K11" s="62"/>
      <c r="N11" s="60"/>
    </row>
    <row r="12" spans="2:16" ht="38.25" customHeight="1">
      <c r="B12" s="127" t="s">
        <v>60</v>
      </c>
      <c r="C12" s="117">
        <v>1084349076</v>
      </c>
      <c r="D12" s="118">
        <f>SUMIF('일반 세입'!$A$7:$A$11,"행정자치위원회",'일반 세입'!$L$7:$L$11)</f>
        <v>0</v>
      </c>
      <c r="E12" s="118">
        <f>SUMIF('일반 세입'!$A$7:$A$11,"행정자치위원회",'일반 세입'!$M$7:$M$11)</f>
        <v>0</v>
      </c>
      <c r="F12" s="118" t="e">
        <f>SUMIF(#REF!,"행정자치위원회",#REF!)</f>
        <v>#REF!</v>
      </c>
      <c r="G12" s="118" t="e">
        <f>SUMIF(#REF!,"행정자치위원회",#REF!)</f>
        <v>#REF!</v>
      </c>
      <c r="H12" s="119" t="e">
        <f t="shared" si="1"/>
        <v>#REF!</v>
      </c>
      <c r="I12" s="60"/>
      <c r="J12" s="130"/>
      <c r="L12" s="131"/>
      <c r="M12" s="131"/>
    </row>
    <row r="13" spans="2:16" ht="38.25" customHeight="1">
      <c r="B13" s="127" t="s">
        <v>61</v>
      </c>
      <c r="C13" s="117">
        <v>273648191</v>
      </c>
      <c r="D13" s="118">
        <f>SUMIF('일반 세입'!$A$7:$A$11,"문화체육관광위원회",'일반 세입'!$L$7:$L$11)</f>
        <v>0</v>
      </c>
      <c r="E13" s="118">
        <f>SUMIF('일반 세입'!$A$7:$A$11,"문화체육관광위원회",'일반 세입'!$M$7:$M$11)</f>
        <v>0</v>
      </c>
      <c r="F13" s="118" t="e">
        <f>SUMIF(#REF!,"문화체육관광위원회",#REF!)</f>
        <v>#REF!</v>
      </c>
      <c r="G13" s="118" t="e">
        <f>SUMIF(#REF!,"문화체육관광위원회",#REF!)</f>
        <v>#REF!</v>
      </c>
      <c r="H13" s="119" t="e">
        <f t="shared" si="1"/>
        <v>#REF!</v>
      </c>
      <c r="K13" s="63"/>
      <c r="L13" s="64"/>
      <c r="N13" s="33" t="s">
        <v>62</v>
      </c>
    </row>
    <row r="14" spans="2:16" s="67" customFormat="1" ht="38.25" customHeight="1">
      <c r="B14" s="127" t="s">
        <v>63</v>
      </c>
      <c r="C14" s="132">
        <v>536493471</v>
      </c>
      <c r="D14" s="118">
        <f>SUMIF('일반 세입'!$A$7:$A$11,"농림수산위원회",'일반 세입'!$L$7:$L$11)</f>
        <v>0</v>
      </c>
      <c r="E14" s="118">
        <f>SUMIF('일반 세입'!$A$7:$A$11,"농림수산위원회",'일반 세입'!$M$7:$M$11)</f>
        <v>0</v>
      </c>
      <c r="F14" s="118" t="e">
        <f>SUMIF(#REF!,"농림수산위원회",#REF!)</f>
        <v>#REF!</v>
      </c>
      <c r="G14" s="118" t="e">
        <f>SUMIF(#REF!,"농림수산위원회",#REF!)</f>
        <v>#REF!</v>
      </c>
      <c r="H14" s="119" t="e">
        <f t="shared" si="1"/>
        <v>#REF!</v>
      </c>
      <c r="I14" s="65"/>
      <c r="J14" s="65"/>
      <c r="K14" s="63"/>
      <c r="L14" s="64"/>
      <c r="M14" s="56"/>
      <c r="N14" s="66" t="e">
        <f>N10-K7</f>
        <v>#REF!</v>
      </c>
      <c r="O14" s="65"/>
      <c r="P14" s="65"/>
    </row>
    <row r="15" spans="2:16" s="67" customFormat="1" ht="38.25" customHeight="1">
      <c r="B15" s="127" t="s">
        <v>64</v>
      </c>
      <c r="C15" s="132">
        <v>2948270941</v>
      </c>
      <c r="D15" s="118">
        <f>SUMIF('일반 세입'!$A$7:$A$11,"보건복지공보위원회",'일반 세입'!$L$7:$L$11)</f>
        <v>0</v>
      </c>
      <c r="E15" s="118">
        <f>SUMIF('일반 세입'!$A$7:$A$11,"보건복지공보위원회",'일반 세입'!$M$7:$M$11)</f>
        <v>0</v>
      </c>
      <c r="F15" s="118" t="e">
        <f>SUMIF(#REF!,"보건복지공보위원회",#REF!)</f>
        <v>#REF!</v>
      </c>
      <c r="G15" s="118" t="e">
        <f>SUMIF(#REF!,"보건복지공보위원회",#REF!)</f>
        <v>#REF!</v>
      </c>
      <c r="H15" s="119" t="e">
        <f t="shared" si="1"/>
        <v>#REF!</v>
      </c>
      <c r="I15" s="65"/>
      <c r="J15" s="65"/>
      <c r="K15" s="63"/>
      <c r="L15" s="64"/>
      <c r="M15" s="65"/>
      <c r="N15" s="65"/>
      <c r="O15" s="65"/>
      <c r="P15" s="65"/>
    </row>
    <row r="16" spans="2:16" s="67" customFormat="1" ht="38.25" customHeight="1">
      <c r="B16" s="127" t="s">
        <v>65</v>
      </c>
      <c r="C16" s="132">
        <v>1196035699</v>
      </c>
      <c r="D16" s="118">
        <f>SUMIF('일반 세입'!$A$7:$A$11,"건설교통위원회",'일반 세입'!$L$7:$L$11)</f>
        <v>0</v>
      </c>
      <c r="E16" s="118">
        <f>SUMIF('일반 세입'!$A$7:$A$11,"건설교통위원회",'일반 세입'!$M$7:$M$11)</f>
        <v>0</v>
      </c>
      <c r="F16" s="118" t="e">
        <f>SUMIF(#REF!,"건설교통위원회",#REF!)</f>
        <v>#REF!</v>
      </c>
      <c r="G16" s="118" t="e">
        <f>SUMIF(#REF!,"건설교통위원회",#REF!)</f>
        <v>#REF!</v>
      </c>
      <c r="H16" s="119" t="e">
        <f t="shared" si="1"/>
        <v>#REF!</v>
      </c>
      <c r="I16" s="65"/>
      <c r="J16" s="65"/>
      <c r="K16" s="63"/>
      <c r="L16" s="64"/>
      <c r="M16" s="65"/>
      <c r="N16" s="65"/>
      <c r="O16" s="65"/>
      <c r="P16" s="65"/>
    </row>
    <row r="17" spans="2:16" s="69" customFormat="1" ht="38.25" customHeight="1">
      <c r="B17" s="133" t="s">
        <v>66</v>
      </c>
      <c r="C17" s="134">
        <v>916276929</v>
      </c>
      <c r="D17" s="118">
        <f>SUMIF('일반 세입'!$A$7:$A$11,"도시환경위원회",'일반 세입'!$L$7:$L$11)</f>
        <v>0</v>
      </c>
      <c r="E17" s="118">
        <f>SUMIF('일반 세입'!$A$7:$A$11,"도시환경위원회",'일반 세입'!$M$7:$M$11)</f>
        <v>0</v>
      </c>
      <c r="F17" s="118" t="e">
        <f>SUMIF(#REF!,"도시환경위원회",#REF!)</f>
        <v>#REF!</v>
      </c>
      <c r="G17" s="118" t="e">
        <f>SUMIF(#REF!,"도시환경위원회",#REF!)</f>
        <v>#REF!</v>
      </c>
      <c r="H17" s="119" t="e">
        <f t="shared" si="1"/>
        <v>#REF!</v>
      </c>
      <c r="I17" s="68"/>
      <c r="J17" s="68"/>
      <c r="K17" s="63"/>
      <c r="L17" s="64"/>
      <c r="M17" s="68"/>
      <c r="N17" s="68"/>
      <c r="O17" s="68"/>
      <c r="P17" s="68"/>
    </row>
    <row r="18" spans="2:16" s="67" customFormat="1" ht="38.25" customHeight="1" thickBot="1">
      <c r="B18" s="135" t="s">
        <v>67</v>
      </c>
      <c r="C18" s="136">
        <v>4769740401</v>
      </c>
      <c r="D18" s="137">
        <f>SUMIF('일반 세입'!$A$7:$A$11,"여성가족평생교육위원회",'일반 세입'!$L$7:$L$11)</f>
        <v>0</v>
      </c>
      <c r="E18" s="137">
        <f>SUMIF('일반 세입'!$A$7:$A$11,"여성가족평생교육위원회",'일반 세입'!$M$7:$M$11)</f>
        <v>0</v>
      </c>
      <c r="F18" s="137" t="e">
        <f>SUMIF(#REF!,"여성가족평생교육위원회",#REF!)</f>
        <v>#REF!</v>
      </c>
      <c r="G18" s="137" t="e">
        <f>SUMIF(#REF!,"여성가족평생교육위원회",#REF!)</f>
        <v>#REF!</v>
      </c>
      <c r="H18" s="138" t="e">
        <f t="shared" si="1"/>
        <v>#REF!</v>
      </c>
      <c r="I18" s="65"/>
      <c r="J18" s="65"/>
      <c r="K18" s="63"/>
      <c r="L18" s="64"/>
      <c r="M18" s="65"/>
      <c r="N18" s="65"/>
      <c r="O18" s="65"/>
      <c r="P18" s="65"/>
    </row>
    <row r="19" spans="2:16" ht="18" customHeight="1">
      <c r="B19" s="40"/>
      <c r="C19" s="40"/>
      <c r="D19" s="40"/>
      <c r="E19" s="40"/>
      <c r="F19" s="40"/>
      <c r="G19" s="40"/>
      <c r="H19" s="40"/>
      <c r="K19" s="63"/>
      <c r="L19" s="64"/>
    </row>
    <row r="20" spans="2:16" ht="20.25">
      <c r="B20" s="70" t="s">
        <v>68</v>
      </c>
      <c r="C20" s="36"/>
      <c r="D20" s="36"/>
      <c r="E20" s="36"/>
      <c r="F20" s="36"/>
      <c r="G20" s="36"/>
      <c r="H20" s="71"/>
      <c r="K20" s="63"/>
      <c r="L20" s="64"/>
    </row>
    <row r="21" spans="2:16" ht="19.5" thickBot="1">
      <c r="B21" s="39"/>
      <c r="C21" s="40"/>
      <c r="D21" s="40"/>
      <c r="E21" s="40"/>
      <c r="F21" s="40"/>
      <c r="G21" s="40"/>
      <c r="H21" s="42" t="s">
        <v>28</v>
      </c>
    </row>
    <row r="22" spans="2:16" ht="24.75" customHeight="1">
      <c r="B22" s="161" t="s">
        <v>69</v>
      </c>
      <c r="C22" s="178" t="s">
        <v>70</v>
      </c>
      <c r="D22" s="165" t="s">
        <v>40</v>
      </c>
      <c r="E22" s="165"/>
      <c r="F22" s="165" t="s">
        <v>41</v>
      </c>
      <c r="G22" s="165"/>
      <c r="H22" s="166" t="s">
        <v>42</v>
      </c>
    </row>
    <row r="23" spans="2:16" ht="24.75" customHeight="1">
      <c r="B23" s="162"/>
      <c r="C23" s="179"/>
      <c r="D23" s="114" t="s">
        <v>48</v>
      </c>
      <c r="E23" s="114" t="s">
        <v>49</v>
      </c>
      <c r="F23" s="114" t="s">
        <v>48</v>
      </c>
      <c r="G23" s="114" t="s">
        <v>49</v>
      </c>
      <c r="H23" s="167"/>
      <c r="I23" s="33" t="s">
        <v>71</v>
      </c>
    </row>
    <row r="24" spans="2:16" ht="36" customHeight="1">
      <c r="B24" s="116" t="s">
        <v>72</v>
      </c>
      <c r="C24" s="117">
        <f t="shared" ref="C24:G24" si="2">SUM(C25:C26)</f>
        <v>16221327381</v>
      </c>
      <c r="D24" s="118">
        <f t="shared" si="2"/>
        <v>0</v>
      </c>
      <c r="E24" s="117">
        <f t="shared" si="2"/>
        <v>0</v>
      </c>
      <c r="F24" s="118" t="e">
        <f t="shared" si="2"/>
        <v>#REF!</v>
      </c>
      <c r="G24" s="117" t="e">
        <f t="shared" si="2"/>
        <v>#REF!</v>
      </c>
      <c r="H24" s="119" t="e">
        <f>SUM(H25:H26)</f>
        <v>#REF!</v>
      </c>
      <c r="I24" s="43">
        <f>C24+D24+E24</f>
        <v>16221327381</v>
      </c>
      <c r="J24" s="72" t="e">
        <f>I24-H24</f>
        <v>#REF!</v>
      </c>
      <c r="K24" s="44" t="s">
        <v>73</v>
      </c>
    </row>
    <row r="25" spans="2:16" ht="36" customHeight="1">
      <c r="B25" s="116" t="s">
        <v>29</v>
      </c>
      <c r="C25" s="117">
        <v>13099250390</v>
      </c>
      <c r="D25" s="118">
        <f>'일반 세입'!L6</f>
        <v>0</v>
      </c>
      <c r="E25" s="118">
        <f>'일반 세입'!M6</f>
        <v>0</v>
      </c>
      <c r="F25" s="118" t="e">
        <f>#REF!</f>
        <v>#REF!</v>
      </c>
      <c r="G25" s="118" t="e">
        <f>#REF!</f>
        <v>#REF!</v>
      </c>
      <c r="H25" s="119" t="e">
        <f>C25+F25+G25</f>
        <v>#REF!</v>
      </c>
      <c r="I25" s="43">
        <f>C25+D25+E25</f>
        <v>13099250390</v>
      </c>
      <c r="J25" s="72" t="e">
        <f>I25-H25</f>
        <v>#REF!</v>
      </c>
      <c r="K25" s="44" t="s">
        <v>73</v>
      </c>
    </row>
    <row r="26" spans="2:16" ht="36" customHeight="1" thickBot="1">
      <c r="B26" s="139" t="s">
        <v>74</v>
      </c>
      <c r="C26" s="140">
        <v>3122076991</v>
      </c>
      <c r="D26" s="137"/>
      <c r="E26" s="137"/>
      <c r="F26" s="137"/>
      <c r="G26" s="137"/>
      <c r="H26" s="138">
        <f>C26+F26+G26</f>
        <v>3122076991</v>
      </c>
      <c r="I26" s="43">
        <f>C26+D26+E26</f>
        <v>3122076991</v>
      </c>
      <c r="J26" s="72">
        <f>I26-H26</f>
        <v>0</v>
      </c>
      <c r="K26" s="44" t="s">
        <v>73</v>
      </c>
    </row>
    <row r="27" spans="2:16" ht="9" customHeight="1">
      <c r="B27" s="40"/>
      <c r="C27" s="40"/>
      <c r="D27" s="40"/>
      <c r="E27" s="40"/>
      <c r="F27" s="40"/>
      <c r="G27" s="40"/>
      <c r="H27" s="40"/>
    </row>
    <row r="28" spans="2:16" ht="20.25" customHeight="1">
      <c r="H28" s="141"/>
      <c r="J28" s="142"/>
    </row>
    <row r="29" spans="2:16" ht="20.25" customHeight="1"/>
    <row r="30" spans="2:16" ht="14.25">
      <c r="B30" s="73" t="s">
        <v>30</v>
      </c>
      <c r="C30" s="74" t="s">
        <v>75</v>
      </c>
      <c r="D30" s="75" t="s">
        <v>76</v>
      </c>
      <c r="E30" s="74" t="s">
        <v>77</v>
      </c>
      <c r="G30" s="33"/>
      <c r="H30" s="33"/>
      <c r="O30" s="34"/>
      <c r="P30" s="34"/>
    </row>
    <row r="31" spans="2:16" ht="15">
      <c r="B31" s="76" t="s">
        <v>31</v>
      </c>
      <c r="C31" s="143">
        <v>29571741</v>
      </c>
      <c r="D31" s="143"/>
      <c r="E31" s="143">
        <f>SUM(C31:D31)</f>
        <v>29571741</v>
      </c>
      <c r="G31" s="33"/>
      <c r="H31" s="33"/>
      <c r="O31" s="34"/>
      <c r="P31" s="34"/>
    </row>
    <row r="32" spans="2:16" ht="15">
      <c r="B32" s="76" t="s">
        <v>32</v>
      </c>
      <c r="C32" s="143">
        <v>2482731231</v>
      </c>
      <c r="D32" s="143">
        <v>1415762078</v>
      </c>
      <c r="E32" s="143">
        <f t="shared" ref="E32:E41" si="3">SUM(C32:D32)</f>
        <v>3898493309</v>
      </c>
      <c r="G32" s="33"/>
      <c r="H32" s="33"/>
      <c r="O32" s="34"/>
      <c r="P32" s="34"/>
    </row>
    <row r="33" spans="2:16" ht="15">
      <c r="B33" s="76" t="s">
        <v>20</v>
      </c>
      <c r="C33" s="143">
        <v>195073838</v>
      </c>
      <c r="D33" s="143">
        <v>373373785</v>
      </c>
      <c r="E33" s="143">
        <f t="shared" si="3"/>
        <v>568447623</v>
      </c>
      <c r="G33" s="33"/>
      <c r="H33" s="33"/>
      <c r="O33" s="34"/>
      <c r="P33" s="34"/>
    </row>
    <row r="34" spans="2:16" ht="15">
      <c r="B34" s="76" t="s">
        <v>21</v>
      </c>
      <c r="C34" s="143">
        <v>1084349076</v>
      </c>
      <c r="D34" s="143"/>
      <c r="E34" s="143">
        <f t="shared" si="3"/>
        <v>1084349076</v>
      </c>
      <c r="G34" s="33"/>
      <c r="H34" s="33"/>
      <c r="O34" s="34"/>
      <c r="P34" s="34"/>
    </row>
    <row r="35" spans="2:16" ht="15">
      <c r="B35" s="76" t="s">
        <v>27</v>
      </c>
      <c r="C35" s="143">
        <v>257698191</v>
      </c>
      <c r="D35" s="143">
        <v>15950000</v>
      </c>
      <c r="E35" s="143">
        <f t="shared" si="3"/>
        <v>273648191</v>
      </c>
      <c r="G35" s="33"/>
      <c r="H35" s="33"/>
      <c r="O35" s="34"/>
      <c r="P35" s="34"/>
    </row>
    <row r="36" spans="2:16" ht="15">
      <c r="B36" s="76" t="s">
        <v>22</v>
      </c>
      <c r="C36" s="143">
        <v>536493471</v>
      </c>
      <c r="D36" s="143"/>
      <c r="E36" s="143">
        <f t="shared" si="3"/>
        <v>536493471</v>
      </c>
      <c r="G36" s="33"/>
      <c r="H36" s="33"/>
      <c r="O36" s="34"/>
      <c r="P36" s="34"/>
    </row>
    <row r="37" spans="2:16" ht="15">
      <c r="B37" s="76" t="s">
        <v>23</v>
      </c>
      <c r="C37" s="143">
        <v>2948270941</v>
      </c>
      <c r="D37" s="143"/>
      <c r="E37" s="143">
        <f t="shared" si="3"/>
        <v>2948270941</v>
      </c>
      <c r="G37" s="33"/>
      <c r="H37" s="33"/>
      <c r="O37" s="34"/>
      <c r="P37" s="34"/>
    </row>
    <row r="38" spans="2:16" ht="15">
      <c r="B38" s="76" t="s">
        <v>24</v>
      </c>
      <c r="C38" s="143">
        <v>1196035699</v>
      </c>
      <c r="D38" s="143"/>
      <c r="E38" s="143">
        <f t="shared" si="3"/>
        <v>1196035699</v>
      </c>
      <c r="G38" s="33"/>
      <c r="H38" s="33"/>
      <c r="O38" s="34"/>
      <c r="P38" s="34"/>
    </row>
    <row r="39" spans="2:16" ht="15">
      <c r="B39" s="76" t="s">
        <v>25</v>
      </c>
      <c r="C39" s="143">
        <v>870225757</v>
      </c>
      <c r="D39" s="143">
        <v>46051172</v>
      </c>
      <c r="E39" s="143">
        <f t="shared" si="3"/>
        <v>916276929</v>
      </c>
      <c r="G39" s="33"/>
      <c r="H39" s="33"/>
      <c r="O39" s="34"/>
      <c r="P39" s="34"/>
    </row>
    <row r="40" spans="2:16" ht="15">
      <c r="B40" s="76" t="s">
        <v>26</v>
      </c>
      <c r="C40" s="143">
        <v>4769740401</v>
      </c>
      <c r="D40" s="143"/>
      <c r="E40" s="143">
        <f t="shared" si="3"/>
        <v>4769740401</v>
      </c>
      <c r="G40" s="33"/>
      <c r="H40" s="33"/>
      <c r="O40" s="34"/>
      <c r="P40" s="34"/>
    </row>
    <row r="41" spans="2:16" ht="15">
      <c r="B41" s="76" t="s">
        <v>33</v>
      </c>
      <c r="C41" s="143">
        <f>SUM(C31:C40)</f>
        <v>14370190346</v>
      </c>
      <c r="D41" s="143">
        <f>SUM(D31:D40)</f>
        <v>1851137035</v>
      </c>
      <c r="E41" s="143">
        <f t="shared" si="3"/>
        <v>16221327381</v>
      </c>
      <c r="G41" s="33"/>
      <c r="H41" s="33"/>
      <c r="O41" s="34"/>
      <c r="P41" s="34"/>
    </row>
    <row r="43" spans="2:16">
      <c r="B43" s="77" t="s">
        <v>78</v>
      </c>
      <c r="C43" s="78">
        <f>3922478-221377</f>
        <v>3701101</v>
      </c>
    </row>
    <row r="71" spans="1:16">
      <c r="A71" s="79"/>
      <c r="B71" s="79"/>
      <c r="C71" s="79"/>
      <c r="D71" s="79"/>
      <c r="E71" s="79"/>
      <c r="F71" s="79"/>
      <c r="G71" s="79"/>
      <c r="H71" s="79"/>
      <c r="I71" s="80"/>
      <c r="J71" s="80"/>
      <c r="K71" s="80"/>
      <c r="L71" s="80"/>
      <c r="M71" s="80"/>
      <c r="N71" s="80"/>
      <c r="O71" s="80"/>
      <c r="P71" s="80"/>
    </row>
    <row r="181" spans="9:9" ht="24">
      <c r="I181" s="62" t="s">
        <v>79</v>
      </c>
    </row>
    <row r="311" spans="9:11">
      <c r="I311" s="81"/>
      <c r="K311" s="33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6" orientation="portrait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  <pageSetUpPr fitToPage="1"/>
  </sheetPr>
  <dimension ref="A1:T20"/>
  <sheetViews>
    <sheetView showGridLines="0" view="pageBreakPreview" zoomScale="80" zoomScaleNormal="80" zoomScaleSheetLayoutView="80" workbookViewId="0">
      <pane ySplit="6" topLeftCell="A10" activePane="bottomLeft" state="frozen"/>
      <selection activeCell="B1" sqref="B1:K1"/>
      <selection pane="bottomLeft" activeCell="E14" sqref="E14"/>
    </sheetView>
  </sheetViews>
  <sheetFormatPr defaultColWidth="8.75" defaultRowHeight="13.5"/>
  <cols>
    <col min="1" max="1" width="2.5" style="8" customWidth="1"/>
    <col min="2" max="2" width="4.25" style="86" customWidth="1"/>
    <col min="3" max="3" width="6.875" style="20" customWidth="1"/>
    <col min="4" max="4" width="12.75" style="8" customWidth="1"/>
    <col min="5" max="5" width="32" style="8" customWidth="1"/>
    <col min="6" max="6" width="12.375" style="8" customWidth="1"/>
    <col min="7" max="7" width="10.875" style="8" customWidth="1"/>
    <col min="8" max="8" width="12.375" style="8" customWidth="1"/>
    <col min="9" max="9" width="10.125" style="8" customWidth="1"/>
    <col min="10" max="10" width="10.75" style="8" customWidth="1"/>
    <col min="11" max="11" width="12.125" style="8" customWidth="1"/>
    <col min="12" max="13" width="10" style="8" hidden="1" customWidth="1"/>
    <col min="14" max="14" width="11.625" style="8" hidden="1" customWidth="1"/>
    <col min="15" max="15" width="9.25" style="8" hidden="1" customWidth="1"/>
    <col min="16" max="16" width="25.625" style="8" customWidth="1"/>
    <col min="17" max="17" width="5.375" style="8" customWidth="1"/>
    <col min="18" max="18" width="11.125" style="8" customWidth="1"/>
    <col min="19" max="19" width="11.25" style="8" customWidth="1"/>
    <col min="20" max="20" width="6" style="20" customWidth="1"/>
    <col min="21" max="21" width="8.75" style="8" customWidth="1"/>
    <col min="22" max="16384" width="8.75" style="8"/>
  </cols>
  <sheetData>
    <row r="1" spans="1:20" ht="29.25" customHeight="1">
      <c r="A1" s="185" t="s">
        <v>91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</row>
    <row r="2" spans="1:20" ht="22.5" customHeight="1">
      <c r="A2" s="21" t="s">
        <v>12</v>
      </c>
      <c r="B2" s="85"/>
    </row>
    <row r="3" spans="1:20" ht="16.5" customHeight="1">
      <c r="P3" s="22" t="s">
        <v>17</v>
      </c>
      <c r="R3" s="20"/>
    </row>
    <row r="4" spans="1:20" ht="27.75" customHeight="1">
      <c r="A4" s="186" t="s">
        <v>8</v>
      </c>
      <c r="B4" s="187"/>
      <c r="C4" s="190" t="s">
        <v>9</v>
      </c>
      <c r="D4" s="191" t="s">
        <v>7</v>
      </c>
      <c r="E4" s="191" t="s">
        <v>6</v>
      </c>
      <c r="F4" s="190" t="s">
        <v>86</v>
      </c>
      <c r="G4" s="190" t="s">
        <v>19</v>
      </c>
      <c r="H4" s="192" t="s">
        <v>87</v>
      </c>
      <c r="I4" s="194" t="s">
        <v>88</v>
      </c>
      <c r="J4" s="184"/>
      <c r="K4" s="190" t="s">
        <v>13</v>
      </c>
      <c r="L4" s="194" t="s">
        <v>90</v>
      </c>
      <c r="M4" s="184"/>
      <c r="N4" s="190" t="s">
        <v>14</v>
      </c>
      <c r="O4" s="195" t="s">
        <v>15</v>
      </c>
      <c r="P4" s="191" t="s">
        <v>10</v>
      </c>
      <c r="Q4" s="182" t="s">
        <v>11</v>
      </c>
      <c r="R4" s="184" t="s">
        <v>16</v>
      </c>
      <c r="S4" s="184"/>
      <c r="T4" s="184"/>
    </row>
    <row r="5" spans="1:20" ht="14.25" customHeight="1">
      <c r="A5" s="188"/>
      <c r="B5" s="189"/>
      <c r="C5" s="190"/>
      <c r="D5" s="191"/>
      <c r="E5" s="191"/>
      <c r="F5" s="191"/>
      <c r="G5" s="191"/>
      <c r="H5" s="193"/>
      <c r="I5" s="23" t="s">
        <v>0</v>
      </c>
      <c r="J5" s="23" t="s">
        <v>1</v>
      </c>
      <c r="K5" s="191"/>
      <c r="L5" s="23" t="s">
        <v>0</v>
      </c>
      <c r="M5" s="23" t="s">
        <v>1</v>
      </c>
      <c r="N5" s="191"/>
      <c r="O5" s="196"/>
      <c r="P5" s="191"/>
      <c r="Q5" s="183"/>
      <c r="R5" s="23" t="s">
        <v>4</v>
      </c>
      <c r="S5" s="23" t="s">
        <v>2</v>
      </c>
      <c r="T5" s="23" t="s">
        <v>5</v>
      </c>
    </row>
    <row r="6" spans="1:20" ht="33" customHeight="1">
      <c r="A6" s="24"/>
      <c r="B6" s="87" t="s">
        <v>3</v>
      </c>
      <c r="C6" s="26"/>
      <c r="D6" s="26"/>
      <c r="E6" s="26"/>
      <c r="F6" s="27">
        <f t="shared" ref="F6:N6" si="0">SUM(F7:F146)/3</f>
        <v>36282860</v>
      </c>
      <c r="G6" s="27">
        <f t="shared" si="0"/>
        <v>34553140</v>
      </c>
      <c r="H6" s="27">
        <f t="shared" si="0"/>
        <v>1729720</v>
      </c>
      <c r="I6" s="27">
        <f t="shared" si="0"/>
        <v>0</v>
      </c>
      <c r="J6" s="27">
        <f t="shared" si="0"/>
        <v>1088067</v>
      </c>
      <c r="K6" s="27">
        <f t="shared" si="0"/>
        <v>37370927</v>
      </c>
      <c r="L6" s="27">
        <f t="shared" si="0"/>
        <v>0</v>
      </c>
      <c r="M6" s="27">
        <f t="shared" si="0"/>
        <v>0</v>
      </c>
      <c r="N6" s="27">
        <f t="shared" si="0"/>
        <v>36282860</v>
      </c>
      <c r="O6" s="7"/>
      <c r="P6" s="89"/>
      <c r="Q6" s="7"/>
      <c r="R6" s="27">
        <f>SUM(R7:R146)/3</f>
        <v>1088067</v>
      </c>
      <c r="S6" s="27">
        <f>SUM(S7:S146)/3</f>
        <v>0</v>
      </c>
      <c r="T6" s="7" t="str">
        <f t="shared" ref="T6:T11" si="1">IF((I6+J6)=(R6+S6),"ok","검토")</f>
        <v>ok</v>
      </c>
    </row>
    <row r="7" spans="1:20" ht="33" customHeight="1">
      <c r="A7" s="1" t="s">
        <v>92</v>
      </c>
      <c r="B7" s="9"/>
      <c r="C7" s="2"/>
      <c r="D7" s="2"/>
      <c r="E7" s="2"/>
      <c r="F7" s="3">
        <f>F8+F12+F16</f>
        <v>36282860</v>
      </c>
      <c r="G7" s="95">
        <f t="shared" ref="G7:K7" si="2">G8+G12+G16</f>
        <v>34553140</v>
      </c>
      <c r="H7" s="95">
        <f t="shared" si="2"/>
        <v>1729720</v>
      </c>
      <c r="I7" s="95">
        <f t="shared" si="2"/>
        <v>0</v>
      </c>
      <c r="J7" s="95">
        <f t="shared" si="2"/>
        <v>1088067</v>
      </c>
      <c r="K7" s="95">
        <f t="shared" si="2"/>
        <v>37370927</v>
      </c>
      <c r="L7" s="95">
        <f t="shared" ref="L7" si="3">L8+L12+L16</f>
        <v>0</v>
      </c>
      <c r="M7" s="95">
        <f t="shared" ref="M7" si="4">M8+M12+M16</f>
        <v>0</v>
      </c>
      <c r="N7" s="95">
        <f t="shared" ref="N7" si="5">N8+N12+N16</f>
        <v>36282860</v>
      </c>
      <c r="O7" s="95">
        <f t="shared" ref="O7" si="6">O8+O12+O16</f>
        <v>0</v>
      </c>
      <c r="P7" s="95">
        <f t="shared" ref="P7" si="7">P8+P12+P16</f>
        <v>0</v>
      </c>
      <c r="Q7" s="95">
        <f t="shared" ref="Q7" si="8">Q8+Q12+Q16</f>
        <v>0</v>
      </c>
      <c r="R7" s="95">
        <f t="shared" ref="R7" si="9">R8+R12+R16</f>
        <v>1088067</v>
      </c>
      <c r="S7" s="95">
        <f t="shared" ref="S7" si="10">S8+S12+S16</f>
        <v>0</v>
      </c>
      <c r="T7" s="2" t="str">
        <f t="shared" si="1"/>
        <v>ok</v>
      </c>
    </row>
    <row r="8" spans="1:20" ht="33" customHeight="1">
      <c r="A8" s="28"/>
      <c r="B8" s="88" t="s">
        <v>93</v>
      </c>
      <c r="C8" s="4"/>
      <c r="D8" s="5"/>
      <c r="E8" s="5"/>
      <c r="F8" s="6">
        <f t="shared" ref="F8:N8" si="11">SUM(F9:F11)</f>
        <v>23888164</v>
      </c>
      <c r="G8" s="6">
        <f t="shared" si="11"/>
        <v>22994613</v>
      </c>
      <c r="H8" s="6">
        <f t="shared" si="11"/>
        <v>893551</v>
      </c>
      <c r="I8" s="6">
        <f t="shared" si="11"/>
        <v>0</v>
      </c>
      <c r="J8" s="6">
        <f t="shared" si="11"/>
        <v>5067</v>
      </c>
      <c r="K8" s="6">
        <f t="shared" si="11"/>
        <v>23893231</v>
      </c>
      <c r="L8" s="6">
        <f t="shared" si="11"/>
        <v>0</v>
      </c>
      <c r="M8" s="6">
        <f t="shared" si="11"/>
        <v>0</v>
      </c>
      <c r="N8" s="6">
        <f t="shared" si="11"/>
        <v>23888164</v>
      </c>
      <c r="O8" s="6"/>
      <c r="P8" s="90"/>
      <c r="Q8" s="6"/>
      <c r="R8" s="6">
        <f>SUM(R9:R11)</f>
        <v>5067</v>
      </c>
      <c r="S8" s="6">
        <f>SUM(S9:S11)</f>
        <v>0</v>
      </c>
      <c r="T8" s="4" t="str">
        <f t="shared" si="1"/>
        <v>ok</v>
      </c>
    </row>
    <row r="9" spans="1:20" s="112" customFormat="1" ht="48" customHeight="1">
      <c r="A9" s="105"/>
      <c r="B9" s="146" t="s">
        <v>97</v>
      </c>
      <c r="C9" s="147">
        <v>445</v>
      </c>
      <c r="D9" s="110" t="s">
        <v>98</v>
      </c>
      <c r="E9" s="93" t="s">
        <v>99</v>
      </c>
      <c r="F9" s="104">
        <v>23888164</v>
      </c>
      <c r="G9" s="104">
        <v>22994613</v>
      </c>
      <c r="H9" s="109">
        <f>IF(SUMPRODUCT(COUNTIF(C9,{"*본예산*","*1회추경*","*신규*"})),"-",F9-G9)</f>
        <v>893551</v>
      </c>
      <c r="I9" s="111"/>
      <c r="J9" s="111">
        <v>5067</v>
      </c>
      <c r="K9" s="109">
        <f t="shared" ref="K9:K11" si="12">F9+I9+J9</f>
        <v>23893231</v>
      </c>
      <c r="L9" s="101"/>
      <c r="M9" s="107"/>
      <c r="N9" s="109">
        <f t="shared" ref="N9" si="13">F9+L9+M9</f>
        <v>23888164</v>
      </c>
      <c r="O9" s="103" t="str">
        <f t="shared" ref="O9" si="14">IF(I9-L9&lt;0,"동의필요","-")</f>
        <v>-</v>
      </c>
      <c r="P9" s="84" t="s">
        <v>100</v>
      </c>
      <c r="Q9" s="107" t="s">
        <v>82</v>
      </c>
      <c r="R9" s="104">
        <v>5067</v>
      </c>
      <c r="S9" s="107"/>
      <c r="T9" s="103" t="str">
        <f t="shared" si="1"/>
        <v>ok</v>
      </c>
    </row>
    <row r="10" spans="1:20" ht="33" customHeight="1">
      <c r="A10" s="28"/>
      <c r="B10" s="148"/>
      <c r="C10" s="147"/>
      <c r="D10" s="29"/>
      <c r="E10" s="83"/>
      <c r="F10" s="27"/>
      <c r="G10" s="27"/>
      <c r="H10" s="30">
        <f>IF(SUMPRODUCT(COUNTIF(C10,{"*본예산*","*1회추경*","*신규*"})),"-",F10-G10)</f>
        <v>0</v>
      </c>
      <c r="I10" s="27"/>
      <c r="J10" s="27"/>
      <c r="K10" s="30">
        <f>F10+I10+J10</f>
        <v>0</v>
      </c>
      <c r="L10" s="31"/>
      <c r="M10" s="31">
        <f>J10</f>
        <v>0</v>
      </c>
      <c r="N10" s="30">
        <f>F10+L10+M10</f>
        <v>0</v>
      </c>
      <c r="O10" s="32" t="str">
        <f>IF(I10-L10&lt;0,"동의필요","-")</f>
        <v>-</v>
      </c>
      <c r="P10" s="84"/>
      <c r="Q10" s="31"/>
      <c r="R10" s="31"/>
      <c r="S10" s="31"/>
      <c r="T10" s="32" t="str">
        <f>IF((I10+J10)=(R10+S10),"ok","검토")</f>
        <v>ok</v>
      </c>
    </row>
    <row r="11" spans="1:20" ht="44.25" customHeight="1">
      <c r="A11" s="28"/>
      <c r="B11" s="148"/>
      <c r="C11" s="149"/>
      <c r="D11" s="29"/>
      <c r="E11" s="83"/>
      <c r="F11" s="27"/>
      <c r="G11" s="27"/>
      <c r="H11" s="30">
        <f>IF(SUMPRODUCT(COUNTIF(C11,{"*본예산*","*1회추경*","*신규*"})),"-",F11-G11)</f>
        <v>0</v>
      </c>
      <c r="I11" s="27"/>
      <c r="J11" s="27"/>
      <c r="K11" s="30">
        <f t="shared" si="12"/>
        <v>0</v>
      </c>
      <c r="L11" s="31"/>
      <c r="M11" s="107">
        <f>J11</f>
        <v>0</v>
      </c>
      <c r="N11" s="30">
        <f t="shared" ref="N11" si="15">F11+L11+M11</f>
        <v>0</v>
      </c>
      <c r="O11" s="32" t="str">
        <f>IF(I11-L11&lt;0,"동의필요","-")</f>
        <v>-</v>
      </c>
      <c r="P11" s="84"/>
      <c r="Q11" s="31"/>
      <c r="R11" s="31"/>
      <c r="S11" s="31"/>
      <c r="T11" s="32" t="str">
        <f t="shared" si="1"/>
        <v>ok</v>
      </c>
    </row>
    <row r="12" spans="1:20" s="112" customFormat="1" ht="33" customHeight="1">
      <c r="A12" s="105"/>
      <c r="B12" s="88" t="s">
        <v>96</v>
      </c>
      <c r="C12" s="99"/>
      <c r="D12" s="98"/>
      <c r="E12" s="98"/>
      <c r="F12" s="100">
        <f t="shared" ref="F12:N12" si="16">SUM(F13:F15)</f>
        <v>12394696</v>
      </c>
      <c r="G12" s="100">
        <f t="shared" si="16"/>
        <v>11558527</v>
      </c>
      <c r="H12" s="100">
        <f t="shared" si="16"/>
        <v>836169</v>
      </c>
      <c r="I12" s="100">
        <f t="shared" si="16"/>
        <v>0</v>
      </c>
      <c r="J12" s="100">
        <f t="shared" si="16"/>
        <v>1083000</v>
      </c>
      <c r="K12" s="100">
        <f t="shared" si="16"/>
        <v>13477696</v>
      </c>
      <c r="L12" s="100">
        <f t="shared" si="16"/>
        <v>0</v>
      </c>
      <c r="M12" s="100">
        <f t="shared" si="16"/>
        <v>0</v>
      </c>
      <c r="N12" s="100">
        <f t="shared" si="16"/>
        <v>12394696</v>
      </c>
      <c r="O12" s="100"/>
      <c r="P12" s="90"/>
      <c r="Q12" s="100"/>
      <c r="R12" s="100">
        <f>SUM(R13:R15)</f>
        <v>1083000</v>
      </c>
      <c r="S12" s="100">
        <f>SUM(S13:S15)</f>
        <v>0</v>
      </c>
      <c r="T12" s="99" t="str">
        <f t="shared" ref="T12:T13" si="17">IF((I12+J12)=(R12+S12),"ok","검토")</f>
        <v>ok</v>
      </c>
    </row>
    <row r="13" spans="1:20" s="112" customFormat="1" ht="48" customHeight="1">
      <c r="A13" s="105"/>
      <c r="B13" s="146" t="s">
        <v>97</v>
      </c>
      <c r="C13" s="147">
        <v>472</v>
      </c>
      <c r="D13" s="110" t="s">
        <v>109</v>
      </c>
      <c r="E13" s="93" t="s">
        <v>110</v>
      </c>
      <c r="F13" s="104">
        <v>12394696</v>
      </c>
      <c r="G13" s="104">
        <v>11558527</v>
      </c>
      <c r="H13" s="109">
        <f>IF(SUMPRODUCT(COUNTIF(C13,{"*본예산*","*1회추경*","*신규*"})),"-",F13-G13)</f>
        <v>836169</v>
      </c>
      <c r="I13" s="111"/>
      <c r="J13" s="111">
        <v>1083000</v>
      </c>
      <c r="K13" s="109">
        <f t="shared" ref="K13" si="18">F13+I13+J13</f>
        <v>13477696</v>
      </c>
      <c r="L13" s="101"/>
      <c r="M13" s="107"/>
      <c r="N13" s="109">
        <f t="shared" ref="N13" si="19">F13+L13+M13</f>
        <v>12394696</v>
      </c>
      <c r="O13" s="103" t="str">
        <f t="shared" ref="O13" si="20">IF(I13-L13&lt;0,"동의필요","-")</f>
        <v>-</v>
      </c>
      <c r="P13" s="84" t="s">
        <v>111</v>
      </c>
      <c r="Q13" s="107" t="s">
        <v>82</v>
      </c>
      <c r="R13" s="104">
        <v>1083000</v>
      </c>
      <c r="S13" s="107"/>
      <c r="T13" s="103" t="str">
        <f t="shared" si="17"/>
        <v>ok</v>
      </c>
    </row>
    <row r="14" spans="1:20" s="112" customFormat="1" ht="33" customHeight="1">
      <c r="A14" s="105"/>
      <c r="B14" s="148"/>
      <c r="C14" s="147"/>
      <c r="D14" s="106"/>
      <c r="E14" s="93"/>
      <c r="F14" s="104"/>
      <c r="G14" s="104"/>
      <c r="H14" s="109">
        <f>IF(SUMPRODUCT(COUNTIF(C14,{"*본예산*","*1회추경*","*신규*"})),"-",F14-G14)</f>
        <v>0</v>
      </c>
      <c r="I14" s="104"/>
      <c r="J14" s="104"/>
      <c r="K14" s="109">
        <f>F14+I14+J14</f>
        <v>0</v>
      </c>
      <c r="L14" s="107"/>
      <c r="M14" s="107">
        <f>J14</f>
        <v>0</v>
      </c>
      <c r="N14" s="109">
        <f>F14+L14+M14</f>
        <v>0</v>
      </c>
      <c r="O14" s="103" t="str">
        <f>IF(I14-L14&lt;0,"동의필요","-")</f>
        <v>-</v>
      </c>
      <c r="P14" s="84"/>
      <c r="Q14" s="107"/>
      <c r="R14" s="107"/>
      <c r="S14" s="107"/>
      <c r="T14" s="103" t="str">
        <f>IF((I14+J14)=(R14+S14),"ok","검토")</f>
        <v>ok</v>
      </c>
    </row>
    <row r="15" spans="1:20" s="112" customFormat="1" ht="44.25" customHeight="1">
      <c r="A15" s="105"/>
      <c r="B15" s="148"/>
      <c r="C15" s="149"/>
      <c r="D15" s="106"/>
      <c r="E15" s="93"/>
      <c r="F15" s="104"/>
      <c r="G15" s="104"/>
      <c r="H15" s="109">
        <f>IF(SUMPRODUCT(COUNTIF(C15,{"*본예산*","*1회추경*","*신규*"})),"-",F15-G15)</f>
        <v>0</v>
      </c>
      <c r="I15" s="104"/>
      <c r="J15" s="104"/>
      <c r="K15" s="109">
        <f t="shared" ref="K15" si="21">F15+I15+J15</f>
        <v>0</v>
      </c>
      <c r="L15" s="107"/>
      <c r="M15" s="107">
        <f>J15</f>
        <v>0</v>
      </c>
      <c r="N15" s="109">
        <f t="shared" ref="N15" si="22">F15+L15+M15</f>
        <v>0</v>
      </c>
      <c r="O15" s="103" t="str">
        <f>IF(I15-L15&lt;0,"동의필요","-")</f>
        <v>-</v>
      </c>
      <c r="P15" s="84"/>
      <c r="Q15" s="107"/>
      <c r="R15" s="107"/>
      <c r="S15" s="107"/>
      <c r="T15" s="103" t="str">
        <f t="shared" ref="T15:T17" si="23">IF((I15+J15)=(R15+S15),"ok","검토")</f>
        <v>ok</v>
      </c>
    </row>
    <row r="16" spans="1:20" s="112" customFormat="1" ht="33" customHeight="1">
      <c r="A16" s="105"/>
      <c r="B16" s="88" t="s">
        <v>101</v>
      </c>
      <c r="C16" s="99"/>
      <c r="D16" s="98"/>
      <c r="E16" s="98"/>
      <c r="F16" s="100">
        <f t="shared" ref="F16:N16" si="24">SUM(F17:F19)</f>
        <v>0</v>
      </c>
      <c r="G16" s="100">
        <f t="shared" si="24"/>
        <v>0</v>
      </c>
      <c r="H16" s="100">
        <f t="shared" si="24"/>
        <v>0</v>
      </c>
      <c r="I16" s="100">
        <f t="shared" si="24"/>
        <v>0</v>
      </c>
      <c r="J16" s="100">
        <f t="shared" si="24"/>
        <v>0</v>
      </c>
      <c r="K16" s="100">
        <f t="shared" si="24"/>
        <v>0</v>
      </c>
      <c r="L16" s="100">
        <f t="shared" si="24"/>
        <v>0</v>
      </c>
      <c r="M16" s="100">
        <f t="shared" si="24"/>
        <v>0</v>
      </c>
      <c r="N16" s="100">
        <f t="shared" si="24"/>
        <v>0</v>
      </c>
      <c r="O16" s="100"/>
      <c r="P16" s="90"/>
      <c r="Q16" s="100"/>
      <c r="R16" s="100">
        <f>SUM(R17:R19)</f>
        <v>0</v>
      </c>
      <c r="S16" s="100">
        <f>SUM(S17:S19)</f>
        <v>0</v>
      </c>
      <c r="T16" s="99" t="str">
        <f t="shared" si="23"/>
        <v>ok</v>
      </c>
    </row>
    <row r="17" spans="1:20" s="112" customFormat="1" ht="48" customHeight="1">
      <c r="A17" s="105"/>
      <c r="B17" s="146"/>
      <c r="C17" s="147"/>
      <c r="D17" s="110"/>
      <c r="E17" s="93"/>
      <c r="F17" s="104"/>
      <c r="G17" s="104"/>
      <c r="H17" s="109">
        <f>IF(SUMPRODUCT(COUNTIF(C17,{"*본예산*","*1회추경*","*신규*"})),"-",F17-G17)</f>
        <v>0</v>
      </c>
      <c r="I17" s="111"/>
      <c r="J17" s="111"/>
      <c r="K17" s="109">
        <f t="shared" ref="K17" si="25">F17+I17+J17</f>
        <v>0</v>
      </c>
      <c r="L17" s="101"/>
      <c r="M17" s="107"/>
      <c r="N17" s="109">
        <f t="shared" ref="N17" si="26">F17+L17+M17</f>
        <v>0</v>
      </c>
      <c r="O17" s="103" t="str">
        <f t="shared" ref="O17" si="27">IF(I17-L17&lt;0,"동의필요","-")</f>
        <v>-</v>
      </c>
      <c r="P17" s="84"/>
      <c r="Q17" s="107"/>
      <c r="R17" s="104"/>
      <c r="S17" s="107"/>
      <c r="T17" s="103" t="str">
        <f t="shared" si="23"/>
        <v>ok</v>
      </c>
    </row>
    <row r="18" spans="1:20" s="112" customFormat="1" ht="33" customHeight="1">
      <c r="A18" s="105"/>
      <c r="B18" s="148"/>
      <c r="C18" s="147"/>
      <c r="D18" s="106"/>
      <c r="E18" s="93"/>
      <c r="F18" s="104"/>
      <c r="G18" s="104"/>
      <c r="H18" s="109">
        <f>IF(SUMPRODUCT(COUNTIF(C18,{"*본예산*","*1회추경*","*신규*"})),"-",F18-G18)</f>
        <v>0</v>
      </c>
      <c r="I18" s="104"/>
      <c r="J18" s="104"/>
      <c r="K18" s="109">
        <f>F18+I18+J18</f>
        <v>0</v>
      </c>
      <c r="L18" s="107"/>
      <c r="M18" s="107">
        <f>J18</f>
        <v>0</v>
      </c>
      <c r="N18" s="109">
        <f>F18+L18+M18</f>
        <v>0</v>
      </c>
      <c r="O18" s="103" t="str">
        <f>IF(I18-L18&lt;0,"동의필요","-")</f>
        <v>-</v>
      </c>
      <c r="P18" s="84"/>
      <c r="Q18" s="107"/>
      <c r="R18" s="107"/>
      <c r="S18" s="107"/>
      <c r="T18" s="103" t="str">
        <f>IF((I18+J18)=(R18+S18),"ok","검토")</f>
        <v>ok</v>
      </c>
    </row>
    <row r="19" spans="1:20" s="112" customFormat="1" ht="44.25" customHeight="1">
      <c r="A19" s="105"/>
      <c r="B19" s="148"/>
      <c r="C19" s="149"/>
      <c r="D19" s="106"/>
      <c r="E19" s="93"/>
      <c r="F19" s="104"/>
      <c r="G19" s="104"/>
      <c r="H19" s="109">
        <f>IF(SUMPRODUCT(COUNTIF(C19,{"*본예산*","*1회추경*","*신규*"})),"-",F19-G19)</f>
        <v>0</v>
      </c>
      <c r="I19" s="104"/>
      <c r="J19" s="104"/>
      <c r="K19" s="109">
        <f t="shared" ref="K19" si="28">F19+I19+J19</f>
        <v>0</v>
      </c>
      <c r="L19" s="107"/>
      <c r="M19" s="107">
        <f>J19</f>
        <v>0</v>
      </c>
      <c r="N19" s="109">
        <f t="shared" ref="N19" si="29">F19+L19+M19</f>
        <v>0</v>
      </c>
      <c r="O19" s="103" t="str">
        <f>IF(I19-L19&lt;0,"동의필요","-")</f>
        <v>-</v>
      </c>
      <c r="P19" s="84"/>
      <c r="Q19" s="107"/>
      <c r="R19" s="107"/>
      <c r="S19" s="107"/>
      <c r="T19" s="103" t="str">
        <f t="shared" ref="T19" si="30">IF((I19+J19)=(R19+S19),"ok","검토")</f>
        <v>ok</v>
      </c>
    </row>
    <row r="20" spans="1:20" ht="14.25" customHeight="1"/>
  </sheetData>
  <mergeCells count="16"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L4:M4"/>
    <mergeCell ref="N4:N5"/>
    <mergeCell ref="O4:O5"/>
    <mergeCell ref="P4:P5"/>
  </mergeCells>
  <phoneticPr fontId="6" type="noConversion"/>
  <printOptions horizontalCentered="1"/>
  <pageMargins left="0.31496062992125984" right="0.23622047244094491" top="0.74803149606299213" bottom="0.74803149606299213" header="0.31496062992125984" footer="0.31496062992125984"/>
  <pageSetup paperSize="9" scale="67" orientation="landscape" cellComments="asDisplayed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  <pageSetUpPr fitToPage="1"/>
  </sheetPr>
  <dimension ref="A1:T13"/>
  <sheetViews>
    <sheetView showGridLines="0" view="pageBreakPreview" zoomScale="80" zoomScaleNormal="80" zoomScaleSheetLayoutView="80" workbookViewId="0">
      <pane ySplit="5" topLeftCell="A6" activePane="bottomLeft" state="frozen"/>
      <selection activeCell="B1" sqref="B1:K1"/>
      <selection pane="bottomLeft" activeCell="E11" sqref="E11"/>
    </sheetView>
  </sheetViews>
  <sheetFormatPr defaultColWidth="8.75" defaultRowHeight="13.5"/>
  <cols>
    <col min="1" max="1" width="2.5" style="112" customWidth="1"/>
    <col min="2" max="2" width="4.25" style="86" customWidth="1"/>
    <col min="3" max="3" width="6.875" style="20" customWidth="1"/>
    <col min="4" max="4" width="12.75" style="112" customWidth="1"/>
    <col min="5" max="5" width="32" style="112" customWidth="1"/>
    <col min="6" max="6" width="12.375" style="112" customWidth="1"/>
    <col min="7" max="7" width="10.875" style="112" customWidth="1"/>
    <col min="8" max="8" width="12.375" style="112" customWidth="1"/>
    <col min="9" max="9" width="10.125" style="112" customWidth="1"/>
    <col min="10" max="10" width="10.75" style="112" customWidth="1"/>
    <col min="11" max="11" width="12.125" style="112" customWidth="1"/>
    <col min="12" max="13" width="10" style="112" hidden="1" customWidth="1"/>
    <col min="14" max="14" width="11.625" style="112" hidden="1" customWidth="1"/>
    <col min="15" max="15" width="9.25" style="112" hidden="1" customWidth="1"/>
    <col min="16" max="16" width="25.625" style="112" customWidth="1"/>
    <col min="17" max="17" width="5.375" style="112" customWidth="1"/>
    <col min="18" max="18" width="11.125" style="112" customWidth="1"/>
    <col min="19" max="19" width="11.25" style="112" customWidth="1"/>
    <col min="20" max="20" width="6" style="20" customWidth="1"/>
    <col min="21" max="21" width="8.75" style="112" customWidth="1"/>
    <col min="22" max="16384" width="8.75" style="112"/>
  </cols>
  <sheetData>
    <row r="1" spans="1:20" ht="29.25" customHeight="1">
      <c r="A1" s="185" t="s">
        <v>91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</row>
    <row r="2" spans="1:20" ht="22.5" customHeight="1">
      <c r="A2" s="21" t="s">
        <v>12</v>
      </c>
      <c r="B2" s="85"/>
    </row>
    <row r="3" spans="1:20" ht="16.5" customHeight="1">
      <c r="P3" s="22" t="s">
        <v>17</v>
      </c>
      <c r="R3" s="20"/>
    </row>
    <row r="4" spans="1:20" ht="27.75" customHeight="1">
      <c r="A4" s="186" t="s">
        <v>8</v>
      </c>
      <c r="B4" s="187"/>
      <c r="C4" s="190" t="s">
        <v>9</v>
      </c>
      <c r="D4" s="191" t="s">
        <v>7</v>
      </c>
      <c r="E4" s="191" t="s">
        <v>6</v>
      </c>
      <c r="F4" s="190" t="s">
        <v>86</v>
      </c>
      <c r="G4" s="190" t="s">
        <v>19</v>
      </c>
      <c r="H4" s="192" t="s">
        <v>87</v>
      </c>
      <c r="I4" s="194" t="s">
        <v>88</v>
      </c>
      <c r="J4" s="184"/>
      <c r="K4" s="190" t="s">
        <v>13</v>
      </c>
      <c r="L4" s="194" t="s">
        <v>90</v>
      </c>
      <c r="M4" s="184"/>
      <c r="N4" s="190" t="s">
        <v>14</v>
      </c>
      <c r="O4" s="195" t="s">
        <v>15</v>
      </c>
      <c r="P4" s="191" t="s">
        <v>10</v>
      </c>
      <c r="Q4" s="182" t="s">
        <v>11</v>
      </c>
      <c r="R4" s="184" t="s">
        <v>16</v>
      </c>
      <c r="S4" s="184"/>
      <c r="T4" s="184"/>
    </row>
    <row r="5" spans="1:20" ht="14.25" customHeight="1">
      <c r="A5" s="188"/>
      <c r="B5" s="189"/>
      <c r="C5" s="190"/>
      <c r="D5" s="191"/>
      <c r="E5" s="191"/>
      <c r="F5" s="191"/>
      <c r="G5" s="191"/>
      <c r="H5" s="193"/>
      <c r="I5" s="152" t="s">
        <v>0</v>
      </c>
      <c r="J5" s="152" t="s">
        <v>1</v>
      </c>
      <c r="K5" s="191"/>
      <c r="L5" s="152" t="s">
        <v>0</v>
      </c>
      <c r="M5" s="152" t="s">
        <v>1</v>
      </c>
      <c r="N5" s="191"/>
      <c r="O5" s="196"/>
      <c r="P5" s="191"/>
      <c r="Q5" s="183"/>
      <c r="R5" s="152" t="s">
        <v>4</v>
      </c>
      <c r="S5" s="152" t="s">
        <v>2</v>
      </c>
      <c r="T5" s="152" t="s">
        <v>5</v>
      </c>
    </row>
    <row r="6" spans="1:20" ht="33" customHeight="1">
      <c r="A6" s="1" t="s">
        <v>92</v>
      </c>
      <c r="B6" s="9"/>
      <c r="C6" s="94"/>
      <c r="D6" s="94"/>
      <c r="E6" s="94"/>
      <c r="F6" s="95">
        <f>F7+F10</f>
        <v>36282860</v>
      </c>
      <c r="G6" s="95">
        <f t="shared" ref="G6:K6" si="0">G7+G10</f>
        <v>34553140</v>
      </c>
      <c r="H6" s="95">
        <f t="shared" si="0"/>
        <v>1729720</v>
      </c>
      <c r="I6" s="95">
        <f t="shared" si="0"/>
        <v>0</v>
      </c>
      <c r="J6" s="95">
        <f t="shared" si="0"/>
        <v>1088067</v>
      </c>
      <c r="K6" s="95">
        <f t="shared" si="0"/>
        <v>37370927</v>
      </c>
      <c r="L6" s="95"/>
      <c r="M6" s="95"/>
      <c r="N6" s="95"/>
      <c r="O6" s="95"/>
      <c r="P6" s="95"/>
      <c r="Q6" s="95"/>
      <c r="R6" s="95">
        <f>R7+R10</f>
        <v>1088067</v>
      </c>
      <c r="S6" s="95"/>
      <c r="T6" s="94"/>
    </row>
    <row r="7" spans="1:20" ht="33" customHeight="1">
      <c r="A7" s="105"/>
      <c r="B7" s="88" t="s">
        <v>93</v>
      </c>
      <c r="C7" s="99"/>
      <c r="D7" s="98"/>
      <c r="E7" s="98"/>
      <c r="F7" s="100">
        <f t="shared" ref="F7:N7" si="1">SUM(F8:F9)</f>
        <v>23888164</v>
      </c>
      <c r="G7" s="100">
        <f t="shared" si="1"/>
        <v>22994613</v>
      </c>
      <c r="H7" s="100">
        <f t="shared" si="1"/>
        <v>893551</v>
      </c>
      <c r="I7" s="100">
        <f t="shared" si="1"/>
        <v>0</v>
      </c>
      <c r="J7" s="100">
        <f t="shared" si="1"/>
        <v>5067</v>
      </c>
      <c r="K7" s="100">
        <f t="shared" si="1"/>
        <v>23893231</v>
      </c>
      <c r="L7" s="100">
        <f t="shared" si="1"/>
        <v>0</v>
      </c>
      <c r="M7" s="100">
        <f t="shared" si="1"/>
        <v>0</v>
      </c>
      <c r="N7" s="100">
        <f t="shared" si="1"/>
        <v>23888164</v>
      </c>
      <c r="O7" s="100"/>
      <c r="P7" s="90"/>
      <c r="Q7" s="100"/>
      <c r="R7" s="100">
        <f>SUM(R8:R9)</f>
        <v>5067</v>
      </c>
      <c r="S7" s="100">
        <f>SUM(S8:S9)</f>
        <v>0</v>
      </c>
      <c r="T7" s="99" t="str">
        <f t="shared" ref="T7:T11" si="2">IF((I7+J7)=(R7+S7),"ok","검토")</f>
        <v>ok</v>
      </c>
    </row>
    <row r="8" spans="1:20" ht="72.75" customHeight="1">
      <c r="A8" s="105"/>
      <c r="B8" s="146" t="s">
        <v>97</v>
      </c>
      <c r="C8" s="147">
        <v>445</v>
      </c>
      <c r="D8" s="110" t="s">
        <v>98</v>
      </c>
      <c r="E8" s="93" t="s">
        <v>99</v>
      </c>
      <c r="F8" s="104">
        <v>23888164</v>
      </c>
      <c r="G8" s="104">
        <v>22994613</v>
      </c>
      <c r="H8" s="109">
        <f>IF(SUMPRODUCT(COUNTIF(C8,{"*본예산*","*1회추경*","*신규*"})),"-",F8-G8)</f>
        <v>893551</v>
      </c>
      <c r="I8" s="111"/>
      <c r="J8" s="111">
        <v>5067</v>
      </c>
      <c r="K8" s="109">
        <f t="shared" ref="K8" si="3">F8+I8+J8</f>
        <v>23893231</v>
      </c>
      <c r="L8" s="101"/>
      <c r="M8" s="107"/>
      <c r="N8" s="109">
        <f t="shared" ref="N8" si="4">F8+L8+M8</f>
        <v>23888164</v>
      </c>
      <c r="O8" s="103" t="str">
        <f t="shared" ref="O8" si="5">IF(I8-L8&lt;0,"동의필요","-")</f>
        <v>-</v>
      </c>
      <c r="P8" s="84" t="s">
        <v>100</v>
      </c>
      <c r="Q8" s="107" t="s">
        <v>82</v>
      </c>
      <c r="R8" s="104">
        <v>5067</v>
      </c>
      <c r="S8" s="107"/>
      <c r="T8" s="103" t="str">
        <f t="shared" si="2"/>
        <v>ok</v>
      </c>
    </row>
    <row r="9" spans="1:20" ht="33" customHeight="1">
      <c r="A9" s="105"/>
      <c r="B9" s="148"/>
      <c r="C9" s="147"/>
      <c r="D9" s="106"/>
      <c r="E9" s="93"/>
      <c r="F9" s="104"/>
      <c r="G9" s="104"/>
      <c r="H9" s="109">
        <f>IF(SUMPRODUCT(COUNTIF(C9,{"*본예산*","*1회추경*","*신규*"})),"-",F9-G9)</f>
        <v>0</v>
      </c>
      <c r="I9" s="104"/>
      <c r="J9" s="104"/>
      <c r="K9" s="109">
        <f>F9+I9+J9</f>
        <v>0</v>
      </c>
      <c r="L9" s="107"/>
      <c r="M9" s="107">
        <f>J9</f>
        <v>0</v>
      </c>
      <c r="N9" s="109">
        <f>F9+L9+M9</f>
        <v>0</v>
      </c>
      <c r="O9" s="103" t="str">
        <f>IF(I9-L9&lt;0,"동의필요","-")</f>
        <v>-</v>
      </c>
      <c r="P9" s="84"/>
      <c r="Q9" s="107"/>
      <c r="R9" s="107"/>
      <c r="S9" s="107"/>
      <c r="T9" s="103" t="str">
        <f>IF((I9+J9)=(R9+S9),"ok","검토")</f>
        <v>ok</v>
      </c>
    </row>
    <row r="10" spans="1:20" ht="33" customHeight="1">
      <c r="A10" s="105"/>
      <c r="B10" s="88" t="s">
        <v>96</v>
      </c>
      <c r="C10" s="99"/>
      <c r="D10" s="98"/>
      <c r="E10" s="98"/>
      <c r="F10" s="100">
        <f t="shared" ref="F10:N10" si="6">SUM(F11:F12)</f>
        <v>12394696</v>
      </c>
      <c r="G10" s="100">
        <f t="shared" si="6"/>
        <v>11558527</v>
      </c>
      <c r="H10" s="100">
        <f t="shared" si="6"/>
        <v>836169</v>
      </c>
      <c r="I10" s="100">
        <f t="shared" si="6"/>
        <v>0</v>
      </c>
      <c r="J10" s="100">
        <f t="shared" si="6"/>
        <v>1083000</v>
      </c>
      <c r="K10" s="100">
        <f t="shared" si="6"/>
        <v>13477696</v>
      </c>
      <c r="L10" s="100">
        <f t="shared" si="6"/>
        <v>0</v>
      </c>
      <c r="M10" s="100">
        <f t="shared" si="6"/>
        <v>0</v>
      </c>
      <c r="N10" s="100">
        <f t="shared" si="6"/>
        <v>12394696</v>
      </c>
      <c r="O10" s="100"/>
      <c r="P10" s="90"/>
      <c r="Q10" s="100"/>
      <c r="R10" s="100">
        <f>SUM(R11:R12)</f>
        <v>1083000</v>
      </c>
      <c r="S10" s="100">
        <f>SUM(S11:S12)</f>
        <v>0</v>
      </c>
      <c r="T10" s="99" t="str">
        <f t="shared" si="2"/>
        <v>ok</v>
      </c>
    </row>
    <row r="11" spans="1:20" ht="72.75" customHeight="1">
      <c r="A11" s="105"/>
      <c r="B11" s="146" t="s">
        <v>97</v>
      </c>
      <c r="C11" s="147">
        <v>472</v>
      </c>
      <c r="D11" s="110" t="s">
        <v>109</v>
      </c>
      <c r="E11" s="93" t="s">
        <v>110</v>
      </c>
      <c r="F11" s="104">
        <v>12394696</v>
      </c>
      <c r="G11" s="104">
        <v>11558527</v>
      </c>
      <c r="H11" s="109">
        <f>IF(SUMPRODUCT(COUNTIF(C11,{"*본예산*","*1회추경*","*신규*"})),"-",F11-G11)</f>
        <v>836169</v>
      </c>
      <c r="I11" s="111"/>
      <c r="J11" s="111">
        <v>1083000</v>
      </c>
      <c r="K11" s="109">
        <f t="shared" ref="K11" si="7">F11+I11+J11</f>
        <v>13477696</v>
      </c>
      <c r="L11" s="101"/>
      <c r="M11" s="107"/>
      <c r="N11" s="109">
        <f t="shared" ref="N11" si="8">F11+L11+M11</f>
        <v>12394696</v>
      </c>
      <c r="O11" s="103" t="str">
        <f t="shared" ref="O11" si="9">IF(I11-L11&lt;0,"동의필요","-")</f>
        <v>-</v>
      </c>
      <c r="P11" s="84" t="s">
        <v>111</v>
      </c>
      <c r="Q11" s="107" t="s">
        <v>82</v>
      </c>
      <c r="R11" s="104">
        <v>1083000</v>
      </c>
      <c r="S11" s="107"/>
      <c r="T11" s="103" t="str">
        <f t="shared" si="2"/>
        <v>ok</v>
      </c>
    </row>
    <row r="12" spans="1:20" ht="33" customHeight="1">
      <c r="A12" s="105"/>
      <c r="B12" s="148"/>
      <c r="C12" s="147"/>
      <c r="D12" s="106"/>
      <c r="E12" s="93"/>
      <c r="F12" s="104"/>
      <c r="G12" s="104"/>
      <c r="H12" s="109">
        <f>IF(SUMPRODUCT(COUNTIF(C12,{"*본예산*","*1회추경*","*신규*"})),"-",F12-G12)</f>
        <v>0</v>
      </c>
      <c r="I12" s="104"/>
      <c r="J12" s="104"/>
      <c r="K12" s="109">
        <f>F12+I12+J12</f>
        <v>0</v>
      </c>
      <c r="L12" s="107"/>
      <c r="M12" s="107">
        <f>J12</f>
        <v>0</v>
      </c>
      <c r="N12" s="109">
        <f>F12+L12+M12</f>
        <v>0</v>
      </c>
      <c r="O12" s="103" t="str">
        <f>IF(I12-L12&lt;0,"동의필요","-")</f>
        <v>-</v>
      </c>
      <c r="P12" s="84"/>
      <c r="Q12" s="107"/>
      <c r="R12" s="107"/>
      <c r="S12" s="107"/>
      <c r="T12" s="103" t="str">
        <f>IF((I12+J12)=(R12+S12),"ok","검토")</f>
        <v>ok</v>
      </c>
    </row>
    <row r="13" spans="1:20" ht="14.25" customHeight="1"/>
  </sheetData>
  <mergeCells count="16"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L4:M4"/>
    <mergeCell ref="N4:N5"/>
    <mergeCell ref="O4:O5"/>
    <mergeCell ref="P4:P5"/>
    <mergeCell ref="Q4:Q5"/>
  </mergeCells>
  <phoneticPr fontId="2" type="noConversion"/>
  <printOptions horizontalCentered="1"/>
  <pageMargins left="0.31496062992125984" right="0.23622047244094491" top="0.74803149606299213" bottom="0.74803149606299213" header="0.31496062992125984" footer="0.31496062992125984"/>
  <pageSetup paperSize="9" scale="70" orientation="landscape" cellComments="asDisplayed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  <pageSetUpPr fitToPage="1"/>
  </sheetPr>
  <dimension ref="A1:S26"/>
  <sheetViews>
    <sheetView showGridLines="0" tabSelected="1" view="pageBreakPreview" zoomScale="80" zoomScaleNormal="70" zoomScaleSheetLayoutView="80" workbookViewId="0">
      <pane ySplit="5" topLeftCell="A6" activePane="bottomLeft" state="frozen"/>
      <selection activeCell="H17" sqref="H17"/>
      <selection pane="bottomLeft" activeCell="E14" sqref="E14"/>
    </sheetView>
  </sheetViews>
  <sheetFormatPr defaultColWidth="8.75" defaultRowHeight="13.5"/>
  <cols>
    <col min="1" max="1" width="2.5" style="112" customWidth="1"/>
    <col min="2" max="2" width="4.25" style="112" customWidth="1"/>
    <col min="3" max="3" width="7.75" style="20" customWidth="1"/>
    <col min="4" max="4" width="11" style="112" customWidth="1"/>
    <col min="5" max="5" width="33.875" style="112" customWidth="1"/>
    <col min="6" max="6" width="11.75" style="112" customWidth="1"/>
    <col min="7" max="7" width="10.75" style="112" customWidth="1"/>
    <col min="8" max="8" width="11" style="112" customWidth="1"/>
    <col min="9" max="9" width="11.375" style="112" customWidth="1"/>
    <col min="10" max="10" width="10.75" style="112" customWidth="1"/>
    <col min="11" max="11" width="11.75" style="112" customWidth="1"/>
    <col min="12" max="12" width="11.375" style="112" hidden="1" customWidth="1"/>
    <col min="13" max="13" width="10.75" style="112" hidden="1" customWidth="1"/>
    <col min="14" max="14" width="12.75" style="112" hidden="1" customWidth="1"/>
    <col min="15" max="15" width="27.625" style="112" customWidth="1"/>
    <col min="16" max="16" width="6.125" style="112" customWidth="1"/>
    <col min="17" max="17" width="11.625" style="112" customWidth="1"/>
    <col min="18" max="18" width="11.125" style="112" customWidth="1"/>
    <col min="19" max="19" width="6" style="20" customWidth="1"/>
    <col min="20" max="16384" width="8.75" style="112"/>
  </cols>
  <sheetData>
    <row r="1" spans="1:19" ht="32.25" customHeight="1">
      <c r="A1" s="185" t="s">
        <v>85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</row>
    <row r="2" spans="1:19" ht="16.5">
      <c r="A2" s="21" t="s">
        <v>18</v>
      </c>
      <c r="B2" s="21"/>
    </row>
    <row r="3" spans="1:19">
      <c r="L3" s="145"/>
      <c r="N3" s="144"/>
      <c r="O3" s="22" t="s">
        <v>17</v>
      </c>
      <c r="Q3" s="20"/>
    </row>
    <row r="4" spans="1:19" ht="30" customHeight="1">
      <c r="A4" s="191" t="s">
        <v>8</v>
      </c>
      <c r="B4" s="191"/>
      <c r="C4" s="190" t="s">
        <v>9</v>
      </c>
      <c r="D4" s="191" t="s">
        <v>7</v>
      </c>
      <c r="E4" s="191" t="s">
        <v>6</v>
      </c>
      <c r="F4" s="190" t="s">
        <v>86</v>
      </c>
      <c r="G4" s="190" t="s">
        <v>19</v>
      </c>
      <c r="H4" s="192" t="s">
        <v>87</v>
      </c>
      <c r="I4" s="194" t="s">
        <v>88</v>
      </c>
      <c r="J4" s="184"/>
      <c r="K4" s="190" t="s">
        <v>13</v>
      </c>
      <c r="L4" s="194" t="s">
        <v>89</v>
      </c>
      <c r="M4" s="184"/>
      <c r="N4" s="190" t="s">
        <v>14</v>
      </c>
      <c r="O4" s="191" t="s">
        <v>10</v>
      </c>
      <c r="P4" s="182" t="s">
        <v>11</v>
      </c>
      <c r="Q4" s="184" t="s">
        <v>16</v>
      </c>
      <c r="R4" s="184"/>
      <c r="S4" s="184"/>
    </row>
    <row r="5" spans="1:19" ht="18" customHeight="1">
      <c r="A5" s="191"/>
      <c r="B5" s="191"/>
      <c r="C5" s="190"/>
      <c r="D5" s="191"/>
      <c r="E5" s="191"/>
      <c r="F5" s="191"/>
      <c r="G5" s="191"/>
      <c r="H5" s="193"/>
      <c r="I5" s="157" t="s">
        <v>0</v>
      </c>
      <c r="J5" s="157" t="s">
        <v>1</v>
      </c>
      <c r="K5" s="191"/>
      <c r="L5" s="157" t="s">
        <v>0</v>
      </c>
      <c r="M5" s="157" t="s">
        <v>1</v>
      </c>
      <c r="N5" s="191"/>
      <c r="O5" s="191"/>
      <c r="P5" s="183"/>
      <c r="Q5" s="157" t="s">
        <v>4</v>
      </c>
      <c r="R5" s="157" t="s">
        <v>2</v>
      </c>
      <c r="S5" s="157" t="s">
        <v>5</v>
      </c>
    </row>
    <row r="6" spans="1:19" ht="31.5" customHeight="1">
      <c r="A6" s="24"/>
      <c r="B6" s="25" t="s">
        <v>3</v>
      </c>
      <c r="C6" s="26"/>
      <c r="D6" s="26"/>
      <c r="E6" s="26"/>
      <c r="F6" s="96">
        <f>SUM(F7:F319)/3</f>
        <v>27949502</v>
      </c>
      <c r="G6" s="96">
        <f>SUM(G7:G319)/3</f>
        <v>6327000</v>
      </c>
      <c r="H6" s="96">
        <f>SUM(H7:H319)/3</f>
        <v>16439052</v>
      </c>
      <c r="I6" s="96">
        <f>SUM(I7:I319)/3</f>
        <v>0</v>
      </c>
      <c r="J6" s="96">
        <f>SUM(J7:J319)/3</f>
        <v>3578067</v>
      </c>
      <c r="K6" s="96">
        <f>SUM(K7:K319)/3</f>
        <v>31527569</v>
      </c>
      <c r="L6" s="96">
        <f>SUM(L7:L319)/3</f>
        <v>0</v>
      </c>
      <c r="M6" s="96">
        <f>SUM(M7:M319)/3</f>
        <v>0</v>
      </c>
      <c r="N6" s="96">
        <f t="shared" ref="N6" si="0">F6+L6+M6</f>
        <v>27949502</v>
      </c>
      <c r="O6" s="82"/>
      <c r="P6" s="7"/>
      <c r="Q6" s="96">
        <f>SUM(Q7:Q319)/3</f>
        <v>1088067</v>
      </c>
      <c r="R6" s="96">
        <f>SUM(R7:R319)/3</f>
        <v>2490000</v>
      </c>
      <c r="S6" s="103" t="str">
        <f t="shared" ref="S6:S20" si="1">IF((L6+M6)=(Q6+R6),"ok","검토")</f>
        <v>검토</v>
      </c>
    </row>
    <row r="7" spans="1:19" ht="31.5" customHeight="1">
      <c r="A7" s="1" t="s">
        <v>94</v>
      </c>
      <c r="B7" s="94"/>
      <c r="C7" s="94"/>
      <c r="D7" s="94"/>
      <c r="E7" s="94"/>
      <c r="F7" s="95">
        <f>F8+F14+F21</f>
        <v>27949502</v>
      </c>
      <c r="G7" s="95">
        <f>G8+G14+G21</f>
        <v>6327000</v>
      </c>
      <c r="H7" s="95">
        <f>H8+H14+H21</f>
        <v>16439052</v>
      </c>
      <c r="I7" s="95">
        <f>I8+I14+I21</f>
        <v>0</v>
      </c>
      <c r="J7" s="95">
        <f>J8+J14+J21</f>
        <v>3578067</v>
      </c>
      <c r="K7" s="95">
        <f>K8+K14+K21</f>
        <v>31527569</v>
      </c>
      <c r="L7" s="95">
        <f>L8+L14+L21</f>
        <v>0</v>
      </c>
      <c r="M7" s="95">
        <f>M8+M14+M21</f>
        <v>0</v>
      </c>
      <c r="N7" s="95">
        <f>N8+N14+N21</f>
        <v>861052</v>
      </c>
      <c r="O7" s="154"/>
      <c r="P7" s="154"/>
      <c r="Q7" s="95">
        <f>Q8+Q14+Q21</f>
        <v>1088067</v>
      </c>
      <c r="R7" s="95">
        <f>R8+R14+R21</f>
        <v>2490000</v>
      </c>
      <c r="S7" s="103" t="str">
        <f t="shared" si="1"/>
        <v>검토</v>
      </c>
    </row>
    <row r="8" spans="1:19" ht="31.5" customHeight="1">
      <c r="A8" s="105"/>
      <c r="B8" s="97" t="s">
        <v>95</v>
      </c>
      <c r="C8" s="99"/>
      <c r="D8" s="98"/>
      <c r="E8" s="98"/>
      <c r="F8" s="100">
        <f>SUM(F9:F13)</f>
        <v>540052</v>
      </c>
      <c r="G8" s="100">
        <f>SUM(G9:G13)</f>
        <v>327000</v>
      </c>
      <c r="H8" s="100">
        <f>SUM(H9:H13)</f>
        <v>43052</v>
      </c>
      <c r="I8" s="100">
        <f>SUM(I9:I13)</f>
        <v>0</v>
      </c>
      <c r="J8" s="100">
        <f>SUM(J9:J13)</f>
        <v>180067</v>
      </c>
      <c r="K8" s="100">
        <f>SUM(K9:K13)</f>
        <v>720119</v>
      </c>
      <c r="L8" s="100">
        <f>SUM(L9:L13)</f>
        <v>0</v>
      </c>
      <c r="M8" s="100">
        <f>SUM(M9:M13)</f>
        <v>0</v>
      </c>
      <c r="N8" s="100">
        <f>SUM(N9:N13)</f>
        <v>365052</v>
      </c>
      <c r="O8" s="98"/>
      <c r="P8" s="100"/>
      <c r="Q8" s="100">
        <f>SUM(Q9:Q13)</f>
        <v>5067</v>
      </c>
      <c r="R8" s="100">
        <f>SUM(R9:R13)</f>
        <v>175000</v>
      </c>
      <c r="S8" s="103" t="str">
        <f t="shared" si="1"/>
        <v>검토</v>
      </c>
    </row>
    <row r="9" spans="1:19" ht="31.5" customHeight="1">
      <c r="A9" s="105"/>
      <c r="B9" s="108" t="s">
        <v>104</v>
      </c>
      <c r="C9" s="102">
        <v>461</v>
      </c>
      <c r="D9" s="155" t="s">
        <v>105</v>
      </c>
      <c r="E9" s="153" t="s">
        <v>106</v>
      </c>
      <c r="F9" s="104">
        <v>295052</v>
      </c>
      <c r="G9" s="104">
        <v>277000</v>
      </c>
      <c r="H9" s="109">
        <f>IF(SUMPRODUCT(COUNTIF(C9,{"*본예산*","*1회추경*","*신규*"})),"-",F9-G9)</f>
        <v>18052</v>
      </c>
      <c r="I9" s="104"/>
      <c r="J9" s="104">
        <v>5067</v>
      </c>
      <c r="K9" s="109">
        <f>F9+I9+J9</f>
        <v>300119</v>
      </c>
      <c r="L9" s="104"/>
      <c r="M9" s="104"/>
      <c r="N9" s="109">
        <f t="shared" ref="N9" si="2">F9+L9+M9</f>
        <v>295052</v>
      </c>
      <c r="O9" s="84" t="s">
        <v>107</v>
      </c>
      <c r="P9" s="107" t="s">
        <v>108</v>
      </c>
      <c r="Q9" s="107">
        <v>5067</v>
      </c>
      <c r="R9" s="107">
        <v>0</v>
      </c>
      <c r="S9" s="103" t="str">
        <f t="shared" si="1"/>
        <v>검토</v>
      </c>
    </row>
    <row r="10" spans="1:19" ht="31.5" customHeight="1">
      <c r="A10" s="105"/>
      <c r="B10" s="108" t="s">
        <v>104</v>
      </c>
      <c r="C10" s="102">
        <v>450</v>
      </c>
      <c r="D10" s="155" t="s">
        <v>133</v>
      </c>
      <c r="E10" s="153" t="s">
        <v>132</v>
      </c>
      <c r="F10" s="104">
        <v>75000</v>
      </c>
      <c r="G10" s="104">
        <v>50000</v>
      </c>
      <c r="H10" s="109">
        <f>IF(SUMPRODUCT(COUNTIF(C10,{"*본예산*","*1회추경*","*신규*"})),"-",F10-G10)</f>
        <v>25000</v>
      </c>
      <c r="I10" s="104"/>
      <c r="J10" s="104">
        <v>25000</v>
      </c>
      <c r="K10" s="109">
        <f>F10+I10+J10</f>
        <v>100000</v>
      </c>
      <c r="L10" s="104"/>
      <c r="M10" s="104"/>
      <c r="N10" s="109"/>
      <c r="O10" s="84" t="s">
        <v>124</v>
      </c>
      <c r="P10" s="107" t="s">
        <v>120</v>
      </c>
      <c r="Q10" s="107"/>
      <c r="R10" s="107">
        <v>25000</v>
      </c>
      <c r="S10" s="103" t="str">
        <f t="shared" si="1"/>
        <v>검토</v>
      </c>
    </row>
    <row r="11" spans="1:19" ht="31.5" customHeight="1">
      <c r="A11" s="105"/>
      <c r="B11" s="105" t="s">
        <v>121</v>
      </c>
      <c r="C11" s="91" t="s">
        <v>122</v>
      </c>
      <c r="D11" s="155" t="s">
        <v>105</v>
      </c>
      <c r="E11" s="153" t="s">
        <v>123</v>
      </c>
      <c r="F11" s="104">
        <v>70000</v>
      </c>
      <c r="G11" s="104">
        <v>0</v>
      </c>
      <c r="H11" s="109" t="str">
        <f>IF(SUMPRODUCT(COUNTIF(C11,{"*본예산*","*1회추경*","*신규*"})),"-",F11-G11)</f>
        <v>-</v>
      </c>
      <c r="I11" s="104"/>
      <c r="J11" s="104">
        <v>70000</v>
      </c>
      <c r="K11" s="109">
        <f>F11+I11+J11</f>
        <v>140000</v>
      </c>
      <c r="L11" s="104"/>
      <c r="M11" s="104"/>
      <c r="N11" s="109">
        <f>F11+L11+M11</f>
        <v>70000</v>
      </c>
      <c r="O11" s="92" t="s">
        <v>124</v>
      </c>
      <c r="P11" s="107" t="s">
        <v>120</v>
      </c>
      <c r="Q11" s="107"/>
      <c r="R11" s="104">
        <v>70000</v>
      </c>
      <c r="S11" s="94" t="str">
        <f>IF((L11+M11)=(Q11+R11),"ok","검토")</f>
        <v>검토</v>
      </c>
    </row>
    <row r="12" spans="1:19" ht="31.5" customHeight="1">
      <c r="A12" s="105"/>
      <c r="B12" s="105" t="s">
        <v>134</v>
      </c>
      <c r="C12" s="91" t="s">
        <v>135</v>
      </c>
      <c r="D12" s="155" t="s">
        <v>136</v>
      </c>
      <c r="E12" s="153" t="s">
        <v>138</v>
      </c>
      <c r="F12" s="104">
        <v>0</v>
      </c>
      <c r="G12" s="104">
        <v>0</v>
      </c>
      <c r="H12" s="109" t="str">
        <f>IF(SUMPRODUCT(COUNTIF(C12,{"*본예산*","*1회추경*","*신규*"})),"-",F12-G12)</f>
        <v>-</v>
      </c>
      <c r="I12" s="104"/>
      <c r="J12" s="104">
        <v>50000</v>
      </c>
      <c r="K12" s="109">
        <f t="shared" ref="K12:K13" si="3">F12+I12+J12</f>
        <v>50000</v>
      </c>
      <c r="L12" s="104"/>
      <c r="M12" s="104"/>
      <c r="N12" s="109"/>
      <c r="O12" s="92" t="s">
        <v>139</v>
      </c>
      <c r="P12" s="107" t="s">
        <v>143</v>
      </c>
      <c r="Q12" s="107"/>
      <c r="R12" s="104">
        <v>50000</v>
      </c>
      <c r="S12" s="94" t="str">
        <f>IF((L12+M12)=(Q12+R12),"ok","검토")</f>
        <v>검토</v>
      </c>
    </row>
    <row r="13" spans="1:19" ht="31.5" customHeight="1">
      <c r="A13" s="105"/>
      <c r="B13" s="105" t="s">
        <v>134</v>
      </c>
      <c r="C13" s="91" t="s">
        <v>141</v>
      </c>
      <c r="D13" s="155" t="s">
        <v>137</v>
      </c>
      <c r="E13" s="153" t="s">
        <v>140</v>
      </c>
      <c r="F13" s="104">
        <v>100000</v>
      </c>
      <c r="G13" s="104"/>
      <c r="H13" s="109" t="str">
        <f>IF(SUMPRODUCT(COUNTIF(C13,{"*본예산*","*1회추경*","*신규*"})),"-",F13-G13)</f>
        <v>-</v>
      </c>
      <c r="I13" s="104"/>
      <c r="J13" s="104">
        <v>30000</v>
      </c>
      <c r="K13" s="109">
        <f t="shared" si="3"/>
        <v>130000</v>
      </c>
      <c r="L13" s="104"/>
      <c r="M13" s="104"/>
      <c r="N13" s="109"/>
      <c r="O13" s="92" t="s">
        <v>142</v>
      </c>
      <c r="P13" s="107" t="s">
        <v>144</v>
      </c>
      <c r="Q13" s="107"/>
      <c r="R13" s="104">
        <v>30000</v>
      </c>
      <c r="S13" s="94" t="str">
        <f>IF((L13+M13)=(Q13+R13),"ok","검토")</f>
        <v>검토</v>
      </c>
    </row>
    <row r="14" spans="1:19" ht="31.5" customHeight="1">
      <c r="A14" s="105"/>
      <c r="B14" s="97" t="s">
        <v>102</v>
      </c>
      <c r="C14" s="99"/>
      <c r="D14" s="98"/>
      <c r="E14" s="98"/>
      <c r="F14" s="100">
        <f>SUM(F15:F20)</f>
        <v>27409450</v>
      </c>
      <c r="G14" s="100">
        <f>SUM(G15:G20)</f>
        <v>6000000</v>
      </c>
      <c r="H14" s="100">
        <f>SUM(H15:H20)</f>
        <v>16396000</v>
      </c>
      <c r="I14" s="100">
        <f>SUM(I15:I20)</f>
        <v>0</v>
      </c>
      <c r="J14" s="100">
        <f>SUM(J15:J20)</f>
        <v>3398000</v>
      </c>
      <c r="K14" s="100">
        <f>SUM(K15:K20)</f>
        <v>30807450</v>
      </c>
      <c r="L14" s="100">
        <f>SUM(L15:L20)</f>
        <v>0</v>
      </c>
      <c r="M14" s="100">
        <f>SUM(M15:M20)</f>
        <v>0</v>
      </c>
      <c r="N14" s="100">
        <f>SUM(N15:N20)</f>
        <v>496000</v>
      </c>
      <c r="O14" s="98"/>
      <c r="P14" s="100"/>
      <c r="Q14" s="100">
        <f>SUM(Q15:Q20)</f>
        <v>1083000</v>
      </c>
      <c r="R14" s="100">
        <f>SUM(R15:R20)</f>
        <v>2315000</v>
      </c>
      <c r="S14" s="103" t="str">
        <f t="shared" si="1"/>
        <v>검토</v>
      </c>
    </row>
    <row r="15" spans="1:19" ht="31.5" customHeight="1">
      <c r="A15" s="105"/>
      <c r="B15" s="108" t="s">
        <v>104</v>
      </c>
      <c r="C15" s="102">
        <v>483</v>
      </c>
      <c r="D15" s="151" t="s">
        <v>112</v>
      </c>
      <c r="E15" s="93" t="s">
        <v>113</v>
      </c>
      <c r="F15" s="104">
        <v>496000</v>
      </c>
      <c r="G15" s="104">
        <v>0</v>
      </c>
      <c r="H15" s="109">
        <f>IF(SUMPRODUCT(COUNTIF(C15,{"*본예산*","*1회추경*","*신규*"})),"-",F15-G15)</f>
        <v>496000</v>
      </c>
      <c r="I15" s="104"/>
      <c r="J15" s="104">
        <v>663000</v>
      </c>
      <c r="K15" s="109">
        <f>F15+I15+J15</f>
        <v>1159000</v>
      </c>
      <c r="L15" s="104"/>
      <c r="M15" s="104"/>
      <c r="N15" s="109">
        <f t="shared" ref="N15:N16" si="4">F15+L15+M15</f>
        <v>496000</v>
      </c>
      <c r="O15" s="84" t="s">
        <v>117</v>
      </c>
      <c r="P15" s="107" t="s">
        <v>108</v>
      </c>
      <c r="Q15" s="107">
        <v>663000</v>
      </c>
      <c r="R15" s="107"/>
      <c r="S15" s="103" t="str">
        <f t="shared" si="1"/>
        <v>검토</v>
      </c>
    </row>
    <row r="16" spans="1:19" ht="31.5" customHeight="1">
      <c r="A16" s="105"/>
      <c r="B16" s="108" t="s">
        <v>114</v>
      </c>
      <c r="C16" s="102" t="s">
        <v>115</v>
      </c>
      <c r="D16" s="151" t="s">
        <v>112</v>
      </c>
      <c r="E16" s="93" t="s">
        <v>116</v>
      </c>
      <c r="F16" s="104">
        <v>0</v>
      </c>
      <c r="G16" s="104">
        <v>0</v>
      </c>
      <c r="H16" s="109" t="str">
        <f>IF(SUMPRODUCT(COUNTIF(C16,{"*본예산*","*1회추경*","*신규*"})),"-",F16-G16)</f>
        <v>-</v>
      </c>
      <c r="I16" s="104"/>
      <c r="J16" s="104">
        <v>420000</v>
      </c>
      <c r="K16" s="109">
        <f>F16+I16+J16</f>
        <v>420000</v>
      </c>
      <c r="L16" s="104"/>
      <c r="M16" s="104"/>
      <c r="N16" s="109">
        <f t="shared" si="4"/>
        <v>0</v>
      </c>
      <c r="O16" s="84" t="s">
        <v>117</v>
      </c>
      <c r="P16" s="107" t="s">
        <v>108</v>
      </c>
      <c r="Q16" s="107">
        <v>420000</v>
      </c>
      <c r="R16" s="107"/>
      <c r="S16" s="103" t="str">
        <f t="shared" si="1"/>
        <v>검토</v>
      </c>
    </row>
    <row r="17" spans="1:19" ht="31.5" customHeight="1">
      <c r="A17" s="105"/>
      <c r="B17" s="108" t="s">
        <v>104</v>
      </c>
      <c r="C17" s="102">
        <v>482</v>
      </c>
      <c r="D17" s="151" t="s">
        <v>112</v>
      </c>
      <c r="E17" s="150" t="s">
        <v>118</v>
      </c>
      <c r="F17" s="104">
        <v>300000</v>
      </c>
      <c r="G17" s="104">
        <v>0</v>
      </c>
      <c r="H17" s="109">
        <f>IF(SUMPRODUCT(COUNTIF(C17,{"*본예산*","*1회추경*","*신규*"})),"-",F17-G17)</f>
        <v>300000</v>
      </c>
      <c r="I17" s="104"/>
      <c r="J17" s="104">
        <v>210000</v>
      </c>
      <c r="K17" s="109">
        <f t="shared" ref="K17:K20" si="5">F17+I17+J17</f>
        <v>510000</v>
      </c>
      <c r="L17" s="104"/>
      <c r="M17" s="104"/>
      <c r="N17" s="109"/>
      <c r="O17" s="84" t="s">
        <v>119</v>
      </c>
      <c r="P17" s="107" t="s">
        <v>120</v>
      </c>
      <c r="Q17" s="107"/>
      <c r="R17" s="107">
        <v>210000</v>
      </c>
      <c r="S17" s="103" t="str">
        <f t="shared" si="1"/>
        <v>검토</v>
      </c>
    </row>
    <row r="18" spans="1:19" ht="31.5" customHeight="1">
      <c r="A18" s="105"/>
      <c r="B18" s="108" t="s">
        <v>104</v>
      </c>
      <c r="C18" s="91">
        <v>481</v>
      </c>
      <c r="D18" s="151" t="s">
        <v>112</v>
      </c>
      <c r="E18" s="153" t="s">
        <v>125</v>
      </c>
      <c r="F18" s="104">
        <v>21600000</v>
      </c>
      <c r="G18" s="104">
        <v>6000000</v>
      </c>
      <c r="H18" s="109">
        <f>IF(SUMPRODUCT(COUNTIF(C18,{"*본예산*","*1회추경*","*신규*"})),"-",F18-G18)</f>
        <v>15600000</v>
      </c>
      <c r="I18" s="104"/>
      <c r="J18" s="104">
        <v>1320000</v>
      </c>
      <c r="K18" s="109">
        <f t="shared" si="5"/>
        <v>22920000</v>
      </c>
      <c r="L18" s="104"/>
      <c r="M18" s="104"/>
      <c r="N18" s="109"/>
      <c r="O18" s="84" t="s">
        <v>119</v>
      </c>
      <c r="P18" s="107" t="s">
        <v>120</v>
      </c>
      <c r="Q18" s="107"/>
      <c r="R18" s="107">
        <v>1320000</v>
      </c>
      <c r="S18" s="103" t="str">
        <f t="shared" si="1"/>
        <v>검토</v>
      </c>
    </row>
    <row r="19" spans="1:19" ht="31.5" customHeight="1">
      <c r="A19" s="105"/>
      <c r="B19" s="156" t="s">
        <v>114</v>
      </c>
      <c r="C19" s="91" t="s">
        <v>126</v>
      </c>
      <c r="D19" s="151" t="s">
        <v>127</v>
      </c>
      <c r="E19" s="153" t="s">
        <v>128</v>
      </c>
      <c r="F19" s="104">
        <v>4686200</v>
      </c>
      <c r="G19" s="104"/>
      <c r="H19" s="109" t="str">
        <f>IF(SUMPRODUCT(COUNTIF(C19,{"*본예산*","*1회추경*","*신규*"})),"-",F19-G19)</f>
        <v>-</v>
      </c>
      <c r="I19" s="104"/>
      <c r="J19" s="104">
        <v>585000</v>
      </c>
      <c r="K19" s="109">
        <f t="shared" si="5"/>
        <v>5271200</v>
      </c>
      <c r="L19" s="104"/>
      <c r="M19" s="104"/>
      <c r="N19" s="109"/>
      <c r="O19" s="84" t="s">
        <v>119</v>
      </c>
      <c r="P19" s="107" t="s">
        <v>120</v>
      </c>
      <c r="Q19" s="107"/>
      <c r="R19" s="107">
        <v>585000</v>
      </c>
      <c r="S19" s="103" t="str">
        <f t="shared" si="1"/>
        <v>검토</v>
      </c>
    </row>
    <row r="20" spans="1:19" ht="31.5" customHeight="1">
      <c r="A20" s="105"/>
      <c r="B20" s="156" t="s">
        <v>114</v>
      </c>
      <c r="C20" s="91" t="s">
        <v>129</v>
      </c>
      <c r="D20" s="151" t="s">
        <v>127</v>
      </c>
      <c r="E20" s="153" t="s">
        <v>130</v>
      </c>
      <c r="F20" s="104">
        <v>327250</v>
      </c>
      <c r="G20" s="104"/>
      <c r="H20" s="109" t="str">
        <f>IF(SUMPRODUCT(COUNTIF(C20,{"*본예산*","*1회추경*","*신규*"})),"-",F20-G20)</f>
        <v>-</v>
      </c>
      <c r="I20" s="104"/>
      <c r="J20" s="104">
        <v>200000</v>
      </c>
      <c r="K20" s="109">
        <f t="shared" si="5"/>
        <v>527250</v>
      </c>
      <c r="L20" s="104"/>
      <c r="M20" s="104"/>
      <c r="N20" s="109"/>
      <c r="O20" s="84" t="s">
        <v>131</v>
      </c>
      <c r="P20" s="107" t="s">
        <v>120</v>
      </c>
      <c r="Q20" s="107"/>
      <c r="R20" s="107">
        <v>200000</v>
      </c>
      <c r="S20" s="103" t="str">
        <f t="shared" si="1"/>
        <v>검토</v>
      </c>
    </row>
    <row r="21" spans="1:19" ht="31.5" customHeight="1">
      <c r="A21" s="105"/>
      <c r="B21" s="97" t="s">
        <v>103</v>
      </c>
      <c r="C21" s="99"/>
      <c r="D21" s="98"/>
      <c r="E21" s="98"/>
      <c r="F21" s="100">
        <f t="shared" ref="F21:N21" si="6">SUM(F22:F23)</f>
        <v>0</v>
      </c>
      <c r="G21" s="100">
        <f t="shared" si="6"/>
        <v>0</v>
      </c>
      <c r="H21" s="100">
        <f t="shared" si="6"/>
        <v>0</v>
      </c>
      <c r="I21" s="100">
        <f t="shared" si="6"/>
        <v>0</v>
      </c>
      <c r="J21" s="100">
        <f t="shared" si="6"/>
        <v>0</v>
      </c>
      <c r="K21" s="100">
        <f t="shared" si="6"/>
        <v>0</v>
      </c>
      <c r="L21" s="100">
        <f t="shared" si="6"/>
        <v>0</v>
      </c>
      <c r="M21" s="100">
        <f t="shared" si="6"/>
        <v>0</v>
      </c>
      <c r="N21" s="100">
        <f t="shared" si="6"/>
        <v>0</v>
      </c>
      <c r="O21" s="98"/>
      <c r="P21" s="100"/>
      <c r="Q21" s="100">
        <f>SUM(Q22:Q23)</f>
        <v>0</v>
      </c>
      <c r="R21" s="100">
        <f>SUM(R22:R23)</f>
        <v>0</v>
      </c>
      <c r="S21" s="103" t="str">
        <f t="shared" ref="S21:S22" si="7">IF((L21+M21)=(Q21+R21),"ok","검토")</f>
        <v>ok</v>
      </c>
    </row>
    <row r="22" spans="1:19" ht="31.5" customHeight="1">
      <c r="A22" s="105"/>
      <c r="B22" s="108"/>
      <c r="C22" s="102"/>
      <c r="D22" s="106"/>
      <c r="E22" s="93"/>
      <c r="F22" s="104"/>
      <c r="G22" s="104">
        <v>0</v>
      </c>
      <c r="H22" s="109">
        <f>IF(SUMPRODUCT(COUNTIF(C22,{"*본예산*","*1회추경*","*신규*"})),"-",F22-G22)</f>
        <v>0</v>
      </c>
      <c r="I22" s="104"/>
      <c r="J22" s="104"/>
      <c r="K22" s="109">
        <f>F22+I22+J22</f>
        <v>0</v>
      </c>
      <c r="L22" s="104"/>
      <c r="M22" s="104"/>
      <c r="N22" s="109">
        <f t="shared" ref="N22" si="8">F22+L22+M22</f>
        <v>0</v>
      </c>
      <c r="O22" s="92"/>
      <c r="P22" s="107"/>
      <c r="Q22" s="107"/>
      <c r="R22" s="107"/>
      <c r="S22" s="103" t="str">
        <f t="shared" si="7"/>
        <v>ok</v>
      </c>
    </row>
    <row r="23" spans="1:19" ht="31.5" customHeight="1">
      <c r="A23" s="105"/>
      <c r="B23" s="105"/>
      <c r="C23" s="91"/>
      <c r="D23" s="106"/>
      <c r="E23" s="93"/>
      <c r="F23" s="104"/>
      <c r="G23" s="104"/>
      <c r="H23" s="109">
        <f>IF(SUMPRODUCT(COUNTIF(C23,{"*본예산*","*1회추경*","*신규*"})),"-",F23-G23)</f>
        <v>0</v>
      </c>
      <c r="I23" s="104"/>
      <c r="J23" s="104"/>
      <c r="K23" s="109">
        <f>F23+I23+J23</f>
        <v>0</v>
      </c>
      <c r="L23" s="104"/>
      <c r="M23" s="104"/>
      <c r="N23" s="109">
        <f>F23+L23+M23</f>
        <v>0</v>
      </c>
      <c r="O23" s="92"/>
      <c r="P23" s="107"/>
      <c r="Q23" s="107"/>
      <c r="R23" s="104"/>
      <c r="S23" s="94" t="str">
        <f>IF((L23+M23)=(Q23+R23),"ok","검토")</f>
        <v>ok</v>
      </c>
    </row>
    <row r="24" spans="1:19" ht="24" customHeight="1"/>
    <row r="25" spans="1:19" ht="24" customHeight="1"/>
    <row r="26" spans="1:19" ht="24" customHeight="1"/>
  </sheetData>
  <mergeCells count="15">
    <mergeCell ref="A1:O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L4:M4"/>
    <mergeCell ref="N4:N5"/>
    <mergeCell ref="O4:O5"/>
    <mergeCell ref="P4:P5"/>
    <mergeCell ref="Q4:S4"/>
  </mergeCells>
  <phoneticPr fontId="2" type="noConversion"/>
  <pageMargins left="0.23622047244094491" right="0.15748031496062992" top="0.74803149606299213" bottom="0.74803149606299213" header="0.31496062992125984" footer="0.31496062992125984"/>
  <pageSetup paperSize="9" scale="69" orientation="landscape" cellComments="asDisplayed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E25" sqref="E25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8</vt:i4>
      </vt:variant>
    </vt:vector>
  </HeadingPairs>
  <TitlesOfParts>
    <vt:vector size="14" baseType="lpstr">
      <vt:lpstr>추 표지</vt:lpstr>
      <vt:lpstr>총괄표</vt:lpstr>
      <vt:lpstr>일반 세입</vt:lpstr>
      <vt:lpstr>일반 세입 (집행부)</vt:lpstr>
      <vt:lpstr>일반 세출 (집행부)</vt:lpstr>
      <vt:lpstr>Sheet3</vt:lpstr>
      <vt:lpstr>'일반 세입'!Print_Area</vt:lpstr>
      <vt:lpstr>'일반 세입 (집행부)'!Print_Area</vt:lpstr>
      <vt:lpstr>'일반 세출 (집행부)'!Print_Area</vt:lpstr>
      <vt:lpstr>총괄표!Print_Area</vt:lpstr>
      <vt:lpstr>'추 표지'!Print_Area</vt:lpstr>
      <vt:lpstr>'일반 세입'!Print_Titles</vt:lpstr>
      <vt:lpstr>'일반 세입 (집행부)'!Print_Titles</vt:lpstr>
      <vt:lpstr>'일반 세출 (집행부)'!Print_Titles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2014-09-19T02:23:31Z</cp:lastPrinted>
  <dcterms:created xsi:type="dcterms:W3CDTF">2013-08-23T08:00:50Z</dcterms:created>
  <dcterms:modified xsi:type="dcterms:W3CDTF">2014-09-19T04:48:59Z</dcterms:modified>
</cp:coreProperties>
</file>