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320" windowHeight="9750" tabRatio="845" firstSheet="6" activeTab="6"/>
  </bookViews>
  <sheets>
    <sheet name="상임 표지" sheetId="20" state="hidden" r:id="rId1"/>
    <sheet name="예결 표지" sheetId="55" r:id="rId2"/>
    <sheet name="예결 표지(가로)" sheetId="62" r:id="rId3"/>
    <sheet name="총괄표" sheetId="48" state="hidden" r:id="rId4"/>
    <sheet name="총괄표(실국별)" sheetId="60" state="hidden" r:id="rId5"/>
    <sheet name="검증" sheetId="56" state="hidden" r:id="rId6"/>
    <sheet name="총괄표(가로)" sheetId="63" r:id="rId7"/>
    <sheet name="일반 세입" sheetId="36" r:id="rId8"/>
    <sheet name="일반 세출" sheetId="61" r:id="rId9"/>
    <sheet name="중소기업육성기금" sheetId="54" state="hidden" r:id="rId10"/>
    <sheet name="국비변경(일반 세입)(삭제)" sheetId="58" state="hidden" r:id="rId11"/>
    <sheet name="국비변경(일반 세출)(삭제)" sheetId="59" state="hidden" r:id="rId12"/>
    <sheet name="표지" sheetId="57" state="hidden" r:id="rId13"/>
  </sheets>
  <externalReferences>
    <externalReference r:id="rId14"/>
  </externalReferences>
  <definedNames>
    <definedName name="_xlnm._FilterDatabase" localSheetId="10" hidden="1">'국비변경(일반 세입)(삭제)'!$A$6:$Y$6</definedName>
    <definedName name="_xlnm._FilterDatabase" localSheetId="7" hidden="1">'일반 세입'!$A$6:$Y$40</definedName>
    <definedName name="_xlnm._FilterDatabase" localSheetId="8" hidden="1">'일반 세출'!$A$6:$AC$134</definedName>
    <definedName name="_xlnm.Print_Area" localSheetId="5">검증!$A$1:$I$22</definedName>
    <definedName name="_xlnm.Print_Area" localSheetId="10">'국비변경(일반 세입)(삭제)'!$A$1:$P$18</definedName>
    <definedName name="_xlnm.Print_Area" localSheetId="11">'국비변경(일반 세출)(삭제)'!$A$1:$P$25</definedName>
    <definedName name="_xlnm.Print_Area" localSheetId="0">'상임 표지'!$A$1:$M$18</definedName>
    <definedName name="_xlnm.Print_Area" localSheetId="1">'예결 표지'!$A$1:$J$37</definedName>
    <definedName name="_xlnm.Print_Area" localSheetId="2">'예결 표지(가로)'!$A$1:$J$25</definedName>
    <definedName name="_xlnm.Print_Area" localSheetId="7">'일반 세입'!$A$1:$P$40</definedName>
    <definedName name="_xlnm.Print_Area" localSheetId="8">'일반 세출'!$A$1:$P$134</definedName>
    <definedName name="_xlnm.Print_Area" localSheetId="3">총괄표!$B$1:$H$26</definedName>
    <definedName name="_xlnm.Print_Area" localSheetId="6">'총괄표(가로)'!$B$1:$H$26</definedName>
    <definedName name="_xlnm.Print_Area" localSheetId="4">'총괄표(실국별)'!$B$1:$H$38</definedName>
    <definedName name="_xlnm.Print_Area" localSheetId="12">표지!$A$1:$M$18</definedName>
    <definedName name="_xlnm.Print_Titles" localSheetId="10">'국비변경(일반 세입)(삭제)'!$3:$5</definedName>
    <definedName name="_xlnm.Print_Titles" localSheetId="11">'국비변경(일반 세출)(삭제)'!$4:$5</definedName>
    <definedName name="_xlnm.Print_Titles" localSheetId="7">'일반 세입'!$3:$5</definedName>
    <definedName name="_xlnm.Print_Titles" localSheetId="8">'일반 세출'!$4:$5</definedName>
  </definedNames>
  <calcPr calcId="145621"/>
</workbook>
</file>

<file path=xl/calcChain.xml><?xml version="1.0" encoding="utf-8"?>
<calcChain xmlns="http://schemas.openxmlformats.org/spreadsheetml/2006/main">
  <c r="W3" i="36" l="1"/>
  <c r="R3" i="36"/>
  <c r="G25" i="48"/>
  <c r="F25" i="48"/>
  <c r="G18" i="48"/>
  <c r="F18" i="48"/>
  <c r="G17" i="48"/>
  <c r="F17" i="48"/>
  <c r="G16" i="48"/>
  <c r="F16" i="48"/>
  <c r="G15" i="48"/>
  <c r="F15" i="48"/>
  <c r="G14" i="48"/>
  <c r="F14" i="48"/>
  <c r="G13" i="48"/>
  <c r="F13" i="48"/>
  <c r="G12" i="48"/>
  <c r="F12" i="48"/>
  <c r="G11" i="48"/>
  <c r="F11" i="48"/>
  <c r="G10" i="48"/>
  <c r="F10" i="48"/>
  <c r="G9" i="48"/>
  <c r="F9" i="48"/>
  <c r="L20" i="61" l="1"/>
  <c r="F18" i="56" l="1"/>
  <c r="C18" i="56"/>
  <c r="J22" i="56" l="1"/>
  <c r="F22" i="56"/>
  <c r="K16" i="56"/>
  <c r="G16" i="56"/>
  <c r="C16" i="56"/>
  <c r="K15" i="56"/>
  <c r="G15" i="56"/>
  <c r="C15" i="56"/>
  <c r="K13" i="56"/>
  <c r="G13" i="56"/>
  <c r="C13" i="56"/>
  <c r="H3" i="61" l="1"/>
  <c r="H3" i="54"/>
  <c r="C43" i="63" l="1"/>
  <c r="D41" i="63"/>
  <c r="C41" i="63"/>
  <c r="E40" i="63"/>
  <c r="E39" i="63"/>
  <c r="E38" i="63"/>
  <c r="E37" i="63"/>
  <c r="E36" i="63"/>
  <c r="E35" i="63"/>
  <c r="E34" i="63"/>
  <c r="E33" i="63"/>
  <c r="E32" i="63"/>
  <c r="E31" i="63"/>
  <c r="I26" i="63"/>
  <c r="J26" i="63" s="1"/>
  <c r="H26" i="63"/>
  <c r="C24" i="63"/>
  <c r="E17" i="63"/>
  <c r="D17" i="63"/>
  <c r="E16" i="63"/>
  <c r="D16" i="63"/>
  <c r="E11" i="63"/>
  <c r="D11" i="63"/>
  <c r="J10" i="63"/>
  <c r="E9" i="63"/>
  <c r="D9" i="63"/>
  <c r="H8" i="63"/>
  <c r="C7" i="63"/>
  <c r="E41" i="63" l="1"/>
  <c r="X134" i="61"/>
  <c r="W134" i="61"/>
  <c r="S134" i="61"/>
  <c r="R134" i="61"/>
  <c r="O134" i="61"/>
  <c r="N134" i="61"/>
  <c r="K134" i="61"/>
  <c r="H134" i="61"/>
  <c r="X133" i="61"/>
  <c r="W133" i="61"/>
  <c r="Y133" i="61" s="1"/>
  <c r="S133" i="61"/>
  <c r="R133" i="61"/>
  <c r="T133" i="61" s="1"/>
  <c r="O133" i="61"/>
  <c r="N133" i="61"/>
  <c r="N132" i="61" s="1"/>
  <c r="K133" i="61"/>
  <c r="H133" i="61"/>
  <c r="H132" i="61" s="1"/>
  <c r="X132" i="61"/>
  <c r="W132" i="61"/>
  <c r="S132" i="61"/>
  <c r="R132" i="61"/>
  <c r="M132" i="61"/>
  <c r="L132" i="61"/>
  <c r="K132" i="61"/>
  <c r="J132" i="61"/>
  <c r="I132" i="61"/>
  <c r="G132" i="61"/>
  <c r="F132" i="61"/>
  <c r="Y131" i="61"/>
  <c r="T131" i="61"/>
  <c r="O131" i="61"/>
  <c r="N131" i="61"/>
  <c r="K131" i="61"/>
  <c r="H131" i="61"/>
  <c r="Y130" i="61"/>
  <c r="T130" i="61"/>
  <c r="O130" i="61"/>
  <c r="N130" i="61"/>
  <c r="K130" i="61"/>
  <c r="H130" i="61"/>
  <c r="Y129" i="61"/>
  <c r="T129" i="61"/>
  <c r="O129" i="61"/>
  <c r="N129" i="61"/>
  <c r="K129" i="61"/>
  <c r="H129" i="61"/>
  <c r="Y128" i="61"/>
  <c r="T128" i="61"/>
  <c r="O128" i="61"/>
  <c r="N128" i="61"/>
  <c r="K128" i="61"/>
  <c r="H128" i="61"/>
  <c r="W127" i="61"/>
  <c r="X127" i="61" s="1"/>
  <c r="S127" i="61"/>
  <c r="T127" i="61" s="1"/>
  <c r="O127" i="61"/>
  <c r="N127" i="61"/>
  <c r="K127" i="61"/>
  <c r="H127" i="61"/>
  <c r="W126" i="61"/>
  <c r="S126" i="61"/>
  <c r="T126" i="61" s="1"/>
  <c r="O126" i="61"/>
  <c r="N126" i="61"/>
  <c r="K126" i="61"/>
  <c r="H126" i="61"/>
  <c r="Y125" i="61"/>
  <c r="T125" i="61"/>
  <c r="O125" i="61"/>
  <c r="N125" i="61"/>
  <c r="N124" i="61" s="1"/>
  <c r="K125" i="61"/>
  <c r="H125" i="61"/>
  <c r="H124" i="61" s="1"/>
  <c r="R124" i="61"/>
  <c r="M124" i="61"/>
  <c r="L124" i="61"/>
  <c r="K124" i="61"/>
  <c r="J124" i="61"/>
  <c r="I124" i="61"/>
  <c r="I112" i="61" s="1"/>
  <c r="G124" i="61"/>
  <c r="F124" i="61"/>
  <c r="W123" i="61"/>
  <c r="S123" i="61"/>
  <c r="T123" i="61" s="1"/>
  <c r="O123" i="61"/>
  <c r="N123" i="61"/>
  <c r="K123" i="61"/>
  <c r="H123" i="61"/>
  <c r="W122" i="61"/>
  <c r="X122" i="61" s="1"/>
  <c r="S122" i="61"/>
  <c r="T122" i="61" s="1"/>
  <c r="O122" i="61"/>
  <c r="N122" i="61"/>
  <c r="K122" i="61"/>
  <c r="H122" i="61"/>
  <c r="Y121" i="61"/>
  <c r="T121" i="61"/>
  <c r="O121" i="61"/>
  <c r="N121" i="61"/>
  <c r="K121" i="61"/>
  <c r="H121" i="61"/>
  <c r="Y120" i="61"/>
  <c r="T120" i="61"/>
  <c r="O120" i="61"/>
  <c r="N120" i="61"/>
  <c r="K120" i="61"/>
  <c r="H120" i="61"/>
  <c r="Y119" i="61"/>
  <c r="T119" i="61"/>
  <c r="O119" i="61"/>
  <c r="N119" i="61"/>
  <c r="K119" i="61"/>
  <c r="H119" i="61"/>
  <c r="Y118" i="61"/>
  <c r="T118" i="61"/>
  <c r="O118" i="61"/>
  <c r="N118" i="61"/>
  <c r="K118" i="61"/>
  <c r="H118" i="61"/>
  <c r="Y117" i="61"/>
  <c r="T117" i="61"/>
  <c r="O117" i="61"/>
  <c r="N117" i="61"/>
  <c r="K117" i="61"/>
  <c r="H117" i="61"/>
  <c r="Y116" i="61"/>
  <c r="T116" i="61"/>
  <c r="O116" i="61"/>
  <c r="N116" i="61"/>
  <c r="K116" i="61"/>
  <c r="H116" i="61"/>
  <c r="W115" i="61"/>
  <c r="X115" i="61" s="1"/>
  <c r="S115" i="61"/>
  <c r="T115" i="61" s="1"/>
  <c r="O115" i="61"/>
  <c r="N115" i="61"/>
  <c r="K115" i="61"/>
  <c r="H115" i="61"/>
  <c r="Y114" i="61"/>
  <c r="T114" i="61"/>
  <c r="O114" i="61"/>
  <c r="N114" i="61"/>
  <c r="N113" i="61" s="1"/>
  <c r="N112" i="61" s="1"/>
  <c r="K114" i="61"/>
  <c r="K113" i="61" s="1"/>
  <c r="H114" i="61"/>
  <c r="H113" i="61" s="1"/>
  <c r="H112" i="61" s="1"/>
  <c r="R113" i="61"/>
  <c r="M113" i="61"/>
  <c r="L113" i="61"/>
  <c r="J113" i="61"/>
  <c r="J112" i="61" s="1"/>
  <c r="I113" i="61"/>
  <c r="G113" i="61"/>
  <c r="G112" i="61" s="1"/>
  <c r="F113" i="61"/>
  <c r="R112" i="61"/>
  <c r="X111" i="61"/>
  <c r="W111" i="61"/>
  <c r="S111" i="61"/>
  <c r="R111" i="61"/>
  <c r="O111" i="61"/>
  <c r="N111" i="61"/>
  <c r="K111" i="61"/>
  <c r="H111" i="61"/>
  <c r="X110" i="61"/>
  <c r="W110" i="61"/>
  <c r="S110" i="61"/>
  <c r="R110" i="61"/>
  <c r="O110" i="61"/>
  <c r="N110" i="61"/>
  <c r="K110" i="61"/>
  <c r="K109" i="61" s="1"/>
  <c r="K108" i="61" s="1"/>
  <c r="H110" i="61"/>
  <c r="X109" i="61"/>
  <c r="X108" i="61" s="1"/>
  <c r="W109" i="61"/>
  <c r="S109" i="61"/>
  <c r="S108" i="61" s="1"/>
  <c r="R109" i="61"/>
  <c r="N109" i="61"/>
  <c r="N108" i="61" s="1"/>
  <c r="M109" i="61"/>
  <c r="L109" i="61"/>
  <c r="T109" i="61" s="1"/>
  <c r="J109" i="61"/>
  <c r="J108" i="61" s="1"/>
  <c r="I109" i="61"/>
  <c r="I108" i="61" s="1"/>
  <c r="H109" i="61"/>
  <c r="H108" i="61" s="1"/>
  <c r="G109" i="61"/>
  <c r="F109" i="61"/>
  <c r="F108" i="61" s="1"/>
  <c r="W108" i="61"/>
  <c r="R108" i="61"/>
  <c r="M108" i="61"/>
  <c r="G17" i="63" s="1"/>
  <c r="G108" i="61"/>
  <c r="X107" i="61"/>
  <c r="W107" i="61"/>
  <c r="S107" i="61"/>
  <c r="R107" i="61"/>
  <c r="O107" i="61"/>
  <c r="N107" i="61"/>
  <c r="K107" i="61"/>
  <c r="H107" i="61"/>
  <c r="X106" i="61"/>
  <c r="W106" i="61"/>
  <c r="S106" i="61"/>
  <c r="R106" i="61"/>
  <c r="O106" i="61"/>
  <c r="N106" i="61"/>
  <c r="K106" i="61"/>
  <c r="H106" i="61"/>
  <c r="X105" i="61"/>
  <c r="W105" i="61"/>
  <c r="S105" i="61"/>
  <c r="R105" i="61"/>
  <c r="O105" i="61"/>
  <c r="N105" i="61"/>
  <c r="K105" i="61"/>
  <c r="H105" i="61"/>
  <c r="X104" i="61"/>
  <c r="W104" i="61"/>
  <c r="S104" i="61"/>
  <c r="R104" i="61"/>
  <c r="O104" i="61"/>
  <c r="N104" i="61"/>
  <c r="N103" i="61" s="1"/>
  <c r="K104" i="61"/>
  <c r="H104" i="61"/>
  <c r="H103" i="61" s="1"/>
  <c r="X103" i="61"/>
  <c r="W103" i="61"/>
  <c r="W94" i="61" s="1"/>
  <c r="S103" i="61"/>
  <c r="R103" i="61"/>
  <c r="M103" i="61"/>
  <c r="L103" i="61"/>
  <c r="K103" i="61"/>
  <c r="J103" i="61"/>
  <c r="I103" i="61"/>
  <c r="G103" i="61"/>
  <c r="F103" i="61"/>
  <c r="X102" i="61"/>
  <c r="W102" i="61"/>
  <c r="S102" i="61"/>
  <c r="R102" i="61"/>
  <c r="O102" i="61"/>
  <c r="N102" i="61"/>
  <c r="K102" i="61"/>
  <c r="H102" i="61"/>
  <c r="X101" i="61"/>
  <c r="W101" i="61"/>
  <c r="S101" i="61"/>
  <c r="R101" i="61"/>
  <c r="O101" i="61"/>
  <c r="N101" i="61"/>
  <c r="K101" i="61"/>
  <c r="H101" i="61"/>
  <c r="X100" i="61"/>
  <c r="W100" i="61"/>
  <c r="S100" i="61"/>
  <c r="R100" i="61"/>
  <c r="O100" i="61"/>
  <c r="N100" i="61"/>
  <c r="K100" i="61"/>
  <c r="H100" i="61"/>
  <c r="X99" i="61"/>
  <c r="W99" i="61"/>
  <c r="S99" i="61"/>
  <c r="R99" i="61"/>
  <c r="O99" i="61"/>
  <c r="N99" i="61"/>
  <c r="K99" i="61"/>
  <c r="H99" i="61"/>
  <c r="X98" i="61"/>
  <c r="W98" i="61"/>
  <c r="S98" i="61"/>
  <c r="R98" i="61"/>
  <c r="O98" i="61"/>
  <c r="N98" i="61"/>
  <c r="K98" i="61"/>
  <c r="H98" i="61"/>
  <c r="X97" i="61"/>
  <c r="W97" i="61"/>
  <c r="S97" i="61"/>
  <c r="R97" i="61"/>
  <c r="O97" i="61"/>
  <c r="N97" i="61"/>
  <c r="K97" i="61"/>
  <c r="H97" i="61"/>
  <c r="X96" i="61"/>
  <c r="W96" i="61"/>
  <c r="S96" i="61"/>
  <c r="R96" i="61"/>
  <c r="O96" i="61"/>
  <c r="N96" i="61"/>
  <c r="N95" i="61" s="1"/>
  <c r="K96" i="61"/>
  <c r="H96" i="61"/>
  <c r="H95" i="61" s="1"/>
  <c r="X95" i="61"/>
  <c r="W95" i="61"/>
  <c r="S95" i="61"/>
  <c r="R95" i="61"/>
  <c r="M95" i="61"/>
  <c r="L95" i="61"/>
  <c r="K95" i="61"/>
  <c r="J95" i="61"/>
  <c r="I95" i="61"/>
  <c r="G95" i="61"/>
  <c r="F95" i="61"/>
  <c r="F94" i="61" s="1"/>
  <c r="L94" i="61"/>
  <c r="F16" i="63" s="1"/>
  <c r="X93" i="61"/>
  <c r="W93" i="61"/>
  <c r="S93" i="61"/>
  <c r="R93" i="61"/>
  <c r="O93" i="61"/>
  <c r="N93" i="61"/>
  <c r="K93" i="61"/>
  <c r="H93" i="61"/>
  <c r="X92" i="61"/>
  <c r="W92" i="61"/>
  <c r="S92" i="61"/>
  <c r="T92" i="61" s="1"/>
  <c r="O92" i="61"/>
  <c r="N92" i="61"/>
  <c r="K92" i="61"/>
  <c r="H92" i="61"/>
  <c r="X91" i="61"/>
  <c r="W91" i="61"/>
  <c r="Y91" i="61" s="1"/>
  <c r="S91" i="61"/>
  <c r="R91" i="61"/>
  <c r="T91" i="61" s="1"/>
  <c r="O91" i="61"/>
  <c r="N91" i="61"/>
  <c r="K91" i="61"/>
  <c r="H91" i="61"/>
  <c r="H90" i="61" s="1"/>
  <c r="N90" i="61"/>
  <c r="M90" i="61"/>
  <c r="L90" i="61"/>
  <c r="J90" i="61"/>
  <c r="I90" i="61"/>
  <c r="G90" i="61"/>
  <c r="F90" i="61"/>
  <c r="W89" i="61"/>
  <c r="X89" i="61" s="1"/>
  <c r="X83" i="61" s="1"/>
  <c r="R89" i="61"/>
  <c r="S89" i="61" s="1"/>
  <c r="O89" i="61"/>
  <c r="N89" i="61"/>
  <c r="K89" i="61"/>
  <c r="K83" i="61" s="1"/>
  <c r="H89" i="61"/>
  <c r="X88" i="61"/>
  <c r="W88" i="61"/>
  <c r="S88" i="61"/>
  <c r="T88" i="61" s="1"/>
  <c r="O88" i="61"/>
  <c r="N88" i="61"/>
  <c r="K88" i="61"/>
  <c r="H88" i="61"/>
  <c r="X87" i="61"/>
  <c r="W87" i="61"/>
  <c r="Y87" i="61" s="1"/>
  <c r="S87" i="61"/>
  <c r="R87" i="61"/>
  <c r="T87" i="61" s="1"/>
  <c r="O87" i="61"/>
  <c r="N87" i="61"/>
  <c r="K87" i="61"/>
  <c r="H87" i="61"/>
  <c r="X86" i="61"/>
  <c r="W86" i="61"/>
  <c r="Y86" i="61" s="1"/>
  <c r="S86" i="61"/>
  <c r="R86" i="61"/>
  <c r="T86" i="61" s="1"/>
  <c r="O86" i="61"/>
  <c r="N86" i="61"/>
  <c r="K86" i="61"/>
  <c r="H86" i="61"/>
  <c r="X85" i="61"/>
  <c r="W85" i="61"/>
  <c r="Y85" i="61" s="1"/>
  <c r="S85" i="61"/>
  <c r="R85" i="61"/>
  <c r="T85" i="61" s="1"/>
  <c r="O85" i="61"/>
  <c r="N85" i="61"/>
  <c r="K85" i="61"/>
  <c r="H85" i="61"/>
  <c r="X84" i="61"/>
  <c r="W84" i="61"/>
  <c r="Y84" i="61" s="1"/>
  <c r="S84" i="61"/>
  <c r="R84" i="61"/>
  <c r="O84" i="61"/>
  <c r="N84" i="61"/>
  <c r="N83" i="61" s="1"/>
  <c r="N82" i="61" s="1"/>
  <c r="K84" i="61"/>
  <c r="H84" i="61"/>
  <c r="H83" i="61" s="1"/>
  <c r="H82" i="61" s="1"/>
  <c r="M83" i="61"/>
  <c r="L83" i="61"/>
  <c r="L82" i="61" s="1"/>
  <c r="F15" i="63" s="1"/>
  <c r="J83" i="61"/>
  <c r="J82" i="61" s="1"/>
  <c r="I83" i="61"/>
  <c r="G83" i="61"/>
  <c r="F83" i="61"/>
  <c r="W81" i="61"/>
  <c r="R81" i="61"/>
  <c r="O81" i="61"/>
  <c r="N81" i="61"/>
  <c r="K81" i="61"/>
  <c r="H81" i="61"/>
  <c r="X80" i="61"/>
  <c r="W80" i="61"/>
  <c r="S80" i="61"/>
  <c r="R80" i="61"/>
  <c r="O80" i="61"/>
  <c r="N80" i="61"/>
  <c r="K80" i="61"/>
  <c r="H80" i="61"/>
  <c r="X79" i="61"/>
  <c r="W79" i="61"/>
  <c r="S79" i="61"/>
  <c r="R79" i="61"/>
  <c r="O79" i="61"/>
  <c r="N79" i="61"/>
  <c r="K79" i="61"/>
  <c r="H79" i="61"/>
  <c r="X78" i="61"/>
  <c r="W78" i="61"/>
  <c r="R78" i="61"/>
  <c r="O78" i="61"/>
  <c r="N78" i="61"/>
  <c r="K78" i="61"/>
  <c r="H78" i="61"/>
  <c r="X77" i="61"/>
  <c r="W77" i="61"/>
  <c r="Y77" i="61" s="1"/>
  <c r="S77" i="61"/>
  <c r="R77" i="61"/>
  <c r="T77" i="61" s="1"/>
  <c r="O77" i="61"/>
  <c r="N77" i="61"/>
  <c r="K77" i="61"/>
  <c r="H77" i="61"/>
  <c r="X76" i="61"/>
  <c r="W76" i="61"/>
  <c r="Y76" i="61" s="1"/>
  <c r="S76" i="61"/>
  <c r="R76" i="61"/>
  <c r="T76" i="61" s="1"/>
  <c r="O76" i="61"/>
  <c r="N76" i="61"/>
  <c r="K76" i="61"/>
  <c r="H76" i="61"/>
  <c r="W75" i="61"/>
  <c r="R75" i="61"/>
  <c r="O75" i="61"/>
  <c r="N75" i="61"/>
  <c r="K75" i="61"/>
  <c r="H75" i="61"/>
  <c r="M74" i="61"/>
  <c r="L74" i="61"/>
  <c r="J74" i="61"/>
  <c r="I74" i="61"/>
  <c r="G74" i="61"/>
  <c r="G67" i="61" s="1"/>
  <c r="F74" i="61"/>
  <c r="X73" i="61"/>
  <c r="W73" i="61"/>
  <c r="S73" i="61"/>
  <c r="R73" i="61"/>
  <c r="O73" i="61"/>
  <c r="N73" i="61"/>
  <c r="K73" i="61"/>
  <c r="H73" i="61"/>
  <c r="X72" i="61"/>
  <c r="W72" i="61"/>
  <c r="S72" i="61"/>
  <c r="R72" i="61"/>
  <c r="O72" i="61"/>
  <c r="N72" i="61"/>
  <c r="K72" i="61"/>
  <c r="H72" i="61"/>
  <c r="X71" i="61"/>
  <c r="W71" i="61"/>
  <c r="S71" i="61"/>
  <c r="R71" i="61"/>
  <c r="O71" i="61"/>
  <c r="N71" i="61"/>
  <c r="K71" i="61"/>
  <c r="H71" i="61"/>
  <c r="W70" i="61"/>
  <c r="X70" i="61" s="1"/>
  <c r="R70" i="61"/>
  <c r="O70" i="61"/>
  <c r="N70" i="61"/>
  <c r="K70" i="61"/>
  <c r="H70" i="61"/>
  <c r="X69" i="61"/>
  <c r="W69" i="61"/>
  <c r="S69" i="61"/>
  <c r="R69" i="61"/>
  <c r="R68" i="61" s="1"/>
  <c r="O69" i="61"/>
  <c r="N69" i="61"/>
  <c r="N68" i="61" s="1"/>
  <c r="K69" i="61"/>
  <c r="H69" i="61"/>
  <c r="M68" i="61"/>
  <c r="M67" i="61" s="1"/>
  <c r="G14" i="63" s="1"/>
  <c r="L68" i="61"/>
  <c r="J68" i="61"/>
  <c r="J67" i="61" s="1"/>
  <c r="I68" i="61"/>
  <c r="H68" i="61"/>
  <c r="G68" i="61"/>
  <c r="F68" i="61"/>
  <c r="I67" i="61"/>
  <c r="F67" i="61"/>
  <c r="W66" i="61"/>
  <c r="C14" i="56" s="1"/>
  <c r="S66" i="61"/>
  <c r="R66" i="61"/>
  <c r="O66" i="61"/>
  <c r="N66" i="61"/>
  <c r="K66" i="61"/>
  <c r="H66" i="61"/>
  <c r="X65" i="61"/>
  <c r="W65" i="61"/>
  <c r="S65" i="61"/>
  <c r="R65" i="61"/>
  <c r="O65" i="61"/>
  <c r="N65" i="61"/>
  <c r="K65" i="61"/>
  <c r="H65" i="61"/>
  <c r="X64" i="61"/>
  <c r="W64" i="61"/>
  <c r="S64" i="61"/>
  <c r="R64" i="61"/>
  <c r="O64" i="61"/>
  <c r="N64" i="61"/>
  <c r="K64" i="61"/>
  <c r="H64" i="61"/>
  <c r="X63" i="61"/>
  <c r="W63" i="61"/>
  <c r="S63" i="61"/>
  <c r="R63" i="61"/>
  <c r="O63" i="61"/>
  <c r="N63" i="61"/>
  <c r="K63" i="61"/>
  <c r="H63" i="61"/>
  <c r="X62" i="61"/>
  <c r="W62" i="61"/>
  <c r="S62" i="61"/>
  <c r="R62" i="61"/>
  <c r="O62" i="61"/>
  <c r="N62" i="61"/>
  <c r="K62" i="61"/>
  <c r="H62" i="61"/>
  <c r="X61" i="61"/>
  <c r="W61" i="61"/>
  <c r="S61" i="61"/>
  <c r="S58" i="61" s="1"/>
  <c r="S57" i="61" s="1"/>
  <c r="R61" i="61"/>
  <c r="O61" i="61"/>
  <c r="N61" i="61"/>
  <c r="K61" i="61"/>
  <c r="H61" i="61"/>
  <c r="W60" i="61"/>
  <c r="S60" i="61"/>
  <c r="R60" i="61"/>
  <c r="T60" i="61" s="1"/>
  <c r="O60" i="61"/>
  <c r="N60" i="61"/>
  <c r="J60" i="61"/>
  <c r="H60" i="61"/>
  <c r="X59" i="61"/>
  <c r="W59" i="61"/>
  <c r="Y59" i="61" s="1"/>
  <c r="S59" i="61"/>
  <c r="R59" i="61"/>
  <c r="T59" i="61" s="1"/>
  <c r="O59" i="61"/>
  <c r="N59" i="61"/>
  <c r="N58" i="61" s="1"/>
  <c r="N57" i="61" s="1"/>
  <c r="K59" i="61"/>
  <c r="H59" i="61"/>
  <c r="H58" i="61" s="1"/>
  <c r="H57" i="61" s="1"/>
  <c r="M58" i="61"/>
  <c r="L58" i="61"/>
  <c r="L57" i="61" s="1"/>
  <c r="F13" i="63" s="1"/>
  <c r="H13" i="63" s="1"/>
  <c r="J58" i="61"/>
  <c r="I58" i="61"/>
  <c r="I57" i="61" s="1"/>
  <c r="G58" i="61"/>
  <c r="G57" i="61" s="1"/>
  <c r="F58" i="61"/>
  <c r="F57" i="61" s="1"/>
  <c r="M57" i="61"/>
  <c r="G13" i="63" s="1"/>
  <c r="J57" i="61"/>
  <c r="X56" i="61"/>
  <c r="W56" i="61"/>
  <c r="S56" i="61"/>
  <c r="R56" i="61"/>
  <c r="O56" i="61"/>
  <c r="N56" i="61"/>
  <c r="N55" i="61" s="1"/>
  <c r="K56" i="61"/>
  <c r="H56" i="61"/>
  <c r="H55" i="61" s="1"/>
  <c r="X55" i="61"/>
  <c r="W55" i="61"/>
  <c r="S55" i="61"/>
  <c r="R55" i="61"/>
  <c r="M55" i="61"/>
  <c r="T55" i="61" s="1"/>
  <c r="L55" i="61"/>
  <c r="K55" i="61"/>
  <c r="J55" i="61"/>
  <c r="I55" i="61"/>
  <c r="Y55" i="61" s="1"/>
  <c r="G55" i="61"/>
  <c r="F55" i="61"/>
  <c r="X54" i="61"/>
  <c r="W54" i="61"/>
  <c r="Y54" i="61" s="1"/>
  <c r="S54" i="61"/>
  <c r="R54" i="61"/>
  <c r="T54" i="61" s="1"/>
  <c r="O54" i="61"/>
  <c r="N54" i="61"/>
  <c r="K54" i="61"/>
  <c r="H54" i="61"/>
  <c r="X53" i="61"/>
  <c r="W53" i="61"/>
  <c r="Y53" i="61" s="1"/>
  <c r="S53" i="61"/>
  <c r="R53" i="61"/>
  <c r="T53" i="61" s="1"/>
  <c r="O53" i="61"/>
  <c r="N53" i="61"/>
  <c r="K53" i="61"/>
  <c r="H53" i="61"/>
  <c r="X52" i="61"/>
  <c r="W52" i="61"/>
  <c r="Y52" i="61" s="1"/>
  <c r="S52" i="61"/>
  <c r="R52" i="61"/>
  <c r="T52" i="61" s="1"/>
  <c r="O52" i="61"/>
  <c r="N52" i="61"/>
  <c r="K52" i="61"/>
  <c r="H52" i="61"/>
  <c r="X51" i="61"/>
  <c r="W51" i="61"/>
  <c r="Y51" i="61" s="1"/>
  <c r="S51" i="61"/>
  <c r="R51" i="61"/>
  <c r="T51" i="61" s="1"/>
  <c r="O51" i="61"/>
  <c r="N51" i="61"/>
  <c r="K51" i="61"/>
  <c r="H51" i="61"/>
  <c r="X50" i="61"/>
  <c r="W50" i="61"/>
  <c r="Y50" i="61" s="1"/>
  <c r="S50" i="61"/>
  <c r="R50" i="61"/>
  <c r="T50" i="61" s="1"/>
  <c r="O50" i="61"/>
  <c r="N50" i="61"/>
  <c r="K50" i="61"/>
  <c r="H50" i="61"/>
  <c r="X49" i="61"/>
  <c r="W49" i="61"/>
  <c r="Y49" i="61" s="1"/>
  <c r="S49" i="61"/>
  <c r="R49" i="61"/>
  <c r="T49" i="61" s="1"/>
  <c r="O49" i="61"/>
  <c r="N49" i="61"/>
  <c r="K49" i="61"/>
  <c r="H49" i="61"/>
  <c r="X48" i="61"/>
  <c r="W48" i="61"/>
  <c r="Y48" i="61" s="1"/>
  <c r="S48" i="61"/>
  <c r="R48" i="61"/>
  <c r="O48" i="61"/>
  <c r="N48" i="61"/>
  <c r="N47" i="61" s="1"/>
  <c r="K48" i="61"/>
  <c r="H48" i="61"/>
  <c r="H47" i="61" s="1"/>
  <c r="X47" i="61"/>
  <c r="W47" i="61"/>
  <c r="S47" i="61"/>
  <c r="R47" i="61"/>
  <c r="M47" i="61"/>
  <c r="L47" i="61"/>
  <c r="K47" i="61"/>
  <c r="J47" i="61"/>
  <c r="I47" i="61"/>
  <c r="G47" i="61"/>
  <c r="F47" i="61"/>
  <c r="W46" i="61"/>
  <c r="R46" i="61"/>
  <c r="O46" i="61"/>
  <c r="N46" i="61"/>
  <c r="K46" i="61"/>
  <c r="K45" i="61" s="1"/>
  <c r="H46" i="61"/>
  <c r="H45" i="61" s="1"/>
  <c r="N45" i="61"/>
  <c r="M45" i="61"/>
  <c r="L45" i="61"/>
  <c r="J45" i="61"/>
  <c r="I45" i="61"/>
  <c r="G45" i="61"/>
  <c r="F45" i="61"/>
  <c r="X44" i="61"/>
  <c r="W44" i="61"/>
  <c r="S44" i="61"/>
  <c r="R44" i="61"/>
  <c r="O44" i="61"/>
  <c r="N44" i="61"/>
  <c r="N43" i="61" s="1"/>
  <c r="K44" i="61"/>
  <c r="H44" i="61"/>
  <c r="H43" i="61" s="1"/>
  <c r="X43" i="61"/>
  <c r="W43" i="61"/>
  <c r="S43" i="61"/>
  <c r="R43" i="61"/>
  <c r="M43" i="61"/>
  <c r="L43" i="61"/>
  <c r="K43" i="61"/>
  <c r="J43" i="61"/>
  <c r="I43" i="61"/>
  <c r="G43" i="61"/>
  <c r="F43" i="61"/>
  <c r="J42" i="61"/>
  <c r="X41" i="61"/>
  <c r="W41" i="61"/>
  <c r="S41" i="61"/>
  <c r="R41" i="61"/>
  <c r="O41" i="61"/>
  <c r="N41" i="61"/>
  <c r="N40" i="61" s="1"/>
  <c r="K41" i="61"/>
  <c r="H41" i="61"/>
  <c r="H40" i="61" s="1"/>
  <c r="X40" i="61"/>
  <c r="W40" i="61"/>
  <c r="S40" i="61"/>
  <c r="R40" i="61"/>
  <c r="M40" i="61"/>
  <c r="L40" i="61"/>
  <c r="K40" i="61"/>
  <c r="J40" i="61"/>
  <c r="I40" i="61"/>
  <c r="G40" i="61"/>
  <c r="F40" i="61"/>
  <c r="X39" i="61"/>
  <c r="W39" i="61"/>
  <c r="S39" i="61"/>
  <c r="R39" i="61"/>
  <c r="O39" i="61"/>
  <c r="N39" i="61"/>
  <c r="K39" i="61"/>
  <c r="H39" i="61"/>
  <c r="X38" i="61"/>
  <c r="W38" i="61"/>
  <c r="S38" i="61"/>
  <c r="R38" i="61"/>
  <c r="O38" i="61"/>
  <c r="N38" i="61"/>
  <c r="K38" i="61"/>
  <c r="H38" i="61"/>
  <c r="X37" i="61"/>
  <c r="W37" i="61"/>
  <c r="S37" i="61"/>
  <c r="R37" i="61"/>
  <c r="O37" i="61"/>
  <c r="N37" i="61"/>
  <c r="K37" i="61"/>
  <c r="H37" i="61"/>
  <c r="X36" i="61"/>
  <c r="W36" i="61"/>
  <c r="S36" i="61"/>
  <c r="R36" i="61"/>
  <c r="O36" i="61"/>
  <c r="N36" i="61"/>
  <c r="K36" i="61"/>
  <c r="H36" i="61"/>
  <c r="X35" i="61"/>
  <c r="W35" i="61"/>
  <c r="S35" i="61"/>
  <c r="R35" i="61"/>
  <c r="O35" i="61"/>
  <c r="N35" i="61"/>
  <c r="K35" i="61"/>
  <c r="H35" i="61"/>
  <c r="X34" i="61"/>
  <c r="W34" i="61"/>
  <c r="S34" i="61"/>
  <c r="R34" i="61"/>
  <c r="O34" i="61"/>
  <c r="N34" i="61"/>
  <c r="K34" i="61"/>
  <c r="H34" i="61"/>
  <c r="X33" i="61"/>
  <c r="W33" i="61"/>
  <c r="S33" i="61"/>
  <c r="R33" i="61"/>
  <c r="O33" i="61"/>
  <c r="N33" i="61"/>
  <c r="K33" i="61"/>
  <c r="H33" i="61"/>
  <c r="X32" i="61"/>
  <c r="W32" i="61"/>
  <c r="S32" i="61"/>
  <c r="R32" i="61"/>
  <c r="O32" i="61"/>
  <c r="N32" i="61"/>
  <c r="K32" i="61"/>
  <c r="H32" i="61"/>
  <c r="X31" i="61"/>
  <c r="W31" i="61"/>
  <c r="S31" i="61"/>
  <c r="R31" i="61"/>
  <c r="O31" i="61"/>
  <c r="N31" i="61"/>
  <c r="K31" i="61"/>
  <c r="H31" i="61"/>
  <c r="X30" i="61"/>
  <c r="W30" i="61"/>
  <c r="S30" i="61"/>
  <c r="R30" i="61"/>
  <c r="O30" i="61"/>
  <c r="N30" i="61"/>
  <c r="K30" i="61"/>
  <c r="H30" i="61"/>
  <c r="X29" i="61"/>
  <c r="W29" i="61"/>
  <c r="S29" i="61"/>
  <c r="R29" i="61"/>
  <c r="O29" i="61"/>
  <c r="N29" i="61"/>
  <c r="K29" i="61"/>
  <c r="H29" i="61"/>
  <c r="X28" i="61"/>
  <c r="W28" i="61"/>
  <c r="S28" i="61"/>
  <c r="R28" i="61"/>
  <c r="O28" i="61"/>
  <c r="N28" i="61"/>
  <c r="K28" i="61"/>
  <c r="H28" i="61"/>
  <c r="X27" i="61"/>
  <c r="W27" i="61"/>
  <c r="S27" i="61"/>
  <c r="R27" i="61"/>
  <c r="O27" i="61"/>
  <c r="N27" i="61"/>
  <c r="K27" i="61"/>
  <c r="H27" i="61"/>
  <c r="X26" i="61"/>
  <c r="W26" i="61"/>
  <c r="S26" i="61"/>
  <c r="R26" i="61"/>
  <c r="O26" i="61"/>
  <c r="N26" i="61"/>
  <c r="N25" i="61" s="1"/>
  <c r="K26" i="61"/>
  <c r="K25" i="61" s="1"/>
  <c r="H26" i="61"/>
  <c r="H25" i="61" s="1"/>
  <c r="X25" i="61"/>
  <c r="W25" i="61"/>
  <c r="S25" i="61"/>
  <c r="M25" i="61"/>
  <c r="L25" i="61"/>
  <c r="J25" i="61"/>
  <c r="J24" i="61" s="1"/>
  <c r="I25" i="61"/>
  <c r="G25" i="61"/>
  <c r="G24" i="61" s="1"/>
  <c r="F25" i="61"/>
  <c r="W24" i="61"/>
  <c r="L24" i="61"/>
  <c r="F11" i="63" s="1"/>
  <c r="F24" i="61"/>
  <c r="X23" i="61"/>
  <c r="W23" i="61"/>
  <c r="Y23" i="61" s="1"/>
  <c r="S23" i="61"/>
  <c r="R23" i="61"/>
  <c r="O23" i="61"/>
  <c r="N23" i="61"/>
  <c r="K23" i="61"/>
  <c r="H23" i="61"/>
  <c r="X22" i="61"/>
  <c r="W22" i="61"/>
  <c r="Y22" i="61" s="1"/>
  <c r="S22" i="61"/>
  <c r="R22" i="61"/>
  <c r="T22" i="61" s="1"/>
  <c r="O22" i="61"/>
  <c r="N22" i="61"/>
  <c r="N21" i="61" s="1"/>
  <c r="K22" i="61"/>
  <c r="H22" i="61"/>
  <c r="H21" i="61" s="1"/>
  <c r="X21" i="61"/>
  <c r="W21" i="61"/>
  <c r="S21" i="61"/>
  <c r="R21" i="61"/>
  <c r="M21" i="61"/>
  <c r="L21" i="61"/>
  <c r="K21" i="61"/>
  <c r="J21" i="61"/>
  <c r="I21" i="61"/>
  <c r="G21" i="61"/>
  <c r="F21" i="61"/>
  <c r="X20" i="61"/>
  <c r="W20" i="61"/>
  <c r="S20" i="61"/>
  <c r="R20" i="61"/>
  <c r="O20" i="61"/>
  <c r="N20" i="61"/>
  <c r="K20" i="61"/>
  <c r="H20" i="61"/>
  <c r="H16" i="61" s="1"/>
  <c r="X19" i="61"/>
  <c r="W19" i="61"/>
  <c r="S19" i="61"/>
  <c r="R19" i="61"/>
  <c r="O19" i="61"/>
  <c r="N19" i="61"/>
  <c r="K19" i="61"/>
  <c r="H19" i="61"/>
  <c r="X18" i="61"/>
  <c r="W18" i="61"/>
  <c r="S18" i="61"/>
  <c r="R18" i="61"/>
  <c r="O18" i="61"/>
  <c r="N18" i="61"/>
  <c r="K18" i="61"/>
  <c r="H18" i="61"/>
  <c r="X17" i="61"/>
  <c r="W17" i="61"/>
  <c r="S17" i="61"/>
  <c r="R17" i="61"/>
  <c r="O17" i="61"/>
  <c r="N17" i="61"/>
  <c r="K17" i="61"/>
  <c r="K16" i="61" s="1"/>
  <c r="K15" i="61" s="1"/>
  <c r="H17" i="61"/>
  <c r="X16" i="61"/>
  <c r="X15" i="61" s="1"/>
  <c r="W16" i="61"/>
  <c r="S16" i="61"/>
  <c r="S15" i="61" s="1"/>
  <c r="R16" i="61"/>
  <c r="M16" i="61"/>
  <c r="L16" i="61"/>
  <c r="J16" i="61"/>
  <c r="I16" i="61"/>
  <c r="I15" i="61" s="1"/>
  <c r="G16" i="61"/>
  <c r="F16" i="61"/>
  <c r="F15" i="61" s="1"/>
  <c r="M15" i="61"/>
  <c r="G10" i="63" s="1"/>
  <c r="X14" i="61"/>
  <c r="W14" i="61"/>
  <c r="S14" i="61"/>
  <c r="R14" i="61"/>
  <c r="O14" i="61"/>
  <c r="N14" i="61"/>
  <c r="K14" i="61"/>
  <c r="H14" i="61"/>
  <c r="X13" i="61"/>
  <c r="W13" i="61"/>
  <c r="S13" i="61"/>
  <c r="S12" i="61" s="1"/>
  <c r="R13" i="61"/>
  <c r="R12" i="61" s="1"/>
  <c r="O13" i="61"/>
  <c r="N13" i="61"/>
  <c r="K13" i="61"/>
  <c r="K12" i="61" s="1"/>
  <c r="H13" i="61"/>
  <c r="H12" i="61" s="1"/>
  <c r="X12" i="61"/>
  <c r="W12" i="61"/>
  <c r="N12" i="61"/>
  <c r="M12" i="61"/>
  <c r="L12" i="61"/>
  <c r="J12" i="61"/>
  <c r="I12" i="61"/>
  <c r="G12" i="61"/>
  <c r="F12" i="61"/>
  <c r="X11" i="61"/>
  <c r="W11" i="61"/>
  <c r="S11" i="61"/>
  <c r="R11" i="61"/>
  <c r="O11" i="61"/>
  <c r="N11" i="61"/>
  <c r="K11" i="61"/>
  <c r="H11" i="61"/>
  <c r="X10" i="61"/>
  <c r="W10" i="61"/>
  <c r="S10" i="61"/>
  <c r="R10" i="61"/>
  <c r="O10" i="61"/>
  <c r="N10" i="61"/>
  <c r="K10" i="61"/>
  <c r="H10" i="61"/>
  <c r="X9" i="61"/>
  <c r="W9" i="61"/>
  <c r="S9" i="61"/>
  <c r="R9" i="61"/>
  <c r="O9" i="61"/>
  <c r="N9" i="61"/>
  <c r="K9" i="61"/>
  <c r="H9" i="61"/>
  <c r="X8" i="61"/>
  <c r="W8" i="61"/>
  <c r="S8" i="61"/>
  <c r="R8" i="61"/>
  <c r="M8" i="61"/>
  <c r="M7" i="61" s="1"/>
  <c r="G9" i="63" s="1"/>
  <c r="L8" i="61"/>
  <c r="K8" i="61"/>
  <c r="J8" i="61"/>
  <c r="J7" i="61" s="1"/>
  <c r="I8" i="61"/>
  <c r="G8" i="61"/>
  <c r="F8" i="61"/>
  <c r="L7" i="61"/>
  <c r="F9" i="63" s="1"/>
  <c r="H9" i="63" s="1"/>
  <c r="F7" i="61"/>
  <c r="AB6" i="61"/>
  <c r="AA6" i="61"/>
  <c r="AB3" i="61" s="1"/>
  <c r="G15" i="61" l="1"/>
  <c r="S75" i="61"/>
  <c r="R74" i="61"/>
  <c r="K82" i="61"/>
  <c r="K7" i="61"/>
  <c r="X7" i="61"/>
  <c r="W7" i="61"/>
  <c r="Y13" i="61"/>
  <c r="T14" i="61"/>
  <c r="Y14" i="61"/>
  <c r="N16" i="61"/>
  <c r="N15" i="61" s="1"/>
  <c r="L42" i="61"/>
  <c r="F12" i="63" s="1"/>
  <c r="H12" i="63" s="1"/>
  <c r="X46" i="61"/>
  <c r="X45" i="61" s="1"/>
  <c r="C12" i="56"/>
  <c r="X68" i="61"/>
  <c r="H16" i="63"/>
  <c r="M112" i="61"/>
  <c r="G18" i="63" s="1"/>
  <c r="H24" i="61"/>
  <c r="N24" i="61"/>
  <c r="T26" i="61"/>
  <c r="Y26" i="61"/>
  <c r="T27" i="61"/>
  <c r="Y27" i="61"/>
  <c r="T28" i="61"/>
  <c r="Y28" i="61"/>
  <c r="T29" i="61"/>
  <c r="Y29" i="61"/>
  <c r="T30" i="61"/>
  <c r="Y30" i="61"/>
  <c r="T31" i="61"/>
  <c r="Y31" i="61"/>
  <c r="T32" i="61"/>
  <c r="Y32" i="61"/>
  <c r="T33" i="61"/>
  <c r="Y33" i="61"/>
  <c r="T34" i="61"/>
  <c r="Y34" i="61"/>
  <c r="T35" i="61"/>
  <c r="Y35" i="61"/>
  <c r="T36" i="61"/>
  <c r="Y36" i="61"/>
  <c r="T37" i="61"/>
  <c r="Y37" i="61"/>
  <c r="T38" i="61"/>
  <c r="Y38" i="61"/>
  <c r="T39" i="61"/>
  <c r="Y39" i="61"/>
  <c r="Y40" i="61"/>
  <c r="T40" i="61"/>
  <c r="F42" i="61"/>
  <c r="Y43" i="61"/>
  <c r="K42" i="61"/>
  <c r="M42" i="61"/>
  <c r="G12" i="63" s="1"/>
  <c r="X42" i="61"/>
  <c r="S46" i="61"/>
  <c r="G12" i="56"/>
  <c r="T56" i="61"/>
  <c r="Y56" i="61"/>
  <c r="G14" i="56"/>
  <c r="R67" i="61"/>
  <c r="Y69" i="61"/>
  <c r="F82" i="61"/>
  <c r="Y88" i="61"/>
  <c r="S90" i="61"/>
  <c r="K90" i="61"/>
  <c r="Y92" i="61"/>
  <c r="T93" i="61"/>
  <c r="Y93" i="61"/>
  <c r="G94" i="61"/>
  <c r="J94" i="61"/>
  <c r="R94" i="61"/>
  <c r="H94" i="61"/>
  <c r="N94" i="61"/>
  <c r="T96" i="61"/>
  <c r="Y96" i="61"/>
  <c r="T97" i="61"/>
  <c r="Y97" i="61"/>
  <c r="T98" i="61"/>
  <c r="Y98" i="61"/>
  <c r="T99" i="61"/>
  <c r="Y99" i="61"/>
  <c r="T100" i="61"/>
  <c r="Y100" i="61"/>
  <c r="T101" i="61"/>
  <c r="Y101" i="61"/>
  <c r="T102" i="61"/>
  <c r="Y102" i="61"/>
  <c r="Y103" i="61"/>
  <c r="T103" i="61"/>
  <c r="T113" i="61"/>
  <c r="S113" i="61"/>
  <c r="T16" i="61"/>
  <c r="R15" i="61"/>
  <c r="S94" i="61"/>
  <c r="T94" i="61" s="1"/>
  <c r="T48" i="61"/>
  <c r="R25" i="61"/>
  <c r="R24" i="61" s="1"/>
  <c r="S24" i="61"/>
  <c r="G7" i="61"/>
  <c r="R7" i="61"/>
  <c r="T9" i="61"/>
  <c r="Y9" i="61"/>
  <c r="T10" i="61"/>
  <c r="T11" i="61"/>
  <c r="Y11" i="61"/>
  <c r="Y12" i="61"/>
  <c r="S7" i="61"/>
  <c r="T7" i="61" s="1"/>
  <c r="Y16" i="61"/>
  <c r="W15" i="61"/>
  <c r="T17" i="61"/>
  <c r="Y17" i="61"/>
  <c r="T18" i="61"/>
  <c r="Y18" i="61"/>
  <c r="T19" i="61"/>
  <c r="Y19" i="61"/>
  <c r="T20" i="61"/>
  <c r="Y20" i="61"/>
  <c r="Y21" i="61"/>
  <c r="Y25" i="61"/>
  <c r="K24" i="61"/>
  <c r="X24" i="61"/>
  <c r="T41" i="61"/>
  <c r="Y41" i="61"/>
  <c r="G42" i="61"/>
  <c r="R42" i="61"/>
  <c r="H42" i="61"/>
  <c r="N42" i="61"/>
  <c r="T44" i="61"/>
  <c r="Y44" i="61"/>
  <c r="R45" i="61"/>
  <c r="W45" i="61"/>
  <c r="W42" i="61" s="1"/>
  <c r="Y47" i="61"/>
  <c r="T47" i="61"/>
  <c r="R58" i="61"/>
  <c r="R57" i="61" s="1"/>
  <c r="T57" i="61" s="1"/>
  <c r="W58" i="61"/>
  <c r="W57" i="61" s="1"/>
  <c r="T61" i="61"/>
  <c r="Y61" i="61"/>
  <c r="T62" i="61"/>
  <c r="Y62" i="61"/>
  <c r="T63" i="61"/>
  <c r="K74" i="61"/>
  <c r="X75" i="61"/>
  <c r="Y75" i="61" s="1"/>
  <c r="W74" i="61"/>
  <c r="W83" i="61"/>
  <c r="Y83" i="61" s="1"/>
  <c r="S83" i="61"/>
  <c r="T46" i="61"/>
  <c r="T58" i="61"/>
  <c r="S70" i="61"/>
  <c r="S68" i="61" s="1"/>
  <c r="X81" i="61"/>
  <c r="Y81" i="61" s="1"/>
  <c r="T84" i="61"/>
  <c r="R83" i="61"/>
  <c r="Y63" i="61"/>
  <c r="T64" i="61"/>
  <c r="Y64" i="61"/>
  <c r="T65" i="61"/>
  <c r="Y65" i="61"/>
  <c r="T66" i="61"/>
  <c r="T68" i="61"/>
  <c r="K68" i="61"/>
  <c r="T71" i="61"/>
  <c r="Y71" i="61"/>
  <c r="Y72" i="61"/>
  <c r="T73" i="61"/>
  <c r="Y73" i="61"/>
  <c r="H74" i="61"/>
  <c r="H67" i="61" s="1"/>
  <c r="N74" i="61"/>
  <c r="N67" i="61" s="1"/>
  <c r="Y78" i="61"/>
  <c r="T79" i="61"/>
  <c r="Y79" i="61"/>
  <c r="T80" i="61"/>
  <c r="Y80" i="61"/>
  <c r="G82" i="61"/>
  <c r="Y89" i="61"/>
  <c r="R90" i="61"/>
  <c r="W90" i="61"/>
  <c r="X90" i="61"/>
  <c r="X82" i="61" s="1"/>
  <c r="Y95" i="61"/>
  <c r="K94" i="61"/>
  <c r="M94" i="61"/>
  <c r="G16" i="63" s="1"/>
  <c r="X94" i="61"/>
  <c r="T104" i="61"/>
  <c r="Y104" i="61"/>
  <c r="T105" i="61"/>
  <c r="Y105" i="61"/>
  <c r="T106" i="61"/>
  <c r="Y106" i="61"/>
  <c r="T107" i="61"/>
  <c r="Y107" i="61"/>
  <c r="L108" i="61"/>
  <c r="Y109" i="61"/>
  <c r="T110" i="61"/>
  <c r="Y110" i="61"/>
  <c r="T111" i="61"/>
  <c r="Y111" i="61"/>
  <c r="F112" i="61"/>
  <c r="W113" i="61"/>
  <c r="K112" i="61"/>
  <c r="T134" i="61"/>
  <c r="Y134" i="61"/>
  <c r="T90" i="61"/>
  <c r="Y108" i="61"/>
  <c r="Y115" i="61"/>
  <c r="Y122" i="61"/>
  <c r="Y127" i="61"/>
  <c r="Y132" i="61"/>
  <c r="T132" i="61"/>
  <c r="T25" i="61"/>
  <c r="T23" i="61"/>
  <c r="T21" i="61"/>
  <c r="Y8" i="61"/>
  <c r="I7" i="61"/>
  <c r="H8" i="61"/>
  <c r="H7" i="61" s="1"/>
  <c r="N8" i="61"/>
  <c r="N7" i="61" s="1"/>
  <c r="Y10" i="61"/>
  <c r="T12" i="61"/>
  <c r="T13" i="61"/>
  <c r="H15" i="61"/>
  <c r="Y45" i="61"/>
  <c r="T8" i="61"/>
  <c r="J15" i="61"/>
  <c r="L15" i="61"/>
  <c r="I24" i="61"/>
  <c r="M24" i="61"/>
  <c r="T43" i="61"/>
  <c r="Y46" i="61"/>
  <c r="X60" i="61"/>
  <c r="X66" i="61"/>
  <c r="Y66" i="61" s="1"/>
  <c r="L67" i="61"/>
  <c r="F14" i="63" s="1"/>
  <c r="H14" i="63" s="1"/>
  <c r="W68" i="61"/>
  <c r="T69" i="61"/>
  <c r="Y70" i="61"/>
  <c r="T72" i="61"/>
  <c r="T75" i="61"/>
  <c r="I42" i="61"/>
  <c r="K60" i="61"/>
  <c r="K58" i="61" s="1"/>
  <c r="K57" i="61" s="1"/>
  <c r="S78" i="61"/>
  <c r="T78" i="61" s="1"/>
  <c r="S81" i="61"/>
  <c r="I82" i="61"/>
  <c r="M82" i="61"/>
  <c r="G15" i="63" s="1"/>
  <c r="H15" i="63" s="1"/>
  <c r="T89" i="61"/>
  <c r="T95" i="61"/>
  <c r="X123" i="61"/>
  <c r="Y123" i="61" s="1"/>
  <c r="S124" i="61"/>
  <c r="T124" i="61" s="1"/>
  <c r="W124" i="61"/>
  <c r="W112" i="61" s="1"/>
  <c r="X126" i="61"/>
  <c r="X124" i="61" s="1"/>
  <c r="I94" i="61"/>
  <c r="Y94" i="61" s="1"/>
  <c r="L112" i="61"/>
  <c r="F18" i="63" s="1"/>
  <c r="H18" i="63" s="1"/>
  <c r="C24" i="48"/>
  <c r="H26" i="48"/>
  <c r="I26" i="48"/>
  <c r="J26" i="48" s="1"/>
  <c r="G36" i="60"/>
  <c r="F36" i="60"/>
  <c r="E36" i="60"/>
  <c r="D36" i="60"/>
  <c r="G35" i="60"/>
  <c r="F35" i="60"/>
  <c r="E35" i="60"/>
  <c r="D35" i="60"/>
  <c r="E34" i="60"/>
  <c r="D34" i="60"/>
  <c r="G33" i="60"/>
  <c r="F33" i="60"/>
  <c r="E33" i="60"/>
  <c r="D33" i="60"/>
  <c r="G32" i="60"/>
  <c r="F32" i="60"/>
  <c r="E32" i="60"/>
  <c r="D32" i="60"/>
  <c r="G31" i="60"/>
  <c r="F31" i="60"/>
  <c r="E31" i="60"/>
  <c r="D31" i="60"/>
  <c r="G30" i="60"/>
  <c r="F30" i="60"/>
  <c r="E30" i="60"/>
  <c r="D30" i="60"/>
  <c r="E29" i="60"/>
  <c r="D29" i="60"/>
  <c r="E28" i="60"/>
  <c r="D28" i="60"/>
  <c r="E27" i="60"/>
  <c r="D27" i="60"/>
  <c r="E25" i="60"/>
  <c r="D25" i="60"/>
  <c r="E24" i="60"/>
  <c r="D24" i="60"/>
  <c r="E23" i="60"/>
  <c r="D23" i="60"/>
  <c r="G21" i="60"/>
  <c r="F21" i="60"/>
  <c r="E21" i="60"/>
  <c r="D21" i="60"/>
  <c r="E20" i="60"/>
  <c r="D20" i="60"/>
  <c r="E19" i="60"/>
  <c r="D19" i="60"/>
  <c r="E18" i="60"/>
  <c r="D18" i="60"/>
  <c r="G16" i="60"/>
  <c r="F16" i="60"/>
  <c r="E16" i="60"/>
  <c r="D16" i="60"/>
  <c r="G15" i="60"/>
  <c r="F15" i="60"/>
  <c r="E15" i="60"/>
  <c r="D15" i="60"/>
  <c r="G10" i="60"/>
  <c r="F10" i="60"/>
  <c r="E10" i="60"/>
  <c r="D10" i="60"/>
  <c r="G8" i="60"/>
  <c r="F8" i="60"/>
  <c r="E8" i="60"/>
  <c r="D8" i="60"/>
  <c r="N26" i="60"/>
  <c r="N30" i="60" s="1"/>
  <c r="J26" i="60"/>
  <c r="I26" i="60"/>
  <c r="D70" i="60"/>
  <c r="E42" i="60"/>
  <c r="E43" i="60"/>
  <c r="E44" i="60"/>
  <c r="E45" i="60"/>
  <c r="E46" i="60"/>
  <c r="E47" i="60"/>
  <c r="E48" i="60"/>
  <c r="E49" i="60"/>
  <c r="E50" i="60"/>
  <c r="E51" i="60"/>
  <c r="E52" i="60"/>
  <c r="E53" i="60"/>
  <c r="E54" i="60"/>
  <c r="E55" i="60"/>
  <c r="E56" i="60"/>
  <c r="E57" i="60"/>
  <c r="E58" i="60"/>
  <c r="E59" i="60"/>
  <c r="E60" i="60"/>
  <c r="E61" i="60"/>
  <c r="E62" i="60"/>
  <c r="E63" i="60"/>
  <c r="E64" i="60"/>
  <c r="E65" i="60"/>
  <c r="E66" i="60"/>
  <c r="E67" i="60"/>
  <c r="E68" i="60"/>
  <c r="E69" i="60"/>
  <c r="C70" i="60"/>
  <c r="E70" i="60" s="1"/>
  <c r="H30" i="60" l="1"/>
  <c r="S112" i="61"/>
  <c r="Y42" i="61"/>
  <c r="Y24" i="61"/>
  <c r="J6" i="61"/>
  <c r="F6" i="61"/>
  <c r="T108" i="61"/>
  <c r="F17" i="63"/>
  <c r="H17" i="63" s="1"/>
  <c r="Y90" i="61"/>
  <c r="K67" i="61"/>
  <c r="K6" i="61" s="1"/>
  <c r="T70" i="61"/>
  <c r="S82" i="61"/>
  <c r="S45" i="61"/>
  <c r="G10" i="56"/>
  <c r="T24" i="61"/>
  <c r="G11" i="63"/>
  <c r="T15" i="61"/>
  <c r="F10" i="63"/>
  <c r="T112" i="61"/>
  <c r="S74" i="61"/>
  <c r="T74" i="61" s="1"/>
  <c r="Y15" i="61"/>
  <c r="R82" i="61"/>
  <c r="T83" i="61"/>
  <c r="W82" i="61"/>
  <c r="Y82" i="61" s="1"/>
  <c r="X74" i="61"/>
  <c r="X67" i="61" s="1"/>
  <c r="R6" i="61"/>
  <c r="N6" i="61"/>
  <c r="G6" i="61"/>
  <c r="S67" i="61"/>
  <c r="Y124" i="61"/>
  <c r="Y126" i="61"/>
  <c r="X113" i="61"/>
  <c r="T81" i="61"/>
  <c r="X58" i="61"/>
  <c r="H6" i="61"/>
  <c r="W67" i="61"/>
  <c r="Y68" i="61"/>
  <c r="M6" i="61"/>
  <c r="G25" i="63" s="1"/>
  <c r="G24" i="63" s="1"/>
  <c r="L6" i="61"/>
  <c r="F25" i="63" s="1"/>
  <c r="Y60" i="61"/>
  <c r="Y7" i="61"/>
  <c r="I6" i="61"/>
  <c r="N9" i="60"/>
  <c r="J9" i="60"/>
  <c r="I9" i="60"/>
  <c r="N18" i="60"/>
  <c r="N22" i="60" s="1"/>
  <c r="J18" i="60"/>
  <c r="I18" i="60"/>
  <c r="N10" i="60"/>
  <c r="N14" i="60" s="1"/>
  <c r="J10" i="60"/>
  <c r="I10" i="60"/>
  <c r="E41" i="60"/>
  <c r="J31" i="60"/>
  <c r="C7" i="60"/>
  <c r="T82" i="61" l="1"/>
  <c r="Y74" i="61"/>
  <c r="S42" i="61"/>
  <c r="T42" i="61" s="1"/>
  <c r="T45" i="61"/>
  <c r="H11" i="63"/>
  <c r="G7" i="63"/>
  <c r="T67" i="61"/>
  <c r="J3" i="61"/>
  <c r="M3" i="61"/>
  <c r="X112" i="61"/>
  <c r="Y112" i="61" s="1"/>
  <c r="Y113" i="61"/>
  <c r="W6" i="61"/>
  <c r="Y67" i="61"/>
  <c r="X57" i="61"/>
  <c r="Y58" i="61"/>
  <c r="H21" i="60"/>
  <c r="J7" i="60"/>
  <c r="I7" i="60"/>
  <c r="H15" i="60"/>
  <c r="H16" i="60"/>
  <c r="H10" i="60"/>
  <c r="H8" i="60"/>
  <c r="H31" i="60"/>
  <c r="H32" i="60"/>
  <c r="H33" i="60"/>
  <c r="H35" i="60"/>
  <c r="H36" i="60"/>
  <c r="N7" i="60"/>
  <c r="M7" i="60"/>
  <c r="S6" i="61" l="1"/>
  <c r="X6" i="61"/>
  <c r="C8" i="56" s="1"/>
  <c r="Y57" i="61"/>
  <c r="X3" i="61"/>
  <c r="Y6" i="61"/>
  <c r="K7" i="60"/>
  <c r="N31" i="60"/>
  <c r="G8" i="56" l="1"/>
  <c r="S3" i="61"/>
  <c r="T6" i="61"/>
  <c r="T3" i="61" s="1"/>
  <c r="Y3" i="61"/>
  <c r="N35" i="60"/>
  <c r="E17" i="48"/>
  <c r="D17" i="48"/>
  <c r="E16" i="48"/>
  <c r="D16" i="48"/>
  <c r="E11" i="48"/>
  <c r="D11" i="48"/>
  <c r="E9" i="48"/>
  <c r="D9" i="48"/>
  <c r="G11" i="60" l="1"/>
  <c r="F11" i="60"/>
  <c r="H11" i="60" s="1"/>
  <c r="W38" i="36"/>
  <c r="X38" i="36" s="1"/>
  <c r="Y38" i="36" s="1"/>
  <c r="R38" i="36"/>
  <c r="S38" i="36" s="1"/>
  <c r="N38" i="36"/>
  <c r="K38" i="36"/>
  <c r="H38" i="36"/>
  <c r="W37" i="36"/>
  <c r="X37" i="36" s="1"/>
  <c r="Y37" i="36" s="1"/>
  <c r="R37" i="36"/>
  <c r="S37" i="36" s="1"/>
  <c r="T37" i="36" s="1"/>
  <c r="N37" i="36"/>
  <c r="K37" i="36"/>
  <c r="H37" i="36"/>
  <c r="W36" i="36"/>
  <c r="R36" i="36"/>
  <c r="S36" i="36" s="1"/>
  <c r="N36" i="36"/>
  <c r="K36" i="36"/>
  <c r="H36" i="36"/>
  <c r="W35" i="36"/>
  <c r="X35" i="36" s="1"/>
  <c r="R35" i="36"/>
  <c r="N35" i="36"/>
  <c r="K35" i="36"/>
  <c r="H35" i="36"/>
  <c r="W34" i="36"/>
  <c r="X34" i="36" s="1"/>
  <c r="Y34" i="36" s="1"/>
  <c r="R34" i="36"/>
  <c r="S34" i="36" s="1"/>
  <c r="N34" i="36"/>
  <c r="K34" i="36"/>
  <c r="H34" i="36"/>
  <c r="W21" i="36"/>
  <c r="R21" i="36"/>
  <c r="O21" i="36"/>
  <c r="N21" i="36"/>
  <c r="K21" i="36"/>
  <c r="H21" i="36"/>
  <c r="W20" i="36"/>
  <c r="R20" i="36"/>
  <c r="S20" i="36" s="1"/>
  <c r="T20" i="36" s="1"/>
  <c r="O20" i="36"/>
  <c r="N20" i="36"/>
  <c r="K20" i="36"/>
  <c r="H20" i="36"/>
  <c r="M19" i="36"/>
  <c r="E26" i="60" s="1"/>
  <c r="L19" i="36"/>
  <c r="D26" i="60" s="1"/>
  <c r="J19" i="36"/>
  <c r="I19" i="36"/>
  <c r="G19" i="36"/>
  <c r="F19" i="36"/>
  <c r="M17" i="36"/>
  <c r="E13" i="60" s="1"/>
  <c r="L17" i="36"/>
  <c r="D13" i="60" s="1"/>
  <c r="J17" i="36"/>
  <c r="I17" i="36"/>
  <c r="G17" i="36"/>
  <c r="F17" i="36"/>
  <c r="W12" i="36"/>
  <c r="R12" i="36"/>
  <c r="O12" i="36"/>
  <c r="N12" i="36"/>
  <c r="N11" i="36" s="1"/>
  <c r="N10" i="36" s="1"/>
  <c r="K12" i="36"/>
  <c r="K11" i="36" s="1"/>
  <c r="K10" i="36" s="1"/>
  <c r="H12" i="36"/>
  <c r="H11" i="36" s="1"/>
  <c r="H10" i="36" s="1"/>
  <c r="M11" i="36"/>
  <c r="L11" i="36"/>
  <c r="D11" i="60" s="1"/>
  <c r="J11" i="36"/>
  <c r="J10" i="36" s="1"/>
  <c r="I11" i="36"/>
  <c r="I10" i="36" s="1"/>
  <c r="G11" i="36"/>
  <c r="F11" i="36"/>
  <c r="F10" i="36" s="1"/>
  <c r="G10" i="36"/>
  <c r="M10" i="36" l="1"/>
  <c r="E11" i="60"/>
  <c r="T36" i="36"/>
  <c r="G16" i="36"/>
  <c r="M16" i="36"/>
  <c r="L16" i="36"/>
  <c r="S35" i="36"/>
  <c r="T35" i="36" s="1"/>
  <c r="Y35" i="36"/>
  <c r="X36" i="36"/>
  <c r="Y36" i="36" s="1"/>
  <c r="T38" i="36"/>
  <c r="T34" i="36"/>
  <c r="I16" i="36"/>
  <c r="J16" i="36"/>
  <c r="F16" i="36"/>
  <c r="X21" i="36"/>
  <c r="Y21" i="36" s="1"/>
  <c r="S21" i="36"/>
  <c r="T21" i="36" s="1"/>
  <c r="X20" i="36"/>
  <c r="Y20" i="36" s="1"/>
  <c r="X12" i="36"/>
  <c r="X11" i="36" s="1"/>
  <c r="X10" i="36" s="1"/>
  <c r="W11" i="36"/>
  <c r="S12" i="36"/>
  <c r="S11" i="36" s="1"/>
  <c r="S10" i="36" s="1"/>
  <c r="R11" i="36"/>
  <c r="R10" i="36" s="1"/>
  <c r="L10" i="36"/>
  <c r="D12" i="63" l="1"/>
  <c r="D12" i="48"/>
  <c r="D14" i="63"/>
  <c r="D14" i="48"/>
  <c r="E14" i="63"/>
  <c r="E14" i="48"/>
  <c r="E12" i="63"/>
  <c r="E12" i="48"/>
  <c r="T11" i="36"/>
  <c r="Y11" i="36"/>
  <c r="W10" i="36"/>
  <c r="Y10" i="36" s="1"/>
  <c r="T12" i="36"/>
  <c r="T10" i="36"/>
  <c r="Y12" i="36"/>
  <c r="F23" i="60"/>
  <c r="H23" i="60" s="1"/>
  <c r="G23" i="60"/>
  <c r="J13" i="56"/>
  <c r="J15" i="56"/>
  <c r="J16" i="56"/>
  <c r="L15" i="56" l="1"/>
  <c r="L16" i="56"/>
  <c r="L13" i="56"/>
  <c r="F25" i="60"/>
  <c r="G25" i="60"/>
  <c r="F17" i="60"/>
  <c r="G17" i="60"/>
  <c r="F34" i="60"/>
  <c r="G34" i="60"/>
  <c r="F27" i="60"/>
  <c r="H27" i="60" s="1"/>
  <c r="G27" i="60"/>
  <c r="F22" i="60"/>
  <c r="G22" i="60"/>
  <c r="F14" i="60"/>
  <c r="G14" i="60"/>
  <c r="F26" i="60"/>
  <c r="H26" i="60" s="1"/>
  <c r="G26" i="60"/>
  <c r="F13" i="60"/>
  <c r="G13" i="60"/>
  <c r="F28" i="60"/>
  <c r="H28" i="60" s="1"/>
  <c r="G28" i="60"/>
  <c r="F18" i="60"/>
  <c r="G18" i="60"/>
  <c r="F24" i="60"/>
  <c r="H24" i="60" s="1"/>
  <c r="G24" i="60"/>
  <c r="F19" i="60"/>
  <c r="G19" i="60"/>
  <c r="G9" i="60"/>
  <c r="F20" i="60"/>
  <c r="G20" i="60"/>
  <c r="F29" i="60"/>
  <c r="G29" i="60"/>
  <c r="H20" i="60" l="1"/>
  <c r="G12" i="60"/>
  <c r="H22" i="60"/>
  <c r="H34" i="60"/>
  <c r="H17" i="60"/>
  <c r="H25" i="60"/>
  <c r="G7" i="60"/>
  <c r="H29" i="60"/>
  <c r="H19" i="60"/>
  <c r="H18" i="60"/>
  <c r="F12" i="60"/>
  <c r="H12" i="60" s="1"/>
  <c r="H13" i="60"/>
  <c r="H14" i="60"/>
  <c r="F13" i="56"/>
  <c r="F15" i="56"/>
  <c r="F16" i="56"/>
  <c r="B13" i="56"/>
  <c r="B15" i="56"/>
  <c r="B16" i="56"/>
  <c r="G24" i="48" l="1"/>
  <c r="H13" i="56"/>
  <c r="H15" i="56"/>
  <c r="H16" i="56"/>
  <c r="R23" i="59"/>
  <c r="G23" i="59"/>
  <c r="I23" i="59"/>
  <c r="J23" i="59"/>
  <c r="L23" i="59"/>
  <c r="M23" i="59"/>
  <c r="F23" i="59"/>
  <c r="W24" i="59"/>
  <c r="X24" i="59" s="1"/>
  <c r="S24" i="59"/>
  <c r="T24" i="59" s="1"/>
  <c r="O24" i="59"/>
  <c r="N24" i="59"/>
  <c r="K24" i="59"/>
  <c r="H24" i="59"/>
  <c r="W21" i="59"/>
  <c r="S21" i="59"/>
  <c r="T21" i="59" s="1"/>
  <c r="O21" i="59"/>
  <c r="N21" i="59"/>
  <c r="K21" i="59"/>
  <c r="H21" i="59"/>
  <c r="W16" i="58"/>
  <c r="R16" i="58"/>
  <c r="S16" i="58" s="1"/>
  <c r="N16" i="58"/>
  <c r="K16" i="58"/>
  <c r="H16" i="58"/>
  <c r="X21" i="59" l="1"/>
  <c r="Y21" i="59" s="1"/>
  <c r="Y24" i="59"/>
  <c r="T16" i="58"/>
  <c r="X16" i="58"/>
  <c r="Y16" i="58" s="1"/>
  <c r="W25" i="59" l="1"/>
  <c r="W23" i="59" s="1"/>
  <c r="S25" i="59"/>
  <c r="O25" i="59"/>
  <c r="N25" i="59"/>
  <c r="N23" i="59" s="1"/>
  <c r="K25" i="59"/>
  <c r="K23" i="59" s="1"/>
  <c r="H25" i="59"/>
  <c r="H23" i="59" s="1"/>
  <c r="W22" i="59"/>
  <c r="S22" i="59"/>
  <c r="T22" i="59" s="1"/>
  <c r="O22" i="59"/>
  <c r="N22" i="59"/>
  <c r="K22" i="59"/>
  <c r="H22" i="59"/>
  <c r="W20" i="59"/>
  <c r="X20" i="59" s="1"/>
  <c r="S20" i="59"/>
  <c r="T20" i="59" s="1"/>
  <c r="O20" i="59"/>
  <c r="N20" i="59"/>
  <c r="K20" i="59"/>
  <c r="K19" i="59" s="1"/>
  <c r="K18" i="59" s="1"/>
  <c r="H20" i="59"/>
  <c r="W19" i="59"/>
  <c r="W18" i="59" s="1"/>
  <c r="R19" i="59"/>
  <c r="M19" i="59"/>
  <c r="M18" i="59" s="1"/>
  <c r="L19" i="59"/>
  <c r="J19" i="59"/>
  <c r="I19" i="59"/>
  <c r="I18" i="59" s="1"/>
  <c r="G19" i="59"/>
  <c r="G18" i="59" s="1"/>
  <c r="F19" i="59"/>
  <c r="F18" i="59" s="1"/>
  <c r="R18" i="59"/>
  <c r="X17" i="59"/>
  <c r="X16" i="59" s="1"/>
  <c r="W17" i="59"/>
  <c r="S17" i="59"/>
  <c r="T17" i="59" s="1"/>
  <c r="O17" i="59"/>
  <c r="N17" i="59"/>
  <c r="N16" i="59" s="1"/>
  <c r="K17" i="59"/>
  <c r="K16" i="59" s="1"/>
  <c r="H17" i="59"/>
  <c r="H16" i="59" s="1"/>
  <c r="R16" i="59"/>
  <c r="M16" i="59"/>
  <c r="L16" i="59"/>
  <c r="J16" i="59"/>
  <c r="I16" i="59"/>
  <c r="G16" i="59"/>
  <c r="F16" i="59"/>
  <c r="X15" i="59"/>
  <c r="X14" i="59" s="1"/>
  <c r="W15" i="59"/>
  <c r="S15" i="59"/>
  <c r="T15" i="59" s="1"/>
  <c r="O15" i="59"/>
  <c r="N15" i="59"/>
  <c r="N14" i="59" s="1"/>
  <c r="K15" i="59"/>
  <c r="K14" i="59" s="1"/>
  <c r="H15" i="59"/>
  <c r="H14" i="59" s="1"/>
  <c r="R14" i="59"/>
  <c r="M14" i="59"/>
  <c r="L14" i="59"/>
  <c r="J14" i="59"/>
  <c r="J13" i="59" s="1"/>
  <c r="I14" i="59"/>
  <c r="G14" i="59"/>
  <c r="G13" i="59" s="1"/>
  <c r="F14" i="59"/>
  <c r="W12" i="59"/>
  <c r="R12" i="59"/>
  <c r="O12" i="59"/>
  <c r="N12" i="59"/>
  <c r="N11" i="59" s="1"/>
  <c r="N10" i="59" s="1"/>
  <c r="K12" i="59"/>
  <c r="K11" i="59" s="1"/>
  <c r="K10" i="59" s="1"/>
  <c r="H12" i="59"/>
  <c r="H11" i="59" s="1"/>
  <c r="H10" i="59" s="1"/>
  <c r="M11" i="59"/>
  <c r="L11" i="59"/>
  <c r="L10" i="59" s="1"/>
  <c r="J11" i="59"/>
  <c r="I11" i="59"/>
  <c r="G11" i="59"/>
  <c r="G10" i="59" s="1"/>
  <c r="F11" i="59"/>
  <c r="J10" i="59"/>
  <c r="F10" i="59"/>
  <c r="W9" i="59"/>
  <c r="X9" i="59" s="1"/>
  <c r="X8" i="59" s="1"/>
  <c r="X7" i="59" s="1"/>
  <c r="R9" i="59"/>
  <c r="O9" i="59"/>
  <c r="N9" i="59"/>
  <c r="N8" i="59" s="1"/>
  <c r="N7" i="59" s="1"/>
  <c r="K9" i="59"/>
  <c r="K8" i="59" s="1"/>
  <c r="K7" i="59" s="1"/>
  <c r="H9" i="59"/>
  <c r="H8" i="59" s="1"/>
  <c r="H7" i="59" s="1"/>
  <c r="W8" i="59"/>
  <c r="W7" i="59" s="1"/>
  <c r="M8" i="59"/>
  <c r="M7" i="59" s="1"/>
  <c r="L8" i="59"/>
  <c r="L7" i="59" s="1"/>
  <c r="J8" i="59"/>
  <c r="J7" i="59" s="1"/>
  <c r="I8" i="59"/>
  <c r="G8" i="59"/>
  <c r="G7" i="59" s="1"/>
  <c r="F8" i="59"/>
  <c r="F7" i="59" s="1"/>
  <c r="R8" i="59" l="1"/>
  <c r="R7" i="59" s="1"/>
  <c r="K12" i="56"/>
  <c r="S12" i="59"/>
  <c r="S11" i="59" s="1"/>
  <c r="S10" i="59" s="1"/>
  <c r="K14" i="56"/>
  <c r="T25" i="59"/>
  <c r="S23" i="59"/>
  <c r="S18" i="59" s="1"/>
  <c r="L13" i="59"/>
  <c r="R13" i="59"/>
  <c r="K13" i="59"/>
  <c r="H19" i="59"/>
  <c r="N19" i="59"/>
  <c r="R11" i="59"/>
  <c r="R10" i="59" s="1"/>
  <c r="R6" i="59" s="1"/>
  <c r="S19" i="59"/>
  <c r="T19" i="59" s="1"/>
  <c r="F13" i="59"/>
  <c r="F6" i="59" s="1"/>
  <c r="G6" i="59"/>
  <c r="N18" i="59"/>
  <c r="H18" i="59"/>
  <c r="M13" i="59"/>
  <c r="H13" i="59"/>
  <c r="N13" i="59"/>
  <c r="X13" i="59"/>
  <c r="K6" i="59"/>
  <c r="Y8" i="59"/>
  <c r="Y9" i="59"/>
  <c r="T11" i="59"/>
  <c r="W11" i="59"/>
  <c r="W10" i="59" s="1"/>
  <c r="X12" i="59"/>
  <c r="X11" i="59" s="1"/>
  <c r="X10" i="59" s="1"/>
  <c r="Y15" i="59"/>
  <c r="Y17" i="59"/>
  <c r="Y20" i="59"/>
  <c r="T23" i="59"/>
  <c r="T12" i="59"/>
  <c r="I7" i="59"/>
  <c r="S9" i="59"/>
  <c r="S8" i="59" s="1"/>
  <c r="S7" i="59" s="1"/>
  <c r="I10" i="59"/>
  <c r="M10" i="59"/>
  <c r="M6" i="59" s="1"/>
  <c r="I13" i="59"/>
  <c r="S14" i="59"/>
  <c r="W14" i="59"/>
  <c r="S16" i="59"/>
  <c r="T16" i="59" s="1"/>
  <c r="W16" i="59"/>
  <c r="Y16" i="59" s="1"/>
  <c r="J18" i="59"/>
  <c r="J6" i="59" s="1"/>
  <c r="L18" i="59"/>
  <c r="X22" i="59"/>
  <c r="X19" i="59" s="1"/>
  <c r="X25" i="59"/>
  <c r="N6" i="59" l="1"/>
  <c r="X23" i="59"/>
  <c r="Y23" i="59" s="1"/>
  <c r="H6" i="59"/>
  <c r="T18" i="59"/>
  <c r="Y10" i="59"/>
  <c r="Y11" i="59"/>
  <c r="Y12" i="59"/>
  <c r="X18" i="59"/>
  <c r="X6" i="59" s="1"/>
  <c r="Y19" i="59"/>
  <c r="S13" i="59"/>
  <c r="T13" i="59" s="1"/>
  <c r="L6" i="59"/>
  <c r="M3" i="59" s="1"/>
  <c r="Y25" i="59"/>
  <c r="T9" i="59"/>
  <c r="Y22" i="59"/>
  <c r="T10" i="59"/>
  <c r="W13" i="59"/>
  <c r="W6" i="59" s="1"/>
  <c r="Y7" i="59"/>
  <c r="I6" i="59"/>
  <c r="J3" i="59" s="1"/>
  <c r="T14" i="59"/>
  <c r="T8" i="59"/>
  <c r="T7" i="59"/>
  <c r="Y14" i="59"/>
  <c r="X3" i="59" l="1"/>
  <c r="Y18" i="59"/>
  <c r="S6" i="59"/>
  <c r="K8" i="56" s="1"/>
  <c r="Y6" i="59"/>
  <c r="Y13" i="59"/>
  <c r="T6" i="59" l="1"/>
  <c r="T3" i="59" s="1"/>
  <c r="S3" i="59"/>
  <c r="Y3" i="59"/>
  <c r="N18" i="58" l="1"/>
  <c r="K18" i="58"/>
  <c r="H18" i="58"/>
  <c r="N17" i="58"/>
  <c r="K17" i="58"/>
  <c r="H17" i="58"/>
  <c r="N15" i="58"/>
  <c r="K15" i="58"/>
  <c r="H15" i="58"/>
  <c r="N12" i="58"/>
  <c r="K12" i="58"/>
  <c r="H12" i="58"/>
  <c r="N9" i="58"/>
  <c r="K9" i="58"/>
  <c r="H9" i="58"/>
  <c r="N40" i="36"/>
  <c r="N33" i="36"/>
  <c r="N32" i="36"/>
  <c r="N31" i="36"/>
  <c r="N30" i="36"/>
  <c r="N29" i="36"/>
  <c r="N28" i="36"/>
  <c r="N25" i="36"/>
  <c r="N24" i="36"/>
  <c r="N19" i="36"/>
  <c r="N18" i="36"/>
  <c r="N17" i="36" s="1"/>
  <c r="N15" i="36"/>
  <c r="N9" i="36"/>
  <c r="K40" i="36"/>
  <c r="K33" i="36"/>
  <c r="K32" i="36"/>
  <c r="K31" i="36"/>
  <c r="K30" i="36"/>
  <c r="K29" i="36"/>
  <c r="K28" i="36"/>
  <c r="K25" i="36"/>
  <c r="K24" i="36"/>
  <c r="K19" i="36"/>
  <c r="K18" i="36"/>
  <c r="K17" i="36" s="1"/>
  <c r="K15" i="36"/>
  <c r="H40" i="36"/>
  <c r="H33" i="36"/>
  <c r="H32" i="36"/>
  <c r="H31" i="36"/>
  <c r="H30" i="36"/>
  <c r="H29" i="36"/>
  <c r="H28" i="36"/>
  <c r="H25" i="36"/>
  <c r="H24" i="36"/>
  <c r="H19" i="36"/>
  <c r="H18" i="36"/>
  <c r="H17" i="36" s="1"/>
  <c r="H15" i="36"/>
  <c r="H16" i="36" l="1"/>
  <c r="N16" i="36"/>
  <c r="K16" i="36"/>
  <c r="K9" i="36"/>
  <c r="H9" i="36" l="1"/>
  <c r="W18" i="58" l="1"/>
  <c r="R18" i="58"/>
  <c r="S18" i="58" s="1"/>
  <c r="W17" i="58"/>
  <c r="R17" i="58"/>
  <c r="W15" i="58"/>
  <c r="R15" i="58"/>
  <c r="S15" i="58" s="1"/>
  <c r="N14" i="58"/>
  <c r="K14" i="58"/>
  <c r="H14" i="58"/>
  <c r="R14" i="58"/>
  <c r="R13" i="58" s="1"/>
  <c r="M14" i="58"/>
  <c r="L14" i="58"/>
  <c r="L13" i="58" s="1"/>
  <c r="J14" i="58"/>
  <c r="I14" i="58"/>
  <c r="G14" i="58"/>
  <c r="F14" i="58"/>
  <c r="F13" i="58" s="1"/>
  <c r="W12" i="58"/>
  <c r="R12" i="58"/>
  <c r="S12" i="58" s="1"/>
  <c r="S11" i="58" s="1"/>
  <c r="S10" i="58" s="1"/>
  <c r="O12" i="58"/>
  <c r="K11" i="58"/>
  <c r="K10" i="58" s="1"/>
  <c r="W11" i="58"/>
  <c r="W10" i="58" s="1"/>
  <c r="R11" i="58"/>
  <c r="R10" i="58" s="1"/>
  <c r="N11" i="58"/>
  <c r="M11" i="58"/>
  <c r="M10" i="58" s="1"/>
  <c r="L11" i="58"/>
  <c r="L10" i="58" s="1"/>
  <c r="J11" i="58"/>
  <c r="I11" i="58"/>
  <c r="H11" i="58"/>
  <c r="G11" i="58"/>
  <c r="G10" i="58" s="1"/>
  <c r="F11" i="58"/>
  <c r="F10" i="58" s="1"/>
  <c r="I10" i="58"/>
  <c r="W9" i="58"/>
  <c r="X9" i="58" s="1"/>
  <c r="X8" i="58" s="1"/>
  <c r="X7" i="58" s="1"/>
  <c r="R9" i="58"/>
  <c r="R8" i="58" s="1"/>
  <c r="R7" i="58" s="1"/>
  <c r="O9" i="58"/>
  <c r="K8" i="58"/>
  <c r="K7" i="58" s="1"/>
  <c r="W8" i="58"/>
  <c r="W7" i="58" s="1"/>
  <c r="N8" i="58"/>
  <c r="N7" i="58" s="1"/>
  <c r="M8" i="58"/>
  <c r="M7" i="58" s="1"/>
  <c r="L8" i="58"/>
  <c r="J8" i="58"/>
  <c r="J7" i="58" s="1"/>
  <c r="I8" i="58"/>
  <c r="I7" i="58" s="1"/>
  <c r="H8" i="58"/>
  <c r="H7" i="58" s="1"/>
  <c r="G8" i="58"/>
  <c r="G7" i="58" s="1"/>
  <c r="F8" i="58"/>
  <c r="F7" i="58" s="1"/>
  <c r="X40" i="36"/>
  <c r="W40" i="36"/>
  <c r="W33" i="36"/>
  <c r="X33" i="36" s="1"/>
  <c r="W32" i="36"/>
  <c r="X32" i="36" s="1"/>
  <c r="W31" i="36"/>
  <c r="X31" i="36" s="1"/>
  <c r="W30" i="36"/>
  <c r="X30" i="36" s="1"/>
  <c r="W29" i="36"/>
  <c r="X29" i="36" s="1"/>
  <c r="W28" i="36"/>
  <c r="X28" i="36" s="1"/>
  <c r="X25" i="36"/>
  <c r="W25" i="36"/>
  <c r="W24" i="36"/>
  <c r="X24" i="36" s="1"/>
  <c r="W18" i="36"/>
  <c r="W17" i="36" s="1"/>
  <c r="W15" i="36"/>
  <c r="X9" i="36"/>
  <c r="W9" i="36"/>
  <c r="X19" i="36" l="1"/>
  <c r="W19" i="36"/>
  <c r="W16" i="36" s="1"/>
  <c r="X18" i="36"/>
  <c r="X17" i="36" s="1"/>
  <c r="B12" i="56"/>
  <c r="X15" i="36"/>
  <c r="B14" i="56"/>
  <c r="S9" i="58"/>
  <c r="S8" i="58" s="1"/>
  <c r="S7" i="58" s="1"/>
  <c r="Y9" i="58"/>
  <c r="Y7" i="58"/>
  <c r="H10" i="58"/>
  <c r="R6" i="58"/>
  <c r="R3" i="58" s="1"/>
  <c r="J13" i="58"/>
  <c r="H13" i="58"/>
  <c r="T18" i="58"/>
  <c r="T15" i="58"/>
  <c r="T11" i="58"/>
  <c r="T12" i="58"/>
  <c r="X17" i="58"/>
  <c r="Y17" i="58" s="1"/>
  <c r="K13" i="58"/>
  <c r="K6" i="58" s="1"/>
  <c r="G13" i="58"/>
  <c r="G6" i="58" s="1"/>
  <c r="N13" i="58"/>
  <c r="F6" i="58"/>
  <c r="Y8" i="58"/>
  <c r="L7" i="58"/>
  <c r="T9" i="58"/>
  <c r="N10" i="58"/>
  <c r="J10" i="58"/>
  <c r="X12" i="58"/>
  <c r="X11" i="58" s="1"/>
  <c r="X10" i="58" s="1"/>
  <c r="I13" i="58"/>
  <c r="M13" i="58"/>
  <c r="W14" i="58"/>
  <c r="W13" i="58" s="1"/>
  <c r="X15" i="58"/>
  <c r="S17" i="58"/>
  <c r="T17" i="58" s="1"/>
  <c r="X18" i="58"/>
  <c r="Y18" i="58" s="1"/>
  <c r="X16" i="36" l="1"/>
  <c r="Y19" i="36"/>
  <c r="K10" i="56"/>
  <c r="K11" i="56"/>
  <c r="G11" i="56"/>
  <c r="J6" i="58"/>
  <c r="T8" i="58"/>
  <c r="H6" i="58"/>
  <c r="M6" i="58"/>
  <c r="W6" i="58"/>
  <c r="W3" i="58" s="1"/>
  <c r="N6" i="58"/>
  <c r="X14" i="58"/>
  <c r="S14" i="58"/>
  <c r="S13" i="58" s="1"/>
  <c r="Y14" i="58"/>
  <c r="Y12" i="58"/>
  <c r="Y15" i="58"/>
  <c r="Y11" i="58"/>
  <c r="T7" i="58"/>
  <c r="L6" i="58"/>
  <c r="I6" i="58"/>
  <c r="Y10" i="58"/>
  <c r="X13" i="58" l="1"/>
  <c r="Y13" i="58" s="1"/>
  <c r="M3" i="58"/>
  <c r="T10" i="58"/>
  <c r="T13" i="58"/>
  <c r="T14" i="58"/>
  <c r="J3" i="58"/>
  <c r="X6" i="58" l="1"/>
  <c r="S6" i="58"/>
  <c r="X3" i="58" l="1"/>
  <c r="Y6" i="58"/>
  <c r="Y3" i="58" s="1"/>
  <c r="S3" i="58"/>
  <c r="T6" i="58"/>
  <c r="T3" i="58" s="1"/>
  <c r="S40" i="36" l="1"/>
  <c r="R40" i="36"/>
  <c r="R33" i="36"/>
  <c r="S33" i="36" s="1"/>
  <c r="R32" i="36"/>
  <c r="S32" i="36" s="1"/>
  <c r="R31" i="36"/>
  <c r="S31" i="36" s="1"/>
  <c r="R30" i="36"/>
  <c r="R29" i="36"/>
  <c r="S29" i="36" s="1"/>
  <c r="R28" i="36"/>
  <c r="S28" i="36" s="1"/>
  <c r="S25" i="36"/>
  <c r="R25" i="36"/>
  <c r="R24" i="36"/>
  <c r="S24" i="36" s="1"/>
  <c r="R18" i="36"/>
  <c r="R15" i="36"/>
  <c r="S9" i="36"/>
  <c r="R9" i="36"/>
  <c r="J12" i="56" l="1"/>
  <c r="L12" i="56" s="1"/>
  <c r="R17" i="36"/>
  <c r="S19" i="36"/>
  <c r="R19" i="36"/>
  <c r="S30" i="36"/>
  <c r="T30" i="36" s="1"/>
  <c r="J14" i="56"/>
  <c r="L14" i="56" s="1"/>
  <c r="S18" i="36"/>
  <c r="S17" i="36" s="1"/>
  <c r="S16" i="36" s="1"/>
  <c r="F12" i="56"/>
  <c r="K3" i="56" s="1"/>
  <c r="S15" i="36"/>
  <c r="T15" i="36" s="1"/>
  <c r="F14" i="56"/>
  <c r="T9" i="36"/>
  <c r="T24" i="36"/>
  <c r="T25" i="36"/>
  <c r="T28" i="36"/>
  <c r="T29" i="36"/>
  <c r="T31" i="36"/>
  <c r="T32" i="36"/>
  <c r="T33" i="36"/>
  <c r="T40" i="36"/>
  <c r="S39" i="36"/>
  <c r="R39" i="36"/>
  <c r="R27" i="36"/>
  <c r="S23" i="36"/>
  <c r="S22" i="36" s="1"/>
  <c r="R23" i="36"/>
  <c r="R22" i="36" s="1"/>
  <c r="R14" i="36"/>
  <c r="R13" i="36" s="1"/>
  <c r="S8" i="36"/>
  <c r="S7" i="36" s="1"/>
  <c r="R8" i="36"/>
  <c r="T19" i="36" l="1"/>
  <c r="R16" i="36"/>
  <c r="T18" i="36"/>
  <c r="S14" i="36"/>
  <c r="S13" i="36" s="1"/>
  <c r="R26" i="36"/>
  <c r="S27" i="36"/>
  <c r="S26" i="36" s="1"/>
  <c r="H14" i="56"/>
  <c r="K4" i="56"/>
  <c r="J11" i="56"/>
  <c r="L11" i="56" s="1"/>
  <c r="H12" i="56"/>
  <c r="F11" i="56"/>
  <c r="H11" i="56" s="1"/>
  <c r="R7" i="36"/>
  <c r="S6" i="36" l="1"/>
  <c r="F8" i="56" s="1"/>
  <c r="F7" i="56" s="1"/>
  <c r="R6" i="36"/>
  <c r="R3" i="61" l="1"/>
  <c r="J8" i="56"/>
  <c r="J7" i="56" s="1"/>
  <c r="S3" i="36"/>
  <c r="N14" i="36" l="1"/>
  <c r="N13" i="36" s="1"/>
  <c r="G8" i="36"/>
  <c r="G7" i="36" s="1"/>
  <c r="F8" i="36"/>
  <c r="F7" i="36" s="1"/>
  <c r="Y15" i="36"/>
  <c r="O15" i="36"/>
  <c r="K14" i="36"/>
  <c r="K13" i="36" s="1"/>
  <c r="X14" i="36"/>
  <c r="X13" i="36" s="1"/>
  <c r="W14" i="36"/>
  <c r="W13" i="36" s="1"/>
  <c r="M14" i="36"/>
  <c r="L14" i="36"/>
  <c r="D12" i="60" s="1"/>
  <c r="J14" i="36"/>
  <c r="J13" i="36" s="1"/>
  <c r="I14" i="36"/>
  <c r="I13" i="36" s="1"/>
  <c r="H14" i="36"/>
  <c r="H13" i="36" s="1"/>
  <c r="G14" i="36"/>
  <c r="G13" i="36" s="1"/>
  <c r="F14" i="36"/>
  <c r="F13" i="36" s="1"/>
  <c r="M13" i="36" l="1"/>
  <c r="E12" i="60"/>
  <c r="L13" i="36"/>
  <c r="T14" i="36"/>
  <c r="B11" i="56"/>
  <c r="D12" i="56"/>
  <c r="D14" i="56"/>
  <c r="D16" i="56"/>
  <c r="D13" i="56"/>
  <c r="D15" i="56"/>
  <c r="C11" i="56"/>
  <c r="Y13" i="36"/>
  <c r="Y14" i="36"/>
  <c r="T13" i="36" l="1"/>
  <c r="D13" i="63"/>
  <c r="D13" i="48"/>
  <c r="E13" i="63"/>
  <c r="E13" i="48"/>
  <c r="D11" i="56"/>
  <c r="X27" i="36" l="1"/>
  <c r="X39" i="36"/>
  <c r="Y9" i="36"/>
  <c r="Y18" i="36"/>
  <c r="Y24" i="36"/>
  <c r="Y25" i="36"/>
  <c r="Y28" i="36"/>
  <c r="Y29" i="36"/>
  <c r="Y30" i="36"/>
  <c r="Y31" i="36"/>
  <c r="Y32" i="36"/>
  <c r="Y33" i="36"/>
  <c r="Y40" i="36"/>
  <c r="O18" i="36" l="1"/>
  <c r="T16" i="36" l="1"/>
  <c r="T17" i="36"/>
  <c r="Y17" i="36"/>
  <c r="Y16" i="36"/>
  <c r="G16" i="54" l="1"/>
  <c r="H16" i="54"/>
  <c r="F16" i="54"/>
  <c r="G7" i="54"/>
  <c r="H7" i="54"/>
  <c r="I7" i="54"/>
  <c r="F7" i="54"/>
  <c r="F27" i="36" l="1"/>
  <c r="K39" i="36"/>
  <c r="W39" i="36"/>
  <c r="N39" i="36"/>
  <c r="M39" i="36"/>
  <c r="E22" i="60" s="1"/>
  <c r="L39" i="36"/>
  <c r="D22" i="60" s="1"/>
  <c r="J39" i="36"/>
  <c r="I39" i="36"/>
  <c r="F39" i="36"/>
  <c r="W27" i="36"/>
  <c r="N27" i="36"/>
  <c r="M27" i="36"/>
  <c r="E17" i="60" s="1"/>
  <c r="L27" i="36"/>
  <c r="D17" i="60" s="1"/>
  <c r="J27" i="36"/>
  <c r="I27" i="36"/>
  <c r="G27" i="36"/>
  <c r="J26" i="36" l="1"/>
  <c r="M26" i="36"/>
  <c r="W26" i="36"/>
  <c r="T39" i="36"/>
  <c r="T27" i="36"/>
  <c r="L26" i="36"/>
  <c r="N26" i="36"/>
  <c r="G39" i="36"/>
  <c r="G26" i="36" s="1"/>
  <c r="H39" i="36"/>
  <c r="I26" i="36"/>
  <c r="Y27" i="36"/>
  <c r="F26" i="36"/>
  <c r="Y39" i="36"/>
  <c r="X26" i="36"/>
  <c r="K27" i="36"/>
  <c r="K26" i="36" s="1"/>
  <c r="H27" i="36"/>
  <c r="D18" i="63" l="1"/>
  <c r="D18" i="48"/>
  <c r="E18" i="63"/>
  <c r="E18" i="48"/>
  <c r="H26" i="36"/>
  <c r="T26" i="36"/>
  <c r="Y26" i="36"/>
  <c r="O9" i="36"/>
  <c r="K8" i="36"/>
  <c r="K7" i="36" s="1"/>
  <c r="H8" i="36"/>
  <c r="H7" i="36" s="1"/>
  <c r="X8" i="36"/>
  <c r="X7" i="36" s="1"/>
  <c r="W8" i="36"/>
  <c r="W7" i="36" s="1"/>
  <c r="N8" i="36"/>
  <c r="N7" i="36" s="1"/>
  <c r="M8" i="36"/>
  <c r="L8" i="36"/>
  <c r="D9" i="60" s="1"/>
  <c r="J8" i="36"/>
  <c r="J7" i="36" s="1"/>
  <c r="I8" i="36"/>
  <c r="M7" i="36" l="1"/>
  <c r="E9" i="60"/>
  <c r="L7" i="36"/>
  <c r="T8" i="36"/>
  <c r="Y8" i="36"/>
  <c r="I7" i="36"/>
  <c r="E10" i="63" l="1"/>
  <c r="E10" i="48"/>
  <c r="T7" i="36"/>
  <c r="D10" i="63"/>
  <c r="D10" i="48"/>
  <c r="Y7" i="36"/>
  <c r="I18" i="54" l="1"/>
  <c r="I17" i="54"/>
  <c r="I16" i="54" l="1"/>
  <c r="C7" i="56" l="1"/>
  <c r="O25" i="36" l="1"/>
  <c r="O24" i="36" l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X23" i="36"/>
  <c r="X22" i="36" s="1"/>
  <c r="X6" i="36" s="1"/>
  <c r="B8" i="56" s="1"/>
  <c r="W23" i="36"/>
  <c r="W22" i="36" s="1"/>
  <c r="W6" i="36" s="1"/>
  <c r="W3" i="61" s="1"/>
  <c r="N23" i="36"/>
  <c r="N22" i="36" s="1"/>
  <c r="N6" i="36" s="1"/>
  <c r="M23" i="36"/>
  <c r="L23" i="36"/>
  <c r="D14" i="60" s="1"/>
  <c r="D7" i="60" s="1"/>
  <c r="J23" i="36"/>
  <c r="J22" i="36" s="1"/>
  <c r="J6" i="36" s="1"/>
  <c r="I23" i="36"/>
  <c r="G23" i="36"/>
  <c r="G22" i="36" s="1"/>
  <c r="G6" i="36" s="1"/>
  <c r="F23" i="36"/>
  <c r="F22" i="36" s="1"/>
  <c r="F6" i="36" s="1"/>
  <c r="M22" i="36" l="1"/>
  <c r="E14" i="60"/>
  <c r="E7" i="60" s="1"/>
  <c r="E3" i="60" s="1"/>
  <c r="B7" i="56"/>
  <c r="L22" i="36"/>
  <c r="T23" i="36"/>
  <c r="X3" i="36"/>
  <c r="Y23" i="36"/>
  <c r="M6" i="36"/>
  <c r="K23" i="36"/>
  <c r="K22" i="36" s="1"/>
  <c r="K6" i="36" s="1"/>
  <c r="H14" i="48"/>
  <c r="H23" i="36"/>
  <c r="H22" i="36" s="1"/>
  <c r="H6" i="36" s="1"/>
  <c r="I22" i="36"/>
  <c r="E25" i="63" l="1"/>
  <c r="E25" i="48"/>
  <c r="E24" i="48" s="1"/>
  <c r="D15" i="63"/>
  <c r="D7" i="63" s="1"/>
  <c r="D15" i="48"/>
  <c r="E15" i="63"/>
  <c r="E7" i="63" s="1"/>
  <c r="E15" i="48"/>
  <c r="L6" i="36"/>
  <c r="T22" i="36"/>
  <c r="Y22" i="36"/>
  <c r="I6" i="36"/>
  <c r="H13" i="48"/>
  <c r="E7" i="48"/>
  <c r="T6" i="36" l="1"/>
  <c r="D25" i="63"/>
  <c r="I10" i="63"/>
  <c r="D25" i="48"/>
  <c r="I31" i="60"/>
  <c r="I8" i="63"/>
  <c r="E3" i="63"/>
  <c r="I7" i="63"/>
  <c r="E24" i="63"/>
  <c r="M3" i="36"/>
  <c r="T3" i="36"/>
  <c r="J3" i="36"/>
  <c r="Y6" i="36"/>
  <c r="Y3" i="36" s="1"/>
  <c r="D7" i="48"/>
  <c r="I10" i="48"/>
  <c r="H12" i="48"/>
  <c r="D24" i="48" l="1"/>
  <c r="I24" i="48" s="1"/>
  <c r="I25" i="48"/>
  <c r="I25" i="63"/>
  <c r="D24" i="63"/>
  <c r="I8" i="48"/>
  <c r="E3" i="48"/>
  <c r="I7" i="48"/>
  <c r="H11" i="48"/>
  <c r="M7" i="63" l="1"/>
  <c r="I24" i="63"/>
  <c r="M7" i="48"/>
  <c r="G7" i="48"/>
  <c r="J10" i="48" l="1"/>
  <c r="H9" i="48"/>
  <c r="F9" i="60"/>
  <c r="H9" i="60" s="1"/>
  <c r="H7" i="60" s="1"/>
  <c r="F7" i="60" l="1"/>
  <c r="G3" i="60" s="1"/>
  <c r="H10" i="63" l="1"/>
  <c r="H7" i="63" s="1"/>
  <c r="F7" i="63"/>
  <c r="H25" i="63"/>
  <c r="F24" i="63"/>
  <c r="N7" i="63" s="1"/>
  <c r="N10" i="63" s="1"/>
  <c r="J7" i="63"/>
  <c r="K7" i="63" s="1"/>
  <c r="G9" i="56"/>
  <c r="G7" i="56"/>
  <c r="F20" i="56" s="1"/>
  <c r="F7" i="48"/>
  <c r="H10" i="48"/>
  <c r="H7" i="48" s="1"/>
  <c r="K9" i="56"/>
  <c r="K7" i="56"/>
  <c r="J18" i="56" s="1"/>
  <c r="N14" i="63" l="1"/>
  <c r="J8" i="63"/>
  <c r="K8" i="63" s="1"/>
  <c r="G3" i="63"/>
  <c r="R3" i="63" s="1"/>
  <c r="H24" i="63"/>
  <c r="J24" i="63" s="1"/>
  <c r="J25" i="63"/>
  <c r="J8" i="48"/>
  <c r="K8" i="48" s="1"/>
  <c r="G3" i="48"/>
  <c r="J7" i="48"/>
  <c r="K7" i="48" s="1"/>
  <c r="F24" i="48"/>
  <c r="N7" i="48" s="1"/>
  <c r="N10" i="48" s="1"/>
  <c r="H25" i="48"/>
  <c r="L7" i="56"/>
  <c r="J20" i="56"/>
  <c r="N14" i="48" l="1"/>
  <c r="H24" i="48"/>
  <c r="J24" i="48" s="1"/>
  <c r="J25" i="48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<sst xmlns="http://schemas.openxmlformats.org/spreadsheetml/2006/main" count="1381" uniqueCount="576">
  <si>
    <t>감액</t>
    <phoneticPr fontId="2" type="noConversion"/>
  </si>
  <si>
    <t>증액</t>
    <phoneticPr fontId="2" type="noConversion"/>
  </si>
  <si>
    <t>도 비</t>
    <phoneticPr fontId="2" type="noConversion"/>
  </si>
  <si>
    <t>합   계</t>
    <phoneticPr fontId="2" type="noConversion"/>
  </si>
  <si>
    <t>국비 등</t>
    <phoneticPr fontId="2" type="noConversion"/>
  </si>
  <si>
    <t>검 증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</si>
  <si>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</si>
  <si>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</si>
  <si>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</si>
  <si>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</si>
  <si>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</si>
  <si>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</si>
  <si>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□세입예산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</si>
  <si>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</si>
  <si>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</si>
  <si>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</si>
  <si>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</si>
  <si>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도비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</si>
  <si>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</si>
  <si>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</si>
  <si>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</si>
  <si>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</si>
  <si>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</si>
  <si>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</si>
  <si>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</si>
  <si>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</si>
  <si>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</si>
  <si>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</si>
  <si>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신규</t>
    <phoneticPr fontId="6" type="noConversion"/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</si>
  <si>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</si>
  <si>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</si>
  <si>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</si>
  <si>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</si>
  <si>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</si>
  <si>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</si>
  <si>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</si>
  <si>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</si>
  <si>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</si>
  <si>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</si>
  <si>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</si>
  <si>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</si>
  <si>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</si>
  <si>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</si>
  <si>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</si>
  <si>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</si>
  <si>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</si>
  <si>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</si>
  <si>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</si>
  <si>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</si>
  <si>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</si>
  <si>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</si>
  <si>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</si>
  <si>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</si>
  <si>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</si>
  <si>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</si>
  <si>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</si>
  <si>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</si>
  <si>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</si>
  <si>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</si>
  <si>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</si>
  <si>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</si>
  <si>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</si>
  <si>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</si>
  <si>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</si>
  <si>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</si>
  <si>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</si>
  <si>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</si>
  <si>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2014년도 제1회 일반회계 및 특별회계 추가경정 세입·세출 예산안</t>
    <phoneticPr fontId="6" type="noConversion"/>
  </si>
  <si>
    <t>'14년도 제1회 추경 일반 및 특별회계 세입·세출 예산 수정안[전체예산총괄]</t>
    <phoneticPr fontId="6" type="noConversion"/>
  </si>
  <si>
    <t>제1회 추경
예산안
(가)</t>
    <phoneticPr fontId="6" type="noConversion"/>
  </si>
  <si>
    <t>1회</t>
    <phoneticPr fontId="6" type="noConversion"/>
  </si>
  <si>
    <t>2014년도 제1회 추경 경기도 일반회계 세입 예산 조정(안)</t>
    <phoneticPr fontId="6" type="noConversion"/>
  </si>
  <si>
    <t>(단위 : 천원)</t>
    <phoneticPr fontId="6" type="noConversion"/>
  </si>
  <si>
    <t>□세출예산</t>
    <phoneticPr fontId="6" type="noConversion"/>
  </si>
  <si>
    <t>이용자 증가 및 급여량 확대로 예산 조기 소진에 따른 증액</t>
    <phoneticPr fontId="6" type="noConversion"/>
  </si>
  <si>
    <t>장애인주간보호시설 운영 인건비 부족분 반영</t>
    <phoneticPr fontId="6" type="noConversion"/>
  </si>
  <si>
    <t>국비</t>
    <phoneticPr fontId="6" type="noConversion"/>
  </si>
  <si>
    <t>추가검토필요</t>
    <phoneticPr fontId="6" type="noConversion"/>
  </si>
  <si>
    <t>국비변경내시(증액)
보건복지부 장애인자립기반과-6034(2014. 9. 17)</t>
    <phoneticPr fontId="6" type="noConversion"/>
  </si>
  <si>
    <t>국가지정 격리병상구축사업 지원사업 정산 착오</t>
    <phoneticPr fontId="6" type="noConversion"/>
  </si>
  <si>
    <t>2014년도 제1회 추경 경기도 일반회계 세출 예산 조정(안)</t>
    <phoneticPr fontId="6" type="noConversion"/>
  </si>
  <si>
    <t>재원</t>
    <phoneticPr fontId="6" type="noConversion"/>
  </si>
  <si>
    <t>국비 등</t>
    <phoneticPr fontId="2" type="noConversion"/>
  </si>
  <si>
    <t>보건복지위원회</t>
    <phoneticPr fontId="2" type="noConversion"/>
  </si>
  <si>
    <t>복지여성실</t>
    <phoneticPr fontId="2" type="noConversion"/>
  </si>
  <si>
    <t>국비</t>
    <phoneticPr fontId="6" type="noConversion"/>
  </si>
  <si>
    <t>경제과학기술위원회</t>
    <phoneticPr fontId="2" type="noConversion"/>
  </si>
  <si>
    <t>1회</t>
    <phoneticPr fontId="2" type="noConversion"/>
  </si>
  <si>
    <t>2015년 본예산에 10억원 확보하여 완벽한 사업계획수립 및 추진을 조건으로 전액삭감</t>
    <phoneticPr fontId="2" type="noConversion"/>
  </si>
  <si>
    <t>도비</t>
    <phoneticPr fontId="2" type="noConversion"/>
  </si>
  <si>
    <t>성공적인 우수시장 박람회 개최</t>
    <phoneticPr fontId="2" type="noConversion"/>
  </si>
  <si>
    <t>추가</t>
    <phoneticPr fontId="2" type="noConversion"/>
  </si>
  <si>
    <t>본예산
421</t>
    <phoneticPr fontId="2" type="noConversion"/>
  </si>
  <si>
    <t>과학기술과</t>
    <phoneticPr fontId="2" type="noConversion"/>
  </si>
  <si>
    <t>국고 매칭 사업</t>
    <phoneticPr fontId="2" type="noConversion"/>
  </si>
  <si>
    <t>국비</t>
    <phoneticPr fontId="2" type="noConversion"/>
  </si>
  <si>
    <t>본예산
429</t>
    <phoneticPr fontId="2" type="noConversion"/>
  </si>
  <si>
    <t>교류통상과</t>
    <phoneticPr fontId="2" type="noConversion"/>
  </si>
  <si>
    <t>국비지원이 확정되어 도비매칭 필요</t>
    <phoneticPr fontId="2" type="noConversion"/>
  </si>
  <si>
    <t>레저선박부품 사업부문 확대 및 레저선박기업 창업기회 확대를 위한 연구</t>
    <phoneticPr fontId="2" type="noConversion"/>
  </si>
  <si>
    <t>(단위 : 백만원)</t>
    <phoneticPr fontId="2" type="noConversion"/>
  </si>
  <si>
    <t>위원회</t>
    <phoneticPr fontId="6" type="noConversion"/>
  </si>
  <si>
    <t>예산안
페이지</t>
    <phoneticPr fontId="6" type="noConversion"/>
  </si>
  <si>
    <t>부서명</t>
    <phoneticPr fontId="6" type="noConversion"/>
  </si>
  <si>
    <t>사업명</t>
    <phoneticPr fontId="6" type="noConversion"/>
  </si>
  <si>
    <t>총예산
(A+B+C)</t>
    <phoneticPr fontId="2" type="noConversion"/>
  </si>
  <si>
    <t>1회 추경
반영액
(B)</t>
    <phoneticPr fontId="2" type="noConversion"/>
  </si>
  <si>
    <t>합   계</t>
    <phoneticPr fontId="2" type="noConversion"/>
  </si>
  <si>
    <t>경제과학기술위원회</t>
    <phoneticPr fontId="6" type="noConversion"/>
  </si>
  <si>
    <t>경제투자실</t>
    <phoneticPr fontId="6" type="noConversion"/>
  </si>
  <si>
    <t>중소기업육성기금(운전자금)</t>
    <phoneticPr fontId="2" type="noConversion"/>
  </si>
  <si>
    <t>기업지원1과</t>
    <phoneticPr fontId="2" type="noConversion"/>
  </si>
  <si>
    <t>예탁금원금 회수수입</t>
    <phoneticPr fontId="2" type="noConversion"/>
  </si>
  <si>
    <t>도금고 예치금</t>
    <phoneticPr fontId="2" type="noConversion"/>
  </si>
  <si>
    <t>안전행정위원회</t>
    <phoneticPr fontId="2" type="noConversion"/>
  </si>
  <si>
    <t>자치행정국</t>
    <phoneticPr fontId="2" type="noConversion"/>
  </si>
  <si>
    <t>1회</t>
  </si>
  <si>
    <t>회계과</t>
  </si>
  <si>
    <t>추가</t>
  </si>
  <si>
    <t>도비</t>
    <phoneticPr fontId="6" type="noConversion"/>
  </si>
  <si>
    <t>전통시장에서 취약한 화재예방을 위해 전기정밀안전점검 지원</t>
    <phoneticPr fontId="2" type="noConversion"/>
  </si>
  <si>
    <t>섬유중소기업에 대하여 기술 등을 지원하는 섬유소재연구소 운영비 지원</t>
    <phoneticPr fontId="2" type="noConversion"/>
  </si>
  <si>
    <t>청년 실업난 해소 및 일자리 창출을 위해 특화형 취업프로그램 운영</t>
    <phoneticPr fontId="2" type="noConversion"/>
  </si>
  <si>
    <t>영세사업자와 서민들의 경제적 어려움 증대해소(경기신용보증재단 출연금을 2015년 본예산에 100억원 확보조치)</t>
    <phoneticPr fontId="2" type="noConversion"/>
  </si>
  <si>
    <t>몽골지역의 전략적 중요성을 고려하여 자매결연 추진중으로 우호여건조성</t>
    <phoneticPr fontId="2" type="noConversion"/>
  </si>
  <si>
    <t>문화체육관광위원회</t>
    <phoneticPr fontId="2" type="noConversion"/>
  </si>
  <si>
    <t>도비</t>
    <phoneticPr fontId="2" type="noConversion"/>
  </si>
  <si>
    <t>문화체육관광부 관광산업과-4553(2014.08.29)호</t>
    <phoneticPr fontId="2" type="noConversion"/>
  </si>
  <si>
    <t>여성가족평생교육위원회</t>
    <phoneticPr fontId="2" type="noConversion"/>
  </si>
  <si>
    <t>성폭력방지 및 피해자지원(기금/지원)
- 성폭력피해자 의료비 지원</t>
    <phoneticPr fontId="6" type="noConversion"/>
  </si>
  <si>
    <t>가족여성담당관</t>
    <phoneticPr fontId="2" type="noConversion"/>
  </si>
  <si>
    <t>본예산
759</t>
    <phoneticPr fontId="6" type="noConversion"/>
  </si>
  <si>
    <t>저소득 한부모 가족지원(기금/지원)
-저소득 한부모가족 지원</t>
    <phoneticPr fontId="6" type="noConversion"/>
  </si>
  <si>
    <t>저소득 한부모 가족지원(기금/지원)
- 청소년 한부모 자립지원</t>
    <phoneticPr fontId="6" type="noConversion"/>
  </si>
  <si>
    <t>본예산
766</t>
    <phoneticPr fontId="6" type="noConversion"/>
  </si>
  <si>
    <t>의회사무처</t>
  </si>
  <si>
    <t>농림축산식품부 친환경농업과-2748(2014.8.4)호</t>
    <phoneticPr fontId="6" type="noConversion"/>
  </si>
  <si>
    <t>국비</t>
    <phoneticPr fontId="6" type="noConversion"/>
  </si>
  <si>
    <t>농림축산식품부 방역총괄과-5800(2014.9.3)호</t>
    <phoneticPr fontId="6" type="noConversion"/>
  </si>
  <si>
    <t>농정해양위원회</t>
    <phoneticPr fontId="2" type="noConversion"/>
  </si>
  <si>
    <t>농림축산식품부 친환경농업과-2748(2014.8.4)호 근거</t>
    <phoneticPr fontId="6" type="noConversion"/>
  </si>
  <si>
    <t>국비</t>
    <phoneticPr fontId="2" type="noConversion"/>
  </si>
  <si>
    <t>사업량 확대</t>
    <phoneticPr fontId="2" type="noConversion"/>
  </si>
  <si>
    <t>도비</t>
    <phoneticPr fontId="2" type="noConversion"/>
  </si>
  <si>
    <t>본예산225</t>
  </si>
  <si>
    <t>도비 부담액 반영</t>
    <phoneticPr fontId="2" type="noConversion"/>
  </si>
  <si>
    <t>농림축산식품부 방역총괄과-5800(2014.9.3)호 근거</t>
    <phoneticPr fontId="6" type="noConversion"/>
  </si>
  <si>
    <t>국비매칭 도비부담액 반영</t>
    <phoneticPr fontId="2" type="noConversion"/>
  </si>
  <si>
    <t>도시환경위원회</t>
    <phoneticPr fontId="2" type="noConversion"/>
  </si>
  <si>
    <t xml:space="preserve">개소당 이정표 설치비 과다계상 </t>
    <phoneticPr fontId="2" type="noConversion"/>
  </si>
  <si>
    <t>인건비 및 공공요금 반영</t>
    <phoneticPr fontId="2" type="noConversion"/>
  </si>
  <si>
    <t>도비</t>
    <phoneticPr fontId="2" type="noConversion"/>
  </si>
  <si>
    <t>건설교통위원회</t>
    <phoneticPr fontId="6" type="noConversion"/>
  </si>
  <si>
    <t>도비</t>
    <phoneticPr fontId="6" type="noConversion"/>
  </si>
  <si>
    <t>파주 놀노천(10억원)
김포 나진포천(7억원)</t>
    <phoneticPr fontId="6" type="noConversion"/>
  </si>
  <si>
    <t>상임위 
조정액
(C)</t>
    <phoneticPr fontId="2" type="noConversion"/>
  </si>
  <si>
    <t>□ 기금 수입</t>
    <phoneticPr fontId="6" type="noConversion"/>
  </si>
  <si>
    <t>□ 기금 지출</t>
    <phoneticPr fontId="6" type="noConversion"/>
  </si>
  <si>
    <t>2014년도 제1회 추경 경기도 기금 상임위 수정(안)</t>
    <phoneticPr fontId="6" type="noConversion"/>
  </si>
  <si>
    <r>
      <rPr>
        <sz val="10"/>
        <rFont val="굴림"/>
        <family val="3"/>
        <charset val="129"/>
      </rPr>
      <t>국비 변경내시(국비)
※여성가족부 가족지원과-3184(2014.9.16.)호</t>
    </r>
    <phoneticPr fontId="6" type="noConversion"/>
  </si>
  <si>
    <r>
      <rPr>
        <sz val="10"/>
        <rFont val="굴림"/>
        <family val="3"/>
        <charset val="129"/>
      </rPr>
      <t>국비 변경내시(국비)
※여성가족부 가족지원과-2970(2013.8.20.)호</t>
    </r>
    <phoneticPr fontId="6" type="noConversion"/>
  </si>
  <si>
    <r>
      <rPr>
        <sz val="10"/>
        <rFont val="굴림"/>
        <family val="3"/>
        <charset val="129"/>
      </rPr>
      <t>국비 변경내시(기금)
※여성가족부 가족지원과-3206(2013.9.17.)호</t>
    </r>
    <phoneticPr fontId="6" type="noConversion"/>
  </si>
  <si>
    <r>
      <rPr>
        <sz val="10"/>
        <rFont val="굴림"/>
        <family val="3"/>
        <charset val="129"/>
      </rPr>
      <t>국비 변경내시(기금)
※여성가족부 가족지원과-3181(2013.9.15.)호</t>
    </r>
    <phoneticPr fontId="6" type="noConversion"/>
  </si>
  <si>
    <r>
      <rPr>
        <sz val="10"/>
        <rFont val="굴림"/>
        <family val="3"/>
        <charset val="129"/>
      </rPr>
      <t>국비 변경내시(기금)
※여성가족부 권익정책과-3487(2013.9.16.)호</t>
    </r>
    <phoneticPr fontId="6" type="noConversion"/>
  </si>
  <si>
    <t>국비 변경내시
※여성가족부 가족지원과-3184(2014.9.16.)호</t>
    <phoneticPr fontId="6" type="noConversion"/>
  </si>
  <si>
    <t>국비 변경내시
※여성가족부 가족지원과-3181(2013.9.15.)호</t>
    <phoneticPr fontId="6" type="noConversion"/>
  </si>
  <si>
    <t>국비 변경내시
※여성가족부 가족지원과-3206(2013.9.17.)호</t>
    <phoneticPr fontId="6" type="noConversion"/>
  </si>
  <si>
    <t>국비 변경내시
※여성가족부 권익정책과-3487(2013.9.16.)호</t>
    <phoneticPr fontId="6" type="noConversion"/>
  </si>
  <si>
    <t>6.5일자 신규 설립</t>
    <phoneticPr fontId="2" type="noConversion"/>
  </si>
  <si>
    <t>국비 변경내시(기금)
※여성가족부 권익정책과-3487(2013.9.16.)호</t>
    <phoneticPr fontId="6" type="noConversion"/>
  </si>
  <si>
    <t>상 임 위  계 수 조 정  결 과</t>
    <phoneticPr fontId="6" type="noConversion"/>
  </si>
  <si>
    <t>기획재정위원회</t>
    <phoneticPr fontId="2" type="noConversion"/>
  </si>
  <si>
    <t>기획조정실</t>
    <phoneticPr fontId="2" type="noConversion"/>
  </si>
  <si>
    <t>정보통신보안담당관</t>
    <phoneticPr fontId="6" type="noConversion"/>
  </si>
  <si>
    <r>
      <t xml:space="preserve">정보통신담당관 도비 민간이전 사용잔액
</t>
    </r>
    <r>
      <rPr>
        <b/>
        <sz val="10"/>
        <color rgb="FFFF0000"/>
        <rFont val="맑은 고딕"/>
        <family val="3"/>
        <charset val="129"/>
        <scheme val="minor"/>
      </rPr>
      <t>(과목경정) : 부기명
정보통신담당관 ⇒ 정보통신보안담당관</t>
    </r>
    <phoneticPr fontId="6" type="noConversion"/>
  </si>
  <si>
    <t>도비</t>
    <phoneticPr fontId="6" type="noConversion"/>
  </si>
  <si>
    <t>문화체육관광위원회</t>
    <phoneticPr fontId="2" type="noConversion"/>
  </si>
  <si>
    <t>문화체육관광국</t>
    <phoneticPr fontId="2" type="noConversion"/>
  </si>
  <si>
    <t>추가</t>
    <phoneticPr fontId="6" type="noConversion"/>
  </si>
  <si>
    <t>본예산
66</t>
    <phoneticPr fontId="6" type="noConversion"/>
  </si>
  <si>
    <t>관광과</t>
    <phoneticPr fontId="6" type="noConversion"/>
  </si>
  <si>
    <t>관광안내체계구축지원</t>
    <phoneticPr fontId="6" type="noConversion"/>
  </si>
  <si>
    <t>농정해양위원회</t>
  </si>
  <si>
    <t>농정해양국</t>
  </si>
  <si>
    <t>친환경농업과</t>
  </si>
  <si>
    <t>친환경농자재 지원</t>
  </si>
  <si>
    <t>축산산림국</t>
  </si>
  <si>
    <t>동물방역위생과</t>
  </si>
  <si>
    <t>시도가축방역사업(성립전)</t>
  </si>
  <si>
    <t>보건복지위원회</t>
    <phoneticPr fontId="6" type="noConversion"/>
  </si>
  <si>
    <t>보건복지국</t>
    <phoneticPr fontId="6" type="noConversion"/>
  </si>
  <si>
    <t>추가</t>
    <phoneticPr fontId="6" type="noConversion"/>
  </si>
  <si>
    <t>본예산
54</t>
    <phoneticPr fontId="6" type="noConversion"/>
  </si>
  <si>
    <t>장애인복지과</t>
    <phoneticPr fontId="6" type="noConversion"/>
  </si>
  <si>
    <t>장애인생산품 판매시설 지원</t>
    <phoneticPr fontId="6" type="noConversion"/>
  </si>
  <si>
    <t>1회</t>
    <phoneticPr fontId="6" type="noConversion"/>
  </si>
  <si>
    <t>보건정책과</t>
    <phoneticPr fontId="6" type="noConversion"/>
  </si>
  <si>
    <t>보건정책과 도비 민간이전 사용잔액</t>
    <phoneticPr fontId="6" type="noConversion"/>
  </si>
  <si>
    <t>여성가족국</t>
    <phoneticPr fontId="6" type="noConversion"/>
  </si>
  <si>
    <t>여성가족과</t>
    <phoneticPr fontId="6" type="noConversion"/>
  </si>
  <si>
    <t>아이돌봄 지원사업</t>
    <phoneticPr fontId="6" type="noConversion"/>
  </si>
  <si>
    <t>본예산
56</t>
    <phoneticPr fontId="6" type="noConversion"/>
  </si>
  <si>
    <t>가족역량 강화지원</t>
    <phoneticPr fontId="6" type="noConversion"/>
  </si>
  <si>
    <t>본예산
68</t>
    <phoneticPr fontId="6" type="noConversion"/>
  </si>
  <si>
    <t>저소득한부모가족 지원</t>
    <phoneticPr fontId="6" type="noConversion"/>
  </si>
  <si>
    <t>청소년한부모 자립지원</t>
    <phoneticPr fontId="6" type="noConversion"/>
  </si>
  <si>
    <t>한부모가족복지시설 기능보강사업</t>
    <phoneticPr fontId="6" type="noConversion"/>
  </si>
  <si>
    <t>성폭력방지 및 피해자지원사업</t>
    <phoneticPr fontId="6" type="noConversion"/>
  </si>
  <si>
    <t>여성 학교폭력피해자 원스톱지원센터</t>
    <phoneticPr fontId="6" type="noConversion"/>
  </si>
  <si>
    <t>복지여성실</t>
  </si>
  <si>
    <t>북부여성비전센터</t>
  </si>
  <si>
    <t>(과목경정) : 부기명</t>
    <phoneticPr fontId="6" type="noConversion"/>
  </si>
  <si>
    <t>기금</t>
    <phoneticPr fontId="6" type="noConversion"/>
  </si>
  <si>
    <t>도비</t>
    <phoneticPr fontId="6" type="noConversion"/>
  </si>
  <si>
    <t>기금</t>
    <phoneticPr fontId="6" type="noConversion"/>
  </si>
  <si>
    <t>국비</t>
    <phoneticPr fontId="6" type="noConversion"/>
  </si>
  <si>
    <t>의회사무처</t>
    <phoneticPr fontId="2" type="noConversion"/>
  </si>
  <si>
    <t>자산취득비</t>
    <phoneticPr fontId="2" type="noConversion"/>
  </si>
  <si>
    <t>창조행정담당관</t>
    <phoneticPr fontId="2" type="noConversion"/>
  </si>
  <si>
    <t>도정발전 연구용역(자체/직접)
- 도정발전 연구용역(pool)</t>
    <phoneticPr fontId="2" type="noConversion"/>
  </si>
  <si>
    <t>정보서비스담당관</t>
    <phoneticPr fontId="2" type="noConversion"/>
  </si>
  <si>
    <t>스마트타운 플랫폼 구축(자체/직접)
- 스마트타운 플랫폼 구축(국가직접 사업)</t>
    <phoneticPr fontId="2" type="noConversion"/>
  </si>
  <si>
    <r>
      <t xml:space="preserve">빅파이 프로젝트 사업 추진(자체/직접)
- 빅파이 프로젝트 사업 추진
</t>
    </r>
    <r>
      <rPr>
        <b/>
        <sz val="10"/>
        <color rgb="FFFF0000"/>
        <rFont val="맑은 고딕"/>
        <family val="3"/>
        <charset val="129"/>
        <scheme val="minor"/>
      </rPr>
      <t>(과목경정) : 통계목</t>
    </r>
    <r>
      <rPr>
        <sz val="10"/>
        <color theme="1"/>
        <rFont val="맑은 고딕"/>
        <family val="3"/>
        <charset val="129"/>
        <scheme val="minor"/>
      </rPr>
      <t xml:space="preserve">
</t>
    </r>
    <r>
      <rPr>
        <b/>
        <sz val="10"/>
        <color rgb="FFFF0000"/>
        <rFont val="맑은 고딕"/>
        <family val="3"/>
        <charset val="129"/>
        <scheme val="minor"/>
      </rPr>
      <t>출연금 ⇒ 민간경상보조</t>
    </r>
    <phoneticPr fontId="2" type="noConversion"/>
  </si>
  <si>
    <t>경제투자실</t>
    <phoneticPr fontId="2" type="noConversion"/>
  </si>
  <si>
    <t>기업지원1과</t>
    <phoneticPr fontId="2" type="noConversion"/>
  </si>
  <si>
    <t>뿌리산업 특화단지 고도화 지원(자체/직접)
- 뿌리산업 특화단지 고도화 지원(국가직접지원)</t>
    <phoneticPr fontId="2" type="noConversion"/>
  </si>
  <si>
    <t>일자리센터</t>
    <phoneticPr fontId="2" type="noConversion"/>
  </si>
  <si>
    <t>경기 청년해외진출지원사업(자체/직접)
- 경기 청년해외진출지원사업</t>
    <phoneticPr fontId="2" type="noConversion"/>
  </si>
  <si>
    <t>서비스산업과</t>
    <phoneticPr fontId="2" type="noConversion"/>
  </si>
  <si>
    <t>전통시장 활성화지원(자체/직접)
-2014 경기도 우수시장 박람회 개최지원</t>
    <phoneticPr fontId="2" type="noConversion"/>
  </si>
  <si>
    <t>경기지역협력연구센터(GRRC)지원(자체/직접)
- 경기지역협력연구센터(GRRC)지원</t>
    <phoneticPr fontId="2" type="noConversion"/>
  </si>
  <si>
    <t>본예산
422</t>
    <phoneticPr fontId="2" type="noConversion"/>
  </si>
  <si>
    <t>광역경제권 연계협력 사업(자체/직접)
- 광역경제권연계협력 사업(국가직접지원)</t>
    <phoneticPr fontId="2" type="noConversion"/>
  </si>
  <si>
    <t>청년 제대군인 취업지원사업(자체/직접)
- 청년 제대군인 취업지원사업</t>
    <phoneticPr fontId="2" type="noConversion"/>
  </si>
  <si>
    <t>본예산
433</t>
    <phoneticPr fontId="2" type="noConversion"/>
  </si>
  <si>
    <t>서민금융(햇살론) 지원(자체/직접)
- 서민금융 햇살론(국가직접지원)</t>
    <phoneticPr fontId="2" type="noConversion"/>
  </si>
  <si>
    <t>본예산
439</t>
    <phoneticPr fontId="2" type="noConversion"/>
  </si>
  <si>
    <t>국제개발협력사업(자체/직접)
- 공적개발원조(ODA)사업추진</t>
    <phoneticPr fontId="2" type="noConversion"/>
  </si>
  <si>
    <t>신규</t>
    <phoneticPr fontId="2" type="noConversion"/>
  </si>
  <si>
    <t>광응용기기 핵심전력부품 및 제품화 지원
사업(자체/직접)</t>
    <phoneticPr fontId="2" type="noConversion"/>
  </si>
  <si>
    <t>전통시장 전기정밀안전점검 지원(자체/직접)</t>
    <phoneticPr fontId="2" type="noConversion"/>
  </si>
  <si>
    <t>경기해양레저산업 경쟁력 강화 사업지원
(자체/직접)</t>
    <phoneticPr fontId="2" type="noConversion"/>
  </si>
  <si>
    <t>균형발전국</t>
    <phoneticPr fontId="2" type="noConversion"/>
  </si>
  <si>
    <t>본예산
859</t>
    <phoneticPr fontId="2" type="noConversion"/>
  </si>
  <si>
    <t>특화산업과</t>
    <phoneticPr fontId="2" type="noConversion"/>
  </si>
  <si>
    <t>특화산업 육성 지원(자체/직접)
 - 섬유소재연구소 운영 지원</t>
    <phoneticPr fontId="2" type="noConversion"/>
  </si>
  <si>
    <t>소방재난본부</t>
    <phoneticPr fontId="2" type="noConversion"/>
  </si>
  <si>
    <t>본예산
641</t>
    <phoneticPr fontId="2" type="noConversion"/>
  </si>
  <si>
    <t>부천소방서</t>
    <phoneticPr fontId="2" type="noConversion"/>
  </si>
  <si>
    <t>소방관서 신축 및 이전(자체/직접)
- 내동119 안전센터 신축</t>
    <phoneticPr fontId="2" type="noConversion"/>
  </si>
  <si>
    <t>본예산
649</t>
    <phoneticPr fontId="2" type="noConversion"/>
  </si>
  <si>
    <t>안산소방서</t>
    <phoneticPr fontId="2" type="noConversion"/>
  </si>
  <si>
    <t>소방관서 신축 및 이전(자체/직접)
- 반월 119안전센터 신축</t>
    <phoneticPr fontId="2" type="noConversion"/>
  </si>
  <si>
    <t>소방행정과</t>
    <phoneticPr fontId="2" type="noConversion"/>
  </si>
  <si>
    <t>업무추진비
- 소방재난본부장 (기관운영업무추진비)</t>
    <phoneticPr fontId="2" type="noConversion"/>
  </si>
  <si>
    <t>재난대응과</t>
    <phoneticPr fontId="2" type="noConversion"/>
  </si>
  <si>
    <t>소방장비 보강(자체/직접)
 - 개인안전장비 보강</t>
    <phoneticPr fontId="2" type="noConversion"/>
  </si>
  <si>
    <t>구조구급장비 보강(자체/직접)
 - 붕괴구조장비보강(자산취득비)</t>
    <phoneticPr fontId="2" type="noConversion"/>
  </si>
  <si>
    <t>평택소방서</t>
    <phoneticPr fontId="2" type="noConversion"/>
  </si>
  <si>
    <t>소방관서 리모델링(자체/직접)
-본서 리모델링</t>
    <phoneticPr fontId="2" type="noConversion"/>
  </si>
  <si>
    <t>의왕소방서</t>
    <phoneticPr fontId="2" type="noConversion"/>
  </si>
  <si>
    <t>소방관서 증축(자체/직접)
- 본서 훈련탑설치</t>
    <phoneticPr fontId="2" type="noConversion"/>
  </si>
  <si>
    <t>북부소방재난본부</t>
    <phoneticPr fontId="2" type="noConversion"/>
  </si>
  <si>
    <t>본예산
717</t>
    <phoneticPr fontId="2" type="noConversion"/>
  </si>
  <si>
    <t>고양소방서</t>
    <phoneticPr fontId="2" type="noConversion"/>
  </si>
  <si>
    <t>소방관서 신축 및 이전(자체/직접)
- 화전 119안전센터 신축</t>
    <phoneticPr fontId="2" type="noConversion"/>
  </si>
  <si>
    <t>문화정책과</t>
    <phoneticPr fontId="2" type="noConversion"/>
  </si>
  <si>
    <t>문화정책과</t>
    <phoneticPr fontId="2" type="noConversion"/>
  </si>
  <si>
    <t>경기도 문화의전당 운영(자체/직접)
- 경기도 문화의전당 운영</t>
    <phoneticPr fontId="2" type="noConversion"/>
  </si>
  <si>
    <t>경기문화재단 운영(자체/직접)
- 경기문화재단 운영</t>
    <phoneticPr fontId="2" type="noConversion"/>
  </si>
  <si>
    <t>송년제야행사(자체/직접)
- 2014 송년제야행사</t>
    <phoneticPr fontId="2" type="noConversion"/>
  </si>
  <si>
    <t>체육과</t>
    <phoneticPr fontId="2" type="noConversion"/>
  </si>
  <si>
    <t>지방체육시설 지원(자체/지원)
- 수원야구장 증축 및 리모델링 지원</t>
    <phoneticPr fontId="2" type="noConversion"/>
  </si>
  <si>
    <t>문화산업과</t>
    <phoneticPr fontId="2" type="noConversion"/>
  </si>
  <si>
    <t>경기콘텐츠진흥원 운영(자체/직접)
- 경기콘텐츠진흥원 운영</t>
    <phoneticPr fontId="2" type="noConversion"/>
  </si>
  <si>
    <t>경기콘텐츠진흥원 운영(자체/직접)
- (사)DMZ 국제다큐영화제 (출연금)</t>
    <phoneticPr fontId="2" type="noConversion"/>
  </si>
  <si>
    <t>본예산
208</t>
    <phoneticPr fontId="2" type="noConversion"/>
  </si>
  <si>
    <t>관광과</t>
    <phoneticPr fontId="2" type="noConversion"/>
  </si>
  <si>
    <t>다국어 관광안내지도 제작(기금/지원)
- 다국어 관광안내지도 제작</t>
    <phoneticPr fontId="2" type="noConversion"/>
  </si>
  <si>
    <t>농정해양국</t>
    <phoneticPr fontId="2" type="noConversion"/>
  </si>
  <si>
    <t>농업정책과</t>
    <phoneticPr fontId="2" type="noConversion"/>
  </si>
  <si>
    <t>지역농업발전(자체/직접)
- 도정시책홍보</t>
    <phoneticPr fontId="2" type="noConversion"/>
  </si>
  <si>
    <t>친환경농업과</t>
    <phoneticPr fontId="2" type="noConversion"/>
  </si>
  <si>
    <t>친환경농자재지원(국비/지원)
- 친환경농자재 지원</t>
    <phoneticPr fontId="2" type="noConversion"/>
  </si>
  <si>
    <t>본예산223</t>
    <phoneticPr fontId="2" type="noConversion"/>
  </si>
  <si>
    <t>농식품유통과</t>
    <phoneticPr fontId="2" type="noConversion"/>
  </si>
  <si>
    <t>우수외식업지구 육성사업(국비/지원)
- 우수외식업지구 육성사업</t>
    <phoneticPr fontId="2" type="noConversion"/>
  </si>
  <si>
    <t>경기미 생산지원(자체/직접)
- 경기미우수단지농기계공급</t>
    <phoneticPr fontId="2" type="noConversion"/>
  </si>
  <si>
    <t>시군농정평가 시상금</t>
    <phoneticPr fontId="2" type="noConversion"/>
  </si>
  <si>
    <t>축산산림국</t>
    <phoneticPr fontId="2" type="noConversion"/>
  </si>
  <si>
    <t>1회</t>
    <phoneticPr fontId="2" type="noConversion"/>
  </si>
  <si>
    <t>동물방역위생과</t>
    <phoneticPr fontId="2" type="noConversion"/>
  </si>
  <si>
    <t>동물방역위생과</t>
    <phoneticPr fontId="2" type="noConversion"/>
  </si>
  <si>
    <t>살처분보상금지원사업(국비/지원)
- 살처분보상금지원(성립전)</t>
    <phoneticPr fontId="2" type="noConversion"/>
  </si>
  <si>
    <t>광역유기동물 보호시설 설치(국비/지원)
- 유기동물 보호시설 설치 지원(용인시)</t>
    <phoneticPr fontId="2" type="noConversion"/>
  </si>
  <si>
    <t>시도가축방역사업(국비/지원)
- 시도가축방역사업(통제초소운영등)(성립전)</t>
    <phoneticPr fontId="2" type="noConversion"/>
  </si>
  <si>
    <t>본예산873</t>
    <phoneticPr fontId="2" type="noConversion"/>
  </si>
  <si>
    <t>축산정책과</t>
    <phoneticPr fontId="2" type="noConversion"/>
  </si>
  <si>
    <t>가축분뇨 처리사업(기금/지원)
- 가축분뇨처리시설지원</t>
    <phoneticPr fontId="2" type="noConversion"/>
  </si>
  <si>
    <t>본예산874</t>
    <phoneticPr fontId="2" type="noConversion"/>
  </si>
  <si>
    <t>축산환경개선(자체/지원)
- 축산환경개선사업</t>
    <phoneticPr fontId="2" type="noConversion"/>
  </si>
  <si>
    <t>보건복지국</t>
    <phoneticPr fontId="2" type="noConversion"/>
  </si>
  <si>
    <t>1회</t>
    <phoneticPr fontId="2" type="noConversion"/>
  </si>
  <si>
    <t>노인복지과</t>
    <phoneticPr fontId="2" type="noConversion"/>
  </si>
  <si>
    <t>사회복지단체 활성화(자체/직접)
- 전국 노인건강 대축제 지원</t>
    <phoneticPr fontId="2" type="noConversion"/>
  </si>
  <si>
    <t>장애인복지과</t>
    <phoneticPr fontId="2" type="noConversion"/>
  </si>
  <si>
    <t>장애인복지과</t>
    <phoneticPr fontId="2" type="noConversion"/>
  </si>
  <si>
    <t>장애인사회활동지원(자체/지원)
- 중증장애인 사회활동지원</t>
    <phoneticPr fontId="2" type="noConversion"/>
  </si>
  <si>
    <t>장애인복지시설 운영 지원(분권/지원)
- 장애인주간보호시설운영</t>
    <phoneticPr fontId="2" type="noConversion"/>
  </si>
  <si>
    <t>건강증진과</t>
    <phoneticPr fontId="2" type="noConversion"/>
  </si>
  <si>
    <t>경기도의료원 기능보강사업(지방채/직접)
- 이천병원 신축 연구용역(평가)</t>
    <phoneticPr fontId="2" type="noConversion"/>
  </si>
  <si>
    <t>본예산
279</t>
    <phoneticPr fontId="2" type="noConversion"/>
  </si>
  <si>
    <t>장애인생산품 판매시설 지원(국비/직접)
- 장애인생산품 판매시설 운영</t>
    <phoneticPr fontId="2" type="noConversion"/>
  </si>
  <si>
    <t>사회복지담당관</t>
    <phoneticPr fontId="2" type="noConversion"/>
  </si>
  <si>
    <t>장애인 사회활동지원(자체/지원)
- 중증장애인 사회활동지원</t>
    <phoneticPr fontId="2" type="noConversion"/>
  </si>
  <si>
    <t>본예산
785</t>
    <phoneticPr fontId="2" type="noConversion"/>
  </si>
  <si>
    <t>장애인 지역사회재활시설등 지원(분권/지원)
- 장애인주간보호시설운영</t>
    <phoneticPr fontId="2" type="noConversion"/>
  </si>
  <si>
    <t>교통건설국</t>
    <phoneticPr fontId="2" type="noConversion"/>
  </si>
  <si>
    <t>1회</t>
    <phoneticPr fontId="6" type="noConversion"/>
  </si>
  <si>
    <t>도로계획과</t>
    <phoneticPr fontId="6" type="noConversion"/>
  </si>
  <si>
    <t>도로구역 정비 추진(자체/직접)
- 도로구역 정비 추진</t>
    <phoneticPr fontId="6" type="noConversion"/>
  </si>
  <si>
    <t>신규</t>
    <phoneticPr fontId="6" type="noConversion"/>
  </si>
  <si>
    <t>교통정책과</t>
    <phoneticPr fontId="6" type="noConversion"/>
  </si>
  <si>
    <t>광역이동지원센터시스템 구축</t>
    <phoneticPr fontId="6" type="noConversion"/>
  </si>
  <si>
    <t>범안로 도로확포장공사(자체/직접)</t>
    <phoneticPr fontId="2" type="noConversion"/>
  </si>
  <si>
    <t>건설본부</t>
    <phoneticPr fontId="2" type="noConversion"/>
  </si>
  <si>
    <t>건축시설과</t>
  </si>
  <si>
    <t>도 신청사 관련 벤치마킹(자체/직접)
- 도 신청사 관련 벤치마킹 (국제화여비)</t>
    <phoneticPr fontId="2" type="noConversion"/>
  </si>
  <si>
    <t>도 신청사 관련 벤치마킹(자체/직접)
- 도 신청사 관련 벤치마킹 (민간인국외여비)</t>
    <phoneticPr fontId="2" type="noConversion"/>
  </si>
  <si>
    <t>하천과</t>
  </si>
  <si>
    <t>지방하천개수시군대행사업(자체/지원)
- 지방하천개수시군대행사업</t>
    <phoneticPr fontId="2" type="noConversion"/>
  </si>
  <si>
    <t>본예산578</t>
  </si>
  <si>
    <t>도로건설과</t>
  </si>
  <si>
    <t>구조물 유지관리(자체/직접)</t>
    <phoneticPr fontId="2" type="noConversion"/>
  </si>
  <si>
    <t>국제화여비(공무원)(증1천만원)</t>
    <phoneticPr fontId="6" type="noConversion"/>
  </si>
  <si>
    <t>민간인국외여비(감4천만원)</t>
    <phoneticPr fontId="6" type="noConversion"/>
  </si>
  <si>
    <t>공원녹지과</t>
    <phoneticPr fontId="2" type="noConversion"/>
  </si>
  <si>
    <t>연인산도립공원 시설 정비(자체/직접)
- 연인산도립공원 시설 정비</t>
    <phoneticPr fontId="2" type="noConversion"/>
  </si>
  <si>
    <t>본예산
898</t>
    <phoneticPr fontId="2" type="noConversion"/>
  </si>
  <si>
    <t>연인산도립공원 관리(자체/직접)
- 연인산도립공원 관리비</t>
    <phoneticPr fontId="2" type="noConversion"/>
  </si>
  <si>
    <t>여성가족국</t>
    <phoneticPr fontId="2" type="noConversion"/>
  </si>
  <si>
    <t>여성가족과</t>
    <phoneticPr fontId="2" type="noConversion"/>
  </si>
  <si>
    <t>아이돌봄 지원(국비/지원)
- 아이돌봄 지원</t>
    <phoneticPr fontId="2" type="noConversion"/>
  </si>
  <si>
    <t>성폭력방지 및 피해자 지원(기금/지원)
-아동 청소년 전용쉼터 운영</t>
    <phoneticPr fontId="2" type="noConversion"/>
  </si>
  <si>
    <t>본예산
346</t>
    <phoneticPr fontId="2" type="noConversion"/>
  </si>
  <si>
    <t>저소득 한부모가족 지원 (기금/지원)
- 저소득 한부모가족 지원</t>
    <phoneticPr fontId="2" type="noConversion"/>
  </si>
  <si>
    <t>청소년 한부모 자립지원(기금/지원)
- 청소년 한부모 자립지원</t>
    <phoneticPr fontId="2" type="noConversion"/>
  </si>
  <si>
    <t>가족역량 강화지원(국비/지원)
- 가족역량강화지원</t>
    <phoneticPr fontId="2" type="noConversion"/>
  </si>
  <si>
    <t>본예산
347</t>
    <phoneticPr fontId="2" type="noConversion"/>
  </si>
  <si>
    <t>한부모가족 복지시설 기능보강(기금/지원)
- 한부모가족 복지시설 기능보강</t>
    <phoneticPr fontId="2" type="noConversion"/>
  </si>
  <si>
    <t>본예산
351</t>
    <phoneticPr fontId="2" type="noConversion"/>
  </si>
  <si>
    <t>성폭력방지 및 피해자지원(기금/지원)
-성폭력피해자 의료비 지원</t>
    <phoneticPr fontId="2" type="noConversion"/>
  </si>
  <si>
    <t>국비 변경내시
※여성가족부 권익정책과-3487(2013.9.16.)호</t>
    <phoneticPr fontId="6" type="noConversion"/>
  </si>
  <si>
    <r>
      <t xml:space="preserve">경기북부 여성학교폭력피해자
원스톱 지원센터 운영(기금/직접)
- 경기북부 여성학교폭력피해자 원스톱 지원센터 </t>
    </r>
    <r>
      <rPr>
        <sz val="10"/>
        <color rgb="FFFF0000"/>
        <rFont val="맑은 고딕"/>
        <family val="3"/>
        <charset val="129"/>
        <scheme val="major"/>
      </rPr>
      <t>기능보강</t>
    </r>
    <phoneticPr fontId="6" type="noConversion"/>
  </si>
  <si>
    <t>평생교육국</t>
    <phoneticPr fontId="2" type="noConversion"/>
  </si>
  <si>
    <t>교육정책과</t>
    <phoneticPr fontId="2" type="noConversion"/>
  </si>
  <si>
    <t>경기영어마을 오수관로공사(자체/직접)
- 경기영어마을 파주캠프 오수관로공사</t>
    <phoneticPr fontId="2" type="noConversion"/>
  </si>
  <si>
    <t>교육협력과</t>
    <phoneticPr fontId="2" type="noConversion"/>
  </si>
  <si>
    <t>학교환경개선사업(자체/지원)</t>
    <phoneticPr fontId="2" type="noConversion"/>
  </si>
  <si>
    <t>기금</t>
    <phoneticPr fontId="2" type="noConversion"/>
  </si>
  <si>
    <t>AI 구제역 방역비(국비/지원)</t>
    <phoneticPr fontId="2" type="noConversion"/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</si>
  <si>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</si>
  <si>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</si>
  <si>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</si>
  <si>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</si>
  <si>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</si>
  <si>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</si>
  <si>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</si>
  <si>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</si>
  <si>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</si>
  <si>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</si>
  <si>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예결위 수정
예산안
(사=나+바)</t>
    <phoneticPr fontId="6" type="noConversion"/>
  </si>
  <si>
    <t>예결위 수정
예산안
(사=나+바)</t>
    <phoneticPr fontId="6" type="noConversion"/>
  </si>
  <si>
    <t>위원회</t>
    <phoneticPr fontId="6" type="noConversion"/>
  </si>
  <si>
    <t>예산안
페이지</t>
    <phoneticPr fontId="6" type="noConversion"/>
  </si>
  <si>
    <t>부서명</t>
    <phoneticPr fontId="6" type="noConversion"/>
  </si>
  <si>
    <t>사업명</t>
    <phoneticPr fontId="6" type="noConversion"/>
  </si>
  <si>
    <t>제1회 추경
예산안
(가)</t>
    <phoneticPr fontId="6" type="noConversion"/>
  </si>
  <si>
    <t>동의 대상</t>
    <phoneticPr fontId="2" type="noConversion"/>
  </si>
  <si>
    <t>광특</t>
    <phoneticPr fontId="2" type="noConversion"/>
  </si>
  <si>
    <t>분권</t>
    <phoneticPr fontId="2" type="noConversion"/>
  </si>
  <si>
    <t>특별</t>
    <phoneticPr fontId="2" type="noConversion"/>
  </si>
  <si>
    <t>(과목경정) : 부기명, 통계목</t>
    <phoneticPr fontId="6" type="noConversion"/>
  </si>
  <si>
    <t>아이돌봄 지원사업(국비/지원)
- 아이돌봄 지원</t>
    <phoneticPr fontId="6" type="noConversion"/>
  </si>
  <si>
    <t>1회</t>
    <phoneticPr fontId="2" type="noConversion"/>
  </si>
  <si>
    <t>여성가족과</t>
    <phoneticPr fontId="2" type="noConversion"/>
  </si>
  <si>
    <t>성매매피해자 지원시설 및 상담소 운영</t>
    <phoneticPr fontId="2" type="noConversion"/>
  </si>
  <si>
    <t>추가</t>
    <phoneticPr fontId="2" type="noConversion"/>
  </si>
  <si>
    <t>본예산
56</t>
    <phoneticPr fontId="2" type="noConversion"/>
  </si>
  <si>
    <t>성매매피해자 구조지원 사업</t>
    <phoneticPr fontId="2" type="noConversion"/>
  </si>
  <si>
    <t>성매매집결지 현장기능강화사업</t>
    <phoneticPr fontId="2" type="noConversion"/>
  </si>
  <si>
    <t>여성가족부 권익지원과-2334(2014.9.24)
(국비 28,000, 도비 6,000)</t>
  </si>
  <si>
    <t xml:space="preserve">언제나민원실 </t>
  </si>
  <si>
    <t>여권발급</t>
  </si>
  <si>
    <t>여성가족부 권익지원과-2334(2014.9.24)</t>
    <phoneticPr fontId="2" type="noConversion"/>
  </si>
  <si>
    <t>외교부 여권과-38242(2014.9.4)
변경내시(국비 증액)</t>
    <phoneticPr fontId="2" type="noConversion"/>
  </si>
  <si>
    <r>
      <t xml:space="preserve">북부여성비전센터 도비 민간이전 사용잔액
</t>
    </r>
    <r>
      <rPr>
        <b/>
        <sz val="10"/>
        <color rgb="FFFF0000"/>
        <rFont val="맑은 고딕"/>
        <family val="3"/>
        <charset val="129"/>
        <scheme val="minor"/>
      </rPr>
      <t>(과목경정) : 부기명, 통계목</t>
    </r>
    <r>
      <rPr>
        <sz val="10"/>
        <color theme="1"/>
        <rFont val="맑은 고딕"/>
        <family val="3"/>
        <charset val="129"/>
        <scheme val="minor"/>
      </rPr>
      <t xml:space="preserve">
</t>
    </r>
    <r>
      <rPr>
        <b/>
        <sz val="10"/>
        <color rgb="FFFF0000"/>
        <rFont val="맑은 고딕"/>
        <family val="3"/>
        <charset val="129"/>
        <scheme val="minor"/>
      </rPr>
      <t>도비 민간이전 사용잔액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b/>
        <sz val="10"/>
        <color rgb="FFFF0000"/>
        <rFont val="맑은 고딕"/>
        <family val="3"/>
        <charset val="129"/>
        <scheme val="minor"/>
      </rPr>
      <t>⇒ 도비 사용잔액
그외수입 ⇒ 시도비 반환금수입</t>
    </r>
    <phoneticPr fontId="6" type="noConversion"/>
  </si>
  <si>
    <t>기정액</t>
    <phoneticPr fontId="6" type="noConversion"/>
  </si>
  <si>
    <t>제1회 추경
증감액</t>
    <phoneticPr fontId="6" type="noConversion"/>
  </si>
  <si>
    <t>상임위 제1회 추경 
예산안 조정액</t>
    <phoneticPr fontId="6" type="noConversion"/>
  </si>
  <si>
    <r>
      <t xml:space="preserve">예결위 국비 변경 (일반 </t>
    </r>
    <r>
      <rPr>
        <b/>
        <sz val="18"/>
        <color rgb="FF0000CC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>)</t>
    </r>
    <phoneticPr fontId="6" type="noConversion"/>
  </si>
  <si>
    <r>
      <t xml:space="preserve">예결위 국비 변경 (일반 </t>
    </r>
    <r>
      <rPr>
        <b/>
        <sz val="18"/>
        <color rgb="FF0000CC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>)</t>
    </r>
    <phoneticPr fontId="6" type="noConversion"/>
  </si>
  <si>
    <t>예결위 제1회 추경 
예산안 조정액</t>
    <phoneticPr fontId="6" type="noConversion"/>
  </si>
  <si>
    <t>본예산
272</t>
  </si>
  <si>
    <t>장애인복지과</t>
  </si>
  <si>
    <t>장애수당(차상위등)(국비/지원)
-장애수당(차상위 등)</t>
  </si>
  <si>
    <t>본예산780</t>
  </si>
  <si>
    <t>사회복지담당관</t>
  </si>
  <si>
    <t>장애수당(차상위등)(국비/지원)
-장애수당(차상위등)</t>
  </si>
  <si>
    <t>합   계</t>
    <phoneticPr fontId="2" type="noConversion"/>
  </si>
  <si>
    <t>안전행정위원회</t>
    <phoneticPr fontId="2" type="noConversion"/>
  </si>
  <si>
    <t>자치행정국</t>
    <phoneticPr fontId="2" type="noConversion"/>
  </si>
  <si>
    <t>1회</t>
    <phoneticPr fontId="2" type="noConversion"/>
  </si>
  <si>
    <t>행정관리담당관</t>
    <phoneticPr fontId="2" type="noConversion"/>
  </si>
  <si>
    <t>여권민원서비스 제고(국비/직접)
- 여권민원실 운영비</t>
    <phoneticPr fontId="2" type="noConversion"/>
  </si>
  <si>
    <t>외교부 여권과-38242(2014.9.4)호, 
변경내시(국비 증액)</t>
    <phoneticPr fontId="2" type="noConversion"/>
  </si>
  <si>
    <t>국비</t>
    <phoneticPr fontId="2" type="noConversion"/>
  </si>
  <si>
    <t>농정해양위원회</t>
    <phoneticPr fontId="2" type="noConversion"/>
  </si>
  <si>
    <t>농정해양국</t>
    <phoneticPr fontId="2" type="noConversion"/>
  </si>
  <si>
    <t>보건복지위원회</t>
    <phoneticPr fontId="2" type="noConversion"/>
  </si>
  <si>
    <t>보건복지국</t>
    <phoneticPr fontId="2" type="noConversion"/>
  </si>
  <si>
    <t>남양주시 예산부족에 따른 남북부청간 조정(남양주시 사회복지과-26026,2014.9.22)
(국비 △119,000, 도비 △7,650)</t>
    <phoneticPr fontId="2" type="noConversion"/>
  </si>
  <si>
    <t>복지여성실</t>
    <phoneticPr fontId="2" type="noConversion"/>
  </si>
  <si>
    <t>남양주시 예산부족에 따른 남북부청간 조정(남양주시 사회복지과-26026,2014.9.22)
(국비 119,000, 도비 7,650)</t>
    <phoneticPr fontId="2" type="noConversion"/>
  </si>
  <si>
    <t>국비</t>
    <phoneticPr fontId="6" type="noConversion"/>
  </si>
  <si>
    <t>도비</t>
    <phoneticPr fontId="6" type="noConversion"/>
  </si>
  <si>
    <t>여성가족평생교육위원회</t>
    <phoneticPr fontId="2" type="noConversion"/>
  </si>
  <si>
    <t>여성가족국</t>
    <phoneticPr fontId="2" type="noConversion"/>
  </si>
  <si>
    <t>추가</t>
    <phoneticPr fontId="2" type="noConversion"/>
  </si>
  <si>
    <t>본예산
351</t>
    <phoneticPr fontId="2" type="noConversion"/>
  </si>
  <si>
    <t>여성가족과</t>
    <phoneticPr fontId="2" type="noConversion"/>
  </si>
  <si>
    <t>성매매피해자 구조지원(국비/지원)
- 성매매피해자 구조지원사업</t>
    <phoneticPr fontId="2" type="noConversion"/>
  </si>
  <si>
    <t>여성가족부 권익지원과-2334(2014.9.24)
(국비 2,000, 도비 429)</t>
    <phoneticPr fontId="2" type="noConversion"/>
  </si>
  <si>
    <t>여성가족과</t>
    <phoneticPr fontId="2" type="noConversion"/>
  </si>
  <si>
    <t>여성가족부 권익지원과-2334(2014.9.24)
(국비 6,509, 도비 1,396)</t>
    <phoneticPr fontId="2" type="noConversion"/>
  </si>
  <si>
    <t>기금</t>
    <phoneticPr fontId="2" type="noConversion"/>
  </si>
  <si>
    <t>가족여성담당관</t>
    <phoneticPr fontId="2" type="noConversion"/>
  </si>
  <si>
    <t>성매매 피해자 지원시설 및 상담소 운영지원(국비/지원)
- 성매매피해자 지원시설 및 상담소 운영지원</t>
    <phoneticPr fontId="2" type="noConversion"/>
  </si>
  <si>
    <t>세입 = 세출</t>
    <phoneticPr fontId="2" type="noConversion"/>
  </si>
  <si>
    <t>성매매 집결지 현장기능 강화사업
(국비/지원)
- 성매매 집결지 현장기능 강화사업</t>
    <phoneticPr fontId="2" type="noConversion"/>
  </si>
  <si>
    <t>보건복지부 장애인자립기반과-6034(2014.9.17)</t>
    <phoneticPr fontId="2" type="noConversion"/>
  </si>
  <si>
    <t>OK</t>
  </si>
  <si>
    <t>의존계</t>
    <phoneticPr fontId="2" type="noConversion"/>
  </si>
  <si>
    <t>가정폭력가해자 고정,치료 프로그램 운영</t>
  </si>
  <si>
    <t>가정폭력가해자 교정, 치료프로그램운영(기금/지원)
- 가정폭력가해자 교정, 치료 프로그램 운영</t>
    <phoneticPr fontId="2" type="noConversion"/>
  </si>
  <si>
    <t>여성가족부 복지지원과-2826(2014.9.25)</t>
  </si>
  <si>
    <t>가족여성담당관</t>
  </si>
  <si>
    <t>가정폭력가해자 교정치료 프로그램 운영(기금/지원)
- 가정폭력가해자 교정,치료프로그램 운영</t>
  </si>
  <si>
    <t>여성가족부 복지지원과-2826(2014.9.25)
증액(국비 19,350, 도비 2,487)</t>
  </si>
  <si>
    <t>여성가족과</t>
  </si>
  <si>
    <t>상임위</t>
    <phoneticPr fontId="2" type="noConversion"/>
  </si>
  <si>
    <t>예결위</t>
    <phoneticPr fontId="2" type="noConversion"/>
  </si>
  <si>
    <t>미디어 홍보(자체/직접)
- SNS 홍보매체 운영</t>
    <phoneticPr fontId="2" type="noConversion"/>
  </si>
  <si>
    <t>의정지원 기준경비(자체/직접)
- 국제행사 참여</t>
    <phoneticPr fontId="2" type="noConversion"/>
  </si>
  <si>
    <t>대변인</t>
    <phoneticPr fontId="2" type="noConversion"/>
  </si>
  <si>
    <t>신문을 통한 홍보(자체/직접)
- 언론공익광고</t>
    <phoneticPr fontId="2" type="noConversion"/>
  </si>
  <si>
    <t>언론담당관</t>
    <phoneticPr fontId="2" type="noConversion"/>
  </si>
  <si>
    <t>홍보담당관</t>
    <phoneticPr fontId="2" type="noConversion"/>
  </si>
  <si>
    <t>도정기획홍보(자체/직접)
- 도정기획홍보</t>
    <phoneticPr fontId="2" type="noConversion"/>
  </si>
  <si>
    <t>관사증축 등 리모델링 공사(자체/직접)</t>
    <phoneticPr fontId="2" type="noConversion"/>
  </si>
  <si>
    <t>중소기업종합지원센터 사업지원(자체/직접)
- G-베이스캠프 조성</t>
    <phoneticPr fontId="2" type="noConversion"/>
  </si>
  <si>
    <t>기술닥터사업(자체/직접)
- 기술닥터사업</t>
    <phoneticPr fontId="2" type="noConversion"/>
  </si>
  <si>
    <t>4050 재취업 지원사업(자체/직접)
- 4050 재취업 지원사업</t>
    <phoneticPr fontId="2" type="noConversion"/>
  </si>
  <si>
    <t>안전행정실</t>
    <phoneticPr fontId="2" type="noConversion"/>
  </si>
  <si>
    <t>기획예산담당관</t>
    <phoneticPr fontId="2" type="noConversion"/>
  </si>
  <si>
    <t>경기북부 민간사업 전략 개발(자체/직접)
- 경기북부 민간사업 전략개발 지원</t>
    <phoneticPr fontId="2" type="noConversion"/>
  </si>
  <si>
    <t>경기항공전 개최(자체/직접)
- 2014 경기항공전 개최</t>
    <phoneticPr fontId="2" type="noConversion"/>
  </si>
  <si>
    <t>1회</t>
    <phoneticPr fontId="2" type="noConversion"/>
  </si>
  <si>
    <t>축산정책과</t>
    <phoneticPr fontId="2" type="noConversion"/>
  </si>
  <si>
    <t>소득안정자금(성립전)</t>
    <phoneticPr fontId="2" type="noConversion"/>
  </si>
  <si>
    <t>농림축산식품부 축산경영과-5365(2014.9.26)호 변경내시</t>
    <phoneticPr fontId="2" type="noConversion"/>
  </si>
  <si>
    <t>기금</t>
    <phoneticPr fontId="6" type="noConversion"/>
  </si>
  <si>
    <t>소득안정자금(기금/지원)
 - 소득안정자금</t>
    <phoneticPr fontId="2" type="noConversion"/>
  </si>
  <si>
    <t>농림축산식품부 축산경영과-5365(2014.9.26)호 변경내시</t>
  </si>
  <si>
    <t>기금</t>
    <phoneticPr fontId="2" type="noConversion"/>
  </si>
  <si>
    <t>택시 카드단말기 통신료 지원(자체/지원)
- 택시 카드단말기 통신료 지원</t>
    <phoneticPr fontId="2" type="noConversion"/>
  </si>
  <si>
    <t>대중교통과</t>
    <phoneticPr fontId="6" type="noConversion"/>
  </si>
  <si>
    <t>버스 좌석제 운행 손실보전(자체/지원)
- 버스 좌석제 운행 손실보전금</t>
    <phoneticPr fontId="2" type="noConversion"/>
  </si>
  <si>
    <t>예결위 
조정액</t>
    <phoneticPr fontId="2" type="noConversion"/>
  </si>
  <si>
    <t>택시 카드결재수수료(자체/지원)
- 택시 카드결재수수료</t>
    <phoneticPr fontId="2" type="noConversion"/>
  </si>
  <si>
    <t>의존 매칭 도비</t>
    <phoneticPr fontId="2" type="noConversion"/>
  </si>
  <si>
    <t>자체 - 의존도비</t>
    <phoneticPr fontId="2" type="noConversion"/>
  </si>
  <si>
    <t>자체 총계</t>
    <phoneticPr fontId="2" type="noConversion"/>
  </si>
  <si>
    <t>전체 총계</t>
    <phoneticPr fontId="2" type="noConversion"/>
  </si>
  <si>
    <t>군관협력담당관</t>
    <phoneticPr fontId="2" type="noConversion"/>
  </si>
  <si>
    <t>예산담당관</t>
    <phoneticPr fontId="2" type="noConversion"/>
  </si>
  <si>
    <t>양평군 1천만원</t>
    <phoneticPr fontId="6" type="noConversion"/>
  </si>
  <si>
    <t>지방도미불용지(자체/직접)
- 지방도 미불용지 보상</t>
    <phoneticPr fontId="6" type="noConversion"/>
  </si>
  <si>
    <t>양평군 9천만원</t>
    <phoneticPr fontId="6" type="noConversion"/>
  </si>
  <si>
    <t>국비변경</t>
    <phoneticPr fontId="6" type="noConversion"/>
  </si>
  <si>
    <t>국비변경</t>
    <phoneticPr fontId="2" type="noConversion"/>
  </si>
  <si>
    <t>최종(예결위 + 국비변경)삭제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</si>
  <si>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</si>
  <si>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</si>
  <si>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</si>
  <si>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</si>
  <si>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</si>
  <si>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</si>
  <si>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</si>
  <si>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</si>
  <si>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</si>
  <si>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</si>
  <si>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</si>
  <si>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여성가족평생교육위원회</t>
    <phoneticPr fontId="6" type="noConversion"/>
  </si>
  <si>
    <t>철도물류국</t>
  </si>
  <si>
    <t>안전행정실</t>
  </si>
  <si>
    <t>균형발전국</t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</si>
  <si>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</si>
  <si>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</si>
  <si>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</si>
  <si>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</si>
  <si>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</si>
  <si>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</si>
  <si>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</si>
  <si>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경제투자실</t>
  </si>
  <si>
    <t>대외협력담당관</t>
  </si>
  <si>
    <t>평생교육국</t>
  </si>
  <si>
    <t>교통건설국</t>
  </si>
  <si>
    <t>소방재난본부</t>
  </si>
  <si>
    <t>팔당수질개선본부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</si>
  <si>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</si>
  <si>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</si>
  <si>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</si>
  <si>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</si>
  <si>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</si>
  <si>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</si>
  <si>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</si>
  <si>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</si>
  <si>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</si>
  <si>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농업기술원</t>
    <phoneticPr fontId="2" type="noConversion"/>
  </si>
  <si>
    <t>인재개발원</t>
    <phoneticPr fontId="2" type="noConversion"/>
  </si>
  <si>
    <t>보건환경연구원</t>
    <phoneticPr fontId="2" type="noConversion"/>
  </si>
  <si>
    <t>팔당수질개선본부</t>
    <phoneticPr fontId="2" type="noConversion"/>
  </si>
  <si>
    <t>소방학교</t>
    <phoneticPr fontId="2" type="noConversion"/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</si>
  <si>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</si>
  <si>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</si>
  <si>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</si>
  <si>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기정액
(A)</t>
    <phoneticPr fontId="2" type="noConversion"/>
  </si>
  <si>
    <t>비고</t>
    <phoneticPr fontId="2" type="noConversion"/>
  </si>
  <si>
    <t>1회 추경
증감액
(B)</t>
    <phoneticPr fontId="2" type="noConversion"/>
  </si>
  <si>
    <t>상임위 의견 반영</t>
    <phoneticPr fontId="2" type="noConversion"/>
  </si>
  <si>
    <t>사업효과성 미흡</t>
    <phoneticPr fontId="2" type="noConversion"/>
  </si>
  <si>
    <t>예산편성 기준 준수</t>
    <phoneticPr fontId="2" type="noConversion"/>
  </si>
  <si>
    <t>사업계획 미흡, 본예산 검토</t>
    <phoneticPr fontId="2" type="noConversion"/>
  </si>
  <si>
    <t>예산편성 과다</t>
    <phoneticPr fontId="2" type="noConversion"/>
  </si>
  <si>
    <t xml:space="preserve">세입 세출 일치를 위해 세출증감액 분 감액 </t>
    <phoneticPr fontId="2" type="noConversion"/>
  </si>
  <si>
    <t>사업필요성 인정</t>
    <phoneticPr fontId="2" type="noConversion"/>
  </si>
  <si>
    <t>한미친선 교류협력(자체/지원)
- 한미축제</t>
    <phoneticPr fontId="2" type="noConversion"/>
  </si>
  <si>
    <t>당초예산 일몰사업으로 보고</t>
    <phoneticPr fontId="2" type="noConversion"/>
  </si>
  <si>
    <t>추가 지원 필요</t>
    <phoneticPr fontId="2" type="noConversion"/>
  </si>
  <si>
    <t>DMZ 국제다큐영화제 예산 분리</t>
    <phoneticPr fontId="2" type="noConversion"/>
  </si>
  <si>
    <t>행사성경비 삭감</t>
    <phoneticPr fontId="2" type="noConversion"/>
  </si>
  <si>
    <t>사업 필요성 인정</t>
    <phoneticPr fontId="2" type="noConversion"/>
  </si>
  <si>
    <t>노인건강을 위한 사업 필요성 인정</t>
    <phoneticPr fontId="2" type="noConversion"/>
  </si>
  <si>
    <t>기정액
(A)</t>
    <phoneticPr fontId="2" type="noConversion"/>
  </si>
  <si>
    <t>지침위반</t>
    <phoneticPr fontId="2" type="noConversion"/>
  </si>
  <si>
    <t>협약금액 반영</t>
    <phoneticPr fontId="2" type="noConversion"/>
  </si>
  <si>
    <t>1회</t>
    <phoneticPr fontId="2" type="noConversion"/>
  </si>
  <si>
    <t>세입 = 세출 검증,    재정보전금 자동계산</t>
    <phoneticPr fontId="2" type="noConversion"/>
  </si>
  <si>
    <t>1회추경 재정보전금</t>
    <phoneticPr fontId="2" type="noConversion"/>
  </si>
  <si>
    <t>재정보전금 조정액</t>
    <phoneticPr fontId="2" type="noConversion"/>
  </si>
  <si>
    <t>재정보전금 조정잔액</t>
    <phoneticPr fontId="2" type="noConversion"/>
  </si>
  <si>
    <t>비고(부대의견)</t>
    <phoneticPr fontId="6" type="noConversion"/>
  </si>
  <si>
    <t>재정보전금지원(자체/지원)
-일반재정보전금</t>
    <phoneticPr fontId="2" type="noConversion"/>
  </si>
  <si>
    <t>부대의견 : 실질적으로 인큐베이팅 전에 자신의 정보를 획득 교류 할 수 있도록 프로그램운영 내실화 할 것</t>
  </si>
  <si>
    <t>부대의견 : 실국별 흩어져 있는 기술닥터 사업 통합 연계방안 강구 및 홍보강화</t>
  </si>
  <si>
    <t>부대의견 : 실수요자 위주의 교육프로그램 강화</t>
  </si>
  <si>
    <t>o 예결위 부대의견
- 신임이사장 및 경영혁신 자문역 운영 : 감 7천만원
- 관사 교육체험형 문화프로그램 운영 : 감 2억원, 5천만원은 각 지역 소규모 축제 지원 용도</t>
  </si>
  <si>
    <t>부대의견 : 일몰시점을 명확히 하고 연차계획 수립할것</t>
  </si>
  <si>
    <t>부대의견 : 국토부와 협의한 것으로 국가정책으로 확정한 것이기 때문에 경기도는 국비지원 요청 착수할 것</t>
  </si>
  <si>
    <t>부대의견 : 도 교육청과 협의하여 추진계획 수립후 추진</t>
  </si>
  <si>
    <t>기정액
(나)</t>
    <phoneticPr fontId="6" type="noConversion"/>
  </si>
  <si>
    <t>제1회 추경
증감액
(다=가-나)</t>
    <phoneticPr fontId="6" type="noConversion"/>
  </si>
  <si>
    <t>예결위 제1회 추경 
예산안 조정액(라)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</si>
  <si>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(마=나+다+라)</t>
    </r>
    <phoneticPr fontId="6" type="noConversion"/>
  </si>
  <si>
    <t>'14년도 제1회 경기도 일반 및 특별회계 세입·세출 추가경정예산 수정안[전체예산총괄]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</si>
</sst>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#,##0;[Red]&quot;△&quot;#,##0"/>
    <numFmt numFmtId="177" formatCode="#,##0_ "/>
    <numFmt numFmtId="178" formatCode="_ * #,##0_ ;_ * \-#,##0_ ;_ * &quot;-&quot;_ ;_ @_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  <numFmt numFmtId="183" formatCode="#,##0;&quot;△&quot;#,##0"/>
    <numFmt numFmtId="184" formatCode="#,##0\ ;&quot;△&quot;#,##0\ "/>
    <numFmt numFmtId="185" formatCode="0.000"/>
    <numFmt numFmtId="186" formatCode="#,##0;\△#,##0"/>
  </numFmts>
  <fonts count="9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돋움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name val="맑은 고딕"/>
      <family val="3"/>
      <charset val="129"/>
      <scheme val="major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sz val="10"/>
      <color rgb="FF0000CC"/>
      <name val="맑은 고딕"/>
      <family val="3"/>
      <charset val="129"/>
      <scheme val="minor"/>
    </font>
    <font>
      <b/>
      <sz val="18"/>
      <color rgb="FF0000CC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rgb="FFFFFF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12"/>
      <name val="굴림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9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2" borderId="1" applyNumberForma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5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9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22" borderId="9" applyNumberFormat="0" applyAlignment="0" applyProtection="0">
      <alignment vertical="center"/>
    </xf>
    <xf numFmtId="0" fontId="39" fillId="0" borderId="0"/>
    <xf numFmtId="41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4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41" fillId="0" borderId="0" applyFont="0" applyFill="0" applyBorder="0" applyAlignment="0" applyProtection="0"/>
    <xf numFmtId="182" fontId="11" fillId="0" borderId="0" applyFont="0" applyFill="0" applyBorder="0" applyAlignment="0" applyProtection="0"/>
    <xf numFmtId="38" fontId="42" fillId="22" borderId="0" applyNumberFormat="0" applyBorder="0" applyAlignment="0" applyProtection="0"/>
    <xf numFmtId="0" fontId="43" fillId="0" borderId="17" applyNumberFormat="0" applyAlignment="0" applyProtection="0">
      <alignment horizontal="left" vertical="center"/>
    </xf>
    <xf numFmtId="0" fontId="43" fillId="0" borderId="16">
      <alignment horizontal="left" vertical="center"/>
    </xf>
    <xf numFmtId="10" fontId="42" fillId="23" borderId="10" applyNumberFormat="0" applyBorder="0" applyAlignment="0" applyProtection="0"/>
    <xf numFmtId="182" fontId="11" fillId="0" borderId="0"/>
    <xf numFmtId="0" fontId="44" fillId="0" borderId="0"/>
    <xf numFmtId="10" fontId="44" fillId="0" borderId="0" applyFont="0" applyFill="0" applyBorder="0" applyAlignment="0" applyProtection="0"/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8" borderId="1" applyNumberFormat="0" applyAlignment="0" applyProtection="0">
      <alignment vertical="center"/>
    </xf>
    <xf numFmtId="0" fontId="15" fillId="48" borderId="1" applyNumberFormat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1" fillId="49" borderId="2" applyNumberFormat="0" applyFont="0" applyAlignment="0" applyProtection="0">
      <alignment vertical="center"/>
    </xf>
    <xf numFmtId="0" fontId="11" fillId="49" borderId="2" applyNumberFormat="0" applyFont="0" applyAlignment="0" applyProtection="0">
      <alignment vertical="center"/>
    </xf>
    <xf numFmtId="9" fontId="61" fillId="0" borderId="0" applyFont="0" applyFill="0" applyAlignment="0" applyProtection="0"/>
    <xf numFmtId="0" fontId="17" fillId="5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1" borderId="3" applyNumberFormat="0" applyAlignment="0" applyProtection="0">
      <alignment vertical="center"/>
    </xf>
    <xf numFmtId="0" fontId="19" fillId="51" borderId="3" applyNumberFormat="0" applyAlignment="0" applyProtection="0">
      <alignment vertical="center"/>
    </xf>
    <xf numFmtId="185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35" borderId="1" applyNumberFormat="0" applyAlignment="0" applyProtection="0">
      <alignment vertical="center"/>
    </xf>
    <xf numFmtId="0" fontId="22" fillId="35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8" borderId="9" applyNumberFormat="0" applyAlignment="0" applyProtection="0">
      <alignment vertical="center"/>
    </xf>
    <xf numFmtId="0" fontId="28" fillId="48" borderId="9" applyNumberForma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182" fontId="11" fillId="0" borderId="0"/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5" fillId="48" borderId="1" applyNumberFormat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1" fillId="49" borderId="2" applyNumberFormat="0" applyFont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9" fillId="51" borderId="3" applyNumberFormat="0" applyAlignment="0" applyProtection="0">
      <alignment vertical="center"/>
    </xf>
    <xf numFmtId="0" fontId="22" fillId="35" borderId="1" applyNumberFormat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8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363">
    <xf numFmtId="0" fontId="0" fillId="0" borderId="0" xfId="0">
      <alignment vertical="center"/>
    </xf>
    <xf numFmtId="176" fontId="5" fillId="3" borderId="10" xfId="1" applyNumberFormat="1" applyFont="1" applyFill="1" applyBorder="1" applyAlignment="1">
      <alignment horizontal="left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5" fillId="3" borderId="10" xfId="1" applyNumberFormat="1" applyFont="1" applyFill="1" applyBorder="1" applyAlignment="1">
      <alignment horizontal="left" vertical="center" shrinkToFit="1"/>
    </xf>
    <xf numFmtId="0" fontId="11" fillId="0" borderId="0" xfId="2"/>
    <xf numFmtId="0" fontId="32" fillId="0" borderId="0" xfId="2" applyNumberFormat="1" applyFon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4" fillId="0" borderId="0" xfId="2" applyFont="1" applyAlignment="1">
      <alignment horizontal="centerContinuous"/>
    </xf>
    <xf numFmtId="0" fontId="33" fillId="0" borderId="0" xfId="2" applyFont="1" applyAlignment="1">
      <alignment horizontal="centerContinuous"/>
    </xf>
    <xf numFmtId="0" fontId="32" fillId="0" borderId="0" xfId="2" applyFont="1" applyAlignment="1">
      <alignment horizontal="left"/>
    </xf>
    <xf numFmtId="0" fontId="35" fillId="0" borderId="0" xfId="2" applyNumberFormat="1" applyFont="1" applyAlignment="1">
      <alignment horizontal="centerContinuous"/>
    </xf>
    <xf numFmtId="0" fontId="11" fillId="0" borderId="0" xfId="2" applyNumberFormat="1" applyAlignment="1">
      <alignment horizontal="centerContinuous"/>
    </xf>
    <xf numFmtId="0" fontId="36" fillId="0" borderId="0" xfId="2" applyNumberFormat="1" applyFont="1" applyAlignment="1">
      <alignment horizontal="centerContinuous"/>
    </xf>
    <xf numFmtId="0" fontId="38" fillId="0" borderId="0" xfId="2" applyFont="1"/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29" fillId="0" borderId="0" xfId="0" applyNumberFormat="1" applyFont="1" applyAlignment="1">
      <alignment horizontal="right"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horizontal="center" vertical="center"/>
    </xf>
    <xf numFmtId="0" fontId="48" fillId="0" borderId="0" xfId="2" applyFont="1"/>
    <xf numFmtId="0" fontId="49" fillId="0" borderId="0" xfId="2" applyFont="1"/>
    <xf numFmtId="0" fontId="47" fillId="0" borderId="0" xfId="2" applyFont="1" applyAlignment="1">
      <alignment horizontal="center" vertical="center"/>
    </xf>
    <xf numFmtId="0" fontId="50" fillId="0" borderId="0" xfId="2" applyFont="1" applyAlignment="1">
      <alignment vertical="center"/>
    </xf>
    <xf numFmtId="0" fontId="50" fillId="0" borderId="0" xfId="2" applyFont="1" applyAlignment="1"/>
    <xf numFmtId="0" fontId="50" fillId="0" borderId="0" xfId="2" applyFont="1"/>
    <xf numFmtId="0" fontId="51" fillId="0" borderId="0" xfId="2" applyFont="1" applyAlignment="1">
      <alignment vertical="center"/>
    </xf>
    <xf numFmtId="0" fontId="49" fillId="0" borderId="0" xfId="2" applyFont="1" applyAlignment="1">
      <alignment vertical="center"/>
    </xf>
    <xf numFmtId="183" fontId="49" fillId="0" borderId="0" xfId="2" applyNumberFormat="1" applyFont="1" applyAlignment="1">
      <alignment vertical="center"/>
    </xf>
    <xf numFmtId="0" fontId="49" fillId="0" borderId="0" xfId="2" applyFont="1" applyAlignment="1">
      <alignment horizontal="right" vertical="center"/>
    </xf>
    <xf numFmtId="41" fontId="48" fillId="0" borderId="0" xfId="2" applyNumberFormat="1" applyFont="1" applyAlignment="1">
      <alignment vertical="center"/>
    </xf>
    <xf numFmtId="0" fontId="48" fillId="0" borderId="0" xfId="2" applyFont="1" applyAlignment="1">
      <alignment vertical="center"/>
    </xf>
    <xf numFmtId="0" fontId="48" fillId="0" borderId="18" xfId="2" applyFont="1" applyBorder="1" applyAlignment="1">
      <alignment vertical="center"/>
    </xf>
    <xf numFmtId="0" fontId="48" fillId="0" borderId="14" xfId="2" applyFont="1" applyBorder="1" applyAlignment="1">
      <alignment horizontal="center" vertical="center"/>
    </xf>
    <xf numFmtId="0" fontId="48" fillId="0" borderId="15" xfId="2" applyFont="1" applyBorder="1" applyAlignment="1">
      <alignment horizontal="center" vertical="center" wrapText="1"/>
    </xf>
    <xf numFmtId="0" fontId="48" fillId="0" borderId="10" xfId="2" applyFont="1" applyBorder="1" applyAlignment="1">
      <alignment horizontal="center" vertical="center" wrapText="1"/>
    </xf>
    <xf numFmtId="183" fontId="53" fillId="29" borderId="15" xfId="2" applyNumberFormat="1" applyFont="1" applyFill="1" applyBorder="1" applyAlignment="1">
      <alignment horizontal="right" vertical="center"/>
    </xf>
    <xf numFmtId="183" fontId="48" fillId="0" borderId="14" xfId="2" applyNumberFormat="1" applyFont="1" applyBorder="1" applyAlignment="1">
      <alignment horizontal="right" vertical="center"/>
    </xf>
    <xf numFmtId="184" fontId="54" fillId="0" borderId="27" xfId="2" applyNumberFormat="1" applyFont="1" applyBorder="1" applyAlignment="1">
      <alignment vertical="center"/>
    </xf>
    <xf numFmtId="0" fontId="55" fillId="13" borderId="28" xfId="2" applyFont="1" applyFill="1" applyBorder="1" applyAlignment="1">
      <alignment vertical="center" wrapText="1"/>
    </xf>
    <xf numFmtId="184" fontId="53" fillId="0" borderId="15" xfId="45" applyNumberFormat="1" applyFont="1" applyBorder="1" applyAlignment="1">
      <alignment vertical="center"/>
    </xf>
    <xf numFmtId="184" fontId="48" fillId="0" borderId="10" xfId="45" applyNumberFormat="1" applyFont="1" applyBorder="1" applyAlignment="1">
      <alignment vertical="center"/>
    </xf>
    <xf numFmtId="184" fontId="48" fillId="0" borderId="10" xfId="2" applyNumberFormat="1" applyFont="1" applyBorder="1" applyAlignment="1">
      <alignment vertical="center"/>
    </xf>
    <xf numFmtId="41" fontId="53" fillId="0" borderId="0" xfId="45" applyFont="1" applyBorder="1" applyAlignment="1">
      <alignment vertical="center"/>
    </xf>
    <xf numFmtId="183" fontId="57" fillId="0" borderId="15" xfId="2" applyNumberFormat="1" applyFont="1" applyBorder="1" applyAlignment="1">
      <alignment horizontal="right" vertical="center" wrapText="1"/>
    </xf>
    <xf numFmtId="183" fontId="57" fillId="0" borderId="10" xfId="2" applyNumberFormat="1" applyFont="1" applyBorder="1" applyAlignment="1">
      <alignment horizontal="right" vertical="center" wrapText="1"/>
    </xf>
    <xf numFmtId="183" fontId="56" fillId="9" borderId="29" xfId="2" applyNumberFormat="1" applyFont="1" applyFill="1" applyBorder="1" applyAlignment="1">
      <alignment vertical="center"/>
    </xf>
    <xf numFmtId="183" fontId="48" fillId="0" borderId="0" xfId="2" applyNumberFormat="1" applyFont="1"/>
    <xf numFmtId="0" fontId="48" fillId="0" borderId="0" xfId="2" applyFont="1" applyAlignment="1">
      <alignment horizontal="center" wrapText="1"/>
    </xf>
    <xf numFmtId="0" fontId="48" fillId="0" borderId="0" xfId="2" applyFont="1" applyAlignment="1">
      <alignment wrapText="1"/>
    </xf>
    <xf numFmtId="176" fontId="52" fillId="0" borderId="0" xfId="45" applyNumberFormat="1" applyFont="1" applyFill="1" applyBorder="1" applyAlignment="1">
      <alignment horizontal="right" vertical="center" shrinkToFit="1"/>
    </xf>
    <xf numFmtId="176" fontId="52" fillId="0" borderId="0" xfId="45" applyNumberFormat="1" applyFont="1" applyFill="1" applyBorder="1" applyAlignment="1">
      <alignment horizontal="center" vertical="center" shrinkToFit="1"/>
    </xf>
    <xf numFmtId="0" fontId="48" fillId="0" borderId="0" xfId="2" applyFont="1" applyFill="1"/>
    <xf numFmtId="183" fontId="48" fillId="0" borderId="0" xfId="45" applyNumberFormat="1" applyFont="1" applyBorder="1" applyAlignment="1">
      <alignment vertical="center"/>
    </xf>
    <xf numFmtId="0" fontId="49" fillId="0" borderId="0" xfId="2" applyFont="1" applyFill="1"/>
    <xf numFmtId="0" fontId="56" fillId="0" borderId="0" xfId="2" applyFont="1" applyFill="1"/>
    <xf numFmtId="0" fontId="58" fillId="0" borderId="0" xfId="2" applyFont="1" applyFill="1"/>
    <xf numFmtId="0" fontId="50" fillId="0" borderId="0" xfId="2" applyFont="1" applyAlignment="1">
      <alignment horizontal="left" vertical="center"/>
    </xf>
    <xf numFmtId="0" fontId="50" fillId="0" borderId="0" xfId="2" applyFont="1" applyAlignment="1">
      <alignment horizontal="right" vertical="center"/>
    </xf>
    <xf numFmtId="177" fontId="48" fillId="0" borderId="0" xfId="2" applyNumberFormat="1" applyFont="1" applyAlignment="1">
      <alignment vertical="center"/>
    </xf>
    <xf numFmtId="0" fontId="59" fillId="0" borderId="30" xfId="2" applyNumberFormat="1" applyFont="1" applyFill="1" applyBorder="1" applyAlignment="1"/>
    <xf numFmtId="0" fontId="49" fillId="0" borderId="10" xfId="2" applyFont="1" applyBorder="1" applyAlignment="1">
      <alignment horizontal="center"/>
    </xf>
    <xf numFmtId="0" fontId="5" fillId="0" borderId="10" xfId="2" applyNumberFormat="1" applyFont="1" applyFill="1" applyBorder="1" applyAlignment="1">
      <alignment horizontal="center"/>
    </xf>
    <xf numFmtId="177" fontId="59" fillId="0" borderId="13" xfId="2" applyNumberFormat="1" applyFont="1" applyFill="1" applyBorder="1" applyAlignment="1"/>
    <xf numFmtId="176" fontId="33" fillId="0" borderId="0" xfId="2" applyNumberFormat="1" applyFont="1" applyAlignment="1">
      <alignment vertical="center"/>
    </xf>
    <xf numFmtId="176" fontId="60" fillId="0" borderId="0" xfId="2" applyNumberFormat="1" applyFont="1" applyAlignment="1">
      <alignment vertical="center"/>
    </xf>
    <xf numFmtId="0" fontId="48" fillId="28" borderId="0" xfId="2" applyFont="1" applyFill="1"/>
    <xf numFmtId="176" fontId="10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7" fillId="0" borderId="10" xfId="0" applyNumberFormat="1" applyFont="1" applyBorder="1" applyAlignment="1">
      <alignment horizontal="left" vertical="center"/>
    </xf>
    <xf numFmtId="176" fontId="5" fillId="4" borderId="10" xfId="1" applyNumberFormat="1" applyFont="1" applyFill="1" applyBorder="1" applyAlignment="1">
      <alignment horizontal="left" vertical="center"/>
    </xf>
    <xf numFmtId="176" fontId="30" fillId="0" borderId="10" xfId="0" applyNumberFormat="1" applyFont="1" applyBorder="1" applyAlignment="1">
      <alignment vertical="center" wrapText="1"/>
    </xf>
    <xf numFmtId="176" fontId="31" fillId="3" borderId="10" xfId="1" applyNumberFormat="1" applyFont="1" applyFill="1" applyBorder="1" applyAlignment="1">
      <alignment vertical="center" wrapText="1"/>
    </xf>
    <xf numFmtId="176" fontId="31" fillId="4" borderId="10" xfId="1" applyNumberFormat="1" applyFont="1" applyFill="1" applyBorder="1" applyAlignment="1">
      <alignment vertical="center" wrapText="1"/>
    </xf>
    <xf numFmtId="176" fontId="4" fillId="0" borderId="10" xfId="0" applyNumberFormat="1" applyFont="1" applyFill="1" applyBorder="1">
      <alignment vertical="center"/>
    </xf>
    <xf numFmtId="176" fontId="5" fillId="3" borderId="10" xfId="1" applyNumberFormat="1" applyFont="1" applyFill="1" applyBorder="1" applyAlignment="1">
      <alignment horizontal="center" vertical="center" shrinkToFit="1"/>
    </xf>
    <xf numFmtId="176" fontId="5" fillId="3" borderId="10" xfId="1" applyNumberFormat="1" applyFont="1" applyFill="1" applyBorder="1" applyAlignment="1">
      <alignment horizontal="right" vertical="center" shrinkToFit="1"/>
    </xf>
    <xf numFmtId="176" fontId="7" fillId="0" borderId="10" xfId="0" applyNumberFormat="1" applyFont="1" applyBorder="1" applyAlignment="1">
      <alignment horizontal="right" vertical="center" shrinkToFit="1"/>
    </xf>
    <xf numFmtId="176" fontId="5" fillId="4" borderId="10" xfId="1" applyNumberFormat="1" applyFont="1" applyFill="1" applyBorder="1" applyAlignment="1">
      <alignment vertical="center"/>
    </xf>
    <xf numFmtId="176" fontId="5" fillId="4" borderId="10" xfId="1" applyNumberFormat="1" applyFont="1" applyFill="1" applyBorder="1" applyAlignment="1">
      <alignment vertical="center" shrinkToFit="1"/>
    </xf>
    <xf numFmtId="176" fontId="5" fillId="4" borderId="10" xfId="1" applyNumberFormat="1" applyFont="1" applyFill="1" applyBorder="1" applyAlignment="1">
      <alignment horizontal="center" vertical="center" shrinkToFit="1"/>
    </xf>
    <xf numFmtId="176" fontId="5" fillId="4" borderId="10" xfId="1" applyNumberFormat="1" applyFont="1" applyFill="1" applyBorder="1" applyAlignment="1">
      <alignment horizontal="right" vertical="center" shrinkToFit="1"/>
    </xf>
    <xf numFmtId="176" fontId="4" fillId="0" borderId="10" xfId="0" applyNumberFormat="1" applyFont="1" applyBorder="1" applyAlignment="1">
      <alignment horizontal="center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3" fillId="0" borderId="10" xfId="0" applyNumberFormat="1" applyFont="1" applyBorder="1">
      <alignment vertical="center"/>
    </xf>
    <xf numFmtId="176" fontId="4" fillId="0" borderId="10" xfId="0" applyNumberFormat="1" applyFont="1" applyBorder="1" applyAlignment="1">
      <alignment horizontal="right" vertical="center" shrinkToFit="1"/>
    </xf>
    <xf numFmtId="176" fontId="4" fillId="27" borderId="10" xfId="1" applyNumberFormat="1" applyFont="1" applyFill="1" applyBorder="1" applyAlignment="1">
      <alignment horizontal="right" vertical="center" shrinkToFit="1"/>
    </xf>
    <xf numFmtId="176" fontId="3" fillId="0" borderId="0" xfId="0" applyNumberFormat="1" applyFont="1">
      <alignment vertical="center"/>
    </xf>
    <xf numFmtId="0" fontId="47" fillId="0" borderId="0" xfId="2" applyFont="1" applyAlignment="1">
      <alignment horizontal="center" vertical="center" wrapText="1"/>
    </xf>
    <xf numFmtId="0" fontId="49" fillId="29" borderId="10" xfId="2" applyFont="1" applyFill="1" applyBorder="1" applyAlignment="1">
      <alignment horizontal="center" vertical="center"/>
    </xf>
    <xf numFmtId="0" fontId="48" fillId="0" borderId="15" xfId="2" applyFont="1" applyBorder="1" applyAlignment="1">
      <alignment horizontal="center" vertical="center"/>
    </xf>
    <xf numFmtId="0" fontId="48" fillId="0" borderId="34" xfId="2" applyFont="1" applyBorder="1" applyAlignment="1">
      <alignment horizontal="center" vertical="center"/>
    </xf>
    <xf numFmtId="41" fontId="48" fillId="0" borderId="10" xfId="45" applyFont="1" applyBorder="1" applyAlignment="1">
      <alignment horizontal="right" vertical="center"/>
    </xf>
    <xf numFmtId="176" fontId="52" fillId="0" borderId="10" xfId="45" applyNumberFormat="1" applyFont="1" applyFill="1" applyBorder="1" applyAlignment="1">
      <alignment horizontal="right" vertical="center" shrinkToFit="1"/>
    </xf>
    <xf numFmtId="41" fontId="48" fillId="0" borderId="35" xfId="45" applyFont="1" applyBorder="1" applyAlignment="1">
      <alignment horizontal="right" vertical="center"/>
    </xf>
    <xf numFmtId="0" fontId="48" fillId="0" borderId="34" xfId="2" applyFont="1" applyBorder="1" applyAlignment="1">
      <alignment horizontal="center" vertical="center" wrapText="1"/>
    </xf>
    <xf numFmtId="183" fontId="53" fillId="29" borderId="16" xfId="2" applyNumberFormat="1" applyFont="1" applyFill="1" applyBorder="1" applyAlignment="1">
      <alignment vertical="center"/>
    </xf>
    <xf numFmtId="41" fontId="48" fillId="0" borderId="16" xfId="2" applyNumberFormat="1" applyFont="1" applyBorder="1" applyAlignment="1">
      <alignment horizontal="center" vertical="center"/>
    </xf>
    <xf numFmtId="184" fontId="54" fillId="0" borderId="0" xfId="2" applyNumberFormat="1" applyFont="1" applyBorder="1" applyAlignment="1">
      <alignment vertical="center"/>
    </xf>
    <xf numFmtId="0" fontId="55" fillId="13" borderId="0" xfId="2" applyFont="1" applyFill="1" applyBorder="1" applyAlignment="1">
      <alignment vertical="center" wrapText="1"/>
    </xf>
    <xf numFmtId="41" fontId="48" fillId="0" borderId="0" xfId="45" applyFont="1" applyBorder="1" applyAlignment="1">
      <alignment vertical="center"/>
    </xf>
    <xf numFmtId="183" fontId="48" fillId="0" borderId="0" xfId="2" applyNumberFormat="1" applyFont="1" applyBorder="1" applyAlignment="1">
      <alignment vertical="center"/>
    </xf>
    <xf numFmtId="0" fontId="48" fillId="0" borderId="34" xfId="2" applyFont="1" applyFill="1" applyBorder="1" applyAlignment="1">
      <alignment horizontal="center" vertical="center"/>
    </xf>
    <xf numFmtId="41" fontId="56" fillId="0" borderId="10" xfId="45" applyFont="1" applyBorder="1" applyAlignment="1">
      <alignment horizontal="right" vertical="center"/>
    </xf>
    <xf numFmtId="0" fontId="48" fillId="0" borderId="36" xfId="2" applyFont="1" applyBorder="1" applyAlignment="1">
      <alignment horizontal="center" vertical="center"/>
    </xf>
    <xf numFmtId="41" fontId="64" fillId="0" borderId="0" xfId="2" applyNumberFormat="1" applyFont="1"/>
    <xf numFmtId="0" fontId="54" fillId="0" borderId="0" xfId="2" applyFont="1" applyAlignment="1">
      <alignment wrapText="1"/>
    </xf>
    <xf numFmtId="41" fontId="48" fillId="0" borderId="10" xfId="45" applyFont="1" applyFill="1" applyBorder="1" applyAlignment="1">
      <alignment horizontal="right" vertical="center"/>
    </xf>
    <xf numFmtId="0" fontId="56" fillId="0" borderId="34" xfId="2" applyFont="1" applyFill="1" applyBorder="1" applyAlignment="1">
      <alignment horizontal="center" vertical="center"/>
    </xf>
    <xf numFmtId="41" fontId="56" fillId="0" borderId="10" xfId="45" applyFont="1" applyFill="1" applyBorder="1" applyAlignment="1">
      <alignment horizontal="right" vertical="center"/>
    </xf>
    <xf numFmtId="0" fontId="48" fillId="0" borderId="27" xfId="2" applyFont="1" applyFill="1" applyBorder="1" applyAlignment="1">
      <alignment horizontal="center" vertical="center"/>
    </xf>
    <xf numFmtId="41" fontId="48" fillId="0" borderId="37" xfId="45" applyFont="1" applyFill="1" applyBorder="1" applyAlignment="1">
      <alignment horizontal="right" vertical="center"/>
    </xf>
    <xf numFmtId="176" fontId="52" fillId="0" borderId="37" xfId="45" applyNumberFormat="1" applyFont="1" applyFill="1" applyBorder="1" applyAlignment="1">
      <alignment horizontal="right" vertical="center" shrinkToFit="1"/>
    </xf>
    <xf numFmtId="41" fontId="48" fillId="0" borderId="28" xfId="45" applyFont="1" applyBorder="1" applyAlignment="1">
      <alignment horizontal="right" vertical="center"/>
    </xf>
    <xf numFmtId="0" fontId="48" fillId="0" borderId="27" xfId="2" applyFont="1" applyBorder="1" applyAlignment="1">
      <alignment horizontal="center" vertical="center"/>
    </xf>
    <xf numFmtId="41" fontId="48" fillId="0" borderId="37" xfId="45" applyFont="1" applyBorder="1" applyAlignment="1">
      <alignment horizontal="right" vertical="center"/>
    </xf>
    <xf numFmtId="41" fontId="49" fillId="0" borderId="0" xfId="2" applyNumberFormat="1" applyFont="1"/>
    <xf numFmtId="41" fontId="48" fillId="0" borderId="0" xfId="2" applyNumberFormat="1" applyFont="1"/>
    <xf numFmtId="177" fontId="65" fillId="0" borderId="10" xfId="2" applyNumberFormat="1" applyFont="1" applyFill="1" applyBorder="1" applyAlignment="1"/>
    <xf numFmtId="176" fontId="63" fillId="0" borderId="0" xfId="0" applyNumberFormat="1" applyFont="1">
      <alignment vertical="center"/>
    </xf>
    <xf numFmtId="183" fontId="6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176" fontId="4" fillId="0" borderId="10" xfId="0" applyNumberFormat="1" applyFont="1" applyBorder="1" applyAlignment="1">
      <alignment horizontal="left" vertical="center" wrapText="1"/>
    </xf>
    <xf numFmtId="176" fontId="4" fillId="0" borderId="10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7" fillId="0" borderId="10" xfId="0" applyFont="1" applyBorder="1">
      <alignment vertical="center"/>
    </xf>
    <xf numFmtId="0" fontId="7" fillId="0" borderId="10" xfId="0" applyFont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3" fillId="0" borderId="10" xfId="0" applyFont="1" applyBorder="1">
      <alignment vertical="center"/>
    </xf>
    <xf numFmtId="176" fontId="5" fillId="4" borderId="10" xfId="1" applyNumberFormat="1" applyFont="1" applyFill="1" applyBorder="1" applyAlignment="1">
      <alignment horizontal="left" vertical="center" wrapText="1" shrinkToFit="1"/>
    </xf>
    <xf numFmtId="0" fontId="4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3" fontId="8" fillId="0" borderId="10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68" fillId="0" borderId="10" xfId="0" applyFont="1" applyBorder="1" applyAlignment="1">
      <alignment horizontal="center" vertical="center"/>
    </xf>
    <xf numFmtId="41" fontId="8" fillId="0" borderId="10" xfId="1" applyFont="1" applyBorder="1" applyAlignment="1">
      <alignment horizontal="center" vertical="center"/>
    </xf>
    <xf numFmtId="0" fontId="4" fillId="0" borderId="10" xfId="0" applyFont="1" applyBorder="1">
      <alignment vertical="center"/>
    </xf>
    <xf numFmtId="3" fontId="69" fillId="0" borderId="10" xfId="0" applyNumberFormat="1" applyFont="1" applyFill="1" applyBorder="1" applyAlignment="1">
      <alignment horizontal="left" vertical="center" wrapText="1"/>
    </xf>
    <xf numFmtId="0" fontId="70" fillId="0" borderId="10" xfId="0" applyFont="1" applyFill="1" applyBorder="1" applyAlignment="1">
      <alignment horizontal="center" vertical="center" wrapText="1"/>
    </xf>
    <xf numFmtId="3" fontId="71" fillId="27" borderId="10" xfId="0" applyNumberFormat="1" applyFont="1" applyFill="1" applyBorder="1" applyAlignment="1">
      <alignment horizontal="left" vertical="center" wrapText="1"/>
    </xf>
    <xf numFmtId="41" fontId="8" fillId="0" borderId="10" xfId="1" applyFont="1" applyBorder="1" applyAlignment="1">
      <alignment vertical="center"/>
    </xf>
    <xf numFmtId="176" fontId="4" fillId="0" borderId="10" xfId="0" applyNumberFormat="1" applyFont="1" applyBorder="1" applyAlignment="1">
      <alignment vertical="center" wrapText="1"/>
    </xf>
    <xf numFmtId="41" fontId="5" fillId="3" borderId="10" xfId="1" applyFont="1" applyFill="1" applyBorder="1" applyAlignment="1">
      <alignment horizontal="center" vertical="center" shrinkToFit="1"/>
    </xf>
    <xf numFmtId="41" fontId="5" fillId="4" borderId="10" xfId="1" applyFont="1" applyFill="1" applyBorder="1" applyAlignment="1">
      <alignment horizontal="center" vertical="center" shrinkToFit="1"/>
    </xf>
    <xf numFmtId="41" fontId="8" fillId="0" borderId="10" xfId="1" applyFont="1" applyBorder="1" applyAlignment="1">
      <alignment horizontal="center" vertical="center" wrapText="1"/>
    </xf>
    <xf numFmtId="176" fontId="5" fillId="4" borderId="10" xfId="1" applyNumberFormat="1" applyFont="1" applyFill="1" applyBorder="1" applyAlignment="1">
      <alignment vertical="center" wrapText="1"/>
    </xf>
    <xf numFmtId="176" fontId="5" fillId="3" borderId="10" xfId="1" applyNumberFormat="1" applyFont="1" applyFill="1" applyBorder="1" applyAlignment="1">
      <alignment vertical="center" wrapText="1"/>
    </xf>
    <xf numFmtId="176" fontId="73" fillId="27" borderId="10" xfId="1" applyNumberFormat="1" applyFont="1" applyFill="1" applyBorder="1" applyAlignment="1">
      <alignment horizontal="center" vertical="center" shrinkToFit="1"/>
    </xf>
    <xf numFmtId="41" fontId="4" fillId="0" borderId="10" xfId="1" applyFont="1" applyBorder="1" applyAlignment="1">
      <alignment horizontal="right" vertical="center" shrinkToFit="1"/>
    </xf>
    <xf numFmtId="176" fontId="73" fillId="4" borderId="10" xfId="1" applyNumberFormat="1" applyFont="1" applyFill="1" applyBorder="1" applyAlignment="1">
      <alignment vertical="center" shrinkToFit="1"/>
    </xf>
    <xf numFmtId="176" fontId="73" fillId="3" borderId="10" xfId="1" applyNumberFormat="1" applyFont="1" applyFill="1" applyBorder="1" applyAlignment="1">
      <alignment vertical="center" wrapText="1"/>
    </xf>
    <xf numFmtId="176" fontId="73" fillId="4" borderId="10" xfId="1" applyNumberFormat="1" applyFont="1" applyFill="1" applyBorder="1" applyAlignment="1">
      <alignment vertical="center" wrapText="1"/>
    </xf>
    <xf numFmtId="176" fontId="74" fillId="4" borderId="10" xfId="1" applyNumberFormat="1" applyFont="1" applyFill="1" applyBorder="1" applyAlignment="1">
      <alignment vertical="center" wrapText="1"/>
    </xf>
    <xf numFmtId="0" fontId="70" fillId="0" borderId="10" xfId="0" applyFont="1" applyFill="1" applyBorder="1" applyAlignment="1">
      <alignment horizontal="left" vertical="center" wrapText="1"/>
    </xf>
    <xf numFmtId="176" fontId="75" fillId="0" borderId="10" xfId="0" applyNumberFormat="1" applyFont="1" applyBorder="1" applyAlignment="1">
      <alignment horizontal="center" vertical="center" shrinkToFit="1"/>
    </xf>
    <xf numFmtId="176" fontId="3" fillId="0" borderId="10" xfId="0" applyNumberFormat="1" applyFont="1" applyFill="1" applyBorder="1" applyAlignment="1">
      <alignment horizontal="left" vertical="center"/>
    </xf>
    <xf numFmtId="176" fontId="4" fillId="0" borderId="10" xfId="0" applyNumberFormat="1" applyFont="1" applyFill="1" applyBorder="1" applyAlignment="1">
      <alignment horizontal="center" vertical="center"/>
    </xf>
    <xf numFmtId="176" fontId="76" fillId="0" borderId="10" xfId="0" applyNumberFormat="1" applyFont="1" applyBorder="1">
      <alignment vertical="center"/>
    </xf>
    <xf numFmtId="176" fontId="74" fillId="0" borderId="10" xfId="1" applyNumberFormat="1" applyFont="1" applyBorder="1" applyAlignment="1">
      <alignment horizontal="right" vertical="center" shrinkToFit="1"/>
    </xf>
    <xf numFmtId="176" fontId="74" fillId="0" borderId="10" xfId="0" applyNumberFormat="1" applyFont="1" applyBorder="1" applyAlignment="1">
      <alignment horizontal="center" vertical="center" shrinkToFit="1"/>
    </xf>
    <xf numFmtId="176" fontId="72" fillId="0" borderId="10" xfId="0" applyNumberFormat="1" applyFont="1" applyBorder="1" applyAlignment="1">
      <alignment horizontal="center" vertical="center" shrinkToFit="1"/>
    </xf>
    <xf numFmtId="176" fontId="74" fillId="0" borderId="0" xfId="0" applyNumberFormat="1" applyFont="1">
      <alignment vertical="center"/>
    </xf>
    <xf numFmtId="176" fontId="8" fillId="2" borderId="10" xfId="0" applyNumberFormat="1" applyFont="1" applyFill="1" applyBorder="1" applyAlignment="1">
      <alignment horizontal="center" vertical="center"/>
    </xf>
    <xf numFmtId="176" fontId="4" fillId="0" borderId="15" xfId="0" applyNumberFormat="1" applyFont="1" applyBorder="1" applyAlignment="1">
      <alignment horizontal="center" vertical="center" shrinkToFit="1"/>
    </xf>
    <xf numFmtId="176" fontId="5" fillId="4" borderId="15" xfId="1" applyNumberFormat="1" applyFont="1" applyFill="1" applyBorder="1" applyAlignment="1">
      <alignment horizontal="center" vertical="center" shrinkToFit="1"/>
    </xf>
    <xf numFmtId="176" fontId="5" fillId="3" borderId="10" xfId="179" applyNumberFormat="1" applyFont="1" applyFill="1" applyBorder="1" applyAlignment="1">
      <alignment horizontal="left" vertical="center"/>
    </xf>
    <xf numFmtId="176" fontId="5" fillId="3" borderId="10" xfId="179" applyNumberFormat="1" applyFont="1" applyFill="1" applyBorder="1" applyAlignment="1">
      <alignment horizontal="left" vertical="center" shrinkToFit="1"/>
    </xf>
    <xf numFmtId="176" fontId="5" fillId="4" borderId="10" xfId="179" applyNumberFormat="1" applyFont="1" applyFill="1" applyBorder="1" applyAlignment="1">
      <alignment horizontal="left" vertical="center"/>
    </xf>
    <xf numFmtId="176" fontId="5" fillId="3" borderId="10" xfId="179" applyNumberFormat="1" applyFont="1" applyFill="1" applyBorder="1" applyAlignment="1">
      <alignment horizontal="center" vertical="center" shrinkToFit="1"/>
    </xf>
    <xf numFmtId="176" fontId="5" fillId="4" borderId="10" xfId="179" applyNumberFormat="1" applyFont="1" applyFill="1" applyBorder="1" applyAlignment="1">
      <alignment horizontal="center" vertical="center" shrinkToFit="1"/>
    </xf>
    <xf numFmtId="176" fontId="5" fillId="4" borderId="10" xfId="179" applyNumberFormat="1" applyFont="1" applyFill="1" applyBorder="1" applyAlignment="1">
      <alignment vertical="center" shrinkToFit="1"/>
    </xf>
    <xf numFmtId="176" fontId="29" fillId="0" borderId="10" xfId="0" applyNumberFormat="1" applyFont="1" applyBorder="1" applyAlignment="1">
      <alignment horizontal="left" vertical="center" wrapText="1"/>
    </xf>
    <xf numFmtId="176" fontId="29" fillId="0" borderId="10" xfId="0" applyNumberFormat="1" applyFont="1" applyBorder="1" applyAlignment="1">
      <alignment vertical="center" wrapText="1"/>
    </xf>
    <xf numFmtId="176" fontId="5" fillId="3" borderId="10" xfId="1" applyNumberFormat="1" applyFont="1" applyFill="1" applyBorder="1" applyAlignment="1">
      <alignment horizontal="left" vertical="center" wrapText="1" shrinkToFit="1"/>
    </xf>
    <xf numFmtId="176" fontId="5" fillId="3" borderId="10" xfId="1" applyNumberFormat="1" applyFont="1" applyFill="1" applyBorder="1" applyAlignment="1">
      <alignment horizontal="center" vertical="center" wrapText="1" shrinkToFit="1"/>
    </xf>
    <xf numFmtId="176" fontId="5" fillId="4" borderId="10" xfId="1" applyNumberFormat="1" applyFont="1" applyFill="1" applyBorder="1" applyAlignment="1">
      <alignment horizontal="center" vertical="center" wrapText="1" shrinkToFit="1"/>
    </xf>
    <xf numFmtId="176" fontId="4" fillId="0" borderId="10" xfId="0" applyNumberFormat="1" applyFont="1" applyBorder="1" applyAlignment="1">
      <alignment horizontal="left" vertical="center" wrapText="1" shrinkToFit="1"/>
    </xf>
    <xf numFmtId="176" fontId="74" fillId="0" borderId="10" xfId="0" applyNumberFormat="1" applyFont="1" applyBorder="1" applyAlignment="1">
      <alignment horizontal="center" vertical="center"/>
    </xf>
    <xf numFmtId="176" fontId="4" fillId="0" borderId="10" xfId="0" applyNumberFormat="1" applyFont="1" applyFill="1" applyBorder="1" applyAlignment="1">
      <alignment horizontal="left" vertical="center" wrapText="1"/>
    </xf>
    <xf numFmtId="176" fontId="4" fillId="0" borderId="10" xfId="1" applyNumberFormat="1" applyFont="1" applyFill="1" applyBorder="1" applyAlignment="1">
      <alignment horizontal="right" vertical="center" shrinkToFit="1"/>
    </xf>
    <xf numFmtId="176" fontId="3" fillId="0" borderId="10" xfId="0" applyNumberFormat="1" applyFont="1" applyFill="1" applyBorder="1">
      <alignment vertical="center"/>
    </xf>
    <xf numFmtId="186" fontId="4" fillId="0" borderId="10" xfId="1" applyNumberFormat="1" applyFont="1" applyBorder="1" applyAlignment="1">
      <alignment horizontal="right" vertical="center" shrinkToFit="1"/>
    </xf>
    <xf numFmtId="176" fontId="76" fillId="0" borderId="0" xfId="0" applyNumberFormat="1" applyFont="1">
      <alignment vertical="center"/>
    </xf>
    <xf numFmtId="176" fontId="74" fillId="0" borderId="10" xfId="0" applyNumberFormat="1" applyFont="1" applyFill="1" applyBorder="1" applyAlignment="1">
      <alignment horizontal="center" vertical="center" shrinkToFit="1"/>
    </xf>
    <xf numFmtId="176" fontId="75" fillId="0" borderId="10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Alignment="1">
      <alignment horizontal="center" vertical="center"/>
    </xf>
    <xf numFmtId="176" fontId="79" fillId="0" borderId="0" xfId="0" applyNumberFormat="1" applyFont="1" applyAlignment="1">
      <alignment horizontal="center" vertical="center"/>
    </xf>
    <xf numFmtId="176" fontId="7" fillId="0" borderId="10" xfId="1" applyNumberFormat="1" applyFont="1" applyBorder="1" applyAlignment="1">
      <alignment horizontal="right" vertical="center" shrinkToFit="1"/>
    </xf>
    <xf numFmtId="176" fontId="7" fillId="0" borderId="10" xfId="0" applyNumberFormat="1" applyFont="1" applyBorder="1" applyAlignment="1">
      <alignment horizontal="left" vertical="center" wrapText="1"/>
    </xf>
    <xf numFmtId="176" fontId="79" fillId="0" borderId="10" xfId="0" applyNumberFormat="1" applyFont="1" applyBorder="1" applyAlignment="1">
      <alignment horizontal="center" vertical="center" shrinkToFit="1"/>
    </xf>
    <xf numFmtId="176" fontId="5" fillId="3" borderId="15" xfId="1" applyNumberFormat="1" applyFont="1" applyFill="1" applyBorder="1" applyAlignment="1">
      <alignment horizontal="right" vertical="center" shrinkToFit="1"/>
    </xf>
    <xf numFmtId="176" fontId="63" fillId="0" borderId="0" xfId="0" applyNumberFormat="1" applyFont="1" applyAlignment="1">
      <alignment horizontal="center" vertical="center"/>
    </xf>
    <xf numFmtId="176" fontId="4" fillId="0" borderId="10" xfId="1" applyNumberFormat="1" applyFont="1" applyFill="1" applyBorder="1" applyAlignment="1">
      <alignment horizontal="center" vertical="center" shrinkToFit="1"/>
    </xf>
    <xf numFmtId="176" fontId="72" fillId="4" borderId="10" xfId="1" applyNumberFormat="1" applyFont="1" applyFill="1" applyBorder="1" applyAlignment="1">
      <alignment horizontal="center" vertical="center" shrinkToFit="1"/>
    </xf>
    <xf numFmtId="176" fontId="7" fillId="0" borderId="15" xfId="0" applyNumberFormat="1" applyFont="1" applyBorder="1" applyAlignment="1">
      <alignment horizontal="right" vertical="center" shrinkToFit="1"/>
    </xf>
    <xf numFmtId="176" fontId="7" fillId="0" borderId="35" xfId="0" applyNumberFormat="1" applyFont="1" applyBorder="1" applyAlignment="1">
      <alignment horizontal="right" vertical="center" shrinkToFit="1"/>
    </xf>
    <xf numFmtId="176" fontId="84" fillId="0" borderId="10" xfId="1" applyNumberFormat="1" applyFont="1" applyFill="1" applyBorder="1" applyAlignment="1">
      <alignment horizontal="right" vertical="center" shrinkToFit="1"/>
    </xf>
    <xf numFmtId="176" fontId="84" fillId="0" borderId="10" xfId="1" applyNumberFormat="1" applyFont="1" applyBorder="1" applyAlignment="1">
      <alignment horizontal="right" vertical="center" shrinkToFit="1"/>
    </xf>
    <xf numFmtId="176" fontId="0" fillId="0" borderId="0" xfId="0" applyNumberFormat="1">
      <alignment vertical="center"/>
    </xf>
    <xf numFmtId="176" fontId="78" fillId="53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8" fillId="2" borderId="10" xfId="0" applyNumberFormat="1" applyFont="1" applyFill="1" applyBorder="1" applyAlignment="1">
      <alignment horizontal="center" vertical="center"/>
    </xf>
    <xf numFmtId="176" fontId="4" fillId="27" borderId="10" xfId="0" applyNumberFormat="1" applyFont="1" applyFill="1" applyBorder="1">
      <alignment vertical="center"/>
    </xf>
    <xf numFmtId="176" fontId="4" fillId="0" borderId="10" xfId="0" applyNumberFormat="1" applyFont="1" applyFill="1" applyBorder="1" applyAlignment="1">
      <alignment vertical="center" wrapText="1"/>
    </xf>
    <xf numFmtId="176" fontId="3" fillId="0" borderId="10" xfId="0" applyNumberFormat="1" applyFont="1" applyFill="1" applyBorder="1" applyAlignment="1">
      <alignment horizontal="center" vertical="center"/>
    </xf>
    <xf numFmtId="176" fontId="4" fillId="0" borderId="10" xfId="0" applyNumberFormat="1" applyFont="1" applyFill="1" applyBorder="1" applyAlignment="1">
      <alignment horizontal="center" vertical="center" wrapText="1"/>
    </xf>
    <xf numFmtId="176" fontId="4" fillId="0" borderId="10" xfId="184" applyNumberFormat="1" applyFont="1" applyBorder="1" applyAlignment="1">
      <alignment horizontal="right" vertical="center" shrinkToFit="1"/>
    </xf>
    <xf numFmtId="176" fontId="74" fillId="0" borderId="10" xfId="0" applyNumberFormat="1" applyFont="1" applyBorder="1" applyAlignment="1">
      <alignment horizontal="left" vertical="center" wrapText="1"/>
    </xf>
    <xf numFmtId="176" fontId="4" fillId="26" borderId="10" xfId="1" applyNumberFormat="1" applyFont="1" applyFill="1" applyBorder="1" applyAlignment="1">
      <alignment horizontal="right" vertical="center" shrinkToFit="1"/>
    </xf>
    <xf numFmtId="176" fontId="4" fillId="0" borderId="10" xfId="0" applyNumberFormat="1" applyFont="1" applyBorder="1" applyAlignment="1">
      <alignment vertical="center" shrinkToFit="1"/>
    </xf>
    <xf numFmtId="176" fontId="82" fillId="4" borderId="10" xfId="1" applyNumberFormat="1" applyFont="1" applyFill="1" applyBorder="1" applyAlignment="1">
      <alignment horizontal="center" vertical="center" shrinkToFit="1"/>
    </xf>
    <xf numFmtId="176" fontId="86" fillId="27" borderId="10" xfId="1" applyNumberFormat="1" applyFont="1" applyFill="1" applyBorder="1" applyAlignment="1">
      <alignment horizontal="center" vertical="center" shrinkToFit="1"/>
    </xf>
    <xf numFmtId="176" fontId="78" fillId="52" borderId="10" xfId="0" applyNumberFormat="1" applyFont="1" applyFill="1" applyBorder="1" applyAlignment="1">
      <alignment horizontal="center" vertical="center"/>
    </xf>
    <xf numFmtId="176" fontId="80" fillId="0" borderId="0" xfId="0" applyNumberFormat="1" applyFont="1" applyAlignment="1">
      <alignment horizontal="center" vertical="center"/>
    </xf>
    <xf numFmtId="176" fontId="78" fillId="54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10" xfId="0" applyNumberFormat="1" applyFont="1" applyBorder="1">
      <alignment vertical="center"/>
    </xf>
    <xf numFmtId="176" fontId="4" fillId="27" borderId="10" xfId="0" applyNumberFormat="1" applyFont="1" applyFill="1" applyBorder="1">
      <alignment vertical="center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left" vertical="center" wrapText="1"/>
    </xf>
    <xf numFmtId="176" fontId="4" fillId="0" borderId="10" xfId="0" applyNumberFormat="1" applyFont="1" applyBorder="1" applyAlignment="1">
      <alignment horizontal="center" vertical="center" wrapText="1"/>
    </xf>
    <xf numFmtId="176" fontId="4" fillId="0" borderId="10" xfId="0" applyNumberFormat="1" applyFont="1" applyFill="1" applyBorder="1" applyAlignment="1">
      <alignment vertical="center" wrapText="1"/>
    </xf>
    <xf numFmtId="3" fontId="69" fillId="0" borderId="10" xfId="0" applyNumberFormat="1" applyFont="1" applyFill="1" applyBorder="1" applyAlignment="1">
      <alignment horizontal="left" vertical="center" wrapText="1"/>
    </xf>
    <xf numFmtId="176" fontId="4" fillId="0" borderId="10" xfId="0" applyNumberFormat="1" applyFont="1" applyBorder="1" applyAlignment="1">
      <alignment vertical="center" wrapText="1"/>
    </xf>
    <xf numFmtId="176" fontId="75" fillId="0" borderId="10" xfId="0" applyNumberFormat="1" applyFont="1" applyBorder="1" applyAlignment="1">
      <alignment horizontal="center" vertical="center" shrinkToFit="1"/>
    </xf>
    <xf numFmtId="176" fontId="4" fillId="0" borderId="10" xfId="0" applyNumberFormat="1" applyFont="1" applyFill="1" applyBorder="1" applyAlignment="1">
      <alignment horizontal="center" vertical="center" wrapText="1"/>
    </xf>
    <xf numFmtId="176" fontId="4" fillId="0" borderId="10" xfId="0" applyNumberFormat="1" applyFont="1" applyFill="1" applyBorder="1" applyAlignment="1">
      <alignment horizontal="center" vertical="center"/>
    </xf>
    <xf numFmtId="176" fontId="74" fillId="0" borderId="10" xfId="0" applyNumberFormat="1" applyFont="1" applyBorder="1" applyAlignment="1">
      <alignment horizontal="center" vertical="center" shrinkToFit="1"/>
    </xf>
    <xf numFmtId="176" fontId="78" fillId="53" borderId="10" xfId="1" applyNumberFormat="1" applyFont="1" applyFill="1" applyBorder="1" applyAlignment="1">
      <alignment horizontal="right" vertical="center"/>
    </xf>
    <xf numFmtId="176" fontId="78" fillId="54" borderId="10" xfId="1" applyNumberFormat="1" applyFont="1" applyFill="1" applyBorder="1" applyAlignment="1">
      <alignment horizontal="right" vertical="center"/>
    </xf>
    <xf numFmtId="176" fontId="88" fillId="0" borderId="10" xfId="0" applyNumberFormat="1" applyFont="1" applyBorder="1" applyAlignment="1">
      <alignment horizontal="center" vertical="center"/>
    </xf>
    <xf numFmtId="176" fontId="88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89" fillId="0" borderId="0" xfId="0" applyNumberFormat="1" applyFont="1">
      <alignment vertical="center"/>
    </xf>
    <xf numFmtId="176" fontId="89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91" fillId="0" borderId="0" xfId="0" applyNumberFormat="1" applyFont="1">
      <alignment vertical="center"/>
    </xf>
    <xf numFmtId="176" fontId="4" fillId="54" borderId="10" xfId="0" applyNumberFormat="1" applyFont="1" applyFill="1" applyBorder="1" applyAlignment="1">
      <alignment vertical="center" wrapText="1"/>
    </xf>
    <xf numFmtId="176" fontId="4" fillId="54" borderId="10" xfId="0" applyNumberFormat="1" applyFont="1" applyFill="1" applyBorder="1" applyAlignment="1">
      <alignment horizontal="left" vertical="center" wrapText="1"/>
    </xf>
    <xf numFmtId="176" fontId="93" fillId="0" borderId="10" xfId="0" applyNumberFormat="1" applyFont="1" applyBorder="1" applyAlignment="1">
      <alignment horizontal="center" vertical="center" shrinkToFit="1"/>
    </xf>
    <xf numFmtId="176" fontId="94" fillId="3" borderId="10" xfId="1" applyNumberFormat="1" applyFont="1" applyFill="1" applyBorder="1" applyAlignment="1">
      <alignment horizontal="center" vertical="center" shrinkToFit="1"/>
    </xf>
    <xf numFmtId="176" fontId="94" fillId="4" borderId="10" xfId="1" applyNumberFormat="1" applyFont="1" applyFill="1" applyBorder="1" applyAlignment="1">
      <alignment horizontal="center" vertical="center" shrinkToFit="1"/>
    </xf>
    <xf numFmtId="176" fontId="95" fillId="0" borderId="10" xfId="1" applyNumberFormat="1" applyFont="1" applyBorder="1" applyAlignment="1">
      <alignment horizontal="center" vertical="center" shrinkToFit="1"/>
    </xf>
    <xf numFmtId="176" fontId="95" fillId="0" borderId="10" xfId="0" applyNumberFormat="1" applyFont="1" applyBorder="1" applyAlignment="1">
      <alignment horizontal="center" vertical="center" shrinkToFit="1"/>
    </xf>
    <xf numFmtId="176" fontId="96" fillId="27" borderId="10" xfId="1" applyNumberFormat="1" applyFont="1" applyFill="1" applyBorder="1" applyAlignment="1">
      <alignment horizontal="center" vertical="center" shrinkToFit="1"/>
    </xf>
    <xf numFmtId="176" fontId="96" fillId="0" borderId="10" xfId="1" applyNumberFormat="1" applyFont="1" applyBorder="1" applyAlignment="1">
      <alignment horizontal="center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35" xfId="0" applyNumberFormat="1" applyFont="1" applyBorder="1" applyAlignment="1">
      <alignment horizontal="right" vertical="center" shrinkToFit="1"/>
    </xf>
    <xf numFmtId="0" fontId="4" fillId="0" borderId="10" xfId="0" applyFont="1" applyFill="1" applyBorder="1" applyAlignment="1">
      <alignment vertical="center" wrapText="1"/>
    </xf>
    <xf numFmtId="176" fontId="87" fillId="0" borderId="0" xfId="0" applyNumberFormat="1" applyFont="1">
      <alignment vertical="center"/>
    </xf>
    <xf numFmtId="176" fontId="78" fillId="0" borderId="10" xfId="0" applyNumberFormat="1" applyFont="1" applyFill="1" applyBorder="1" applyAlignment="1">
      <alignment horizontal="center" vertical="center"/>
    </xf>
    <xf numFmtId="176" fontId="78" fillId="0" borderId="10" xfId="1" applyNumberFormat="1" applyFont="1" applyFill="1" applyBorder="1" applyAlignment="1">
      <alignment horizontal="right" vertical="center"/>
    </xf>
    <xf numFmtId="176" fontId="74" fillId="54" borderId="10" xfId="0" applyNumberFormat="1" applyFont="1" applyFill="1" applyBorder="1" applyAlignment="1">
      <alignment horizontal="center" vertical="center" shrinkToFit="1"/>
    </xf>
    <xf numFmtId="176" fontId="73" fillId="54" borderId="10" xfId="1" applyNumberFormat="1" applyFont="1" applyFill="1" applyBorder="1" applyAlignment="1">
      <alignment horizontal="center" vertical="center" shrinkToFit="1"/>
    </xf>
    <xf numFmtId="176" fontId="76" fillId="0" borderId="0" xfId="0" applyNumberFormat="1" applyFont="1" applyFill="1">
      <alignment vertical="center"/>
    </xf>
    <xf numFmtId="176" fontId="72" fillId="0" borderId="10" xfId="0" applyNumberFormat="1" applyFont="1" applyFill="1" applyBorder="1" applyAlignment="1">
      <alignment horizontal="center" vertical="center" shrinkToFit="1"/>
    </xf>
    <xf numFmtId="176" fontId="5" fillId="0" borderId="10" xfId="1" applyNumberFormat="1" applyFont="1" applyFill="1" applyBorder="1" applyAlignment="1">
      <alignment horizontal="center" vertical="center" shrinkToFit="1"/>
    </xf>
    <xf numFmtId="176" fontId="5" fillId="0" borderId="10" xfId="1" applyNumberFormat="1" applyFont="1" applyFill="1" applyBorder="1" applyAlignment="1">
      <alignment horizontal="right" vertical="center" shrinkToFit="1"/>
    </xf>
    <xf numFmtId="176" fontId="73" fillId="0" borderId="10" xfId="1" applyNumberFormat="1" applyFont="1" applyFill="1" applyBorder="1" applyAlignment="1">
      <alignment horizontal="center" vertical="center" shrinkToFit="1"/>
    </xf>
    <xf numFmtId="176" fontId="75" fillId="54" borderId="10" xfId="0" applyNumberFormat="1" applyFont="1" applyFill="1" applyBorder="1" applyAlignment="1">
      <alignment horizontal="center" vertical="center" shrinkToFit="1"/>
    </xf>
    <xf numFmtId="176" fontId="80" fillId="0" borderId="0" xfId="0" applyNumberFormat="1" applyFont="1" applyAlignment="1">
      <alignment vertical="center"/>
    </xf>
    <xf numFmtId="0" fontId="47" fillId="0" borderId="0" xfId="2" applyFont="1" applyAlignment="1">
      <alignment horizontal="center" vertical="center"/>
    </xf>
    <xf numFmtId="0" fontId="48" fillId="0" borderId="15" xfId="2" applyFont="1" applyBorder="1" applyAlignment="1">
      <alignment horizontal="center" vertical="center"/>
    </xf>
    <xf numFmtId="176" fontId="74" fillId="0" borderId="10" xfId="1" applyNumberFormat="1" applyFont="1" applyFill="1" applyBorder="1" applyAlignment="1">
      <alignment vertical="center" wrapText="1"/>
    </xf>
    <xf numFmtId="3" fontId="71" fillId="0" borderId="10" xfId="0" applyNumberFormat="1" applyFont="1" applyFill="1" applyBorder="1" applyAlignment="1">
      <alignment horizontal="left" vertical="center" wrapText="1"/>
    </xf>
    <xf numFmtId="177" fontId="65" fillId="55" borderId="10" xfId="2" applyNumberFormat="1" applyFont="1" applyFill="1" applyBorder="1" applyAlignment="1"/>
    <xf numFmtId="177" fontId="5" fillId="0" borderId="13" xfId="2" applyNumberFormat="1" applyFont="1" applyFill="1" applyBorder="1" applyAlignment="1"/>
    <xf numFmtId="176" fontId="97" fillId="0" borderId="0" xfId="2" applyNumberFormat="1" applyFont="1"/>
    <xf numFmtId="0" fontId="97" fillId="0" borderId="0" xfId="2" applyFont="1"/>
    <xf numFmtId="0" fontId="48" fillId="0" borderId="15" xfId="2" applyFont="1" applyBorder="1" applyAlignment="1">
      <alignment horizontal="center" vertical="center"/>
    </xf>
    <xf numFmtId="0" fontId="47" fillId="0" borderId="0" xfId="2" applyFont="1" applyAlignment="1">
      <alignment horizontal="center" vertical="center"/>
    </xf>
    <xf numFmtId="176" fontId="8" fillId="2" borderId="10" xfId="0" applyNumberFormat="1" applyFont="1" applyFill="1" applyBorder="1" applyAlignment="1">
      <alignment horizontal="center" vertical="center"/>
    </xf>
    <xf numFmtId="0" fontId="49" fillId="0" borderId="10" xfId="2" applyFont="1" applyBorder="1" applyAlignment="1">
      <alignment horizontal="center" vertical="center"/>
    </xf>
    <xf numFmtId="176" fontId="49" fillId="0" borderId="10" xfId="2" applyNumberFormat="1" applyFont="1" applyBorder="1" applyAlignment="1">
      <alignment horizontal="center" vertical="center"/>
    </xf>
    <xf numFmtId="176" fontId="49" fillId="0" borderId="25" xfId="2" applyNumberFormat="1" applyFont="1" applyBorder="1" applyAlignment="1">
      <alignment horizontal="center" vertical="center"/>
    </xf>
    <xf numFmtId="0" fontId="48" fillId="0" borderId="10" xfId="2" applyFont="1" applyBorder="1" applyAlignment="1">
      <alignment horizontal="center" vertical="center"/>
    </xf>
    <xf numFmtId="176" fontId="48" fillId="0" borderId="10" xfId="2" applyNumberFormat="1" applyFont="1" applyBorder="1" applyAlignment="1">
      <alignment horizontal="center" vertical="center"/>
    </xf>
    <xf numFmtId="176" fontId="4" fillId="53" borderId="10" xfId="0" applyNumberFormat="1" applyFont="1" applyFill="1" applyBorder="1" applyAlignment="1">
      <alignment horizontal="left" vertical="center" wrapText="1"/>
    </xf>
    <xf numFmtId="176" fontId="4" fillId="53" borderId="10" xfId="0" applyNumberFormat="1" applyFont="1" applyFill="1" applyBorder="1" applyAlignment="1">
      <alignment vertical="center" wrapText="1"/>
    </xf>
    <xf numFmtId="176" fontId="49" fillId="0" borderId="0" xfId="2" applyNumberFormat="1" applyFont="1"/>
    <xf numFmtId="0" fontId="37" fillId="0" borderId="0" xfId="2" applyNumberFormat="1" applyFont="1" applyAlignment="1">
      <alignment horizontal="center"/>
    </xf>
    <xf numFmtId="0" fontId="49" fillId="29" borderId="20" xfId="2" applyFont="1" applyFill="1" applyBorder="1" applyAlignment="1">
      <alignment horizontal="center" vertical="center"/>
    </xf>
    <xf numFmtId="0" fontId="49" fillId="29" borderId="24" xfId="2" applyFont="1" applyFill="1" applyBorder="1" applyAlignment="1">
      <alignment horizontal="center" vertical="center"/>
    </xf>
    <xf numFmtId="0" fontId="49" fillId="29" borderId="39" xfId="2" applyFont="1" applyFill="1" applyBorder="1" applyAlignment="1">
      <alignment horizontal="center" vertical="center"/>
    </xf>
    <xf numFmtId="0" fontId="49" fillId="29" borderId="40" xfId="2" applyFont="1" applyFill="1" applyBorder="1" applyAlignment="1">
      <alignment horizontal="center" vertical="center"/>
    </xf>
    <xf numFmtId="0" fontId="49" fillId="29" borderId="38" xfId="2" applyFont="1" applyFill="1" applyBorder="1" applyAlignment="1">
      <alignment horizontal="center" vertical="center" wrapText="1" shrinkToFit="1"/>
    </xf>
    <xf numFmtId="0" fontId="49" fillId="29" borderId="12" xfId="2" applyFont="1" applyFill="1" applyBorder="1" applyAlignment="1">
      <alignment horizontal="center" vertical="center" wrapText="1" shrinkToFit="1"/>
    </xf>
    <xf numFmtId="0" fontId="49" fillId="29" borderId="19" xfId="2" applyFont="1" applyFill="1" applyBorder="1" applyAlignment="1">
      <alignment horizontal="center" vertical="center"/>
    </xf>
    <xf numFmtId="0" fontId="49" fillId="29" borderId="23" xfId="2" applyFont="1" applyFill="1" applyBorder="1" applyAlignment="1">
      <alignment horizontal="center" vertical="center"/>
    </xf>
    <xf numFmtId="0" fontId="47" fillId="0" borderId="0" xfId="2" quotePrefix="1" applyFont="1" applyAlignment="1">
      <alignment horizontal="center" vertical="center" wrapText="1"/>
    </xf>
    <xf numFmtId="0" fontId="47" fillId="0" borderId="0" xfId="2" applyFont="1" applyAlignment="1">
      <alignment horizontal="center" vertical="center"/>
    </xf>
    <xf numFmtId="0" fontId="49" fillId="29" borderId="31" xfId="2" applyFont="1" applyFill="1" applyBorder="1" applyAlignment="1">
      <alignment horizontal="center" vertical="center"/>
    </xf>
    <xf numFmtId="0" fontId="49" fillId="29" borderId="34" xfId="2" applyFont="1" applyFill="1" applyBorder="1" applyAlignment="1">
      <alignment horizontal="center" vertical="center"/>
    </xf>
    <xf numFmtId="0" fontId="49" fillId="29" borderId="32" xfId="2" applyFont="1" applyFill="1" applyBorder="1" applyAlignment="1">
      <alignment horizontal="center" vertical="center" shrinkToFit="1"/>
    </xf>
    <xf numFmtId="0" fontId="49" fillId="29" borderId="10" xfId="2" applyFont="1" applyFill="1" applyBorder="1" applyAlignment="1">
      <alignment horizontal="center" vertical="center" shrinkToFit="1"/>
    </xf>
    <xf numFmtId="0" fontId="49" fillId="29" borderId="32" xfId="2" applyFont="1" applyFill="1" applyBorder="1" applyAlignment="1">
      <alignment horizontal="center" vertical="center"/>
    </xf>
    <xf numFmtId="0" fontId="49" fillId="29" borderId="33" xfId="2" applyFont="1" applyFill="1" applyBorder="1" applyAlignment="1">
      <alignment horizontal="center" vertical="center"/>
    </xf>
    <xf numFmtId="0" fontId="49" fillId="29" borderId="35" xfId="2" applyFont="1" applyFill="1" applyBorder="1" applyAlignment="1">
      <alignment horizontal="center" vertical="center"/>
    </xf>
    <xf numFmtId="0" fontId="48" fillId="0" borderId="19" xfId="2" applyFont="1" applyBorder="1" applyAlignment="1">
      <alignment horizontal="center" vertical="center"/>
    </xf>
    <xf numFmtId="0" fontId="48" fillId="0" borderId="23" xfId="2" applyFont="1" applyBorder="1" applyAlignment="1">
      <alignment horizontal="center" vertical="center"/>
    </xf>
    <xf numFmtId="0" fontId="48" fillId="0" borderId="20" xfId="2" applyFont="1" applyBorder="1" applyAlignment="1">
      <alignment horizontal="center" vertical="center"/>
    </xf>
    <xf numFmtId="0" fontId="48" fillId="0" borderId="24" xfId="2" applyFont="1" applyBorder="1" applyAlignment="1">
      <alignment horizontal="center" vertical="center"/>
    </xf>
    <xf numFmtId="0" fontId="48" fillId="0" borderId="16" xfId="2" applyFont="1" applyBorder="1" applyAlignment="1">
      <alignment horizontal="center" vertical="center"/>
    </xf>
    <xf numFmtId="0" fontId="48" fillId="0" borderId="15" xfId="2" applyFont="1" applyBorder="1" applyAlignment="1">
      <alignment horizontal="center" vertical="center"/>
    </xf>
    <xf numFmtId="0" fontId="48" fillId="0" borderId="21" xfId="2" applyFont="1" applyBorder="1" applyAlignment="1">
      <alignment horizontal="center" vertical="center"/>
    </xf>
    <xf numFmtId="0" fontId="48" fillId="0" borderId="22" xfId="2" applyFont="1" applyBorder="1" applyAlignment="1">
      <alignment horizontal="center" vertical="center"/>
    </xf>
    <xf numFmtId="0" fontId="48" fillId="0" borderId="25" xfId="2" applyFont="1" applyBorder="1" applyAlignment="1">
      <alignment horizontal="center" vertical="center"/>
    </xf>
    <xf numFmtId="0" fontId="48" fillId="0" borderId="26" xfId="2" applyFont="1" applyBorder="1" applyAlignment="1">
      <alignment horizontal="center" vertical="center"/>
    </xf>
    <xf numFmtId="0" fontId="56" fillId="0" borderId="16" xfId="2" applyFont="1" applyBorder="1" applyAlignment="1">
      <alignment horizontal="center" vertical="center" wrapText="1"/>
    </xf>
    <xf numFmtId="0" fontId="56" fillId="0" borderId="15" xfId="2" applyFont="1" applyBorder="1" applyAlignment="1">
      <alignment horizontal="center" vertical="center" wrapText="1"/>
    </xf>
    <xf numFmtId="176" fontId="79" fillId="55" borderId="14" xfId="1" applyNumberFormat="1" applyFont="1" applyFill="1" applyBorder="1" applyAlignment="1">
      <alignment horizontal="center" vertical="center"/>
    </xf>
    <xf numFmtId="176" fontId="79" fillId="55" borderId="16" xfId="1" applyNumberFormat="1" applyFont="1" applyFill="1" applyBorder="1" applyAlignment="1">
      <alignment horizontal="center" vertical="center"/>
    </xf>
    <xf numFmtId="176" fontId="79" fillId="55" borderId="15" xfId="1" applyNumberFormat="1" applyFont="1" applyFill="1" applyBorder="1" applyAlignment="1">
      <alignment horizontal="center" vertical="center"/>
    </xf>
    <xf numFmtId="176" fontId="80" fillId="0" borderId="0" xfId="0" applyNumberFormat="1" applyFont="1" applyAlignment="1">
      <alignment horizontal="center" vertical="center"/>
    </xf>
    <xf numFmtId="176" fontId="92" fillId="52" borderId="14" xfId="0" applyNumberFormat="1" applyFont="1" applyFill="1" applyBorder="1" applyAlignment="1">
      <alignment horizontal="center" vertical="center"/>
    </xf>
    <xf numFmtId="176" fontId="92" fillId="52" borderId="16" xfId="0" applyNumberFormat="1" applyFont="1" applyFill="1" applyBorder="1" applyAlignment="1">
      <alignment horizontal="center" vertical="center"/>
    </xf>
    <xf numFmtId="176" fontId="92" fillId="52" borderId="15" xfId="0" applyNumberFormat="1" applyFont="1" applyFill="1" applyBorder="1" applyAlignment="1">
      <alignment horizontal="center" vertical="center"/>
    </xf>
    <xf numFmtId="176" fontId="79" fillId="56" borderId="14" xfId="1" applyNumberFormat="1" applyFont="1" applyFill="1" applyBorder="1" applyAlignment="1">
      <alignment horizontal="center" vertical="center"/>
    </xf>
    <xf numFmtId="176" fontId="79" fillId="56" borderId="16" xfId="1" applyNumberFormat="1" applyFont="1" applyFill="1" applyBorder="1" applyAlignment="1">
      <alignment horizontal="center" vertical="center"/>
    </xf>
    <xf numFmtId="176" fontId="79" fillId="56" borderId="15" xfId="1" applyNumberFormat="1" applyFont="1" applyFill="1" applyBorder="1" applyAlignment="1">
      <alignment horizontal="center" vertical="center"/>
    </xf>
    <xf numFmtId="176" fontId="79" fillId="56" borderId="10" xfId="0" applyNumberFormat="1" applyFont="1" applyFill="1" applyBorder="1" applyAlignment="1">
      <alignment horizontal="center" vertical="center"/>
    </xf>
    <xf numFmtId="176" fontId="87" fillId="0" borderId="10" xfId="0" applyNumberFormat="1" applyFont="1" applyBorder="1" applyAlignment="1">
      <alignment horizontal="center" vertical="center"/>
    </xf>
    <xf numFmtId="176" fontId="90" fillId="52" borderId="14" xfId="0" applyNumberFormat="1" applyFont="1" applyFill="1" applyBorder="1" applyAlignment="1">
      <alignment horizontal="center" vertical="center"/>
    </xf>
    <xf numFmtId="176" fontId="67" fillId="52" borderId="16" xfId="0" applyNumberFormat="1" applyFont="1" applyFill="1" applyBorder="1" applyAlignment="1">
      <alignment horizontal="center" vertical="center"/>
    </xf>
    <xf numFmtId="176" fontId="67" fillId="52" borderId="15" xfId="0" applyNumberFormat="1" applyFont="1" applyFill="1" applyBorder="1" applyAlignment="1">
      <alignment horizontal="center" vertical="center"/>
    </xf>
    <xf numFmtId="176" fontId="78" fillId="52" borderId="11" xfId="0" applyNumberFormat="1" applyFont="1" applyFill="1" applyBorder="1" applyAlignment="1">
      <alignment horizontal="center" vertical="center"/>
    </xf>
    <xf numFmtId="176" fontId="78" fillId="52" borderId="12" xfId="0" applyNumberFormat="1" applyFont="1" applyFill="1" applyBorder="1" applyAlignment="1">
      <alignment horizontal="center" vertical="center"/>
    </xf>
    <xf numFmtId="176" fontId="85" fillId="52" borderId="14" xfId="0" applyNumberFormat="1" applyFont="1" applyFill="1" applyBorder="1" applyAlignment="1">
      <alignment horizontal="center" vertical="center"/>
    </xf>
    <xf numFmtId="176" fontId="85" fillId="52" borderId="16" xfId="0" applyNumberFormat="1" applyFont="1" applyFill="1" applyBorder="1" applyAlignment="1">
      <alignment horizontal="center" vertical="center"/>
    </xf>
    <xf numFmtId="176" fontId="85" fillId="52" borderId="15" xfId="0" applyNumberFormat="1" applyFont="1" applyFill="1" applyBorder="1" applyAlignment="1">
      <alignment horizontal="center" vertical="center"/>
    </xf>
    <xf numFmtId="176" fontId="79" fillId="55" borderId="10" xfId="0" applyNumberFormat="1" applyFont="1" applyFill="1" applyBorder="1" applyAlignment="1">
      <alignment horizontal="center" vertical="center"/>
    </xf>
    <xf numFmtId="176" fontId="79" fillId="55" borderId="10" xfId="1" applyNumberFormat="1" applyFont="1" applyFill="1" applyBorder="1" applyAlignment="1">
      <alignment horizontal="center" vertical="center"/>
    </xf>
    <xf numFmtId="176" fontId="82" fillId="2" borderId="10" xfId="0" applyNumberFormat="1" applyFont="1" applyFill="1" applyBorder="1" applyAlignment="1">
      <alignment horizontal="center" vertical="center"/>
    </xf>
    <xf numFmtId="176" fontId="8" fillId="2" borderId="10" xfId="0" applyNumberFormat="1" applyFont="1" applyFill="1" applyBorder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 wrapText="1"/>
    </xf>
    <xf numFmtId="176" fontId="8" fillId="2" borderId="10" xfId="0" applyNumberFormat="1" applyFont="1" applyFill="1" applyBorder="1" applyAlignment="1">
      <alignment horizontal="center" vertical="center" wrapText="1"/>
    </xf>
    <xf numFmtId="176" fontId="9" fillId="2" borderId="10" xfId="0" applyNumberFormat="1" applyFont="1" applyFill="1" applyBorder="1" applyAlignment="1">
      <alignment horizontal="center" vertical="center" wrapText="1"/>
    </xf>
    <xf numFmtId="176" fontId="8" fillId="2" borderId="11" xfId="0" applyNumberFormat="1" applyFont="1" applyFill="1" applyBorder="1" applyAlignment="1">
      <alignment horizontal="center" vertical="center"/>
    </xf>
    <xf numFmtId="176" fontId="8" fillId="2" borderId="12" xfId="0" applyNumberFormat="1" applyFont="1" applyFill="1" applyBorder="1" applyAlignment="1">
      <alignment horizontal="center" vertical="center"/>
    </xf>
    <xf numFmtId="176" fontId="81" fillId="2" borderId="10" xfId="0" applyNumberFormat="1" applyFont="1" applyFill="1" applyBorder="1" applyAlignment="1">
      <alignment horizontal="center" vertical="center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0" fontId="67" fillId="0" borderId="0" xfId="0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2" xfId="0" applyNumberFormat="1" applyFont="1" applyFill="1" applyBorder="1" applyAlignment="1">
      <alignment horizontal="center" vertical="center" wrapText="1"/>
    </xf>
    <xf numFmtId="0" fontId="35" fillId="0" borderId="0" xfId="2" applyNumberFormat="1" applyFont="1" applyAlignment="1">
      <alignment horizontal="center"/>
    </xf>
    <xf numFmtId="0" fontId="50" fillId="0" borderId="0" xfId="2" quotePrefix="1" applyFont="1" applyAlignment="1">
      <alignment horizontal="center" vertical="center" wrapText="1"/>
    </xf>
    <xf numFmtId="0" fontId="50" fillId="0" borderId="0" xfId="2" applyFont="1" applyAlignment="1">
      <alignment horizontal="center" vertical="center"/>
    </xf>
    <xf numFmtId="176" fontId="87" fillId="0" borderId="0" xfId="0" applyNumberFormat="1" applyFont="1" applyAlignment="1">
      <alignment horizontal="center" vertical="center"/>
    </xf>
  </cellXfs>
  <cellStyles count="195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3" xfId="187"/>
    <cellStyle name="쉼표 [0] 2 5" xfId="123"/>
    <cellStyle name="쉼표 [0] 2 6" xfId="181"/>
    <cellStyle name="쉼표 [0] 2 6 2" xfId="191"/>
    <cellStyle name="쉼표 [0] 2 7" xfId="186"/>
    <cellStyle name="쉼표 [0] 3" xfId="124"/>
    <cellStyle name="쉼표 [0] 3 2" xfId="183"/>
    <cellStyle name="쉼표 [0] 3 2 2" xfId="193"/>
    <cellStyle name="쉼표 [0] 3 3" xfId="188"/>
    <cellStyle name="쉼표 [0] 4" xfId="179"/>
    <cellStyle name="쉼표 [0] 4 2" xfId="184"/>
    <cellStyle name="쉼표 [0] 4 2 2" xfId="194"/>
    <cellStyle name="쉼표 [0] 4 3" xfId="189"/>
    <cellStyle name="쉼표 [0] 5" xfId="180"/>
    <cellStyle name="쉼표 [0] 5 2" xfId="190"/>
    <cellStyle name="쉼표 [0] 6" xfId="185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5" xfId="139"/>
    <cellStyle name="표준 6" xfId="140"/>
  </cellStyles>
  <dxfs count="220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colors>
    <mruColors>
      <color rgb="FF99FF33"/>
      <color rgb="FF0000CC"/>
      <color rgb="FFFF66CC"/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488154</xdr:colOff>
      <xdr:row>0</xdr:row>
      <xdr:rowOff>309563</xdr:rowOff>
    </xdr:from>
    <xdr:to>
      <xdr:col>31</xdr:col>
      <xdr:colOff>3442</xdr:colOff>
      <xdr:row>23</xdr:row>
      <xdr:rowOff>333374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84842" y="309563"/>
          <a:ext cx="12635975" cy="809624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AppData/Local/Microsoft/Windows/Temporary%20Internet%20Files/Content.IE5/HWUAJZAF/140923_21&#49884;_2014&#45380;%20&#51228;1&#54924;%20&#52628;&#44032;&#44221;&#51221;&#50696;&#49328;&#50504;%20&#44228;&#49688;&#51312;&#51221;%20&#52509;&#44292;%20&#45236;&#50669;%20(&#49345;&#51076;&#50948;%20&#50756;)_&#52572;&#51333;&#49688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임 표지"/>
      <sheetName val="예결 표지"/>
      <sheetName val="총괄표"/>
      <sheetName val="검증"/>
      <sheetName val="일반 세입"/>
      <sheetName val="일반 세출"/>
      <sheetName val="중소기업육성기금"/>
      <sheetName val="국비변경(일반 세입)"/>
      <sheetName val="국비변경(일반 세출)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>
        <row r="6">
          <cell r="R6">
            <v>42997</v>
          </cell>
        </row>
      </sheetData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4" customWidth="1"/>
    <col min="2" max="2" width="2" style="4" customWidth="1"/>
    <col min="3" max="12" width="8.875" style="4" customWidth="1"/>
    <col min="13" max="16384" width="9" style="4"/>
  </cols>
  <sheetData>
    <row r="1" spans="4:11" ht="27" customHeight="1"/>
    <row r="2" spans="4:11" ht="18.75">
      <c r="D2" s="5" t="s">
        <v>67</v>
      </c>
      <c r="E2" s="6"/>
      <c r="F2" s="6"/>
      <c r="G2" s="6"/>
      <c r="H2" s="6"/>
      <c r="I2" s="6"/>
      <c r="J2" s="6"/>
      <c r="K2" s="6"/>
    </row>
    <row r="3" spans="4:11" ht="45" customHeight="1">
      <c r="D3" s="7"/>
      <c r="E3" s="8"/>
      <c r="G3" s="9"/>
      <c r="H3" s="8"/>
      <c r="I3" s="8"/>
      <c r="J3" s="8"/>
      <c r="K3" s="8"/>
    </row>
    <row r="4" spans="4:11" ht="46.5">
      <c r="D4" s="10" t="s">
        <v>170</v>
      </c>
      <c r="E4" s="11"/>
      <c r="F4" s="11"/>
      <c r="G4" s="11"/>
      <c r="H4" s="11"/>
      <c r="I4" s="11"/>
      <c r="J4" s="11"/>
      <c r="K4" s="11"/>
    </row>
    <row r="5" spans="4:11" ht="46.5">
      <c r="D5" s="10"/>
      <c r="E5" s="11"/>
      <c r="F5" s="11"/>
      <c r="G5" s="11"/>
      <c r="H5" s="11"/>
      <c r="I5" s="11"/>
      <c r="J5" s="11"/>
      <c r="K5" s="11"/>
    </row>
    <row r="6" spans="4:11" ht="21" customHeight="1">
      <c r="D6" s="10"/>
      <c r="E6" s="11"/>
      <c r="F6" s="11"/>
      <c r="G6" s="11"/>
      <c r="H6" s="11"/>
      <c r="I6" s="11"/>
      <c r="J6" s="11"/>
      <c r="K6" s="11"/>
    </row>
    <row r="7" spans="4:11" ht="19.5">
      <c r="D7" s="12"/>
      <c r="E7" s="11"/>
      <c r="F7" s="11"/>
      <c r="G7" s="11"/>
      <c r="H7" s="11"/>
      <c r="I7" s="11"/>
      <c r="J7" s="11"/>
      <c r="K7" s="11"/>
    </row>
    <row r="8" spans="4:11">
      <c r="D8" s="11"/>
      <c r="E8" s="11"/>
      <c r="F8" s="11"/>
      <c r="G8" s="11"/>
      <c r="H8" s="11"/>
      <c r="I8" s="11"/>
      <c r="J8" s="11"/>
      <c r="K8" s="11"/>
    </row>
    <row r="9" spans="4:11">
      <c r="D9" s="11"/>
      <c r="E9" s="11"/>
      <c r="F9" s="11"/>
      <c r="G9" s="11"/>
      <c r="H9" s="11"/>
      <c r="I9" s="11"/>
      <c r="J9" s="11"/>
      <c r="K9" s="11"/>
    </row>
    <row r="10" spans="4:11">
      <c r="D10" s="11"/>
      <c r="E10" s="11"/>
      <c r="F10" s="11"/>
      <c r="G10" s="11"/>
      <c r="H10" s="11"/>
      <c r="I10" s="11"/>
      <c r="J10" s="11"/>
      <c r="K10" s="11"/>
    </row>
    <row r="11" spans="4:11">
      <c r="D11" s="11"/>
      <c r="E11" s="11"/>
      <c r="F11" s="11"/>
      <c r="G11" s="11"/>
      <c r="H11" s="11"/>
      <c r="I11" s="11"/>
      <c r="J11" s="11"/>
      <c r="K11" s="11"/>
    </row>
    <row r="12" spans="4:11">
      <c r="D12" s="11"/>
      <c r="E12" s="11"/>
      <c r="F12" s="11"/>
      <c r="G12" s="11"/>
      <c r="H12" s="11"/>
      <c r="I12" s="11"/>
      <c r="J12" s="11"/>
      <c r="K12" s="11"/>
    </row>
    <row r="13" spans="4:11">
      <c r="D13" s="11"/>
      <c r="E13" s="11"/>
      <c r="F13" s="11"/>
      <c r="G13" s="11"/>
      <c r="H13" s="11"/>
      <c r="I13" s="11"/>
      <c r="J13" s="11"/>
      <c r="K13" s="11"/>
    </row>
    <row r="14" spans="4:11">
      <c r="D14" s="11"/>
      <c r="E14" s="11"/>
      <c r="F14" s="11"/>
      <c r="G14" s="11"/>
      <c r="H14" s="11"/>
      <c r="I14" s="11"/>
      <c r="J14" s="11"/>
      <c r="K14" s="11"/>
    </row>
    <row r="15" spans="4:11">
      <c r="D15" s="11"/>
      <c r="E15" s="11"/>
      <c r="F15" s="11"/>
      <c r="G15" s="11"/>
      <c r="H15" s="11"/>
      <c r="I15" s="11"/>
      <c r="J15" s="11"/>
      <c r="K15" s="11"/>
    </row>
    <row r="16" spans="4:11" s="13" customFormat="1" ht="33.75">
      <c r="D16" s="290" t="s">
        <v>66</v>
      </c>
      <c r="E16" s="290"/>
      <c r="F16" s="290"/>
      <c r="G16" s="290"/>
      <c r="H16" s="290"/>
      <c r="I16" s="290"/>
      <c r="J16" s="290"/>
      <c r="K16" s="290"/>
    </row>
    <row r="17" spans="4:11">
      <c r="D17" s="11"/>
      <c r="E17" s="11"/>
      <c r="F17" s="11"/>
      <c r="G17" s="11"/>
      <c r="H17" s="11"/>
      <c r="I17" s="11"/>
      <c r="J17" s="11"/>
      <c r="K17" s="11"/>
    </row>
    <row r="18" spans="4:11" ht="46.5">
      <c r="D18" s="10"/>
      <c r="E18" s="11"/>
      <c r="F18" s="11"/>
      <c r="G18" s="11"/>
      <c r="H18" s="11"/>
      <c r="I18" s="11"/>
      <c r="J18" s="11"/>
      <c r="K18" s="11"/>
    </row>
    <row r="19" spans="4:11">
      <c r="D19" s="11"/>
      <c r="E19" s="11"/>
      <c r="F19" s="11"/>
      <c r="G19" s="11"/>
      <c r="H19" s="11"/>
      <c r="I19" s="11"/>
      <c r="J19" s="11"/>
      <c r="K19" s="11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>
      <selection activeCell="F7" sqref="F7"/>
    </sheetView>
  </sheetViews>
  <sheetFormatPr defaultRowHeight="13.5"/>
  <cols>
    <col min="1" max="10" width="8.875" style="4" customWidth="1"/>
    <col min="11" max="16384" width="9" style="4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5" t="s">
        <v>67</v>
      </c>
      <c r="C5" s="6"/>
      <c r="D5" s="6"/>
      <c r="E5" s="6"/>
      <c r="F5" s="6"/>
      <c r="G5" s="6"/>
      <c r="H5" s="6"/>
      <c r="I5" s="6"/>
    </row>
    <row r="6" spans="2:9" ht="18.75">
      <c r="B6" s="7"/>
      <c r="C6" s="8"/>
      <c r="E6" s="9"/>
      <c r="F6" s="8"/>
      <c r="G6" s="8"/>
      <c r="H6" s="8"/>
      <c r="I6" s="8"/>
    </row>
    <row r="7" spans="2:9" ht="46.5">
      <c r="B7" s="10" t="s">
        <v>65</v>
      </c>
      <c r="C7" s="11"/>
      <c r="D7" s="11"/>
      <c r="E7" s="11"/>
      <c r="F7" s="11"/>
      <c r="G7" s="11"/>
      <c r="H7" s="11"/>
      <c r="I7" s="11"/>
    </row>
    <row r="8" spans="2:9" ht="19.5">
      <c r="B8" s="12"/>
      <c r="C8" s="11"/>
      <c r="D8" s="11"/>
      <c r="E8" s="11"/>
      <c r="F8" s="11"/>
      <c r="G8" s="11"/>
      <c r="H8" s="11"/>
      <c r="I8" s="11"/>
    </row>
    <row r="9" spans="2:9" ht="19.5">
      <c r="B9" s="12"/>
      <c r="C9" s="11"/>
      <c r="D9" s="11"/>
      <c r="E9" s="11"/>
      <c r="F9" s="11"/>
      <c r="G9" s="11"/>
      <c r="H9" s="11"/>
      <c r="I9" s="11"/>
    </row>
    <row r="10" spans="2:9" ht="19.5">
      <c r="B10" s="12"/>
      <c r="C10" s="11"/>
      <c r="D10" s="11"/>
      <c r="E10" s="11"/>
      <c r="F10" s="11"/>
      <c r="G10" s="11"/>
      <c r="H10" s="11"/>
      <c r="I10" s="11"/>
    </row>
    <row r="11" spans="2:9" ht="19.5">
      <c r="B11" s="12"/>
      <c r="C11" s="11"/>
      <c r="D11" s="11"/>
      <c r="E11" s="11"/>
      <c r="F11" s="11"/>
      <c r="G11" s="11"/>
      <c r="H11" s="11"/>
      <c r="I11" s="11"/>
    </row>
    <row r="12" spans="2:9" ht="19.5">
      <c r="B12" s="12"/>
      <c r="C12" s="11"/>
      <c r="D12" s="11"/>
      <c r="E12" s="11"/>
      <c r="F12" s="11"/>
      <c r="G12" s="11"/>
      <c r="H12" s="11"/>
      <c r="I12" s="11"/>
    </row>
    <row r="13" spans="2:9" ht="19.5">
      <c r="B13" s="12"/>
      <c r="C13" s="11"/>
      <c r="D13" s="11"/>
      <c r="E13" s="11"/>
      <c r="F13" s="11"/>
      <c r="G13" s="11"/>
      <c r="H13" s="11"/>
      <c r="I13" s="11"/>
    </row>
    <row r="14" spans="2:9">
      <c r="B14" s="11"/>
      <c r="C14" s="11"/>
      <c r="D14" s="11"/>
      <c r="E14" s="11"/>
      <c r="F14" s="11"/>
      <c r="G14" s="11"/>
      <c r="H14" s="11"/>
      <c r="I14" s="11"/>
    </row>
    <row r="15" spans="2:9">
      <c r="B15" s="11"/>
      <c r="C15" s="11"/>
      <c r="D15" s="11"/>
      <c r="E15" s="11"/>
      <c r="F15" s="11"/>
      <c r="G15" s="11"/>
      <c r="H15" s="11"/>
      <c r="I15" s="11"/>
    </row>
    <row r="16" spans="2:9">
      <c r="B16" s="11"/>
      <c r="C16" s="11"/>
      <c r="D16" s="11"/>
      <c r="E16" s="11"/>
      <c r="F16" s="11"/>
      <c r="G16" s="11"/>
      <c r="H16" s="11"/>
      <c r="I16" s="11"/>
    </row>
    <row r="17" spans="2:9">
      <c r="B17" s="11"/>
      <c r="C17" s="11"/>
      <c r="D17" s="11"/>
      <c r="E17" s="11"/>
      <c r="F17" s="11"/>
      <c r="G17" s="11"/>
      <c r="H17" s="11"/>
      <c r="I17" s="11"/>
    </row>
    <row r="18" spans="2:9">
      <c r="B18" s="11"/>
      <c r="C18" s="11"/>
      <c r="D18" s="11"/>
      <c r="E18" s="11"/>
      <c r="F18" s="11"/>
      <c r="G18" s="11"/>
      <c r="H18" s="11"/>
      <c r="I18" s="11"/>
    </row>
    <row r="19" spans="2:9">
      <c r="B19" s="11"/>
      <c r="C19" s="11"/>
      <c r="D19" s="11"/>
      <c r="E19" s="11"/>
      <c r="F19" s="11"/>
      <c r="G19" s="11"/>
      <c r="H19" s="11"/>
      <c r="I19" s="11"/>
    </row>
    <row r="20" spans="2:9">
      <c r="B20" s="11"/>
      <c r="C20" s="11"/>
      <c r="D20" s="11"/>
      <c r="E20" s="11"/>
      <c r="F20" s="11"/>
      <c r="G20" s="11"/>
      <c r="H20" s="11"/>
      <c r="I20" s="11"/>
    </row>
    <row r="21" spans="2:9">
      <c r="B21" s="11"/>
      <c r="C21" s="11"/>
      <c r="D21" s="11"/>
      <c r="E21" s="11"/>
      <c r="F21" s="11"/>
      <c r="G21" s="11"/>
      <c r="H21" s="11"/>
      <c r="I21" s="11"/>
    </row>
    <row r="22" spans="2:9">
      <c r="B22" s="11"/>
      <c r="C22" s="11"/>
      <c r="D22" s="11"/>
      <c r="E22" s="11"/>
      <c r="F22" s="11"/>
      <c r="G22" s="11"/>
      <c r="H22" s="11"/>
      <c r="I22" s="11"/>
    </row>
    <row r="23" spans="2:9">
      <c r="B23" s="11"/>
      <c r="C23" s="11"/>
      <c r="D23" s="11"/>
      <c r="E23" s="11"/>
      <c r="F23" s="11"/>
      <c r="G23" s="11"/>
      <c r="H23" s="11"/>
      <c r="I23" s="11"/>
    </row>
    <row r="24" spans="2:9">
      <c r="B24" s="11"/>
      <c r="C24" s="11"/>
      <c r="D24" s="11"/>
      <c r="E24" s="11"/>
      <c r="F24" s="11"/>
      <c r="G24" s="11"/>
      <c r="H24" s="11"/>
      <c r="I24" s="11"/>
    </row>
    <row r="25" spans="2:9">
      <c r="B25" s="11"/>
      <c r="C25" s="11"/>
      <c r="D25" s="11"/>
      <c r="E25" s="11"/>
      <c r="F25" s="11"/>
      <c r="G25" s="11"/>
      <c r="H25" s="11"/>
      <c r="I25" s="11"/>
    </row>
    <row r="26" spans="2:9">
      <c r="B26" s="11"/>
      <c r="C26" s="11"/>
      <c r="D26" s="11"/>
      <c r="E26" s="11"/>
      <c r="F26" s="11"/>
      <c r="G26" s="11"/>
      <c r="H26" s="11"/>
      <c r="I26" s="11"/>
    </row>
    <row r="27" spans="2:9">
      <c r="B27" s="11"/>
      <c r="C27" s="11"/>
      <c r="D27" s="11"/>
      <c r="E27" s="11"/>
      <c r="F27" s="11"/>
      <c r="G27" s="11"/>
      <c r="H27" s="11"/>
      <c r="I27" s="11"/>
    </row>
    <row r="28" spans="2:9">
      <c r="B28" s="11"/>
      <c r="C28" s="11"/>
      <c r="D28" s="11"/>
      <c r="E28" s="11"/>
      <c r="F28" s="11"/>
      <c r="G28" s="11"/>
      <c r="H28" s="11"/>
      <c r="I28" s="11"/>
    </row>
    <row r="29" spans="2:9">
      <c r="B29" s="11"/>
      <c r="C29" s="11"/>
      <c r="D29" s="11"/>
      <c r="E29" s="11"/>
      <c r="F29" s="11"/>
      <c r="G29" s="11"/>
      <c r="H29" s="11"/>
      <c r="I29" s="11"/>
    </row>
    <row r="30" spans="2:9">
      <c r="B30" s="11"/>
      <c r="C30" s="11"/>
      <c r="D30" s="11"/>
      <c r="E30" s="11"/>
      <c r="F30" s="11"/>
      <c r="G30" s="11"/>
      <c r="H30" s="11"/>
      <c r="I30" s="11"/>
    </row>
    <row r="31" spans="2:9">
      <c r="B31" s="11"/>
      <c r="C31" s="11"/>
      <c r="D31" s="11"/>
      <c r="E31" s="11"/>
      <c r="F31" s="11"/>
      <c r="G31" s="11"/>
      <c r="H31" s="11"/>
      <c r="I31" s="11"/>
    </row>
    <row r="32" spans="2:9">
      <c r="B32" s="11"/>
      <c r="C32" s="11"/>
      <c r="D32" s="11"/>
      <c r="E32" s="11"/>
      <c r="F32" s="11"/>
      <c r="G32" s="11"/>
      <c r="H32" s="11"/>
      <c r="I32" s="11"/>
    </row>
    <row r="33" spans="2:9" s="13" customFormat="1" ht="33.75">
      <c r="B33" s="290" t="s">
        <v>66</v>
      </c>
      <c r="C33" s="290"/>
      <c r="D33" s="290"/>
      <c r="E33" s="290"/>
      <c r="F33" s="290"/>
      <c r="G33" s="290"/>
      <c r="H33" s="290"/>
      <c r="I33" s="290"/>
    </row>
    <row r="34" spans="2:9">
      <c r="B34" s="11"/>
      <c r="C34" s="11"/>
      <c r="D34" s="11"/>
      <c r="E34" s="11"/>
      <c r="F34" s="11"/>
      <c r="G34" s="11"/>
      <c r="H34" s="11"/>
      <c r="I34" s="11"/>
    </row>
    <row r="35" spans="2:9" ht="46.5">
      <c r="B35" s="10"/>
      <c r="C35" s="11"/>
      <c r="D35" s="11"/>
      <c r="E35" s="11"/>
      <c r="F35" s="11"/>
      <c r="G35" s="11"/>
      <c r="H35" s="11"/>
      <c r="I35" s="11"/>
    </row>
    <row r="36" spans="2:9">
      <c r="B36" s="11"/>
      <c r="C36" s="11"/>
      <c r="D36" s="11"/>
      <c r="E36" s="11"/>
      <c r="F36" s="11"/>
      <c r="G36" s="11"/>
      <c r="H36" s="11"/>
      <c r="I36" s="11"/>
    </row>
    <row r="37" spans="2:9">
      <c r="B37" s="11"/>
      <c r="C37" s="11"/>
      <c r="D37" s="11"/>
      <c r="E37" s="11"/>
      <c r="F37" s="11"/>
      <c r="G37" s="11"/>
      <c r="H37" s="11"/>
      <c r="I37" s="11"/>
    </row>
    <row r="38" spans="2:9">
      <c r="B38" s="11"/>
      <c r="C38" s="11"/>
      <c r="D38" s="11"/>
      <c r="E38" s="11"/>
      <c r="F38" s="11"/>
      <c r="G38" s="11"/>
      <c r="H38" s="11"/>
      <c r="I38" s="11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>
      <selection activeCell="J5" sqref="J5"/>
    </sheetView>
  </sheetViews>
  <sheetFormatPr defaultRowHeight="13.5"/>
  <cols>
    <col min="1" max="10" width="8.875" style="4" customWidth="1"/>
    <col min="11" max="16384" width="9" style="4"/>
  </cols>
  <sheetData>
    <row r="1" spans="2:9" ht="27" customHeight="1"/>
    <row r="2" spans="2:9" ht="27" customHeight="1"/>
    <row r="3" spans="2:9" ht="18.75">
      <c r="B3" s="5" t="s">
        <v>67</v>
      </c>
      <c r="C3" s="6"/>
      <c r="D3" s="6"/>
      <c r="E3" s="6"/>
      <c r="F3" s="6"/>
      <c r="G3" s="6"/>
      <c r="H3" s="6"/>
      <c r="I3" s="6"/>
    </row>
    <row r="4" spans="2:9" ht="18.75">
      <c r="B4" s="7"/>
      <c r="C4" s="8"/>
      <c r="E4" s="9"/>
      <c r="F4" s="8"/>
      <c r="G4" s="8"/>
      <c r="H4" s="8"/>
      <c r="I4" s="8"/>
    </row>
    <row r="5" spans="2:9" ht="46.5">
      <c r="B5" s="10" t="s">
        <v>65</v>
      </c>
      <c r="C5" s="11"/>
      <c r="D5" s="11"/>
      <c r="E5" s="11"/>
      <c r="F5" s="11"/>
      <c r="G5" s="11"/>
      <c r="H5" s="11"/>
      <c r="I5" s="11"/>
    </row>
    <row r="6" spans="2:9" ht="19.5">
      <c r="B6" s="12"/>
      <c r="C6" s="11"/>
      <c r="D6" s="11"/>
      <c r="E6" s="11"/>
      <c r="F6" s="11"/>
      <c r="G6" s="11"/>
      <c r="H6" s="11"/>
      <c r="I6" s="11"/>
    </row>
    <row r="7" spans="2:9" ht="19.5">
      <c r="B7" s="12"/>
      <c r="C7" s="11"/>
      <c r="D7" s="11"/>
      <c r="E7" s="11"/>
      <c r="F7" s="11"/>
      <c r="G7" s="11"/>
      <c r="H7" s="11"/>
      <c r="I7" s="11"/>
    </row>
    <row r="8" spans="2:9">
      <c r="B8" s="11"/>
      <c r="C8" s="11"/>
      <c r="D8" s="11"/>
      <c r="E8" s="11"/>
      <c r="F8" s="11"/>
      <c r="G8" s="11"/>
      <c r="H8" s="11"/>
      <c r="I8" s="11"/>
    </row>
    <row r="9" spans="2:9">
      <c r="B9" s="11"/>
      <c r="C9" s="11"/>
      <c r="D9" s="11"/>
      <c r="E9" s="11"/>
      <c r="F9" s="11"/>
      <c r="G9" s="11"/>
      <c r="H9" s="11"/>
      <c r="I9" s="11"/>
    </row>
    <row r="10" spans="2:9">
      <c r="B10" s="11"/>
      <c r="C10" s="11"/>
      <c r="D10" s="11"/>
      <c r="E10" s="11"/>
      <c r="F10" s="11"/>
      <c r="G10" s="11"/>
      <c r="H10" s="11"/>
      <c r="I10" s="11"/>
    </row>
    <row r="11" spans="2:9">
      <c r="B11" s="11"/>
      <c r="C11" s="11"/>
      <c r="D11" s="11"/>
      <c r="E11" s="11"/>
      <c r="F11" s="11"/>
      <c r="G11" s="11"/>
      <c r="H11" s="11"/>
      <c r="I11" s="11"/>
    </row>
    <row r="12" spans="2:9">
      <c r="B12" s="11"/>
      <c r="C12" s="11"/>
      <c r="D12" s="11"/>
      <c r="E12" s="11"/>
      <c r="F12" s="11"/>
      <c r="G12" s="11"/>
      <c r="H12" s="11"/>
      <c r="I12" s="11"/>
    </row>
    <row r="13" spans="2:9">
      <c r="B13" s="11"/>
      <c r="C13" s="11"/>
      <c r="D13" s="11"/>
      <c r="E13" s="11"/>
      <c r="F13" s="11"/>
      <c r="G13" s="11"/>
      <c r="H13" s="11"/>
      <c r="I13" s="11"/>
    </row>
    <row r="14" spans="2:9">
      <c r="B14" s="11"/>
      <c r="C14" s="11"/>
      <c r="D14" s="11"/>
      <c r="E14" s="11"/>
      <c r="F14" s="11"/>
      <c r="G14" s="11"/>
      <c r="H14" s="11"/>
      <c r="I14" s="11"/>
    </row>
    <row r="15" spans="2:9">
      <c r="B15" s="11"/>
      <c r="C15" s="11"/>
      <c r="D15" s="11"/>
      <c r="E15" s="11"/>
      <c r="F15" s="11"/>
      <c r="G15" s="11"/>
      <c r="H15" s="11"/>
      <c r="I15" s="11"/>
    </row>
    <row r="16" spans="2:9">
      <c r="B16" s="11"/>
      <c r="C16" s="11"/>
      <c r="D16" s="11"/>
      <c r="E16" s="11"/>
      <c r="F16" s="11"/>
      <c r="G16" s="11"/>
      <c r="H16" s="11"/>
      <c r="I16" s="11"/>
    </row>
    <row r="17" spans="2:9">
      <c r="B17" s="11"/>
      <c r="C17" s="11"/>
      <c r="D17" s="11"/>
      <c r="E17" s="11"/>
      <c r="F17" s="11"/>
      <c r="G17" s="11"/>
      <c r="H17" s="11"/>
      <c r="I17" s="11"/>
    </row>
    <row r="18" spans="2:9">
      <c r="B18" s="11"/>
      <c r="C18" s="11"/>
      <c r="D18" s="11"/>
      <c r="E18" s="11"/>
      <c r="F18" s="11"/>
      <c r="G18" s="11"/>
      <c r="H18" s="11"/>
      <c r="I18" s="11"/>
    </row>
    <row r="19" spans="2:9">
      <c r="B19" s="11"/>
      <c r="C19" s="11"/>
      <c r="D19" s="11"/>
      <c r="E19" s="11"/>
      <c r="F19" s="11"/>
      <c r="G19" s="11"/>
      <c r="H19" s="11"/>
      <c r="I19" s="11"/>
    </row>
    <row r="20" spans="2:9">
      <c r="B20" s="11"/>
      <c r="C20" s="11"/>
      <c r="D20" s="11"/>
      <c r="E20" s="11"/>
      <c r="F20" s="11"/>
      <c r="G20" s="11"/>
      <c r="H20" s="11"/>
      <c r="I20" s="11"/>
    </row>
    <row r="21" spans="2:9">
      <c r="B21" s="11"/>
      <c r="C21" s="11"/>
      <c r="D21" s="11"/>
      <c r="E21" s="11"/>
      <c r="F21" s="11"/>
      <c r="G21" s="11"/>
      <c r="H21" s="11"/>
      <c r="I21" s="11"/>
    </row>
    <row r="22" spans="2:9">
      <c r="B22" s="11"/>
      <c r="C22" s="11"/>
      <c r="D22" s="11"/>
      <c r="E22" s="11"/>
      <c r="F22" s="11"/>
      <c r="G22" s="11"/>
      <c r="H22" s="11"/>
      <c r="I22" s="11"/>
    </row>
    <row r="23" spans="2:9">
      <c r="B23" s="11"/>
      <c r="C23" s="11"/>
      <c r="D23" s="11"/>
      <c r="E23" s="11"/>
      <c r="F23" s="11"/>
      <c r="G23" s="11"/>
      <c r="H23" s="11"/>
      <c r="I23" s="11"/>
    </row>
    <row r="24" spans="2:9" s="13" customFormat="1" ht="33.75">
      <c r="B24" s="290" t="s">
        <v>66</v>
      </c>
      <c r="C24" s="290"/>
      <c r="D24" s="290"/>
      <c r="E24" s="290"/>
      <c r="F24" s="290"/>
      <c r="G24" s="290"/>
      <c r="H24" s="290"/>
      <c r="I24" s="290"/>
    </row>
    <row r="25" spans="2:9">
      <c r="B25" s="11"/>
      <c r="C25" s="11"/>
      <c r="D25" s="11"/>
      <c r="E25" s="11"/>
      <c r="F25" s="11"/>
      <c r="G25" s="11"/>
      <c r="H25" s="11"/>
      <c r="I25" s="11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sqref="A1:P1"/>
      <selection pane="topRight" sqref="A1:P1"/>
      <selection pane="bottomLeft" sqref="A1:P1"/>
      <selection pane="bottomRight" activeCell="B1" sqref="B1:H1"/>
    </sheetView>
  </sheetViews>
  <sheetFormatPr defaultRowHeight="13.5"/>
  <cols>
    <col min="1" max="1" width="1" style="21" customWidth="1"/>
    <col min="2" max="2" width="22" style="21" customWidth="1"/>
    <col min="3" max="3" width="17.875" style="21" customWidth="1"/>
    <col min="4" max="4" width="14.75" style="21" customWidth="1"/>
    <col min="5" max="5" width="15.25" style="21" customWidth="1"/>
    <col min="6" max="6" width="14.25" style="21" customWidth="1"/>
    <col min="7" max="7" width="13.5" style="21" customWidth="1"/>
    <col min="8" max="8" width="17.25" style="21" customWidth="1"/>
    <col min="9" max="9" width="17.125" style="20" hidden="1" customWidth="1"/>
    <col min="10" max="10" width="16" style="20" hidden="1" customWidth="1"/>
    <col min="11" max="11" width="14.625" style="20" hidden="1" customWidth="1"/>
    <col min="12" max="12" width="21.75" style="20" hidden="1" customWidth="1"/>
    <col min="13" max="14" width="14.75" style="20" hidden="1" customWidth="1"/>
    <col min="15" max="15" width="12.25" style="20" hidden="1" customWidth="1"/>
    <col min="16" max="16" width="13.375" style="20" hidden="1" customWidth="1"/>
    <col min="17" max="16384" width="9" style="21"/>
  </cols>
  <sheetData>
    <row r="1" spans="2:16" ht="33" customHeight="1">
      <c r="B1" s="299" t="s">
        <v>68</v>
      </c>
      <c r="C1" s="300"/>
      <c r="D1" s="300"/>
      <c r="E1" s="300"/>
      <c r="F1" s="300"/>
      <c r="G1" s="300"/>
      <c r="H1" s="300"/>
    </row>
    <row r="2" spans="2:16" ht="12.75" customHeight="1">
      <c r="B2" s="88"/>
      <c r="C2" s="22"/>
      <c r="D2" s="22"/>
      <c r="E2" s="22"/>
      <c r="F2" s="22"/>
      <c r="G2" s="22"/>
      <c r="H2" s="22"/>
    </row>
    <row r="3" spans="2:16" ht="23.25" customHeight="1">
      <c r="B3" s="23" t="s">
        <v>29</v>
      </c>
      <c r="C3" s="24"/>
      <c r="D3" s="282" t="s">
        <v>535</v>
      </c>
      <c r="E3" s="283">
        <f>SUM(D7:E7)</f>
        <v>3134642</v>
      </c>
      <c r="F3" s="282" t="s">
        <v>536</v>
      </c>
      <c r="G3" s="283">
        <f>SUM(F7:G7)</f>
        <v>3134642</v>
      </c>
      <c r="H3" s="284"/>
    </row>
    <row r="4" spans="2:16" s="27" customFormat="1" ht="18" customHeight="1" thickBot="1">
      <c r="B4" s="26"/>
      <c r="F4" s="28"/>
      <c r="H4" s="29" t="s">
        <v>30</v>
      </c>
      <c r="I4" s="30"/>
      <c r="J4" s="31"/>
      <c r="K4" s="31"/>
      <c r="L4" s="31"/>
      <c r="M4" s="32" t="s">
        <v>31</v>
      </c>
      <c r="N4" s="31"/>
      <c r="O4" s="32" t="s">
        <v>32</v>
      </c>
      <c r="P4" s="32"/>
    </row>
    <row r="5" spans="2:16" ht="33" customHeight="1">
      <c r="B5" s="301" t="s">
        <v>33</v>
      </c>
      <c r="C5" s="303" t="s">
        <v>34</v>
      </c>
      <c r="D5" s="305" t="s">
        <v>35</v>
      </c>
      <c r="E5" s="305"/>
      <c r="F5" s="305" t="s">
        <v>36</v>
      </c>
      <c r="G5" s="305"/>
      <c r="H5" s="306" t="s">
        <v>37</v>
      </c>
      <c r="I5" s="312" t="s">
        <v>38</v>
      </c>
      <c r="J5" s="312"/>
      <c r="K5" s="308" t="s">
        <v>39</v>
      </c>
      <c r="L5" s="310" t="s">
        <v>40</v>
      </c>
      <c r="M5" s="312" t="s">
        <v>41</v>
      </c>
      <c r="N5" s="313"/>
      <c r="O5" s="314" t="s">
        <v>42</v>
      </c>
      <c r="P5" s="315"/>
    </row>
    <row r="6" spans="2:16" ht="33" customHeight="1">
      <c r="B6" s="302"/>
      <c r="C6" s="304"/>
      <c r="D6" s="89" t="s">
        <v>43</v>
      </c>
      <c r="E6" s="89" t="s">
        <v>44</v>
      </c>
      <c r="F6" s="89" t="s">
        <v>43</v>
      </c>
      <c r="G6" s="89" t="s">
        <v>44</v>
      </c>
      <c r="H6" s="307"/>
      <c r="I6" s="90" t="s">
        <v>45</v>
      </c>
      <c r="J6" s="33" t="s">
        <v>46</v>
      </c>
      <c r="K6" s="309"/>
      <c r="L6" s="311"/>
      <c r="M6" s="34" t="s">
        <v>45</v>
      </c>
      <c r="N6" s="35" t="s">
        <v>46</v>
      </c>
      <c r="O6" s="316"/>
      <c r="P6" s="317"/>
    </row>
    <row r="7" spans="2:16" ht="45" customHeight="1" thickBot="1">
      <c r="B7" s="91" t="s">
        <v>47</v>
      </c>
      <c r="C7" s="92">
        <f t="shared" ref="C7:H7" si="0">SUM(C8:C18)</f>
        <v>17802852244</v>
      </c>
      <c r="D7" s="93">
        <f t="shared" si="0"/>
        <v>-200161</v>
      </c>
      <c r="E7" s="93">
        <f t="shared" si="0"/>
        <v>3334803</v>
      </c>
      <c r="F7" s="93">
        <f t="shared" si="0"/>
        <v>-18673514</v>
      </c>
      <c r="G7" s="93">
        <f t="shared" si="0"/>
        <v>21808156</v>
      </c>
      <c r="H7" s="94">
        <f t="shared" si="0"/>
        <v>17805986886</v>
      </c>
      <c r="I7" s="36">
        <f>E25+D25</f>
        <v>3134642</v>
      </c>
      <c r="J7" s="37">
        <f>F25+G25</f>
        <v>3134642</v>
      </c>
      <c r="K7" s="38">
        <f>I7-J7</f>
        <v>0</v>
      </c>
      <c r="L7" s="39" t="s">
        <v>48</v>
      </c>
      <c r="M7" s="40">
        <f>D24+E24</f>
        <v>3134642</v>
      </c>
      <c r="N7" s="41">
        <f>F24+G24</f>
        <v>3134642</v>
      </c>
      <c r="O7" s="42">
        <v>0</v>
      </c>
      <c r="P7" s="42">
        <v>0</v>
      </c>
    </row>
    <row r="8" spans="2:16" ht="45" hidden="1" customHeight="1" thickBot="1">
      <c r="B8" s="95" t="s">
        <v>49</v>
      </c>
      <c r="C8" s="92">
        <v>0</v>
      </c>
      <c r="D8" s="93"/>
      <c r="E8" s="93"/>
      <c r="F8" s="93"/>
      <c r="G8" s="93"/>
      <c r="H8" s="94">
        <f>C8-F8+G8</f>
        <v>0</v>
      </c>
      <c r="I8" s="96">
        <f>D7+E7</f>
        <v>3134642</v>
      </c>
      <c r="J8" s="97">
        <f>F7+G7</f>
        <v>3134642</v>
      </c>
      <c r="K8" s="98">
        <f>I8-J8</f>
        <v>0</v>
      </c>
      <c r="L8" s="99"/>
      <c r="M8" s="43"/>
      <c r="N8" s="100"/>
      <c r="O8" s="101"/>
      <c r="P8" s="101"/>
    </row>
    <row r="9" spans="2:16" ht="45" customHeight="1">
      <c r="B9" s="102" t="s">
        <v>495</v>
      </c>
      <c r="C9" s="103">
        <v>39922113</v>
      </c>
      <c r="D9" s="93">
        <f>SUMIFS('일반 세입'!$L$7:$L$1000,'일반 세입'!$A$7:$A$1000,총괄표!$B9)</f>
        <v>0</v>
      </c>
      <c r="E9" s="93">
        <f>SUMIFS('일반 세입'!$M$7:$M$1000,'일반 세입'!$A$7:$A$1000,총괄표!$B9)</f>
        <v>0</v>
      </c>
      <c r="F9" s="93">
        <f>SUMIFS('일반 세출'!$L$7:$L$1001,'일반 세출'!$A$7:$A$1001,총괄표!$B9)</f>
        <v>-1040000</v>
      </c>
      <c r="G9" s="93">
        <f>SUMIFS('일반 세출'!$M$7:$M$1001,'일반 세출'!$A$7:$A$1001,총괄표!$B9)</f>
        <v>60920</v>
      </c>
      <c r="H9" s="94">
        <f>C9+F9+G9</f>
        <v>38943033</v>
      </c>
      <c r="I9" s="318" t="s">
        <v>50</v>
      </c>
      <c r="J9" s="319"/>
      <c r="K9" s="31"/>
      <c r="N9" s="104" t="s">
        <v>51</v>
      </c>
    </row>
    <row r="10" spans="2:16" ht="45" customHeight="1" thickBot="1">
      <c r="B10" s="102" t="s">
        <v>496</v>
      </c>
      <c r="C10" s="92">
        <v>5083518101</v>
      </c>
      <c r="D10" s="93">
        <f>SUMIFS('일반 세입'!$L$7:$L$1000,'일반 세입'!$A$7:$A$1000,총괄표!$B10)</f>
        <v>0</v>
      </c>
      <c r="E10" s="93">
        <f>SUMIFS('일반 세입'!$M$7:$M$1000,'일반 세입'!$A$7:$A$1000,총괄표!$B10)</f>
        <v>0</v>
      </c>
      <c r="F10" s="93">
        <f>SUMIFS('일반 세출'!$L$7:$L$1001,'일반 세출'!$A$7:$A$1001,총괄표!$B10)</f>
        <v>-14046635</v>
      </c>
      <c r="G10" s="93">
        <f>SUMIFS('일반 세출'!$M$7:$M$1001,'일반 세출'!$A$7:$A$1001,총괄표!$B10)</f>
        <v>0</v>
      </c>
      <c r="H10" s="94">
        <f t="shared" ref="H10:H18" si="1">C10+F10+G10</f>
        <v>5069471466</v>
      </c>
      <c r="I10" s="44">
        <f>'일반 세입'!L6+'일반 세입'!M6</f>
        <v>3134642</v>
      </c>
      <c r="J10" s="45" t="e">
        <f>#REF!+#REF!</f>
        <v>#REF!</v>
      </c>
      <c r="K10" s="31"/>
      <c r="N10" s="46">
        <f>M7-N7</f>
        <v>0</v>
      </c>
    </row>
    <row r="11" spans="2:16" ht="45" customHeight="1">
      <c r="B11" s="102" t="s">
        <v>497</v>
      </c>
      <c r="C11" s="92">
        <v>540073060</v>
      </c>
      <c r="D11" s="93">
        <f>SUMIFS('일반 세입'!$L$7:$L$1000,'일반 세입'!$A$7:$A$1000,총괄표!$B11)</f>
        <v>0</v>
      </c>
      <c r="E11" s="93">
        <f>SUMIFS('일반 세입'!$M$7:$M$1000,'일반 세입'!$A$7:$A$1000,총괄표!$B11)</f>
        <v>0</v>
      </c>
      <c r="F11" s="93">
        <f>SUMIFS('일반 세출'!$L$7:$L$1001,'일반 세출'!$A$7:$A$1001,총괄표!$B11)</f>
        <v>-180000</v>
      </c>
      <c r="G11" s="93">
        <f>SUMIFS('일반 세출'!$M$7:$M$1001,'일반 세출'!$A$7:$A$1001,총괄표!$B11)</f>
        <v>1660000</v>
      </c>
      <c r="H11" s="94">
        <f t="shared" si="1"/>
        <v>541553060</v>
      </c>
      <c r="I11" s="47"/>
      <c r="J11" s="48"/>
      <c r="K11" s="49"/>
      <c r="N11" s="47"/>
    </row>
    <row r="12" spans="2:16" ht="45" customHeight="1">
      <c r="B12" s="102" t="s">
        <v>498</v>
      </c>
      <c r="C12" s="92">
        <v>1142858974</v>
      </c>
      <c r="D12" s="93">
        <f>SUMIFS('일반 세입'!$L$7:$L$1000,'일반 세입'!$A$7:$A$1000,총괄표!$B12)</f>
        <v>0</v>
      </c>
      <c r="E12" s="93">
        <f>SUMIFS('일반 세입'!$M$7:$M$1000,'일반 세입'!$A$7:$A$1000,총괄표!$B12)</f>
        <v>1421</v>
      </c>
      <c r="F12" s="93">
        <f>SUMIFS('일반 세출'!$L$7:$L$1001,'일반 세출'!$A$7:$A$1001,총괄표!$B12)</f>
        <v>-1302695</v>
      </c>
      <c r="G12" s="93">
        <f>SUMIFS('일반 세출'!$M$7:$M$1001,'일반 세출'!$A$7:$A$1001,총괄표!$B12)</f>
        <v>5514421</v>
      </c>
      <c r="H12" s="94">
        <f t="shared" si="1"/>
        <v>1147070700</v>
      </c>
      <c r="I12" s="47"/>
      <c r="J12" s="105"/>
      <c r="L12" s="106"/>
      <c r="M12" s="106"/>
    </row>
    <row r="13" spans="2:16" ht="45" customHeight="1">
      <c r="B13" s="102" t="s">
        <v>499</v>
      </c>
      <c r="C13" s="92">
        <v>276727608</v>
      </c>
      <c r="D13" s="93">
        <f>SUMIFS('일반 세입'!$L$7:$L$1000,'일반 세입'!$A$7:$A$1000,총괄표!$B13)</f>
        <v>0</v>
      </c>
      <c r="E13" s="93">
        <f>SUMIFS('일반 세입'!$M$7:$M$1000,'일반 세입'!$A$7:$A$1000,총괄표!$B13)</f>
        <v>10000</v>
      </c>
      <c r="F13" s="93">
        <f>SUMIFS('일반 세출'!$L$7:$L$1001,'일반 세출'!$A$7:$A$1001,총괄표!$B13)</f>
        <v>-1792534</v>
      </c>
      <c r="G13" s="93">
        <f>SUMIFS('일반 세출'!$M$7:$M$1001,'일반 세출'!$A$7:$A$1001,총괄표!$B13)</f>
        <v>2632534</v>
      </c>
      <c r="H13" s="94">
        <f t="shared" si="1"/>
        <v>277567608</v>
      </c>
      <c r="K13" s="50"/>
      <c r="L13" s="51"/>
      <c r="N13" s="20" t="s">
        <v>52</v>
      </c>
    </row>
    <row r="14" spans="2:16" s="54" customFormat="1" ht="45" customHeight="1">
      <c r="B14" s="102" t="s">
        <v>500</v>
      </c>
      <c r="C14" s="107">
        <v>466978999</v>
      </c>
      <c r="D14" s="93">
        <f>SUMIFS('일반 세입'!$L$7:$L$1000,'일반 세입'!$A$7:$A$1000,총괄표!$B14)</f>
        <v>0</v>
      </c>
      <c r="E14" s="93">
        <f>SUMIFS('일반 세입'!$M$7:$M$1000,'일반 세입'!$A$7:$A$1000,총괄표!$B14)</f>
        <v>1094246</v>
      </c>
      <c r="F14" s="93">
        <f>SUMIFS('일반 세출'!$L$7:$L$1001,'일반 세출'!$A$7:$A$1001,총괄표!$B14)</f>
        <v>0</v>
      </c>
      <c r="G14" s="93">
        <f>SUMIFS('일반 세출'!$M$7:$M$1001,'일반 세출'!$A$7:$A$1001,총괄표!$B14)</f>
        <v>3584246</v>
      </c>
      <c r="H14" s="94">
        <f t="shared" si="1"/>
        <v>470563245</v>
      </c>
      <c r="I14" s="52"/>
      <c r="J14" s="52"/>
      <c r="K14" s="50"/>
      <c r="L14" s="51"/>
      <c r="M14" s="43"/>
      <c r="N14" s="53">
        <f>N10-K7</f>
        <v>0</v>
      </c>
      <c r="O14" s="52"/>
      <c r="P14" s="52"/>
    </row>
    <row r="15" spans="2:16" s="54" customFormat="1" ht="45" customHeight="1">
      <c r="B15" s="102" t="s">
        <v>189</v>
      </c>
      <c r="C15" s="107">
        <v>3254006708</v>
      </c>
      <c r="D15" s="93">
        <f>SUMIFS('일반 세입'!$L$7:$L$1000,'일반 세입'!$A$7:$A$1000,총괄표!$B15)</f>
        <v>-200161</v>
      </c>
      <c r="E15" s="93">
        <f>SUMIFS('일반 세입'!$M$7:$M$1000,'일반 세입'!$A$7:$A$1000,총괄표!$B15)</f>
        <v>3320</v>
      </c>
      <c r="F15" s="93">
        <f>SUMIFS('일반 세출'!$L$7:$L$1001,'일반 세출'!$A$7:$A$1001,총괄표!$B15)</f>
        <v>-171650</v>
      </c>
      <c r="G15" s="93">
        <f>SUMIFS('일반 세출'!$M$7:$M$1001,'일반 세출'!$A$7:$A$1001,총괄표!$B15)</f>
        <v>627175</v>
      </c>
      <c r="H15" s="94">
        <f t="shared" si="1"/>
        <v>3254462233</v>
      </c>
      <c r="I15" s="52"/>
      <c r="J15" s="52"/>
      <c r="K15" s="50"/>
      <c r="L15" s="51"/>
      <c r="M15" s="52"/>
      <c r="N15" s="52"/>
      <c r="O15" s="52"/>
      <c r="P15" s="52"/>
    </row>
    <row r="16" spans="2:16" s="54" customFormat="1" ht="45" customHeight="1">
      <c r="B16" s="102" t="s">
        <v>501</v>
      </c>
      <c r="C16" s="107">
        <v>1220859831</v>
      </c>
      <c r="D16" s="93">
        <f>SUMIFS('일반 세입'!$L$7:$L$1000,'일반 세입'!$A$7:$A$1000,총괄표!$B16)</f>
        <v>0</v>
      </c>
      <c r="E16" s="93">
        <f>SUMIFS('일반 세입'!$M$7:$M$1000,'일반 세입'!$A$7:$A$1000,총괄표!$B16)</f>
        <v>0</v>
      </c>
      <c r="F16" s="93">
        <f>SUMIFS('일반 세출'!$L$7:$L$1001,'일반 세출'!$A$7:$A$1001,총괄표!$B16)</f>
        <v>-40000</v>
      </c>
      <c r="G16" s="93">
        <f>SUMIFS('일반 세출'!$M$7:$M$1001,'일반 세출'!$A$7:$A$1001,총괄표!$B16)</f>
        <v>5160000</v>
      </c>
      <c r="H16" s="94">
        <f t="shared" si="1"/>
        <v>1225979831</v>
      </c>
      <c r="I16" s="52"/>
      <c r="J16" s="52"/>
      <c r="K16" s="50"/>
      <c r="L16" s="51"/>
      <c r="M16" s="52"/>
      <c r="N16" s="52"/>
      <c r="O16" s="52"/>
      <c r="P16" s="52"/>
    </row>
    <row r="17" spans="2:16" s="56" customFormat="1" ht="45" customHeight="1">
      <c r="B17" s="108" t="s">
        <v>502</v>
      </c>
      <c r="C17" s="109">
        <v>895323933</v>
      </c>
      <c r="D17" s="93">
        <f>SUMIFS('일반 세입'!$L$7:$L$1000,'일반 세입'!$A$7:$A$1000,총괄표!$B17)</f>
        <v>0</v>
      </c>
      <c r="E17" s="93">
        <f>SUMIFS('일반 세입'!$M$7:$M$1000,'일반 세입'!$A$7:$A$1000,총괄표!$B17)</f>
        <v>0</v>
      </c>
      <c r="F17" s="93">
        <f>SUMIFS('일반 세출'!$L$7:$L$1001,'일반 세출'!$A$7:$A$1001,총괄표!$B17)</f>
        <v>-50000</v>
      </c>
      <c r="G17" s="93">
        <f>SUMIFS('일반 세출'!$M$7:$M$1001,'일반 세출'!$A$7:$A$1001,총괄표!$B17)</f>
        <v>53000</v>
      </c>
      <c r="H17" s="94">
        <f t="shared" si="1"/>
        <v>895326933</v>
      </c>
      <c r="I17" s="55"/>
      <c r="J17" s="55"/>
      <c r="K17" s="50"/>
      <c r="L17" s="51"/>
      <c r="M17" s="55"/>
      <c r="N17" s="55"/>
      <c r="O17" s="55"/>
      <c r="P17" s="55"/>
    </row>
    <row r="18" spans="2:16" s="54" customFormat="1" ht="45" customHeight="1" thickBot="1">
      <c r="B18" s="110" t="s">
        <v>503</v>
      </c>
      <c r="C18" s="111">
        <v>4882582917</v>
      </c>
      <c r="D18" s="112">
        <f>SUMIFS('일반 세입'!$L$7:$L$1000,'일반 세입'!$A$7:$A$1000,총괄표!$B18)</f>
        <v>0</v>
      </c>
      <c r="E18" s="112">
        <f>SUMIFS('일반 세입'!$M$7:$M$1000,'일반 세입'!$A$7:$A$1000,총괄표!$B18)</f>
        <v>2225816</v>
      </c>
      <c r="F18" s="112">
        <f>SUMIFS('일반 세출'!$L$7:$L$1001,'일반 세출'!$A$7:$A$1001,총괄표!$B18)</f>
        <v>-50000</v>
      </c>
      <c r="G18" s="112">
        <f>SUMIFS('일반 세출'!$M$7:$M$1001,'일반 세출'!$A$7:$A$1001,총괄표!$B18)</f>
        <v>2515860</v>
      </c>
      <c r="H18" s="113">
        <f t="shared" si="1"/>
        <v>4885048777</v>
      </c>
      <c r="I18" s="52"/>
      <c r="J18" s="52"/>
      <c r="K18" s="50"/>
      <c r="L18" s="51"/>
      <c r="M18" s="52"/>
      <c r="N18" s="52"/>
      <c r="O18" s="52"/>
      <c r="P18" s="52"/>
    </row>
    <row r="19" spans="2:16" ht="18" customHeight="1">
      <c r="B19" s="27"/>
      <c r="C19" s="27"/>
      <c r="D19" s="27"/>
      <c r="E19" s="27"/>
      <c r="F19" s="27"/>
      <c r="G19" s="27"/>
      <c r="H19" s="27"/>
      <c r="K19" s="50"/>
      <c r="L19" s="51"/>
    </row>
    <row r="20" spans="2:16" ht="20.25">
      <c r="B20" s="57" t="s">
        <v>53</v>
      </c>
      <c r="C20" s="23"/>
      <c r="D20" s="23"/>
      <c r="E20" s="23"/>
      <c r="F20" s="23"/>
      <c r="G20" s="23"/>
      <c r="H20" s="58"/>
      <c r="K20" s="50"/>
      <c r="L20" s="51"/>
    </row>
    <row r="21" spans="2:16" ht="19.5" thickBot="1">
      <c r="B21" s="26"/>
      <c r="C21" s="27"/>
      <c r="D21" s="27"/>
      <c r="E21" s="27"/>
      <c r="F21" s="27"/>
      <c r="G21" s="27"/>
      <c r="H21" s="29" t="s">
        <v>22</v>
      </c>
    </row>
    <row r="22" spans="2:16" ht="33" customHeight="1">
      <c r="B22" s="297" t="s">
        <v>54</v>
      </c>
      <c r="C22" s="295" t="s">
        <v>55</v>
      </c>
      <c r="D22" s="293" t="s">
        <v>35</v>
      </c>
      <c r="E22" s="294"/>
      <c r="F22" s="293" t="s">
        <v>36</v>
      </c>
      <c r="G22" s="294"/>
      <c r="H22" s="291" t="s">
        <v>37</v>
      </c>
    </row>
    <row r="23" spans="2:16" ht="33" customHeight="1">
      <c r="B23" s="298"/>
      <c r="C23" s="296"/>
      <c r="D23" s="89" t="s">
        <v>43</v>
      </c>
      <c r="E23" s="89" t="s">
        <v>44</v>
      </c>
      <c r="F23" s="89" t="s">
        <v>43</v>
      </c>
      <c r="G23" s="89" t="s">
        <v>44</v>
      </c>
      <c r="H23" s="292"/>
      <c r="I23" s="20" t="s">
        <v>56</v>
      </c>
    </row>
    <row r="24" spans="2:16" ht="45" customHeight="1">
      <c r="B24" s="91" t="s">
        <v>57</v>
      </c>
      <c r="C24" s="92">
        <f t="shared" ref="C24:G24" si="2">SUM(C25:C26)</f>
        <v>17802852244</v>
      </c>
      <c r="D24" s="93">
        <f t="shared" si="2"/>
        <v>-200161</v>
      </c>
      <c r="E24" s="92">
        <f t="shared" si="2"/>
        <v>3334803</v>
      </c>
      <c r="F24" s="93">
        <f t="shared" si="2"/>
        <v>-18673514</v>
      </c>
      <c r="G24" s="92">
        <f t="shared" si="2"/>
        <v>21808156</v>
      </c>
      <c r="H24" s="94">
        <f>SUM(H25:H26)</f>
        <v>17805986886</v>
      </c>
      <c r="I24" s="30">
        <f>C24+D24+E24</f>
        <v>17805986886</v>
      </c>
      <c r="J24" s="59">
        <f>I24-H24</f>
        <v>0</v>
      </c>
      <c r="K24" s="31" t="s">
        <v>58</v>
      </c>
    </row>
    <row r="25" spans="2:16" ht="45" customHeight="1">
      <c r="B25" s="91" t="s">
        <v>23</v>
      </c>
      <c r="C25" s="92">
        <v>14332606235</v>
      </c>
      <c r="D25" s="93">
        <f>'일반 세입'!L6</f>
        <v>-200161</v>
      </c>
      <c r="E25" s="93">
        <f>'일반 세입'!M6</f>
        <v>3334803</v>
      </c>
      <c r="F25" s="93">
        <f>'일반 세출'!L6</f>
        <v>-18673514</v>
      </c>
      <c r="G25" s="93">
        <f>'일반 세출'!M6</f>
        <v>21808156</v>
      </c>
      <c r="H25" s="94">
        <f>C25+F25+G25</f>
        <v>14335740877</v>
      </c>
      <c r="I25" s="30">
        <f>C25+D25+E25</f>
        <v>14335740877</v>
      </c>
      <c r="J25" s="59">
        <f>I25-H25</f>
        <v>0</v>
      </c>
      <c r="K25" s="31" t="s">
        <v>58</v>
      </c>
    </row>
    <row r="26" spans="2:16" ht="45" customHeight="1" thickBot="1">
      <c r="B26" s="114" t="s">
        <v>59</v>
      </c>
      <c r="C26" s="115">
        <v>3470246009</v>
      </c>
      <c r="D26" s="112"/>
      <c r="E26" s="112"/>
      <c r="F26" s="112"/>
      <c r="G26" s="112"/>
      <c r="H26" s="113">
        <f>C26+F26+G26</f>
        <v>3470246009</v>
      </c>
      <c r="I26" s="30">
        <f>C26+D26+E26</f>
        <v>3470246009</v>
      </c>
      <c r="J26" s="59">
        <f>I26-H26</f>
        <v>0</v>
      </c>
      <c r="K26" s="31" t="s">
        <v>58</v>
      </c>
    </row>
    <row r="27" spans="2:16" ht="9" customHeight="1">
      <c r="B27" s="27"/>
      <c r="C27" s="27"/>
      <c r="D27" s="27"/>
      <c r="E27" s="27"/>
      <c r="F27" s="27"/>
      <c r="G27" s="27"/>
      <c r="H27" s="27"/>
    </row>
    <row r="28" spans="2:16" ht="20.25" hidden="1" customHeight="1">
      <c r="H28" s="116"/>
      <c r="J28" s="117"/>
    </row>
    <row r="29" spans="2:16" ht="20.25" hidden="1" customHeight="1"/>
    <row r="30" spans="2:16" ht="14.25" hidden="1">
      <c r="B30" s="60" t="s">
        <v>24</v>
      </c>
      <c r="C30" s="61" t="s">
        <v>60</v>
      </c>
      <c r="D30" s="62" t="s">
        <v>61</v>
      </c>
      <c r="E30" s="61" t="s">
        <v>62</v>
      </c>
      <c r="G30" s="20"/>
      <c r="H30" s="20"/>
      <c r="O30" s="21"/>
      <c r="P30" s="21"/>
    </row>
    <row r="31" spans="2:16" ht="15" hidden="1">
      <c r="B31" s="63" t="s">
        <v>25</v>
      </c>
      <c r="C31" s="275">
        <v>39922113</v>
      </c>
      <c r="D31" s="118"/>
      <c r="E31" s="118">
        <f>SUM(C31:D31)</f>
        <v>39922113</v>
      </c>
      <c r="G31" s="20"/>
      <c r="H31" s="20"/>
      <c r="O31" s="21"/>
      <c r="P31" s="21"/>
    </row>
    <row r="32" spans="2:16" ht="15" hidden="1">
      <c r="B32" s="63" t="s">
        <v>26</v>
      </c>
      <c r="C32" s="275">
        <v>3302571667</v>
      </c>
      <c r="D32" s="275">
        <v>1780946434</v>
      </c>
      <c r="E32" s="118">
        <f t="shared" ref="E32:E41" si="3">SUM(C32:D32)</f>
        <v>5083518101</v>
      </c>
      <c r="G32" s="20"/>
      <c r="H32" s="20"/>
      <c r="O32" s="21"/>
      <c r="P32" s="21"/>
    </row>
    <row r="33" spans="2:16" ht="15" hidden="1">
      <c r="B33" s="63" t="s">
        <v>16</v>
      </c>
      <c r="C33" s="275">
        <v>155329320</v>
      </c>
      <c r="D33" s="275">
        <v>384743740</v>
      </c>
      <c r="E33" s="118">
        <f t="shared" si="3"/>
        <v>540073060</v>
      </c>
      <c r="G33" s="20"/>
      <c r="H33" s="20"/>
      <c r="O33" s="21"/>
      <c r="P33" s="21"/>
    </row>
    <row r="34" spans="2:16" ht="15" hidden="1">
      <c r="B34" s="276" t="s">
        <v>492</v>
      </c>
      <c r="C34" s="275">
        <v>1142858974</v>
      </c>
      <c r="D34" s="118"/>
      <c r="E34" s="118">
        <f t="shared" si="3"/>
        <v>1142858974</v>
      </c>
      <c r="G34" s="20"/>
      <c r="H34" s="20"/>
      <c r="O34" s="21"/>
      <c r="P34" s="21"/>
    </row>
    <row r="35" spans="2:16" ht="15" hidden="1">
      <c r="B35" s="63" t="s">
        <v>21</v>
      </c>
      <c r="C35" s="275">
        <v>224243208</v>
      </c>
      <c r="D35" s="275">
        <v>52484400</v>
      </c>
      <c r="E35" s="118">
        <f t="shared" si="3"/>
        <v>276727608</v>
      </c>
      <c r="G35" s="20"/>
      <c r="H35" s="20"/>
      <c r="O35" s="21"/>
      <c r="P35" s="21"/>
    </row>
    <row r="36" spans="2:16" ht="15" hidden="1">
      <c r="B36" s="276" t="s">
        <v>493</v>
      </c>
      <c r="C36" s="275">
        <v>466978999</v>
      </c>
      <c r="D36" s="118"/>
      <c r="E36" s="118">
        <f t="shared" si="3"/>
        <v>466978999</v>
      </c>
      <c r="G36" s="20"/>
      <c r="H36" s="20"/>
      <c r="O36" s="21"/>
      <c r="P36" s="21"/>
    </row>
    <row r="37" spans="2:16" ht="15" hidden="1">
      <c r="B37" s="276" t="s">
        <v>494</v>
      </c>
      <c r="C37" s="275">
        <v>3254006708</v>
      </c>
      <c r="D37" s="118"/>
      <c r="E37" s="118">
        <f t="shared" si="3"/>
        <v>3254006708</v>
      </c>
      <c r="G37" s="20"/>
      <c r="H37" s="20"/>
      <c r="O37" s="21"/>
      <c r="P37" s="21"/>
    </row>
    <row r="38" spans="2:16" ht="15" hidden="1">
      <c r="B38" s="63" t="s">
        <v>18</v>
      </c>
      <c r="C38" s="275">
        <v>1220859831</v>
      </c>
      <c r="D38" s="118"/>
      <c r="E38" s="118">
        <f t="shared" si="3"/>
        <v>1220859831</v>
      </c>
      <c r="G38" s="20"/>
      <c r="H38" s="20"/>
      <c r="O38" s="21"/>
      <c r="P38" s="21"/>
    </row>
    <row r="39" spans="2:16" ht="15" hidden="1">
      <c r="B39" s="63" t="s">
        <v>19</v>
      </c>
      <c r="C39" s="275">
        <v>866963933</v>
      </c>
      <c r="D39" s="275">
        <v>28360000</v>
      </c>
      <c r="E39" s="118">
        <f t="shared" si="3"/>
        <v>895323933</v>
      </c>
      <c r="G39" s="20"/>
      <c r="H39" s="20"/>
      <c r="O39" s="21"/>
      <c r="P39" s="21"/>
    </row>
    <row r="40" spans="2:16" ht="15" hidden="1">
      <c r="B40" s="63" t="s">
        <v>20</v>
      </c>
      <c r="C40" s="275">
        <v>4882582917</v>
      </c>
      <c r="D40" s="118"/>
      <c r="E40" s="118">
        <f t="shared" si="3"/>
        <v>4882582917</v>
      </c>
      <c r="G40" s="20"/>
      <c r="H40" s="20"/>
      <c r="O40" s="21"/>
      <c r="P40" s="21"/>
    </row>
    <row r="41" spans="2:16" ht="15" hidden="1">
      <c r="B41" s="63" t="s">
        <v>27</v>
      </c>
      <c r="C41" s="118">
        <f>SUM(C31:C40)</f>
        <v>15556317670</v>
      </c>
      <c r="D41" s="118">
        <f>SUM(D31:D40)</f>
        <v>2246534574</v>
      </c>
      <c r="E41" s="118">
        <f t="shared" si="3"/>
        <v>17802852244</v>
      </c>
      <c r="G41" s="20"/>
      <c r="H41" s="20"/>
      <c r="O41" s="21"/>
      <c r="P41" s="21"/>
    </row>
    <row r="42" spans="2:16" hidden="1"/>
    <row r="43" spans="2:16" hidden="1">
      <c r="B43" s="64" t="s">
        <v>63</v>
      </c>
      <c r="C43" s="65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49" t="s">
        <v>64</v>
      </c>
    </row>
    <row r="290" spans="9:11">
      <c r="I290" s="66"/>
      <c r="K290" s="20">
        <v>-50000</v>
      </c>
    </row>
  </sheetData>
  <mergeCells count="17">
    <mergeCell ref="K5:K6"/>
    <mergeCell ref="L5:L6"/>
    <mergeCell ref="M5:N5"/>
    <mergeCell ref="O5:P6"/>
    <mergeCell ref="I9:J9"/>
    <mergeCell ref="I5:J5"/>
    <mergeCell ref="B1:H1"/>
    <mergeCell ref="B5:B6"/>
    <mergeCell ref="C5:C6"/>
    <mergeCell ref="D5:E5"/>
    <mergeCell ref="F5:G5"/>
    <mergeCell ref="H5:H6"/>
    <mergeCell ref="H22:H23"/>
    <mergeCell ref="F22:G22"/>
    <mergeCell ref="D22:E22"/>
    <mergeCell ref="C22:C23"/>
    <mergeCell ref="B22:B23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0"/>
  <sheetViews>
    <sheetView zoomScale="80" zoomScaleNormal="80" zoomScaleSheetLayoutView="85" workbookViewId="0">
      <pane xSplit="1" ySplit="6" topLeftCell="B7" activePane="bottomRight" state="frozen"/>
      <selection activeCell="B1" sqref="B1:K1"/>
      <selection pane="topRight" activeCell="B1" sqref="B1:K1"/>
      <selection pane="bottomLeft" activeCell="B1" sqref="B1:K1"/>
      <selection pane="bottomRight" activeCell="B1" sqref="B1:H1"/>
    </sheetView>
  </sheetViews>
  <sheetFormatPr defaultRowHeight="13.5"/>
  <cols>
    <col min="1" max="1" width="1" style="21" customWidth="1"/>
    <col min="2" max="2" width="22" style="21" customWidth="1"/>
    <col min="3" max="3" width="17.875" style="21" customWidth="1"/>
    <col min="4" max="4" width="14.75" style="21" customWidth="1"/>
    <col min="5" max="5" width="15.25" style="21" customWidth="1"/>
    <col min="6" max="6" width="14.25" style="21" customWidth="1"/>
    <col min="7" max="7" width="13.5" style="21" customWidth="1"/>
    <col min="8" max="8" width="17.25" style="21" customWidth="1"/>
    <col min="9" max="9" width="17.125" style="20" hidden="1" customWidth="1"/>
    <col min="10" max="10" width="16" style="20" hidden="1" customWidth="1"/>
    <col min="11" max="11" width="14.625" style="20" hidden="1" customWidth="1"/>
    <col min="12" max="12" width="21.75" style="20" hidden="1" customWidth="1"/>
    <col min="13" max="14" width="14.75" style="20" hidden="1" customWidth="1"/>
    <col min="15" max="15" width="12.25" style="20" hidden="1" customWidth="1"/>
    <col min="16" max="16" width="13.375" style="20" hidden="1" customWidth="1"/>
    <col min="17" max="16384" width="9" style="21"/>
  </cols>
  <sheetData>
    <row r="1" spans="2:16" ht="33" customHeight="1">
      <c r="B1" s="299" t="s">
        <v>68</v>
      </c>
      <c r="C1" s="300"/>
      <c r="D1" s="300"/>
      <c r="E1" s="300"/>
      <c r="F1" s="300"/>
      <c r="G1" s="300"/>
      <c r="H1" s="300"/>
    </row>
    <row r="2" spans="2:16" ht="12.75" customHeight="1">
      <c r="B2" s="88"/>
      <c r="C2" s="271"/>
      <c r="D2" s="271"/>
      <c r="E2" s="271"/>
      <c r="F2" s="271"/>
      <c r="G2" s="271"/>
      <c r="H2" s="271"/>
    </row>
    <row r="3" spans="2:16" ht="23.25" customHeight="1">
      <c r="B3" s="23" t="s">
        <v>534</v>
      </c>
      <c r="C3" s="24"/>
      <c r="D3" s="25"/>
      <c r="E3" s="277">
        <f>SUM(D7:E7)</f>
        <v>3134642</v>
      </c>
      <c r="F3" s="278"/>
      <c r="G3" s="277" t="e">
        <f>SUM(F7:G7)</f>
        <v>#REF!</v>
      </c>
    </row>
    <row r="4" spans="2:16" s="27" customFormat="1" ht="18" customHeight="1" thickBot="1">
      <c r="B4" s="26"/>
      <c r="F4" s="28"/>
      <c r="H4" s="29" t="s">
        <v>30</v>
      </c>
      <c r="I4" s="30"/>
      <c r="J4" s="31"/>
      <c r="K4" s="31"/>
      <c r="L4" s="31"/>
      <c r="M4" s="32" t="s">
        <v>31</v>
      </c>
      <c r="N4" s="31"/>
      <c r="O4" s="32" t="s">
        <v>32</v>
      </c>
      <c r="P4" s="32"/>
    </row>
    <row r="5" spans="2:16" ht="24" customHeight="1">
      <c r="B5" s="301" t="s">
        <v>33</v>
      </c>
      <c r="C5" s="303" t="s">
        <v>34</v>
      </c>
      <c r="D5" s="305" t="s">
        <v>35</v>
      </c>
      <c r="E5" s="305"/>
      <c r="F5" s="305" t="s">
        <v>36</v>
      </c>
      <c r="G5" s="305"/>
      <c r="H5" s="306" t="s">
        <v>37</v>
      </c>
      <c r="I5" s="312" t="s">
        <v>38</v>
      </c>
      <c r="J5" s="312"/>
      <c r="K5" s="308" t="s">
        <v>39</v>
      </c>
      <c r="L5" s="310" t="s">
        <v>40</v>
      </c>
      <c r="M5" s="312" t="s">
        <v>41</v>
      </c>
      <c r="N5" s="313"/>
      <c r="O5" s="314" t="s">
        <v>42</v>
      </c>
      <c r="P5" s="315"/>
    </row>
    <row r="6" spans="2:16" ht="24" customHeight="1">
      <c r="B6" s="302"/>
      <c r="C6" s="304"/>
      <c r="D6" s="89" t="s">
        <v>43</v>
      </c>
      <c r="E6" s="89" t="s">
        <v>44</v>
      </c>
      <c r="F6" s="89" t="s">
        <v>43</v>
      </c>
      <c r="G6" s="89" t="s">
        <v>44</v>
      </c>
      <c r="H6" s="307"/>
      <c r="I6" s="272" t="s">
        <v>45</v>
      </c>
      <c r="J6" s="33" t="s">
        <v>46</v>
      </c>
      <c r="K6" s="309"/>
      <c r="L6" s="311"/>
      <c r="M6" s="34" t="s">
        <v>45</v>
      </c>
      <c r="N6" s="35" t="s">
        <v>46</v>
      </c>
      <c r="O6" s="316"/>
      <c r="P6" s="317"/>
    </row>
    <row r="7" spans="2:16" ht="38.25" customHeight="1" thickBot="1">
      <c r="B7" s="91" t="s">
        <v>47</v>
      </c>
      <c r="C7" s="92">
        <f t="shared" ref="C7:H7" si="0">SUM(C8:C36)</f>
        <v>17802852244</v>
      </c>
      <c r="D7" s="93">
        <f t="shared" si="0"/>
        <v>-200161</v>
      </c>
      <c r="E7" s="93">
        <f t="shared" si="0"/>
        <v>3334803</v>
      </c>
      <c r="F7" s="93" t="e">
        <f t="shared" si="0"/>
        <v>#REF!</v>
      </c>
      <c r="G7" s="93" t="e">
        <f t="shared" si="0"/>
        <v>#REF!</v>
      </c>
      <c r="H7" s="94" t="e">
        <f t="shared" si="0"/>
        <v>#REF!</v>
      </c>
      <c r="I7" s="36" t="e">
        <f>#REF!+#REF!</f>
        <v>#REF!</v>
      </c>
      <c r="J7" s="37" t="e">
        <f>#REF!+#REF!</f>
        <v>#REF!</v>
      </c>
      <c r="K7" s="38" t="e">
        <f>I7-J7</f>
        <v>#REF!</v>
      </c>
      <c r="L7" s="39" t="s">
        <v>48</v>
      </c>
      <c r="M7" s="40" t="e">
        <f>#REF!+#REF!</f>
        <v>#REF!</v>
      </c>
      <c r="N7" s="41" t="e">
        <f>#REF!+#REF!</f>
        <v>#REF!</v>
      </c>
      <c r="O7" s="42">
        <v>0</v>
      </c>
      <c r="P7" s="42">
        <v>0</v>
      </c>
    </row>
    <row r="8" spans="2:16" ht="38.25" customHeight="1">
      <c r="B8" s="102" t="s">
        <v>520</v>
      </c>
      <c r="C8" s="103">
        <v>914581</v>
      </c>
      <c r="D8" s="93">
        <f>SUMIFS('일반 세입'!$L$7:$L$1000,'일반 세입'!$B$7:$B$1000,'총괄표(실국별)'!$B8)</f>
        <v>0</v>
      </c>
      <c r="E8" s="93">
        <f>SUMIFS('일반 세입'!$M$7:$M$1000,'일반 세입'!$B$7:$B$1000,'총괄표(실국별)'!$B8)</f>
        <v>0</v>
      </c>
      <c r="F8" s="93" t="e">
        <f>SUMIFS(#REF!,#REF!,'총괄표(실국별)'!$B8)</f>
        <v>#REF!</v>
      </c>
      <c r="G8" s="93" t="e">
        <f>SUMIFS(#REF!,#REF!,'총괄표(실국별)'!$B8)</f>
        <v>#REF!</v>
      </c>
      <c r="H8" s="94" t="e">
        <f>C8+F8+G8</f>
        <v>#REF!</v>
      </c>
      <c r="I8" s="318" t="s">
        <v>50</v>
      </c>
      <c r="J8" s="319"/>
      <c r="K8" s="31"/>
      <c r="N8" s="104" t="s">
        <v>51</v>
      </c>
    </row>
    <row r="9" spans="2:16" ht="38.25" customHeight="1" thickBot="1">
      <c r="B9" s="102" t="s">
        <v>507</v>
      </c>
      <c r="C9" s="92">
        <v>4900754235</v>
      </c>
      <c r="D9" s="93">
        <f>SUMIFS('일반 세입'!$L$7:$L$1000,'일반 세입'!$B$7:$B$1000,'총괄표(실국별)'!$B9)</f>
        <v>0</v>
      </c>
      <c r="E9" s="93">
        <f>SUMIFS('일반 세입'!$M$7:$M$1000,'일반 세입'!$B$7:$B$1000,'총괄표(실국별)'!$B9)</f>
        <v>0</v>
      </c>
      <c r="F9" s="93" t="e">
        <f>SUMIFS(#REF!,#REF!,'총괄표(실국별)'!$B9)</f>
        <v>#REF!</v>
      </c>
      <c r="G9" s="93" t="e">
        <f>SUMIFS(#REF!,#REF!,'총괄표(실국별)'!$B9)</f>
        <v>#REF!</v>
      </c>
      <c r="H9" s="94" t="e">
        <f t="shared" ref="H9" si="1">C9+F9+G9</f>
        <v>#REF!</v>
      </c>
      <c r="I9" s="44" t="e">
        <f>'일반 세입'!#REF!+'일반 세입'!#REF!</f>
        <v>#REF!</v>
      </c>
      <c r="J9" s="45" t="e">
        <f>#REF!+#REF!</f>
        <v>#REF!</v>
      </c>
      <c r="K9" s="31"/>
      <c r="N9" s="46" t="e">
        <f>#REF!-#REF!</f>
        <v>#REF!</v>
      </c>
    </row>
    <row r="10" spans="2:16" ht="38.25" customHeight="1" thickBot="1">
      <c r="B10" s="102" t="s">
        <v>508</v>
      </c>
      <c r="C10" s="92">
        <v>218469521</v>
      </c>
      <c r="D10" s="93">
        <f>SUMIFS('일반 세입'!$L$7:$L$1000,'일반 세입'!$B$7:$B$1000,'총괄표(실국별)'!$B10)</f>
        <v>0</v>
      </c>
      <c r="E10" s="93">
        <f>SUMIFS('일반 세입'!$M$7:$M$1000,'일반 세입'!$B$7:$B$1000,'총괄표(실국별)'!$B10)</f>
        <v>0</v>
      </c>
      <c r="F10" s="93" t="e">
        <f>SUMIFS(#REF!,#REF!,'총괄표(실국별)'!$B10)</f>
        <v>#REF!</v>
      </c>
      <c r="G10" s="93" t="e">
        <f>SUMIFS(#REF!,#REF!,'총괄표(실국별)'!$B10)</f>
        <v>#REF!</v>
      </c>
      <c r="H10" s="94" t="e">
        <f t="shared" ref="H10:H30" si="2">C10+F10+G10</f>
        <v>#REF!</v>
      </c>
      <c r="I10" s="44" t="e">
        <f>'일반 세입'!#REF!+'일반 세입'!#REF!</f>
        <v>#REF!</v>
      </c>
      <c r="J10" s="45" t="e">
        <f>#REF!+#REF!</f>
        <v>#REF!</v>
      </c>
      <c r="K10" s="31"/>
      <c r="N10" s="46" t="e">
        <f>#REF!-#REF!</f>
        <v>#REF!</v>
      </c>
    </row>
    <row r="11" spans="2:16" ht="38.25" customHeight="1">
      <c r="B11" s="102" t="s">
        <v>509</v>
      </c>
      <c r="C11" s="92">
        <v>544196314</v>
      </c>
      <c r="D11" s="93">
        <f>SUMIFS('일반 세입'!$L$7:$L$1000,'일반 세입'!$B$7:$B$1000,'총괄표(실국별)'!$B11)</f>
        <v>0</v>
      </c>
      <c r="E11" s="93">
        <f>SUMIFS('일반 세입'!$M$7:$M$1000,'일반 세입'!$B$7:$B$1000,'총괄표(실국별)'!$B11)</f>
        <v>1421</v>
      </c>
      <c r="F11" s="93" t="e">
        <f>SUMIFS(#REF!,#REF!,'총괄표(실국별)'!$B11)</f>
        <v>#REF!</v>
      </c>
      <c r="G11" s="93" t="e">
        <f>SUMIFS(#REF!,#REF!,'총괄표(실국별)'!$B11)</f>
        <v>#REF!</v>
      </c>
      <c r="H11" s="94" t="e">
        <f t="shared" si="2"/>
        <v>#REF!</v>
      </c>
      <c r="I11" s="47"/>
      <c r="J11" s="48"/>
      <c r="K11" s="49"/>
      <c r="N11" s="47"/>
    </row>
    <row r="12" spans="2:16" ht="38.25" customHeight="1">
      <c r="B12" s="102" t="s">
        <v>510</v>
      </c>
      <c r="C12" s="92">
        <v>276727608</v>
      </c>
      <c r="D12" s="93">
        <f>SUMIFS('일반 세입'!$L$7:$L$1000,'일반 세입'!$B$7:$B$1000,'총괄표(실국별)'!$B12)</f>
        <v>0</v>
      </c>
      <c r="E12" s="93">
        <f>SUMIFS('일반 세입'!$M$7:$M$1000,'일반 세입'!$B$7:$B$1000,'총괄표(실국별)'!$B12)</f>
        <v>10000</v>
      </c>
      <c r="F12" s="93" t="e">
        <f>SUMIFS(#REF!,#REF!,'총괄표(실국별)'!$B12)</f>
        <v>#REF!</v>
      </c>
      <c r="G12" s="93" t="e">
        <f>SUMIFS(#REF!,#REF!,'총괄표(실국별)'!$B12)</f>
        <v>#REF!</v>
      </c>
      <c r="H12" s="94" t="e">
        <f t="shared" si="2"/>
        <v>#REF!</v>
      </c>
      <c r="I12" s="47"/>
      <c r="J12" s="105"/>
      <c r="L12" s="106"/>
      <c r="M12" s="106"/>
    </row>
    <row r="13" spans="2:16" ht="38.25" customHeight="1">
      <c r="B13" s="102" t="s">
        <v>183</v>
      </c>
      <c r="C13" s="92">
        <v>249710070</v>
      </c>
      <c r="D13" s="93">
        <f>SUMIFS('일반 세입'!$L$7:$L$1000,'일반 세입'!$B$7:$B$1000,'총괄표(실국별)'!$B13)</f>
        <v>0</v>
      </c>
      <c r="E13" s="93">
        <f>SUMIFS('일반 세입'!$M$7:$M$1000,'일반 세입'!$B$7:$B$1000,'총괄표(실국별)'!$B13)</f>
        <v>5067</v>
      </c>
      <c r="F13" s="93" t="e">
        <f>SUMIFS(#REF!,#REF!,'총괄표(실국별)'!$B13)</f>
        <v>#REF!</v>
      </c>
      <c r="G13" s="93" t="e">
        <f>SUMIFS(#REF!,#REF!,'총괄표(실국별)'!$B13)</f>
        <v>#REF!</v>
      </c>
      <c r="H13" s="94" t="e">
        <f t="shared" si="2"/>
        <v>#REF!</v>
      </c>
      <c r="K13" s="50"/>
      <c r="L13" s="51"/>
      <c r="N13" s="20" t="s">
        <v>52</v>
      </c>
    </row>
    <row r="14" spans="2:16" s="54" customFormat="1" ht="38.25" customHeight="1">
      <c r="B14" s="102" t="s">
        <v>511</v>
      </c>
      <c r="C14" s="107">
        <v>2571625696</v>
      </c>
      <c r="D14" s="93">
        <f>SUMIFS('일반 세입'!$L$7:$L$1000,'일반 세입'!$B$7:$B$1000,'총괄표(실국별)'!$B14)</f>
        <v>-200161</v>
      </c>
      <c r="E14" s="93">
        <f>SUMIFS('일반 세입'!$M$7:$M$1000,'일반 세입'!$B$7:$B$1000,'총괄표(실국별)'!$B14)</f>
        <v>3320</v>
      </c>
      <c r="F14" s="93" t="e">
        <f>SUMIFS(#REF!,#REF!,'총괄표(실국별)'!$B14)</f>
        <v>#REF!</v>
      </c>
      <c r="G14" s="93" t="e">
        <f>SUMIFS(#REF!,#REF!,'총괄표(실국별)'!$B14)</f>
        <v>#REF!</v>
      </c>
      <c r="H14" s="94" t="e">
        <f t="shared" si="2"/>
        <v>#REF!</v>
      </c>
      <c r="I14" s="52"/>
      <c r="J14" s="52"/>
      <c r="K14" s="50"/>
      <c r="L14" s="51"/>
      <c r="M14" s="43"/>
      <c r="N14" s="53" t="e">
        <f>N10-#REF!</f>
        <v>#REF!</v>
      </c>
      <c r="O14" s="52"/>
      <c r="P14" s="52"/>
    </row>
    <row r="15" spans="2:16" s="54" customFormat="1" ht="38.25" customHeight="1">
      <c r="B15" s="102" t="s">
        <v>512</v>
      </c>
      <c r="C15" s="107">
        <v>94671441</v>
      </c>
      <c r="D15" s="93">
        <f>SUMIFS('일반 세입'!$L$7:$L$1000,'일반 세입'!$B$7:$B$1000,'총괄표(실국별)'!$B15)</f>
        <v>0</v>
      </c>
      <c r="E15" s="93">
        <f>SUMIFS('일반 세입'!$M$7:$M$1000,'일반 세입'!$B$7:$B$1000,'총괄표(실국별)'!$B15)</f>
        <v>0</v>
      </c>
      <c r="F15" s="93" t="e">
        <f>SUMIFS(#REF!,#REF!,'총괄표(실국별)'!$B15)</f>
        <v>#REF!</v>
      </c>
      <c r="G15" s="93" t="e">
        <f>SUMIFS(#REF!,#REF!,'총괄표(실국별)'!$B15)</f>
        <v>#REF!</v>
      </c>
      <c r="H15" s="94" t="e">
        <f t="shared" si="2"/>
        <v>#REF!</v>
      </c>
      <c r="I15" s="52"/>
      <c r="J15" s="52"/>
      <c r="K15" s="50"/>
      <c r="L15" s="51"/>
      <c r="M15" s="52"/>
      <c r="N15" s="52"/>
      <c r="O15" s="52"/>
      <c r="P15" s="52"/>
    </row>
    <row r="16" spans="2:16" s="54" customFormat="1" ht="38.25" customHeight="1">
      <c r="B16" s="102" t="s">
        <v>504</v>
      </c>
      <c r="C16" s="107">
        <v>107956457</v>
      </c>
      <c r="D16" s="93">
        <f>SUMIFS('일반 세입'!$L$7:$L$1000,'일반 세입'!$B$7:$B$1000,'총괄표(실국별)'!$B16)</f>
        <v>0</v>
      </c>
      <c r="E16" s="93">
        <f>SUMIFS('일반 세입'!$M$7:$M$1000,'일반 세입'!$B$7:$B$1000,'총괄표(실국별)'!$B16)</f>
        <v>0</v>
      </c>
      <c r="F16" s="93" t="e">
        <f>SUMIFS(#REF!,#REF!,'총괄표(실국별)'!$B16)</f>
        <v>#REF!</v>
      </c>
      <c r="G16" s="93" t="e">
        <f>SUMIFS(#REF!,#REF!,'총괄표(실국별)'!$B16)</f>
        <v>#REF!</v>
      </c>
      <c r="H16" s="94" t="e">
        <f t="shared" ref="H16:H23" si="3">C16+F16+G16</f>
        <v>#REF!</v>
      </c>
      <c r="I16" s="52"/>
      <c r="J16" s="52"/>
      <c r="K16" s="50"/>
      <c r="L16" s="51"/>
      <c r="M16" s="52"/>
      <c r="N16" s="52"/>
      <c r="O16" s="52"/>
      <c r="P16" s="52"/>
    </row>
    <row r="17" spans="2:16" s="56" customFormat="1" ht="38.25" customHeight="1">
      <c r="B17" s="108" t="s">
        <v>513</v>
      </c>
      <c r="C17" s="109">
        <v>1879955306</v>
      </c>
      <c r="D17" s="93">
        <f>SUMIFS('일반 세입'!$L$7:$L$1000,'일반 세입'!$B$7:$B$1000,'총괄표(실국별)'!$B17)</f>
        <v>0</v>
      </c>
      <c r="E17" s="93">
        <f>SUMIFS('일반 세입'!$M$7:$M$1000,'일반 세입'!$B$7:$B$1000,'총괄표(실국별)'!$B17)</f>
        <v>2225816</v>
      </c>
      <c r="F17" s="93" t="e">
        <f>SUMIFS(#REF!,#REF!,'총괄표(실국별)'!$B17)</f>
        <v>#REF!</v>
      </c>
      <c r="G17" s="93" t="e">
        <f>SUMIFS(#REF!,#REF!,'총괄표(실국별)'!$B17)</f>
        <v>#REF!</v>
      </c>
      <c r="H17" s="94" t="e">
        <f t="shared" si="3"/>
        <v>#REF!</v>
      </c>
      <c r="I17" s="55"/>
      <c r="J17" s="55"/>
      <c r="K17" s="50"/>
      <c r="L17" s="51"/>
      <c r="M17" s="55"/>
      <c r="N17" s="55"/>
      <c r="O17" s="55"/>
      <c r="P17" s="55"/>
    </row>
    <row r="18" spans="2:16" ht="38.25" customHeight="1" thickBot="1">
      <c r="B18" s="102" t="s">
        <v>518</v>
      </c>
      <c r="C18" s="92">
        <v>475412376</v>
      </c>
      <c r="D18" s="93">
        <f>SUMIFS('일반 세입'!$L$7:$L$1000,'일반 세입'!$B$7:$B$1000,'총괄표(실국별)'!$B18)</f>
        <v>0</v>
      </c>
      <c r="E18" s="93">
        <f>SUMIFS('일반 세입'!$M$7:$M$1000,'일반 세입'!$B$7:$B$1000,'총괄표(실국별)'!$B18)</f>
        <v>0</v>
      </c>
      <c r="F18" s="93" t="e">
        <f>SUMIFS(#REF!,#REF!,'총괄표(실국별)'!$B18)</f>
        <v>#REF!</v>
      </c>
      <c r="G18" s="93" t="e">
        <f>SUMIFS(#REF!,#REF!,'총괄표(실국별)'!$B18)</f>
        <v>#REF!</v>
      </c>
      <c r="H18" s="94" t="e">
        <f t="shared" si="3"/>
        <v>#REF!</v>
      </c>
      <c r="I18" s="44" t="e">
        <f>'일반 세입'!#REF!+'일반 세입'!#REF!</f>
        <v>#REF!</v>
      </c>
      <c r="J18" s="45" t="e">
        <f>#REF!+#REF!</f>
        <v>#REF!</v>
      </c>
      <c r="K18" s="31"/>
      <c r="N18" s="46" t="e">
        <f>#REF!-#REF!</f>
        <v>#REF!</v>
      </c>
    </row>
    <row r="19" spans="2:16" ht="38.25" customHeight="1">
      <c r="B19" s="102" t="s">
        <v>514</v>
      </c>
      <c r="C19" s="92">
        <v>532996110</v>
      </c>
      <c r="D19" s="93">
        <f>SUMIFS('일반 세입'!$L$7:$L$1000,'일반 세입'!$B$7:$B$1000,'총괄표(실국별)'!$B19)</f>
        <v>0</v>
      </c>
      <c r="E19" s="93">
        <f>SUMIFS('일반 세입'!$M$7:$M$1000,'일반 세입'!$B$7:$B$1000,'총괄표(실국별)'!$B19)</f>
        <v>0</v>
      </c>
      <c r="F19" s="93" t="e">
        <f>SUMIFS(#REF!,#REF!,'총괄표(실국별)'!$B19)</f>
        <v>#REF!</v>
      </c>
      <c r="G19" s="93" t="e">
        <f>SUMIFS(#REF!,#REF!,'총괄표(실국별)'!$B19)</f>
        <v>#REF!</v>
      </c>
      <c r="H19" s="94" t="e">
        <f t="shared" si="3"/>
        <v>#REF!</v>
      </c>
      <c r="I19" s="47"/>
      <c r="J19" s="48"/>
      <c r="K19" s="49"/>
      <c r="N19" s="47"/>
    </row>
    <row r="20" spans="2:16" ht="38.25" customHeight="1">
      <c r="B20" s="102" t="s">
        <v>521</v>
      </c>
      <c r="C20" s="92">
        <v>9607826</v>
      </c>
      <c r="D20" s="93">
        <f>SUMIFS('일반 세입'!$L$7:$L$1000,'일반 세입'!$B$7:$B$1000,'총괄표(실국별)'!$B20)</f>
        <v>0</v>
      </c>
      <c r="E20" s="93">
        <f>SUMIFS('일반 세입'!$M$7:$M$1000,'일반 세입'!$B$7:$B$1000,'총괄표(실국별)'!$B20)</f>
        <v>0</v>
      </c>
      <c r="F20" s="93" t="e">
        <f>SUMIFS(#REF!,#REF!,'총괄표(실국별)'!$B20)</f>
        <v>#REF!</v>
      </c>
      <c r="G20" s="93" t="e">
        <f>SUMIFS(#REF!,#REF!,'총괄표(실국별)'!$B20)</f>
        <v>#REF!</v>
      </c>
      <c r="H20" s="94" t="e">
        <f t="shared" si="3"/>
        <v>#REF!</v>
      </c>
      <c r="I20" s="47"/>
      <c r="J20" s="105"/>
      <c r="L20" s="106"/>
      <c r="M20" s="106"/>
    </row>
    <row r="21" spans="2:16" ht="38.25" customHeight="1">
      <c r="B21" s="102" t="s">
        <v>515</v>
      </c>
      <c r="C21" s="92">
        <v>384069</v>
      </c>
      <c r="D21" s="93">
        <f>SUMIFS('일반 세입'!$L$7:$L$1000,'일반 세입'!$B$7:$B$1000,'총괄표(실국별)'!$B21)</f>
        <v>0</v>
      </c>
      <c r="E21" s="93">
        <f>SUMIFS('일반 세입'!$M$7:$M$1000,'일반 세입'!$B$7:$B$1000,'총괄표(실국별)'!$B21)</f>
        <v>0</v>
      </c>
      <c r="F21" s="93" t="e">
        <f>SUMIFS(#REF!,#REF!,'총괄표(실국별)'!$B21)</f>
        <v>#REF!</v>
      </c>
      <c r="G21" s="93" t="e">
        <f>SUMIFS(#REF!,#REF!,'총괄표(실국별)'!$B21)</f>
        <v>#REF!</v>
      </c>
      <c r="H21" s="94" t="e">
        <f t="shared" si="3"/>
        <v>#REF!</v>
      </c>
      <c r="K21" s="50"/>
      <c r="L21" s="51"/>
      <c r="N21" s="20" t="s">
        <v>52</v>
      </c>
    </row>
    <row r="22" spans="2:16" s="54" customFormat="1" ht="38.25" customHeight="1">
      <c r="B22" s="102" t="s">
        <v>209</v>
      </c>
      <c r="C22" s="107">
        <v>1353512493</v>
      </c>
      <c r="D22" s="93">
        <f>SUMIFS('일반 세입'!$L$7:$L$1000,'일반 세입'!$B$7:$B$1000,'총괄표(실국별)'!$B22)</f>
        <v>0</v>
      </c>
      <c r="E22" s="93">
        <f>SUMIFS('일반 세입'!$M$7:$M$1000,'일반 세입'!$B$7:$B$1000,'총괄표(실국별)'!$B22)</f>
        <v>0</v>
      </c>
      <c r="F22" s="93" t="e">
        <f>SUMIFS(#REF!,#REF!,'총괄표(실국별)'!$B22)</f>
        <v>#REF!</v>
      </c>
      <c r="G22" s="93" t="e">
        <f>SUMIFS(#REF!,#REF!,'총괄표(실국별)'!$B22)</f>
        <v>#REF!</v>
      </c>
      <c r="H22" s="94" t="e">
        <f t="shared" si="3"/>
        <v>#REF!</v>
      </c>
      <c r="I22" s="52"/>
      <c r="J22" s="52"/>
      <c r="K22" s="50"/>
      <c r="L22" s="51"/>
      <c r="M22" s="43"/>
      <c r="N22" s="53" t="e">
        <f>N18-#REF!</f>
        <v>#REF!</v>
      </c>
      <c r="O22" s="52"/>
      <c r="P22" s="52"/>
    </row>
    <row r="23" spans="2:16" s="54" customFormat="1" ht="38.25" customHeight="1">
      <c r="B23" s="102" t="s">
        <v>505</v>
      </c>
      <c r="C23" s="107">
        <v>69450506</v>
      </c>
      <c r="D23" s="93">
        <f>SUMIFS('일반 세입'!$L$7:$L$1000,'일반 세입'!$B$7:$B$1000,'총괄표(실국별)'!$B23)</f>
        <v>0</v>
      </c>
      <c r="E23" s="93">
        <f>SUMIFS('일반 세입'!$M$7:$M$1000,'일반 세입'!$B$7:$B$1000,'총괄표(실국별)'!$B23)</f>
        <v>0</v>
      </c>
      <c r="F23" s="93" t="e">
        <f>SUMIFS(#REF!,#REF!,'총괄표(실국별)'!$B23)</f>
        <v>#REF!</v>
      </c>
      <c r="G23" s="93" t="e">
        <f>SUMIFS(#REF!,#REF!,'총괄표(실국별)'!$B23)</f>
        <v>#REF!</v>
      </c>
      <c r="H23" s="94" t="e">
        <f t="shared" si="3"/>
        <v>#REF!</v>
      </c>
      <c r="I23" s="52"/>
      <c r="J23" s="52"/>
      <c r="K23" s="50"/>
      <c r="L23" s="51"/>
      <c r="M23" s="52"/>
      <c r="N23" s="52"/>
      <c r="O23" s="52"/>
      <c r="P23" s="52"/>
    </row>
    <row r="24" spans="2:16" s="54" customFormat="1" ht="38.25" customHeight="1">
      <c r="B24" s="102" t="s">
        <v>506</v>
      </c>
      <c r="C24" s="107">
        <v>173302168</v>
      </c>
      <c r="D24" s="93">
        <f>SUMIFS('일반 세입'!$L$7:$L$1000,'일반 세입'!$B$7:$B$1000,'총괄표(실국별)'!$B24)</f>
        <v>0</v>
      </c>
      <c r="E24" s="93">
        <f>SUMIFS('일반 세입'!$M$7:$M$1000,'일반 세입'!$B$7:$B$1000,'총괄표(실국별)'!$B24)</f>
        <v>0</v>
      </c>
      <c r="F24" s="93" t="e">
        <f>SUMIFS(#REF!,#REF!,'총괄표(실국별)'!$B24)</f>
        <v>#REF!</v>
      </c>
      <c r="G24" s="93" t="e">
        <f>SUMIFS(#REF!,#REF!,'총괄표(실국별)'!$B24)</f>
        <v>#REF!</v>
      </c>
      <c r="H24" s="94" t="e">
        <f t="shared" si="2"/>
        <v>#REF!</v>
      </c>
      <c r="I24" s="52"/>
      <c r="J24" s="52"/>
      <c r="K24" s="50"/>
      <c r="L24" s="51"/>
      <c r="M24" s="52"/>
      <c r="N24" s="52"/>
      <c r="O24" s="52"/>
      <c r="P24" s="52"/>
    </row>
    <row r="25" spans="2:16" s="56" customFormat="1" ht="38.25" customHeight="1">
      <c r="B25" s="108" t="s">
        <v>516</v>
      </c>
      <c r="C25" s="109">
        <v>2325292998</v>
      </c>
      <c r="D25" s="93">
        <f>SUMIFS('일반 세입'!$L$7:$L$1000,'일반 세입'!$B$7:$B$1000,'총괄표(실국별)'!$B25)</f>
        <v>0</v>
      </c>
      <c r="E25" s="93">
        <f>SUMIFS('일반 세입'!$M$7:$M$1000,'일반 세입'!$B$7:$B$1000,'총괄표(실국별)'!$B25)</f>
        <v>0</v>
      </c>
      <c r="F25" s="93" t="e">
        <f>SUMIFS(#REF!,#REF!,'총괄표(실국별)'!$B25)</f>
        <v>#REF!</v>
      </c>
      <c r="G25" s="93" t="e">
        <f>SUMIFS(#REF!,#REF!,'총괄표(실국별)'!$B25)</f>
        <v>#REF!</v>
      </c>
      <c r="H25" s="94" t="e">
        <f t="shared" si="2"/>
        <v>#REF!</v>
      </c>
      <c r="I25" s="55"/>
      <c r="J25" s="55"/>
      <c r="K25" s="50"/>
      <c r="L25" s="51"/>
      <c r="M25" s="55"/>
      <c r="N25" s="55"/>
      <c r="O25" s="55"/>
      <c r="P25" s="55"/>
    </row>
    <row r="26" spans="2:16" ht="38.25" customHeight="1" thickBot="1">
      <c r="B26" s="102" t="s">
        <v>186</v>
      </c>
      <c r="C26" s="92">
        <v>193048941</v>
      </c>
      <c r="D26" s="93">
        <f>SUMIFS('일반 세입'!$L$7:$L$1000,'일반 세입'!$B$7:$B$1000,'총괄표(실국별)'!$B26)</f>
        <v>0</v>
      </c>
      <c r="E26" s="93">
        <f>SUMIFS('일반 세입'!$M$7:$M$1000,'일반 세입'!$B$7:$B$1000,'총괄표(실국별)'!$B26)</f>
        <v>1089179</v>
      </c>
      <c r="F26" s="93" t="e">
        <f>SUMIFS(#REF!,#REF!,'총괄표(실국별)'!$B26)</f>
        <v>#REF!</v>
      </c>
      <c r="G26" s="93" t="e">
        <f>SUMIFS(#REF!,#REF!,'총괄표(실국별)'!$B26)</f>
        <v>#REF!</v>
      </c>
      <c r="H26" s="94" t="e">
        <f t="shared" si="2"/>
        <v>#REF!</v>
      </c>
      <c r="I26" s="44">
        <f>'일반 세입'!L1+'일반 세입'!M1</f>
        <v>0</v>
      </c>
      <c r="J26" s="45" t="e">
        <f>#REF!+#REF!</f>
        <v>#REF!</v>
      </c>
      <c r="K26" s="31"/>
      <c r="N26" s="46">
        <f>M2-N2</f>
        <v>0</v>
      </c>
    </row>
    <row r="27" spans="2:16" ht="38.25" customHeight="1">
      <c r="B27" s="102" t="s">
        <v>517</v>
      </c>
      <c r="C27" s="92">
        <v>866196185</v>
      </c>
      <c r="D27" s="93">
        <f>SUMIFS('일반 세입'!$L$7:$L$1000,'일반 세입'!$B$7:$B$1000,'총괄표(실국별)'!$B27)</f>
        <v>0</v>
      </c>
      <c r="E27" s="93">
        <f>SUMIFS('일반 세입'!$M$7:$M$1000,'일반 세입'!$B$7:$B$1000,'총괄표(실국별)'!$B27)</f>
        <v>0</v>
      </c>
      <c r="F27" s="93" t="e">
        <f>SUMIFS(#REF!,#REF!,'총괄표(실국별)'!$B27)</f>
        <v>#REF!</v>
      </c>
      <c r="G27" s="93" t="e">
        <f>SUMIFS(#REF!,#REF!,'총괄표(실국별)'!$B27)</f>
        <v>#REF!</v>
      </c>
      <c r="H27" s="94" t="e">
        <f t="shared" si="2"/>
        <v>#REF!</v>
      </c>
      <c r="I27" s="47"/>
      <c r="J27" s="48"/>
      <c r="K27" s="49"/>
      <c r="N27" s="47"/>
    </row>
    <row r="28" spans="2:16" ht="38.25" customHeight="1">
      <c r="B28" s="102" t="s">
        <v>522</v>
      </c>
      <c r="C28" s="92">
        <v>1402108</v>
      </c>
      <c r="D28" s="93">
        <f>SUMIFS('일반 세입'!$L$7:$L$1000,'일반 세입'!$B$7:$B$1000,'총괄표(실국별)'!$B28)</f>
        <v>0</v>
      </c>
      <c r="E28" s="93">
        <f>SUMIFS('일반 세입'!$M$7:$M$1000,'일반 세입'!$B$7:$B$1000,'총괄표(실국별)'!$B28)</f>
        <v>0</v>
      </c>
      <c r="F28" s="93" t="e">
        <f>SUMIFS(#REF!,#REF!,'총괄표(실국별)'!$B28)</f>
        <v>#REF!</v>
      </c>
      <c r="G28" s="93" t="e">
        <f>SUMIFS(#REF!,#REF!,'총괄표(실국별)'!$B28)</f>
        <v>#REF!</v>
      </c>
      <c r="H28" s="94" t="e">
        <f t="shared" si="2"/>
        <v>#REF!</v>
      </c>
      <c r="I28" s="47"/>
      <c r="J28" s="105"/>
      <c r="L28" s="106"/>
      <c r="M28" s="106"/>
    </row>
    <row r="29" spans="2:16" ht="38.25" customHeight="1">
      <c r="B29" s="102" t="s">
        <v>135</v>
      </c>
      <c r="C29" s="92">
        <v>29930218</v>
      </c>
      <c r="D29" s="93">
        <f>SUMIFS('일반 세입'!$L$7:$L$1000,'일반 세입'!$B$7:$B$1000,'총괄표(실국별)'!$B29)</f>
        <v>0</v>
      </c>
      <c r="E29" s="93">
        <f>SUMIFS('일반 세입'!$M$7:$M$1000,'일반 세입'!$B$7:$B$1000,'총괄표(실국별)'!$B29)</f>
        <v>0</v>
      </c>
      <c r="F29" s="93" t="e">
        <f>SUMIFS(#REF!,#REF!,'총괄표(실국별)'!$B29)</f>
        <v>#REF!</v>
      </c>
      <c r="G29" s="93" t="e">
        <f>SUMIFS(#REF!,#REF!,'총괄표(실국별)'!$B29)</f>
        <v>#REF!</v>
      </c>
      <c r="H29" s="94" t="e">
        <f t="shared" si="2"/>
        <v>#REF!</v>
      </c>
      <c r="K29" s="50"/>
      <c r="L29" s="51"/>
      <c r="N29" s="20" t="s">
        <v>52</v>
      </c>
    </row>
    <row r="30" spans="2:16" s="54" customFormat="1" ht="38.25" customHeight="1">
      <c r="B30" s="102" t="s">
        <v>529</v>
      </c>
      <c r="C30" s="107">
        <v>39275302</v>
      </c>
      <c r="D30" s="93">
        <f>SUMIFS('일반 세입'!$L$7:$L$1000,'일반 세입'!$B$7:$B$1000,'총괄표(실국별)'!$B30)</f>
        <v>0</v>
      </c>
      <c r="E30" s="93">
        <f>SUMIFS('일반 세입'!$M$7:$M$1000,'일반 세입'!$B$7:$B$1000,'총괄표(실국별)'!$B30)</f>
        <v>0</v>
      </c>
      <c r="F30" s="93" t="e">
        <f>SUMIFS(#REF!,#REF!,'총괄표(실국별)'!$B30)</f>
        <v>#REF!</v>
      </c>
      <c r="G30" s="93" t="e">
        <f>SUMIFS(#REF!,#REF!,'총괄표(실국별)'!$B30)</f>
        <v>#REF!</v>
      </c>
      <c r="H30" s="94" t="e">
        <f t="shared" si="2"/>
        <v>#REF!</v>
      </c>
      <c r="I30" s="52"/>
      <c r="J30" s="52"/>
      <c r="K30" s="50"/>
      <c r="L30" s="51"/>
      <c r="M30" s="43"/>
      <c r="N30" s="53">
        <f>N26-K2</f>
        <v>0</v>
      </c>
      <c r="O30" s="52"/>
      <c r="P30" s="52"/>
    </row>
    <row r="31" spans="2:16" ht="38.25" customHeight="1" thickBot="1">
      <c r="B31" s="102" t="s">
        <v>530</v>
      </c>
      <c r="C31" s="92">
        <v>8910247</v>
      </c>
      <c r="D31" s="93">
        <f>SUMIFS('일반 세입'!$L$7:$L$1000,'일반 세입'!$B$7:$B$1000,'총괄표(실국별)'!$B31)</f>
        <v>0</v>
      </c>
      <c r="E31" s="93">
        <f>SUMIFS('일반 세입'!$M$7:$M$1000,'일반 세입'!$B$7:$B$1000,'총괄표(실국별)'!$B31)</f>
        <v>0</v>
      </c>
      <c r="F31" s="93" t="e">
        <f>SUMIFS(#REF!,#REF!,'총괄표(실국별)'!$B31)</f>
        <v>#REF!</v>
      </c>
      <c r="G31" s="93" t="e">
        <f>SUMIFS(#REF!,#REF!,'총괄표(실국별)'!$B31)</f>
        <v>#REF!</v>
      </c>
      <c r="H31" s="94" t="e">
        <f t="shared" ref="H31:H36" si="4">C31+F31+G31</f>
        <v>#REF!</v>
      </c>
      <c r="I31" s="44">
        <f>'일반 세입'!L6+'일반 세입'!M6</f>
        <v>3134642</v>
      </c>
      <c r="J31" s="45" t="e">
        <f>#REF!+#REF!</f>
        <v>#REF!</v>
      </c>
      <c r="K31" s="31"/>
      <c r="N31" s="46" t="e">
        <f>M7-N7</f>
        <v>#REF!</v>
      </c>
    </row>
    <row r="32" spans="2:16" ht="38.25" customHeight="1">
      <c r="B32" s="102" t="s">
        <v>531</v>
      </c>
      <c r="C32" s="92">
        <v>9409184</v>
      </c>
      <c r="D32" s="93">
        <f>SUMIFS('일반 세입'!$L$7:$L$1000,'일반 세입'!$B$7:$B$1000,'총괄표(실국별)'!$B32)</f>
        <v>0</v>
      </c>
      <c r="E32" s="93">
        <f>SUMIFS('일반 세입'!$M$7:$M$1000,'일반 세입'!$B$7:$B$1000,'총괄표(실국별)'!$B32)</f>
        <v>0</v>
      </c>
      <c r="F32" s="93" t="e">
        <f>SUMIFS(#REF!,#REF!,'총괄표(실국별)'!$B32)</f>
        <v>#REF!</v>
      </c>
      <c r="G32" s="93" t="e">
        <f>SUMIFS(#REF!,#REF!,'총괄표(실국별)'!$B32)</f>
        <v>#REF!</v>
      </c>
      <c r="H32" s="94" t="e">
        <f t="shared" si="4"/>
        <v>#REF!</v>
      </c>
      <c r="I32" s="47"/>
      <c r="J32" s="48"/>
      <c r="K32" s="49"/>
      <c r="N32" s="47"/>
    </row>
    <row r="33" spans="2:16" ht="38.25" customHeight="1">
      <c r="B33" s="102" t="s">
        <v>532</v>
      </c>
      <c r="C33" s="92">
        <v>563921605</v>
      </c>
      <c r="D33" s="93">
        <f>SUMIFS('일반 세입'!$L$7:$L$1000,'일반 세입'!$B$7:$B$1000,'총괄표(실국별)'!$B33)</f>
        <v>0</v>
      </c>
      <c r="E33" s="93">
        <f>SUMIFS('일반 세입'!$M$7:$M$1000,'일반 세입'!$B$7:$B$1000,'총괄표(실국별)'!$B33)</f>
        <v>0</v>
      </c>
      <c r="F33" s="93" t="e">
        <f>SUMIFS(#REF!,#REF!,'총괄표(실국별)'!$B33)</f>
        <v>#REF!</v>
      </c>
      <c r="G33" s="93" t="e">
        <f>SUMIFS(#REF!,#REF!,'총괄표(실국별)'!$B33)</f>
        <v>#REF!</v>
      </c>
      <c r="H33" s="94" t="e">
        <f t="shared" si="4"/>
        <v>#REF!</v>
      </c>
      <c r="I33" s="47"/>
      <c r="J33" s="105"/>
      <c r="L33" s="106"/>
      <c r="M33" s="106"/>
    </row>
    <row r="34" spans="2:16" ht="38.25" customHeight="1">
      <c r="B34" s="102" t="s">
        <v>325</v>
      </c>
      <c r="C34" s="92">
        <v>246707189</v>
      </c>
      <c r="D34" s="93">
        <f>SUMIFS('일반 세입'!$L$7:$L$1000,'일반 세입'!$B$7:$B$1000,'총괄표(실국별)'!$B34)</f>
        <v>0</v>
      </c>
      <c r="E34" s="93">
        <f>SUMIFS('일반 세입'!$M$7:$M$1000,'일반 세입'!$B$7:$B$1000,'총괄표(실국별)'!$B34)</f>
        <v>0</v>
      </c>
      <c r="F34" s="93" t="e">
        <f>SUMIFS(#REF!,#REF!,'총괄표(실국별)'!$B34)</f>
        <v>#REF!</v>
      </c>
      <c r="G34" s="93" t="e">
        <f>SUMIFS(#REF!,#REF!,'총괄표(실국별)'!$B34)</f>
        <v>#REF!</v>
      </c>
      <c r="H34" s="94" t="e">
        <f t="shared" si="4"/>
        <v>#REF!</v>
      </c>
      <c r="K34" s="50"/>
      <c r="L34" s="51"/>
      <c r="N34" s="20" t="s">
        <v>52</v>
      </c>
    </row>
    <row r="35" spans="2:16" s="54" customFormat="1" ht="38.25" customHeight="1">
      <c r="B35" s="102" t="s">
        <v>533</v>
      </c>
      <c r="C35" s="107">
        <v>5137721</v>
      </c>
      <c r="D35" s="93">
        <f>SUMIFS('일반 세입'!$L$7:$L$1000,'일반 세입'!$B$7:$B$1000,'총괄표(실국별)'!$B35)</f>
        <v>0</v>
      </c>
      <c r="E35" s="93">
        <f>SUMIFS('일반 세입'!$M$7:$M$1000,'일반 세입'!$B$7:$B$1000,'총괄표(실국별)'!$B35)</f>
        <v>0</v>
      </c>
      <c r="F35" s="93" t="e">
        <f>SUMIFS(#REF!,#REF!,'총괄표(실국별)'!$B35)</f>
        <v>#REF!</v>
      </c>
      <c r="G35" s="93" t="e">
        <f>SUMIFS(#REF!,#REF!,'총괄표(실국별)'!$B35)</f>
        <v>#REF!</v>
      </c>
      <c r="H35" s="94" t="e">
        <f t="shared" si="4"/>
        <v>#REF!</v>
      </c>
      <c r="I35" s="52"/>
      <c r="J35" s="52"/>
      <c r="K35" s="50"/>
      <c r="L35" s="51"/>
      <c r="M35" s="43"/>
      <c r="N35" s="53" t="e">
        <f>N31-K7</f>
        <v>#REF!</v>
      </c>
      <c r="O35" s="52"/>
      <c r="P35" s="52"/>
    </row>
    <row r="36" spans="2:16" s="54" customFormat="1" ht="38.25" customHeight="1" thickBot="1">
      <c r="B36" s="110" t="s">
        <v>528</v>
      </c>
      <c r="C36" s="111">
        <v>53973769</v>
      </c>
      <c r="D36" s="112">
        <f>SUMIFS('일반 세입'!$L$7:$L$1000,'일반 세입'!$B$7:$B$1000,'총괄표(실국별)'!$B36)</f>
        <v>0</v>
      </c>
      <c r="E36" s="112">
        <f>SUMIFS('일반 세입'!$M$7:$M$1000,'일반 세입'!$B$7:$B$1000,'총괄표(실국별)'!$B36)</f>
        <v>0</v>
      </c>
      <c r="F36" s="112" t="e">
        <f>SUMIFS(#REF!,#REF!,'총괄표(실국별)'!$B36)</f>
        <v>#REF!</v>
      </c>
      <c r="G36" s="112" t="e">
        <f>SUMIFS(#REF!,#REF!,'총괄표(실국별)'!$B36)</f>
        <v>#REF!</v>
      </c>
      <c r="H36" s="113" t="e">
        <f t="shared" si="4"/>
        <v>#REF!</v>
      </c>
      <c r="I36" s="52"/>
      <c r="J36" s="52"/>
      <c r="K36" s="50"/>
      <c r="L36" s="51"/>
      <c r="M36" s="52"/>
      <c r="N36" s="52"/>
      <c r="O36" s="52"/>
      <c r="P36" s="52"/>
    </row>
    <row r="37" spans="2:16" ht="18" customHeight="1">
      <c r="B37" s="27"/>
      <c r="C37" s="27"/>
      <c r="D37" s="27"/>
      <c r="E37" s="27"/>
      <c r="F37" s="27"/>
      <c r="G37" s="27"/>
      <c r="H37" s="27"/>
      <c r="K37" s="50"/>
      <c r="L37" s="51"/>
    </row>
    <row r="38" spans="2:16" ht="20.25" customHeight="1">
      <c r="H38" s="116"/>
      <c r="J38" s="117"/>
    </row>
    <row r="39" spans="2:16" ht="20.25" customHeight="1"/>
    <row r="40" spans="2:16" ht="14.25">
      <c r="B40" s="60" t="s">
        <v>24</v>
      </c>
      <c r="C40" s="61" t="s">
        <v>60</v>
      </c>
      <c r="D40" s="62" t="s">
        <v>61</v>
      </c>
      <c r="E40" s="61" t="s">
        <v>62</v>
      </c>
      <c r="G40" s="20"/>
      <c r="H40" s="20"/>
      <c r="O40" s="21"/>
      <c r="P40" s="21"/>
    </row>
    <row r="41" spans="2:16" ht="15">
      <c r="B41" s="63" t="s">
        <v>520</v>
      </c>
      <c r="C41" s="275">
        <v>914581</v>
      </c>
      <c r="D41" s="118"/>
      <c r="E41" s="118">
        <f>SUM(C41:D41)</f>
        <v>914581</v>
      </c>
      <c r="G41" s="20"/>
      <c r="H41" s="20"/>
      <c r="O41" s="21"/>
      <c r="P41" s="21"/>
    </row>
    <row r="42" spans="2:16" ht="15">
      <c r="B42" s="63" t="s">
        <v>507</v>
      </c>
      <c r="C42" s="275">
        <v>3119807801</v>
      </c>
      <c r="D42" s="275">
        <v>1780946434</v>
      </c>
      <c r="E42" s="118">
        <f t="shared" ref="E42:E69" si="5">SUM(C42:D42)</f>
        <v>4900754235</v>
      </c>
      <c r="H42" s="20"/>
      <c r="O42" s="21"/>
      <c r="P42" s="21"/>
    </row>
    <row r="43" spans="2:16" ht="15">
      <c r="B43" s="63" t="s">
        <v>508</v>
      </c>
      <c r="C43" s="275">
        <v>190109521</v>
      </c>
      <c r="D43" s="275">
        <v>28360000</v>
      </c>
      <c r="E43" s="118">
        <f t="shared" si="5"/>
        <v>218469521</v>
      </c>
      <c r="H43" s="20"/>
      <c r="O43" s="21"/>
      <c r="P43" s="21"/>
    </row>
    <row r="44" spans="2:16" ht="15">
      <c r="B44" s="276" t="s">
        <v>509</v>
      </c>
      <c r="C44" s="275">
        <v>544196314</v>
      </c>
      <c r="D44" s="118"/>
      <c r="E44" s="118">
        <f t="shared" si="5"/>
        <v>544196314</v>
      </c>
      <c r="G44" s="20"/>
      <c r="H44" s="20"/>
      <c r="O44" s="21"/>
      <c r="P44" s="21"/>
    </row>
    <row r="45" spans="2:16" ht="15">
      <c r="B45" s="63" t="s">
        <v>510</v>
      </c>
      <c r="C45" s="275">
        <v>224243208</v>
      </c>
      <c r="D45" s="275">
        <v>52484400</v>
      </c>
      <c r="E45" s="118">
        <f t="shared" si="5"/>
        <v>276727608</v>
      </c>
      <c r="H45" s="20"/>
      <c r="O45" s="21"/>
      <c r="P45" s="21"/>
    </row>
    <row r="46" spans="2:16" ht="15">
      <c r="B46" s="276" t="s">
        <v>183</v>
      </c>
      <c r="C46" s="275">
        <v>249710070</v>
      </c>
      <c r="D46" s="118"/>
      <c r="E46" s="118">
        <f t="shared" si="5"/>
        <v>249710070</v>
      </c>
      <c r="G46" s="20"/>
      <c r="H46" s="20"/>
      <c r="O46" s="21"/>
      <c r="P46" s="21"/>
    </row>
    <row r="47" spans="2:16" ht="15">
      <c r="B47" s="276" t="s">
        <v>511</v>
      </c>
      <c r="C47" s="275">
        <v>2571625696</v>
      </c>
      <c r="D47" s="118"/>
      <c r="E47" s="118">
        <f t="shared" si="5"/>
        <v>2571625696</v>
      </c>
      <c r="G47" s="20"/>
      <c r="H47" s="20"/>
      <c r="O47" s="21"/>
      <c r="P47" s="21"/>
    </row>
    <row r="48" spans="2:16" ht="15">
      <c r="B48" s="63" t="s">
        <v>512</v>
      </c>
      <c r="C48" s="275">
        <v>94671441</v>
      </c>
      <c r="D48" s="118"/>
      <c r="E48" s="118">
        <f t="shared" si="5"/>
        <v>94671441</v>
      </c>
      <c r="G48" s="20"/>
      <c r="H48" s="20"/>
      <c r="O48" s="21"/>
      <c r="P48" s="21"/>
    </row>
    <row r="49" spans="2:16" ht="15">
      <c r="B49" s="63" t="s">
        <v>504</v>
      </c>
      <c r="C49" s="275">
        <v>107956457</v>
      </c>
      <c r="E49" s="118">
        <f t="shared" si="5"/>
        <v>107956457</v>
      </c>
      <c r="H49" s="20"/>
      <c r="O49" s="21"/>
      <c r="P49" s="21"/>
    </row>
    <row r="50" spans="2:16" ht="15">
      <c r="B50" s="63" t="s">
        <v>513</v>
      </c>
      <c r="C50" s="275">
        <v>1879955306</v>
      </c>
      <c r="D50" s="118"/>
      <c r="E50" s="118">
        <f t="shared" si="5"/>
        <v>1879955306</v>
      </c>
      <c r="G50" s="20"/>
      <c r="H50" s="20"/>
      <c r="O50" s="21"/>
      <c r="P50" s="21"/>
    </row>
    <row r="51" spans="2:16" ht="15">
      <c r="B51" s="63" t="s">
        <v>518</v>
      </c>
      <c r="C51" s="275">
        <v>475412376</v>
      </c>
      <c r="D51" s="118"/>
      <c r="E51" s="118">
        <f t="shared" si="5"/>
        <v>475412376</v>
      </c>
      <c r="G51" s="20"/>
      <c r="H51" s="20"/>
      <c r="O51" s="21"/>
      <c r="P51" s="21"/>
    </row>
    <row r="52" spans="2:16" ht="15">
      <c r="B52" s="63" t="s">
        <v>514</v>
      </c>
      <c r="C52" s="275">
        <v>148252370</v>
      </c>
      <c r="D52" s="275">
        <v>384743740</v>
      </c>
      <c r="E52" s="118">
        <f t="shared" si="5"/>
        <v>532996110</v>
      </c>
    </row>
    <row r="53" spans="2:16" ht="15">
      <c r="B53" s="63" t="s">
        <v>521</v>
      </c>
      <c r="C53" s="275">
        <v>9607826</v>
      </c>
      <c r="E53" s="118">
        <f t="shared" si="5"/>
        <v>9607826</v>
      </c>
    </row>
    <row r="54" spans="2:16" ht="15">
      <c r="B54" s="63" t="s">
        <v>515</v>
      </c>
      <c r="C54" s="275">
        <v>384069</v>
      </c>
      <c r="E54" s="118">
        <f t="shared" si="5"/>
        <v>384069</v>
      </c>
    </row>
    <row r="55" spans="2:16" ht="15">
      <c r="B55" s="63" t="s">
        <v>209</v>
      </c>
      <c r="C55" s="275">
        <v>1353512493</v>
      </c>
      <c r="E55" s="118">
        <f t="shared" si="5"/>
        <v>1353512493</v>
      </c>
    </row>
    <row r="56" spans="2:16" ht="15">
      <c r="B56" s="63" t="s">
        <v>505</v>
      </c>
      <c r="C56" s="275">
        <v>69450506</v>
      </c>
      <c r="E56" s="118">
        <f t="shared" si="5"/>
        <v>69450506</v>
      </c>
    </row>
    <row r="57" spans="2:16" ht="15">
      <c r="B57" s="63" t="s">
        <v>506</v>
      </c>
      <c r="C57" s="275">
        <v>173302168</v>
      </c>
      <c r="E57" s="118">
        <f t="shared" si="5"/>
        <v>173302168</v>
      </c>
    </row>
    <row r="58" spans="2:16" ht="15">
      <c r="B58" s="63" t="s">
        <v>516</v>
      </c>
      <c r="C58" s="275">
        <v>2325292998</v>
      </c>
      <c r="E58" s="118">
        <f t="shared" si="5"/>
        <v>2325292998</v>
      </c>
    </row>
    <row r="59" spans="2:16" ht="15">
      <c r="B59" s="63" t="s">
        <v>186</v>
      </c>
      <c r="C59" s="275">
        <v>193048941</v>
      </c>
      <c r="E59" s="118">
        <f t="shared" si="5"/>
        <v>193048941</v>
      </c>
    </row>
    <row r="60" spans="2:16" ht="15">
      <c r="B60" s="63" t="s">
        <v>517</v>
      </c>
      <c r="C60" s="275">
        <v>866196185</v>
      </c>
      <c r="E60" s="118">
        <f t="shared" si="5"/>
        <v>866196185</v>
      </c>
    </row>
    <row r="61" spans="2:16" ht="15">
      <c r="B61" s="63" t="s">
        <v>522</v>
      </c>
      <c r="C61" s="275">
        <v>1402108</v>
      </c>
      <c r="E61" s="118">
        <f t="shared" si="5"/>
        <v>1402108</v>
      </c>
    </row>
    <row r="62" spans="2:16" ht="15">
      <c r="B62" s="63" t="s">
        <v>135</v>
      </c>
      <c r="C62" s="275">
        <v>29930218</v>
      </c>
      <c r="E62" s="118">
        <f t="shared" si="5"/>
        <v>29930218</v>
      </c>
    </row>
    <row r="63" spans="2:16" ht="15">
      <c r="B63" s="63" t="s">
        <v>523</v>
      </c>
      <c r="C63" s="275">
        <v>39275302</v>
      </c>
      <c r="E63" s="118">
        <f t="shared" si="5"/>
        <v>39275302</v>
      </c>
    </row>
    <row r="64" spans="2:16" ht="15">
      <c r="B64" s="63" t="s">
        <v>524</v>
      </c>
      <c r="C64" s="275">
        <v>8910247</v>
      </c>
      <c r="E64" s="118">
        <f t="shared" si="5"/>
        <v>8910247</v>
      </c>
    </row>
    <row r="65" spans="2:5" ht="15">
      <c r="B65" s="63" t="s">
        <v>525</v>
      </c>
      <c r="C65" s="275">
        <v>9409184</v>
      </c>
      <c r="E65" s="118">
        <f t="shared" si="5"/>
        <v>9409184</v>
      </c>
    </row>
    <row r="66" spans="2:5" ht="15">
      <c r="B66" s="63" t="s">
        <v>519</v>
      </c>
      <c r="C66" s="275">
        <v>563921605</v>
      </c>
      <c r="E66" s="118">
        <f t="shared" si="5"/>
        <v>563921605</v>
      </c>
    </row>
    <row r="67" spans="2:5" ht="15">
      <c r="B67" s="63" t="s">
        <v>526</v>
      </c>
      <c r="C67" s="275">
        <v>246707189</v>
      </c>
      <c r="E67" s="118">
        <f t="shared" si="5"/>
        <v>246707189</v>
      </c>
    </row>
    <row r="68" spans="2:5" ht="15">
      <c r="B68" s="63" t="s">
        <v>527</v>
      </c>
      <c r="C68" s="275">
        <v>5137721</v>
      </c>
      <c r="E68" s="118">
        <f t="shared" si="5"/>
        <v>5137721</v>
      </c>
    </row>
    <row r="69" spans="2:5" ht="15">
      <c r="B69" s="63" t="s">
        <v>528</v>
      </c>
      <c r="C69" s="275">
        <v>53973769</v>
      </c>
      <c r="E69" s="118">
        <f t="shared" si="5"/>
        <v>53973769</v>
      </c>
    </row>
    <row r="70" spans="2:5" ht="15">
      <c r="B70" s="63" t="s">
        <v>27</v>
      </c>
      <c r="C70" s="118">
        <f>SUM(C41:C69)</f>
        <v>15556317670</v>
      </c>
      <c r="D70" s="118">
        <f>SUM(D41:D69)</f>
        <v>2246534574</v>
      </c>
      <c r="E70" s="118">
        <f t="shared" ref="E70" si="6">SUM(C70:D70)</f>
        <v>17802852244</v>
      </c>
    </row>
    <row r="170" spans="1:20" s="20" customFormat="1" ht="24">
      <c r="A170" s="21"/>
      <c r="B170" s="21"/>
      <c r="C170" s="21"/>
      <c r="D170" s="21"/>
      <c r="E170" s="21"/>
      <c r="F170" s="21"/>
      <c r="G170" s="21"/>
      <c r="H170" s="21"/>
      <c r="I170" s="49" t="s">
        <v>64</v>
      </c>
      <c r="Q170" s="21"/>
      <c r="R170" s="21"/>
      <c r="S170" s="21"/>
      <c r="T170" s="21"/>
    </row>
    <row r="300" spans="1:20" s="20" customFormat="1">
      <c r="A300" s="21"/>
      <c r="B300" s="21"/>
      <c r="C300" s="21"/>
      <c r="D300" s="21"/>
      <c r="E300" s="21"/>
      <c r="F300" s="21"/>
      <c r="G300" s="21"/>
      <c r="H300" s="21"/>
      <c r="I300" s="66"/>
      <c r="K300" s="20">
        <v>-50000</v>
      </c>
      <c r="Q300" s="21"/>
      <c r="R300" s="21"/>
      <c r="S300" s="21"/>
      <c r="T300" s="21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  <pageSetUpPr fitToPage="1"/>
  </sheetPr>
  <dimension ref="A1:L26"/>
  <sheetViews>
    <sheetView view="pageBreakPreview" zoomScale="80" zoomScaleNormal="90" zoomScaleSheetLayoutView="80" workbookViewId="0">
      <selection sqref="A1:I1"/>
    </sheetView>
  </sheetViews>
  <sheetFormatPr defaultRowHeight="16.5"/>
  <cols>
    <col min="1" max="3" width="18.875" style="204" customWidth="1"/>
    <col min="4" max="4" width="8.75" style="207" customWidth="1"/>
    <col min="5" max="5" width="7.125" style="204" customWidth="1"/>
    <col min="6" max="7" width="18.875" style="204" customWidth="1"/>
    <col min="8" max="8" width="8.75" style="207" customWidth="1"/>
    <col min="9" max="9" width="3.5" style="204" customWidth="1"/>
    <col min="10" max="10" width="17" style="204" customWidth="1"/>
    <col min="11" max="11" width="16" style="204" customWidth="1"/>
    <col min="12" max="16384" width="9" style="204"/>
  </cols>
  <sheetData>
    <row r="1" spans="1:12" ht="33" customHeight="1">
      <c r="A1" s="323" t="s">
        <v>558</v>
      </c>
      <c r="B1" s="323"/>
      <c r="C1" s="323"/>
      <c r="D1" s="323"/>
      <c r="E1" s="323"/>
      <c r="F1" s="323"/>
      <c r="G1" s="323"/>
      <c r="H1" s="323"/>
      <c r="I1" s="323"/>
      <c r="J1" s="270"/>
      <c r="K1" s="270"/>
      <c r="L1" s="270"/>
    </row>
    <row r="2" spans="1:12" ht="12.75" customHeight="1">
      <c r="A2" s="220"/>
      <c r="B2" s="220"/>
      <c r="C2" s="220"/>
      <c r="D2" s="220"/>
      <c r="E2" s="220"/>
      <c r="F2" s="220"/>
      <c r="G2" s="220"/>
      <c r="H2" s="220"/>
      <c r="J2" s="220"/>
    </row>
    <row r="3" spans="1:12" ht="33" customHeight="1">
      <c r="A3" s="220"/>
      <c r="B3" s="220"/>
      <c r="C3" s="220"/>
      <c r="D3" s="220"/>
      <c r="E3" s="220"/>
      <c r="F3" s="219" t="s">
        <v>559</v>
      </c>
      <c r="G3" s="331">
        <v>2322131292</v>
      </c>
      <c r="H3" s="331"/>
      <c r="J3" s="220"/>
      <c r="K3" s="204">
        <f>F12-G12</f>
        <v>0</v>
      </c>
    </row>
    <row r="4" spans="1:12" s="244" customFormat="1" ht="22.5" customHeight="1">
      <c r="D4" s="245"/>
      <c r="H4" s="245" t="s">
        <v>367</v>
      </c>
      <c r="J4" s="245"/>
      <c r="K4" s="244">
        <f>F14-G14</f>
        <v>0</v>
      </c>
    </row>
    <row r="5" spans="1:12" ht="27.95" customHeight="1">
      <c r="A5" s="335" t="s">
        <v>365</v>
      </c>
      <c r="B5" s="332" t="s">
        <v>450</v>
      </c>
      <c r="C5" s="333"/>
      <c r="D5" s="334"/>
      <c r="E5" s="246"/>
      <c r="F5" s="337" t="s">
        <v>451</v>
      </c>
      <c r="G5" s="338"/>
      <c r="H5" s="339"/>
      <c r="J5" s="324" t="s">
        <v>491</v>
      </c>
      <c r="K5" s="325"/>
      <c r="L5" s="326"/>
    </row>
    <row r="6" spans="1:12" ht="27.95" customHeight="1">
      <c r="A6" s="336"/>
      <c r="B6" s="219" t="s">
        <v>363</v>
      </c>
      <c r="C6" s="219" t="s">
        <v>364</v>
      </c>
      <c r="D6" s="219" t="s">
        <v>366</v>
      </c>
      <c r="F6" s="219" t="s">
        <v>363</v>
      </c>
      <c r="G6" s="219" t="s">
        <v>364</v>
      </c>
      <c r="H6" s="219" t="s">
        <v>366</v>
      </c>
      <c r="J6" s="219" t="s">
        <v>363</v>
      </c>
      <c r="K6" s="219" t="s">
        <v>364</v>
      </c>
      <c r="L6" s="219" t="s">
        <v>366</v>
      </c>
    </row>
    <row r="7" spans="1:12" s="241" customFormat="1" ht="27.95" customHeight="1">
      <c r="A7" s="221" t="s">
        <v>483</v>
      </c>
      <c r="B7" s="238">
        <f>SUM(B8,B11)</f>
        <v>3053429</v>
      </c>
      <c r="C7" s="238">
        <f>SUM(C8,C11)</f>
        <v>29008824</v>
      </c>
      <c r="D7" s="221"/>
      <c r="E7" s="204"/>
      <c r="F7" s="238">
        <f t="shared" ref="F7:G7" si="0">SUM(F8,F11)</f>
        <v>3134642</v>
      </c>
      <c r="G7" s="238">
        <f t="shared" si="0"/>
        <v>3134642</v>
      </c>
      <c r="H7" s="221"/>
      <c r="J7" s="238">
        <f t="shared" ref="J7:K7" si="1">SUM(J8,J11)</f>
        <v>3215855</v>
      </c>
      <c r="K7" s="238">
        <f t="shared" si="1"/>
        <v>3228450</v>
      </c>
      <c r="L7" s="221" t="str">
        <f t="shared" ref="L7" si="2">IF(J7=K7,"OK","@@")</f>
        <v>@@</v>
      </c>
    </row>
    <row r="8" spans="1:12" ht="27.95" customHeight="1">
      <c r="A8" s="205" t="s">
        <v>482</v>
      </c>
      <c r="B8" s="237">
        <f>'일반 세입'!X6</f>
        <v>-200161</v>
      </c>
      <c r="C8" s="237">
        <f>'일반 세출'!X6</f>
        <v>25755234</v>
      </c>
      <c r="D8" s="205"/>
      <c r="F8" s="237">
        <f>'일반 세입'!S6</f>
        <v>-200161</v>
      </c>
      <c r="G8" s="237">
        <f>'일반 세출'!S6</f>
        <v>-200161</v>
      </c>
      <c r="H8" s="205"/>
      <c r="J8" s="237">
        <f>'일반 세입'!S6+'국비변경(일반 세입)(삭제)'!S6</f>
        <v>-200161</v>
      </c>
      <c r="K8" s="237">
        <f>'일반 세출'!S6+'국비변경(일반 세출)(삭제)'!S6</f>
        <v>-187566</v>
      </c>
      <c r="L8" s="205"/>
    </row>
    <row r="9" spans="1:12" s="241" customFormat="1" ht="27.95" customHeight="1">
      <c r="A9" s="260" t="s">
        <v>481</v>
      </c>
      <c r="B9" s="261"/>
      <c r="C9" s="261"/>
      <c r="D9" s="260"/>
      <c r="F9" s="261"/>
      <c r="G9" s="261">
        <f>G8-G10</f>
        <v>-490205</v>
      </c>
      <c r="H9" s="260"/>
      <c r="J9" s="261"/>
      <c r="K9" s="261">
        <f>K8-K10</f>
        <v>-490205</v>
      </c>
      <c r="L9" s="260"/>
    </row>
    <row r="10" spans="1:12" s="241" customFormat="1" ht="27.95" customHeight="1">
      <c r="A10" s="260" t="s">
        <v>480</v>
      </c>
      <c r="B10" s="261"/>
      <c r="C10" s="261"/>
      <c r="D10" s="260"/>
      <c r="F10" s="261"/>
      <c r="G10" s="261">
        <f>SUMIFS('일반 세출'!S7:S1010,'일반 세출'!Q7:Q1010,"국비")+SUMIFS('일반 세출'!S7:S1010,'일반 세출'!Q7:Q1010,"기금")</f>
        <v>290044</v>
      </c>
      <c r="H10" s="260"/>
      <c r="J10" s="261"/>
      <c r="K10" s="261">
        <f>G10+SUMIFS('국비변경(일반 세출)(삭제)'!S7:S1000,'국비변경(일반 세출)(삭제)'!Q7:Q1000,"국비")+SUMIFS('국비변경(일반 세출)(삭제)'!S7:S1000,'국비변경(일반 세출)(삭제)'!Q7:Q1000,"기금")</f>
        <v>302639</v>
      </c>
      <c r="L10" s="260"/>
    </row>
    <row r="11" spans="1:12" ht="27.95" customHeight="1">
      <c r="A11" s="205" t="s">
        <v>442</v>
      </c>
      <c r="B11" s="237">
        <f>SUM(B12:B16)</f>
        <v>3253590</v>
      </c>
      <c r="C11" s="237">
        <f>SUM(C12:C16)</f>
        <v>3253590</v>
      </c>
      <c r="D11" s="205" t="str">
        <f>IF(B11=C11,"OK","@@")</f>
        <v>OK</v>
      </c>
      <c r="F11" s="237">
        <f>SUM(F12:F16)</f>
        <v>3334803</v>
      </c>
      <c r="G11" s="237">
        <f>SUM(G12:G16)</f>
        <v>3334803</v>
      </c>
      <c r="H11" s="205" t="str">
        <f>IF(F11=G11,"OK","@@")</f>
        <v>OK</v>
      </c>
      <c r="J11" s="237">
        <f>SUM(J12:J16)</f>
        <v>3416016</v>
      </c>
      <c r="K11" s="237">
        <f>SUM(K12:K16)</f>
        <v>3416016</v>
      </c>
      <c r="L11" s="205" t="str">
        <f>IF(J11=K11,"OK","@@")</f>
        <v>OK</v>
      </c>
    </row>
    <row r="12" spans="1:12" ht="27.95" customHeight="1">
      <c r="A12" s="239" t="s">
        <v>95</v>
      </c>
      <c r="B12" s="240">
        <f>SUMIFS('일반 세입'!$W$7:$W$1008,'일반 세입'!$V$7:$V$1008,$A12)</f>
        <v>1716387</v>
      </c>
      <c r="C12" s="240">
        <f>SUMIFS('일반 세출'!$W$7:$W$1028,'일반 세출'!$V$7:$V$1028,$A12)</f>
        <v>1716387</v>
      </c>
      <c r="D12" s="206" t="str">
        <f t="shared" ref="D12:D16" si="3">IF(B12=C12,"OK","@@")</f>
        <v>OK</v>
      </c>
      <c r="F12" s="240">
        <f>SUMIFS('일반 세입'!$R$7:$R$1008,'일반 세입'!$Q$7:$Q$1008,$A12)</f>
        <v>1747808</v>
      </c>
      <c r="G12" s="240">
        <f>SUMIFS('일반 세출'!$R$7:$R$1027,'일반 세출'!$Q$7:$Q$1027,$A12)</f>
        <v>1747808</v>
      </c>
      <c r="H12" s="206" t="str">
        <f t="shared" ref="H12:H16" si="4">IF(F12=G12,"OK","@@")</f>
        <v>OK</v>
      </c>
      <c r="J12" s="240">
        <f>SUMIFS('일반 세입'!$R$7:$R$1008,'일반 세입'!$Q$7:$Q$1008,$A12)+SUMIFS('국비변경(일반 세입)(삭제)'!$R$7:$R$1000,'국비변경(일반 세입)(삭제)'!$Q$7:$Q$1000,$A12)</f>
        <v>1779229</v>
      </c>
      <c r="K12" s="240">
        <f>SUMIFS('일반 세출'!$R$7:$R$1027,'일반 세출'!$Q$7:$Q$1027,$A12)+SUMIFS('국비변경(일반 세출)(삭제)'!$R$7:$R$1012,'국비변경(일반 세출)(삭제)'!$Q$7:$Q$1012,$A12)</f>
        <v>1779229</v>
      </c>
      <c r="L12" s="206" t="str">
        <f t="shared" ref="L12:L16" si="5">IF(J12=K12,"OK","@@")</f>
        <v>OK</v>
      </c>
    </row>
    <row r="13" spans="1:12" ht="27.95" customHeight="1">
      <c r="A13" s="239" t="s">
        <v>379</v>
      </c>
      <c r="B13" s="240">
        <f>SUMIFS('일반 세입'!$W$7:$W$1008,'일반 세입'!$V$7:$V$1008,$A13)</f>
        <v>0</v>
      </c>
      <c r="C13" s="240">
        <f>SUMIFS('일반 세출'!$W$7:$W$1028,'일반 세출'!$V$7:$V$1028,$A13)</f>
        <v>0</v>
      </c>
      <c r="D13" s="206" t="str">
        <f t="shared" si="3"/>
        <v>OK</v>
      </c>
      <c r="F13" s="240">
        <f>SUMIFS('일반 세입'!$R$7:$R$1008,'일반 세입'!$Q$7:$Q$1008,$A13)</f>
        <v>0</v>
      </c>
      <c r="G13" s="240">
        <f>SUMIFS('일반 세출'!$R$7:$R$1027,'일반 세출'!$Q$7:$Q$1027,$A13)</f>
        <v>0</v>
      </c>
      <c r="H13" s="206" t="str">
        <f t="shared" si="4"/>
        <v>OK</v>
      </c>
      <c r="J13" s="240">
        <f>SUMIFS('일반 세입'!$R$7:$R$1008,'일반 세입'!$Q$7:$Q$1008,$A13)+SUMIFS('국비변경(일반 세입)(삭제)'!$R$7:$R$1000,'국비변경(일반 세입)(삭제)'!$Q$7:$Q$1000,$A13)</f>
        <v>0</v>
      </c>
      <c r="K13" s="240">
        <f>SUMIFS('일반 세출'!$R$7:$R$1027,'일반 세출'!$Q$7:$Q$1027,$A13)+SUMIFS('국비변경(일반 세출)(삭제)'!$R$7:$R$1012,'국비변경(일반 세출)(삭제)'!$Q$7:$Q$1012,$A13)</f>
        <v>0</v>
      </c>
      <c r="L13" s="206" t="str">
        <f t="shared" si="5"/>
        <v>OK</v>
      </c>
    </row>
    <row r="14" spans="1:12" ht="27.95" customHeight="1">
      <c r="A14" s="239" t="s">
        <v>362</v>
      </c>
      <c r="B14" s="240">
        <f>SUMIFS('일반 세입'!$W$7:$W$1008,'일반 세입'!$V$7:$V$1008,$A14)</f>
        <v>1537203</v>
      </c>
      <c r="C14" s="240">
        <f>SUMIFS('일반 세출'!$W$7:$W$1028,'일반 세출'!$V$7:$V$1028,$A14)</f>
        <v>1537203</v>
      </c>
      <c r="D14" s="206" t="str">
        <f t="shared" si="3"/>
        <v>OK</v>
      </c>
      <c r="F14" s="240">
        <f>SUMIFS('일반 세입'!$R$7:$R$1008,'일반 세입'!$Q$7:$Q$1008,$A14)</f>
        <v>1586995</v>
      </c>
      <c r="G14" s="240">
        <f>SUMIFS('일반 세출'!$R$7:$R$1027,'일반 세출'!$Q$7:$Q$1027,$A14)</f>
        <v>1586995</v>
      </c>
      <c r="H14" s="206" t="str">
        <f t="shared" si="4"/>
        <v>OK</v>
      </c>
      <c r="J14" s="240">
        <f>SUMIFS('일반 세입'!$R$7:$R$1008,'일반 세입'!$Q$7:$Q$1008,$A14)+SUMIFS('국비변경(일반 세입)(삭제)'!$R$7:$R$1000,'국비변경(일반 세입)(삭제)'!$Q$7:$Q$1000,$A14)</f>
        <v>1636787</v>
      </c>
      <c r="K14" s="240">
        <f>SUMIFS('일반 세출'!$R$7:$R$1027,'일반 세출'!$Q$7:$Q$1027,$A14)+SUMIFS('국비변경(일반 세출)(삭제)'!$R$7:$R$1012,'국비변경(일반 세출)(삭제)'!$Q$7:$Q$1012,$A14)</f>
        <v>1636787</v>
      </c>
      <c r="L14" s="206" t="str">
        <f t="shared" si="5"/>
        <v>OK</v>
      </c>
    </row>
    <row r="15" spans="1:12" ht="27.95" customHeight="1">
      <c r="A15" s="239" t="s">
        <v>380</v>
      </c>
      <c r="B15" s="240">
        <f>SUMIFS('일반 세입'!$W$7:$W$1008,'일반 세입'!$V$7:$V$1008,$A15)</f>
        <v>0</v>
      </c>
      <c r="C15" s="240">
        <f>SUMIFS('일반 세출'!$W$7:$W$1028,'일반 세출'!$V$7:$V$1028,$A15)</f>
        <v>0</v>
      </c>
      <c r="D15" s="206" t="str">
        <f t="shared" si="3"/>
        <v>OK</v>
      </c>
      <c r="F15" s="240">
        <f>SUMIFS('일반 세입'!$R$7:$R$1008,'일반 세입'!$Q$7:$Q$1008,$A15)</f>
        <v>0</v>
      </c>
      <c r="G15" s="240">
        <f>SUMIFS('일반 세출'!$R$7:$R$1027,'일반 세출'!$Q$7:$Q$1027,$A15)</f>
        <v>0</v>
      </c>
      <c r="H15" s="206" t="str">
        <f t="shared" si="4"/>
        <v>OK</v>
      </c>
      <c r="J15" s="240">
        <f>SUMIFS('일반 세입'!$R$7:$R$1008,'일반 세입'!$Q$7:$Q$1008,$A15)+SUMIFS('국비변경(일반 세입)(삭제)'!$R$7:$R$1000,'국비변경(일반 세입)(삭제)'!$Q$7:$Q$1000,$A15)</f>
        <v>0</v>
      </c>
      <c r="K15" s="240">
        <f>SUMIFS('일반 세출'!$R$7:$R$1027,'일반 세출'!$Q$7:$Q$1027,$A15)+SUMIFS('국비변경(일반 세출)(삭제)'!$R$7:$R$1012,'국비변경(일반 세출)(삭제)'!$Q$7:$Q$1012,$A15)</f>
        <v>0</v>
      </c>
      <c r="L15" s="206" t="str">
        <f t="shared" si="5"/>
        <v>OK</v>
      </c>
    </row>
    <row r="16" spans="1:12" ht="27.95" customHeight="1">
      <c r="A16" s="239" t="s">
        <v>381</v>
      </c>
      <c r="B16" s="240">
        <f>SUMIFS('일반 세입'!$W$7:$W$1008,'일반 세입'!$V$7:$V$1008,$A16)</f>
        <v>0</v>
      </c>
      <c r="C16" s="240">
        <f>SUMIFS('일반 세출'!$W$7:$W$1028,'일반 세출'!$V$7:$V$1028,$A16)</f>
        <v>0</v>
      </c>
      <c r="D16" s="206" t="str">
        <f t="shared" si="3"/>
        <v>OK</v>
      </c>
      <c r="F16" s="240">
        <f>SUMIFS('일반 세입'!$R$7:$R$1008,'일반 세입'!$Q$7:$Q$1008,$A16)</f>
        <v>0</v>
      </c>
      <c r="G16" s="240">
        <f>SUMIFS('일반 세출'!$R$7:$R$1027,'일반 세출'!$Q$7:$Q$1027,$A16)</f>
        <v>0</v>
      </c>
      <c r="H16" s="206" t="str">
        <f t="shared" si="4"/>
        <v>OK</v>
      </c>
      <c r="J16" s="240">
        <f>SUMIFS('일반 세입'!$R$7:$R$1008,'일반 세입'!$Q$7:$Q$1008,$A16)+SUMIFS('국비변경(일반 세입)(삭제)'!$R$7:$R$1000,'국비변경(일반 세입)(삭제)'!$Q$7:$Q$1000,$A16)</f>
        <v>0</v>
      </c>
      <c r="K16" s="240">
        <f>SUMIFS('일반 세출'!$R$7:$R$1027,'일반 세출'!$Q$7:$Q$1027,$A16)+SUMIFS('국비변경(일반 세출)(삭제)'!$R$7:$R$1012,'국비변경(일반 세출)(삭제)'!$Q$7:$Q$1012,$A16)</f>
        <v>0</v>
      </c>
      <c r="L16" s="206" t="str">
        <f t="shared" si="5"/>
        <v>OK</v>
      </c>
    </row>
    <row r="17" spans="1:12" ht="27.95" customHeight="1">
      <c r="L17" s="207"/>
    </row>
    <row r="18" spans="1:12" ht="27.95" customHeight="1">
      <c r="A18" s="340" t="s">
        <v>560</v>
      </c>
      <c r="B18" s="340"/>
      <c r="C18" s="341">
        <f>B7-C7</f>
        <v>-25955395</v>
      </c>
      <c r="D18" s="341"/>
      <c r="E18" s="242"/>
      <c r="F18" s="320">
        <f>'일반 세출'!L20</f>
        <v>-12146635</v>
      </c>
      <c r="G18" s="321"/>
      <c r="H18" s="322"/>
      <c r="J18" s="320">
        <f>J7-K7</f>
        <v>-12595</v>
      </c>
      <c r="K18" s="321"/>
      <c r="L18" s="322"/>
    </row>
    <row r="19" spans="1:12" ht="27.95" customHeight="1">
      <c r="L19" s="207"/>
    </row>
    <row r="20" spans="1:12" ht="27.95" customHeight="1">
      <c r="E20" s="242"/>
      <c r="F20" s="320">
        <f>F7-G7</f>
        <v>0</v>
      </c>
      <c r="G20" s="321"/>
      <c r="H20" s="322"/>
      <c r="J20" s="320">
        <f>J7-K7</f>
        <v>-12595</v>
      </c>
      <c r="K20" s="321"/>
      <c r="L20" s="322"/>
    </row>
    <row r="21" spans="1:12" ht="27.95" customHeight="1">
      <c r="A21" s="242"/>
      <c r="B21" s="242"/>
      <c r="C21" s="242"/>
      <c r="D21" s="243"/>
      <c r="E21" s="242"/>
      <c r="F21" s="242"/>
      <c r="G21" s="242"/>
      <c r="H21" s="243"/>
      <c r="J21" s="242"/>
      <c r="K21" s="242"/>
      <c r="L21" s="243"/>
    </row>
    <row r="22" spans="1:12" ht="27.95" customHeight="1">
      <c r="A22" s="330" t="s">
        <v>561</v>
      </c>
      <c r="B22" s="330"/>
      <c r="C22" s="330"/>
      <c r="D22" s="330"/>
      <c r="E22" s="242"/>
      <c r="F22" s="327">
        <f>G3+'일반 세출'!L20</f>
        <v>2309984657</v>
      </c>
      <c r="G22" s="328"/>
      <c r="H22" s="329"/>
      <c r="J22" s="327">
        <f>G3+'일반 세출'!L20</f>
        <v>2309984657</v>
      </c>
      <c r="K22" s="328"/>
      <c r="L22" s="329"/>
    </row>
    <row r="23" spans="1:12" ht="27.95" customHeight="1"/>
    <row r="24" spans="1:12" ht="27.95" customHeight="1"/>
    <row r="25" spans="1:12" ht="27.95" customHeight="1"/>
    <row r="26" spans="1:12" ht="27.95" customHeight="1">
      <c r="J26" s="259"/>
    </row>
  </sheetData>
  <mergeCells count="15">
    <mergeCell ref="J18:L18"/>
    <mergeCell ref="A1:I1"/>
    <mergeCell ref="J5:L5"/>
    <mergeCell ref="J20:L20"/>
    <mergeCell ref="J22:L22"/>
    <mergeCell ref="A22:D22"/>
    <mergeCell ref="G3:H3"/>
    <mergeCell ref="F20:H20"/>
    <mergeCell ref="B5:D5"/>
    <mergeCell ref="A5:A6"/>
    <mergeCell ref="F5:H5"/>
    <mergeCell ref="F22:H22"/>
    <mergeCell ref="A18:B18"/>
    <mergeCell ref="C18:D18"/>
    <mergeCell ref="F18:H18"/>
  </mergeCells>
  <phoneticPr fontId="2" type="noConversion"/>
  <pageMargins left="0.7" right="0.7" top="0.75" bottom="0.75" header="0.3" footer="0.3"/>
  <pageSetup paperSize="9" scale="7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R290"/>
  <sheetViews>
    <sheetView tabSelected="1" zoomScaleNormal="100" zoomScaleSheetLayoutView="100" workbookViewId="0">
      <pane xSplit="1" ySplit="6" topLeftCell="B7" activePane="bottomRight" state="frozen"/>
      <selection sqref="A1:P1"/>
      <selection pane="topRight" sqref="A1:P1"/>
      <selection pane="bottomLeft" sqref="A1:P1"/>
      <selection pane="bottomRight" activeCell="B1" sqref="B1:H1"/>
    </sheetView>
  </sheetViews>
  <sheetFormatPr defaultRowHeight="13.5"/>
  <cols>
    <col min="1" max="1" width="1" style="21" customWidth="1"/>
    <col min="2" max="2" width="22" style="21" customWidth="1"/>
    <col min="3" max="3" width="17.875" style="21" customWidth="1"/>
    <col min="4" max="4" width="14.75" style="21" customWidth="1"/>
    <col min="5" max="5" width="14.5" style="21" customWidth="1"/>
    <col min="6" max="6" width="14.25" style="21" customWidth="1"/>
    <col min="7" max="7" width="13.5" style="21" customWidth="1"/>
    <col min="8" max="8" width="17.25" style="21" customWidth="1"/>
    <col min="9" max="9" width="17.125" style="20" hidden="1" customWidth="1"/>
    <col min="10" max="10" width="16" style="20" hidden="1" customWidth="1"/>
    <col min="11" max="11" width="14.625" style="20" hidden="1" customWidth="1"/>
    <col min="12" max="12" width="21.75" style="20" hidden="1" customWidth="1"/>
    <col min="13" max="14" width="14.75" style="20" hidden="1" customWidth="1"/>
    <col min="15" max="15" width="12.25" style="20" hidden="1" customWidth="1"/>
    <col min="16" max="16" width="13.375" style="20" hidden="1" customWidth="1"/>
    <col min="17" max="17" width="0" style="21" hidden="1" customWidth="1"/>
    <col min="18" max="18" width="18" style="21" hidden="1" customWidth="1"/>
    <col min="19" max="16384" width="9" style="21"/>
  </cols>
  <sheetData>
    <row r="1" spans="2:18" ht="33" customHeight="1">
      <c r="B1" s="360" t="s">
        <v>575</v>
      </c>
      <c r="C1" s="361"/>
      <c r="D1" s="361"/>
      <c r="E1" s="361"/>
      <c r="F1" s="361"/>
      <c r="G1" s="361"/>
      <c r="H1" s="361"/>
    </row>
    <row r="2" spans="2:18" ht="12.75" customHeight="1">
      <c r="B2" s="88"/>
      <c r="C2" s="280"/>
      <c r="D2" s="280"/>
      <c r="E2" s="280"/>
      <c r="F2" s="280"/>
      <c r="G2" s="280"/>
      <c r="H2" s="280"/>
    </row>
    <row r="3" spans="2:18" ht="23.25" customHeight="1">
      <c r="B3" s="23" t="s">
        <v>29</v>
      </c>
      <c r="C3" s="24"/>
      <c r="D3" s="285" t="s">
        <v>535</v>
      </c>
      <c r="E3" s="286">
        <f>SUM(D7:E7)</f>
        <v>3134642</v>
      </c>
      <c r="F3" s="285" t="s">
        <v>536</v>
      </c>
      <c r="G3" s="286">
        <f>SUM(F7:G7)</f>
        <v>3134642</v>
      </c>
      <c r="H3" s="284"/>
      <c r="R3" s="289">
        <f>G3-E3</f>
        <v>0</v>
      </c>
    </row>
    <row r="4" spans="2:18" s="27" customFormat="1" ht="18" customHeight="1" thickBot="1">
      <c r="B4" s="26"/>
      <c r="F4" s="28"/>
      <c r="H4" s="29" t="s">
        <v>30</v>
      </c>
      <c r="I4" s="30"/>
      <c r="J4" s="31"/>
      <c r="K4" s="31"/>
      <c r="L4" s="31"/>
      <c r="M4" s="32" t="s">
        <v>31</v>
      </c>
      <c r="N4" s="31"/>
      <c r="O4" s="32" t="s">
        <v>32</v>
      </c>
      <c r="P4" s="32"/>
    </row>
    <row r="5" spans="2:18" ht="15.95" customHeight="1">
      <c r="B5" s="301" t="s">
        <v>33</v>
      </c>
      <c r="C5" s="303" t="s">
        <v>34</v>
      </c>
      <c r="D5" s="305" t="s">
        <v>35</v>
      </c>
      <c r="E5" s="305"/>
      <c r="F5" s="305" t="s">
        <v>36</v>
      </c>
      <c r="G5" s="305"/>
      <c r="H5" s="306" t="s">
        <v>37</v>
      </c>
      <c r="I5" s="312" t="s">
        <v>38</v>
      </c>
      <c r="J5" s="312"/>
      <c r="K5" s="308" t="s">
        <v>39</v>
      </c>
      <c r="L5" s="310" t="s">
        <v>40</v>
      </c>
      <c r="M5" s="312" t="s">
        <v>41</v>
      </c>
      <c r="N5" s="313"/>
      <c r="O5" s="314" t="s">
        <v>42</v>
      </c>
      <c r="P5" s="315"/>
    </row>
    <row r="6" spans="2:18" ht="15.95" customHeight="1">
      <c r="B6" s="302"/>
      <c r="C6" s="304"/>
      <c r="D6" s="89" t="s">
        <v>43</v>
      </c>
      <c r="E6" s="89" t="s">
        <v>44</v>
      </c>
      <c r="F6" s="89" t="s">
        <v>43</v>
      </c>
      <c r="G6" s="89" t="s">
        <v>44</v>
      </c>
      <c r="H6" s="307"/>
      <c r="I6" s="279" t="s">
        <v>45</v>
      </c>
      <c r="J6" s="33" t="s">
        <v>46</v>
      </c>
      <c r="K6" s="309"/>
      <c r="L6" s="311"/>
      <c r="M6" s="34" t="s">
        <v>45</v>
      </c>
      <c r="N6" s="35" t="s">
        <v>46</v>
      </c>
      <c r="O6" s="316"/>
      <c r="P6" s="317"/>
    </row>
    <row r="7" spans="2:18" ht="18" customHeight="1" thickBot="1">
      <c r="B7" s="91" t="s">
        <v>47</v>
      </c>
      <c r="C7" s="92">
        <f t="shared" ref="C7:H7" si="0">SUM(C8:C18)</f>
        <v>17802852244</v>
      </c>
      <c r="D7" s="93">
        <f t="shared" si="0"/>
        <v>-200161</v>
      </c>
      <c r="E7" s="93">
        <f t="shared" si="0"/>
        <v>3334803</v>
      </c>
      <c r="F7" s="93">
        <f t="shared" si="0"/>
        <v>-18673514</v>
      </c>
      <c r="G7" s="93">
        <f t="shared" si="0"/>
        <v>21808156</v>
      </c>
      <c r="H7" s="94">
        <f t="shared" si="0"/>
        <v>17805986886</v>
      </c>
      <c r="I7" s="36">
        <f>E25+D25</f>
        <v>3134642</v>
      </c>
      <c r="J7" s="37">
        <f>F25+G25</f>
        <v>3134642</v>
      </c>
      <c r="K7" s="38">
        <f>I7-J7</f>
        <v>0</v>
      </c>
      <c r="L7" s="39" t="s">
        <v>48</v>
      </c>
      <c r="M7" s="40">
        <f>D24+E24</f>
        <v>3134642</v>
      </c>
      <c r="N7" s="41">
        <f>F24+G24</f>
        <v>3134642</v>
      </c>
      <c r="O7" s="42">
        <v>0</v>
      </c>
      <c r="P7" s="42">
        <v>0</v>
      </c>
    </row>
    <row r="8" spans="2:18" ht="15.95" hidden="1" customHeight="1" thickBot="1">
      <c r="B8" s="95" t="s">
        <v>49</v>
      </c>
      <c r="C8" s="92">
        <v>0</v>
      </c>
      <c r="D8" s="93"/>
      <c r="E8" s="93"/>
      <c r="F8" s="93"/>
      <c r="G8" s="93"/>
      <c r="H8" s="94">
        <f>C8-F8+G8</f>
        <v>0</v>
      </c>
      <c r="I8" s="96">
        <f>D7+E7</f>
        <v>3134642</v>
      </c>
      <c r="J8" s="97">
        <f>F7+G7</f>
        <v>3134642</v>
      </c>
      <c r="K8" s="98">
        <f>I8-J8</f>
        <v>0</v>
      </c>
      <c r="L8" s="99"/>
      <c r="M8" s="43"/>
      <c r="N8" s="100"/>
      <c r="O8" s="101"/>
      <c r="P8" s="101"/>
    </row>
    <row r="9" spans="2:18" ht="18" customHeight="1">
      <c r="B9" s="102" t="s">
        <v>495</v>
      </c>
      <c r="C9" s="103">
        <v>39922113</v>
      </c>
      <c r="D9" s="93">
        <f>SUMIFS('일반 세입'!$L$7:$L$1000,'일반 세입'!$A$7:$A$1000,'총괄표(가로)'!$B9)</f>
        <v>0</v>
      </c>
      <c r="E9" s="93">
        <f>SUMIFS('일반 세입'!$M$7:$M$1000,'일반 세입'!$A$7:$A$1000,'총괄표(가로)'!$B9)</f>
        <v>0</v>
      </c>
      <c r="F9" s="93">
        <f>SUMIFS('일반 세출'!$L$7:$L$1001,'일반 세출'!$A$7:$A$1001,'총괄표(가로)'!$B9)</f>
        <v>-1040000</v>
      </c>
      <c r="G9" s="93">
        <f>SUMIFS('일반 세출'!$M$7:$M$1001,'일반 세출'!$A$7:$A$1001,'총괄표(가로)'!$B9)</f>
        <v>60920</v>
      </c>
      <c r="H9" s="94">
        <f>C9+F9+G9</f>
        <v>38943033</v>
      </c>
      <c r="I9" s="318" t="s">
        <v>50</v>
      </c>
      <c r="J9" s="319"/>
      <c r="K9" s="31"/>
      <c r="N9" s="104" t="s">
        <v>51</v>
      </c>
    </row>
    <row r="10" spans="2:18" ht="18" customHeight="1" thickBot="1">
      <c r="B10" s="102" t="s">
        <v>496</v>
      </c>
      <c r="C10" s="92">
        <v>5083518101</v>
      </c>
      <c r="D10" s="93">
        <f>SUMIFS('일반 세입'!$L$7:$L$1000,'일반 세입'!$A$7:$A$1000,'총괄표(가로)'!$B10)</f>
        <v>0</v>
      </c>
      <c r="E10" s="93">
        <f>SUMIFS('일반 세입'!$M$7:$M$1000,'일반 세입'!$A$7:$A$1000,'총괄표(가로)'!$B10)</f>
        <v>0</v>
      </c>
      <c r="F10" s="93">
        <f>SUMIFS('일반 세출'!$L$7:$L$1001,'일반 세출'!$A$7:$A$1001,'총괄표(가로)'!$B10)</f>
        <v>-14046635</v>
      </c>
      <c r="G10" s="93">
        <f>SUMIFS('일반 세출'!$M$7:$M$1001,'일반 세출'!$A$7:$A$1001,'총괄표(가로)'!$B10)</f>
        <v>0</v>
      </c>
      <c r="H10" s="94">
        <f t="shared" ref="H10:H18" si="1">C10+F10+G10</f>
        <v>5069471466</v>
      </c>
      <c r="I10" s="44">
        <f>'일반 세입'!L6+'일반 세입'!M6</f>
        <v>3134642</v>
      </c>
      <c r="J10" s="45" t="e">
        <f>#REF!+#REF!</f>
        <v>#REF!</v>
      </c>
      <c r="K10" s="31"/>
      <c r="N10" s="46">
        <f>M7-N7</f>
        <v>0</v>
      </c>
    </row>
    <row r="11" spans="2:18" ht="18" customHeight="1">
      <c r="B11" s="102" t="s">
        <v>497</v>
      </c>
      <c r="C11" s="92">
        <v>540073060</v>
      </c>
      <c r="D11" s="93">
        <f>SUMIFS('일반 세입'!$L$7:$L$1000,'일반 세입'!$A$7:$A$1000,'총괄표(가로)'!$B11)</f>
        <v>0</v>
      </c>
      <c r="E11" s="93">
        <f>SUMIFS('일반 세입'!$M$7:$M$1000,'일반 세입'!$A$7:$A$1000,'총괄표(가로)'!$B11)</f>
        <v>0</v>
      </c>
      <c r="F11" s="93">
        <f>SUMIFS('일반 세출'!$L$7:$L$1001,'일반 세출'!$A$7:$A$1001,'총괄표(가로)'!$B11)</f>
        <v>-180000</v>
      </c>
      <c r="G11" s="93">
        <f>SUMIFS('일반 세출'!$M$7:$M$1001,'일반 세출'!$A$7:$A$1001,'총괄표(가로)'!$B11)</f>
        <v>1660000</v>
      </c>
      <c r="H11" s="94">
        <f t="shared" si="1"/>
        <v>541553060</v>
      </c>
      <c r="I11" s="47"/>
      <c r="J11" s="48"/>
      <c r="K11" s="49"/>
      <c r="N11" s="47"/>
    </row>
    <row r="12" spans="2:18" ht="18" customHeight="1">
      <c r="B12" s="102" t="s">
        <v>498</v>
      </c>
      <c r="C12" s="92">
        <v>1142858974</v>
      </c>
      <c r="D12" s="93">
        <f>SUMIFS('일반 세입'!$L$7:$L$1000,'일반 세입'!$A$7:$A$1000,'총괄표(가로)'!$B12)</f>
        <v>0</v>
      </c>
      <c r="E12" s="93">
        <f>SUMIFS('일반 세입'!$M$7:$M$1000,'일반 세입'!$A$7:$A$1000,'총괄표(가로)'!$B12)</f>
        <v>1421</v>
      </c>
      <c r="F12" s="93">
        <f>SUMIFS('일반 세출'!$L$7:$L$1001,'일반 세출'!$A$7:$A$1001,'총괄표(가로)'!$B12)</f>
        <v>-1302695</v>
      </c>
      <c r="G12" s="93">
        <f>SUMIFS('일반 세출'!$M$7:$M$1001,'일반 세출'!$A$7:$A$1001,'총괄표(가로)'!$B12)</f>
        <v>5514421</v>
      </c>
      <c r="H12" s="94">
        <f t="shared" si="1"/>
        <v>1147070700</v>
      </c>
      <c r="I12" s="47"/>
      <c r="J12" s="105"/>
      <c r="L12" s="106"/>
      <c r="M12" s="106"/>
    </row>
    <row r="13" spans="2:18" ht="18" customHeight="1">
      <c r="B13" s="102" t="s">
        <v>499</v>
      </c>
      <c r="C13" s="92">
        <v>276727608</v>
      </c>
      <c r="D13" s="93">
        <f>SUMIFS('일반 세입'!$L$7:$L$1000,'일반 세입'!$A$7:$A$1000,'총괄표(가로)'!$B13)</f>
        <v>0</v>
      </c>
      <c r="E13" s="93">
        <f>SUMIFS('일반 세입'!$M$7:$M$1000,'일반 세입'!$A$7:$A$1000,'총괄표(가로)'!$B13)</f>
        <v>10000</v>
      </c>
      <c r="F13" s="93">
        <f>SUMIFS('일반 세출'!$L$7:$L$1001,'일반 세출'!$A$7:$A$1001,'총괄표(가로)'!$B13)</f>
        <v>-1792534</v>
      </c>
      <c r="G13" s="93">
        <f>SUMIFS('일반 세출'!$M$7:$M$1001,'일반 세출'!$A$7:$A$1001,'총괄표(가로)'!$B13)</f>
        <v>2632534</v>
      </c>
      <c r="H13" s="94">
        <f t="shared" si="1"/>
        <v>277567608</v>
      </c>
      <c r="K13" s="50"/>
      <c r="L13" s="51"/>
      <c r="N13" s="20" t="s">
        <v>52</v>
      </c>
    </row>
    <row r="14" spans="2:18" s="54" customFormat="1" ht="18" customHeight="1">
      <c r="B14" s="102" t="s">
        <v>500</v>
      </c>
      <c r="C14" s="107">
        <v>466978999</v>
      </c>
      <c r="D14" s="93">
        <f>SUMIFS('일반 세입'!$L$7:$L$1000,'일반 세입'!$A$7:$A$1000,'총괄표(가로)'!$B14)</f>
        <v>0</v>
      </c>
      <c r="E14" s="93">
        <f>SUMIFS('일반 세입'!$M$7:$M$1000,'일반 세입'!$A$7:$A$1000,'총괄표(가로)'!$B14)</f>
        <v>1094246</v>
      </c>
      <c r="F14" s="93">
        <f>SUMIFS('일반 세출'!$L$7:$L$1001,'일반 세출'!$A$7:$A$1001,'총괄표(가로)'!$B14)</f>
        <v>0</v>
      </c>
      <c r="G14" s="93">
        <f>SUMIFS('일반 세출'!$M$7:$M$1001,'일반 세출'!$A$7:$A$1001,'총괄표(가로)'!$B14)</f>
        <v>3584246</v>
      </c>
      <c r="H14" s="94">
        <f t="shared" si="1"/>
        <v>470563245</v>
      </c>
      <c r="I14" s="52"/>
      <c r="J14" s="52"/>
      <c r="K14" s="50"/>
      <c r="L14" s="51"/>
      <c r="M14" s="43"/>
      <c r="N14" s="53">
        <f>N10-K7</f>
        <v>0</v>
      </c>
      <c r="O14" s="52"/>
      <c r="P14" s="52"/>
    </row>
    <row r="15" spans="2:18" s="54" customFormat="1" ht="18" customHeight="1">
      <c r="B15" s="102" t="s">
        <v>189</v>
      </c>
      <c r="C15" s="107">
        <v>3254006708</v>
      </c>
      <c r="D15" s="93">
        <f>SUMIFS('일반 세입'!$L$7:$L$1000,'일반 세입'!$A$7:$A$1000,'총괄표(가로)'!$B15)</f>
        <v>-200161</v>
      </c>
      <c r="E15" s="93">
        <f>SUMIFS('일반 세입'!$M$7:$M$1000,'일반 세입'!$A$7:$A$1000,'총괄표(가로)'!$B15)</f>
        <v>3320</v>
      </c>
      <c r="F15" s="93">
        <f>SUMIFS('일반 세출'!$L$7:$L$1001,'일반 세출'!$A$7:$A$1001,'총괄표(가로)'!$B15)</f>
        <v>-171650</v>
      </c>
      <c r="G15" s="93">
        <f>SUMIFS('일반 세출'!$M$7:$M$1001,'일반 세출'!$A$7:$A$1001,'총괄표(가로)'!$B15)</f>
        <v>627175</v>
      </c>
      <c r="H15" s="94">
        <f t="shared" si="1"/>
        <v>3254462233</v>
      </c>
      <c r="I15" s="52"/>
      <c r="J15" s="52"/>
      <c r="K15" s="50"/>
      <c r="L15" s="51"/>
      <c r="M15" s="52"/>
      <c r="N15" s="52"/>
      <c r="O15" s="52"/>
      <c r="P15" s="52"/>
    </row>
    <row r="16" spans="2:18" s="54" customFormat="1" ht="18" customHeight="1">
      <c r="B16" s="102" t="s">
        <v>501</v>
      </c>
      <c r="C16" s="107">
        <v>1220859831</v>
      </c>
      <c r="D16" s="93">
        <f>SUMIFS('일반 세입'!$L$7:$L$1000,'일반 세입'!$A$7:$A$1000,'총괄표(가로)'!$B16)</f>
        <v>0</v>
      </c>
      <c r="E16" s="93">
        <f>SUMIFS('일반 세입'!$M$7:$M$1000,'일반 세입'!$A$7:$A$1000,'총괄표(가로)'!$B16)</f>
        <v>0</v>
      </c>
      <c r="F16" s="93">
        <f>SUMIFS('일반 세출'!$L$7:$L$1001,'일반 세출'!$A$7:$A$1001,'총괄표(가로)'!$B16)</f>
        <v>-40000</v>
      </c>
      <c r="G16" s="93">
        <f>SUMIFS('일반 세출'!$M$7:$M$1001,'일반 세출'!$A$7:$A$1001,'총괄표(가로)'!$B16)</f>
        <v>5160000</v>
      </c>
      <c r="H16" s="94">
        <f t="shared" si="1"/>
        <v>1225979831</v>
      </c>
      <c r="I16" s="52"/>
      <c r="J16" s="52"/>
      <c r="K16" s="50"/>
      <c r="L16" s="51"/>
      <c r="M16" s="52"/>
      <c r="N16" s="52"/>
      <c r="O16" s="52"/>
      <c r="P16" s="52"/>
    </row>
    <row r="17" spans="2:16" s="56" customFormat="1" ht="18" customHeight="1">
      <c r="B17" s="108" t="s">
        <v>502</v>
      </c>
      <c r="C17" s="109">
        <v>895323933</v>
      </c>
      <c r="D17" s="93">
        <f>SUMIFS('일반 세입'!$L$7:$L$1000,'일반 세입'!$A$7:$A$1000,'총괄표(가로)'!$B17)</f>
        <v>0</v>
      </c>
      <c r="E17" s="93">
        <f>SUMIFS('일반 세입'!$M$7:$M$1000,'일반 세입'!$A$7:$A$1000,'총괄표(가로)'!$B17)</f>
        <v>0</v>
      </c>
      <c r="F17" s="93">
        <f>SUMIFS('일반 세출'!$L$7:$L$1001,'일반 세출'!$A$7:$A$1001,'총괄표(가로)'!$B17)</f>
        <v>-50000</v>
      </c>
      <c r="G17" s="93">
        <f>SUMIFS('일반 세출'!$M$7:$M$1001,'일반 세출'!$A$7:$A$1001,'총괄표(가로)'!$B17)</f>
        <v>53000</v>
      </c>
      <c r="H17" s="94">
        <f t="shared" si="1"/>
        <v>895326933</v>
      </c>
      <c r="I17" s="55"/>
      <c r="J17" s="55"/>
      <c r="K17" s="50"/>
      <c r="L17" s="51"/>
      <c r="M17" s="55"/>
      <c r="N17" s="55"/>
      <c r="O17" s="55"/>
      <c r="P17" s="55"/>
    </row>
    <row r="18" spans="2:16" s="54" customFormat="1" ht="18" customHeight="1" thickBot="1">
      <c r="B18" s="110" t="s">
        <v>503</v>
      </c>
      <c r="C18" s="111">
        <v>4882582917</v>
      </c>
      <c r="D18" s="112">
        <f>SUMIFS('일반 세입'!$L$7:$L$1000,'일반 세입'!$A$7:$A$1000,'총괄표(가로)'!$B18)</f>
        <v>0</v>
      </c>
      <c r="E18" s="112">
        <f>SUMIFS('일반 세입'!$M$7:$M$1000,'일반 세입'!$A$7:$A$1000,'총괄표(가로)'!$B18)</f>
        <v>2225816</v>
      </c>
      <c r="F18" s="112">
        <f>SUMIFS('일반 세출'!$L$7:$L$1001,'일반 세출'!$A$7:$A$1001,'총괄표(가로)'!$B18)</f>
        <v>-50000</v>
      </c>
      <c r="G18" s="112">
        <f>SUMIFS('일반 세출'!$M$7:$M$1001,'일반 세출'!$A$7:$A$1001,'총괄표(가로)'!$B18)</f>
        <v>2515860</v>
      </c>
      <c r="H18" s="113">
        <f t="shared" si="1"/>
        <v>4885048777</v>
      </c>
      <c r="I18" s="52"/>
      <c r="J18" s="52"/>
      <c r="K18" s="50"/>
      <c r="L18" s="51"/>
      <c r="M18" s="52"/>
      <c r="N18" s="52"/>
      <c r="O18" s="52"/>
      <c r="P18" s="52"/>
    </row>
    <row r="19" spans="2:16" ht="17.100000000000001" customHeight="1">
      <c r="B19" s="27"/>
      <c r="C19" s="27"/>
      <c r="D19" s="27"/>
      <c r="E19" s="27"/>
      <c r="F19" s="27"/>
      <c r="G19" s="27"/>
      <c r="H19" s="27"/>
      <c r="K19" s="50"/>
      <c r="L19" s="51"/>
    </row>
    <row r="20" spans="2:16" ht="20.25">
      <c r="B20" s="57" t="s">
        <v>53</v>
      </c>
      <c r="C20" s="23"/>
      <c r="D20" s="23"/>
      <c r="E20" s="23"/>
      <c r="F20" s="23"/>
      <c r="G20" s="23"/>
      <c r="H20" s="58"/>
      <c r="K20" s="50"/>
      <c r="L20" s="51"/>
    </row>
    <row r="21" spans="2:16" ht="19.5" thickBot="1">
      <c r="B21" s="26"/>
      <c r="C21" s="27"/>
      <c r="D21" s="27"/>
      <c r="E21" s="27"/>
      <c r="F21" s="27"/>
      <c r="G21" s="27"/>
      <c r="H21" s="29" t="s">
        <v>22</v>
      </c>
    </row>
    <row r="22" spans="2:16" ht="15.95" customHeight="1">
      <c r="B22" s="297" t="s">
        <v>54</v>
      </c>
      <c r="C22" s="295" t="s">
        <v>55</v>
      </c>
      <c r="D22" s="293" t="s">
        <v>35</v>
      </c>
      <c r="E22" s="294"/>
      <c r="F22" s="293" t="s">
        <v>36</v>
      </c>
      <c r="G22" s="294"/>
      <c r="H22" s="291" t="s">
        <v>37</v>
      </c>
    </row>
    <row r="23" spans="2:16" ht="15.95" customHeight="1">
      <c r="B23" s="298"/>
      <c r="C23" s="296"/>
      <c r="D23" s="89" t="s">
        <v>43</v>
      </c>
      <c r="E23" s="89" t="s">
        <v>44</v>
      </c>
      <c r="F23" s="89" t="s">
        <v>43</v>
      </c>
      <c r="G23" s="89" t="s">
        <v>44</v>
      </c>
      <c r="H23" s="292"/>
      <c r="I23" s="20" t="s">
        <v>56</v>
      </c>
    </row>
    <row r="24" spans="2:16" ht="18" customHeight="1">
      <c r="B24" s="91" t="s">
        <v>57</v>
      </c>
      <c r="C24" s="92">
        <f t="shared" ref="C24:G24" si="2">SUM(C25:C26)</f>
        <v>17802852244</v>
      </c>
      <c r="D24" s="93">
        <f t="shared" si="2"/>
        <v>-200161</v>
      </c>
      <c r="E24" s="92">
        <f t="shared" si="2"/>
        <v>3334803</v>
      </c>
      <c r="F24" s="93">
        <f t="shared" si="2"/>
        <v>-18673514</v>
      </c>
      <c r="G24" s="92">
        <f t="shared" si="2"/>
        <v>21808156</v>
      </c>
      <c r="H24" s="94">
        <f>SUM(H25:H26)</f>
        <v>17805986886</v>
      </c>
      <c r="I24" s="30">
        <f>C24+D24+E24</f>
        <v>17805986886</v>
      </c>
      <c r="J24" s="59">
        <f>I24-H24</f>
        <v>0</v>
      </c>
      <c r="K24" s="31" t="s">
        <v>58</v>
      </c>
    </row>
    <row r="25" spans="2:16" ht="18" customHeight="1">
      <c r="B25" s="91" t="s">
        <v>23</v>
      </c>
      <c r="C25" s="92">
        <v>14332606235</v>
      </c>
      <c r="D25" s="93">
        <f>'일반 세입'!L6</f>
        <v>-200161</v>
      </c>
      <c r="E25" s="93">
        <f>'일반 세입'!M6</f>
        <v>3334803</v>
      </c>
      <c r="F25" s="93">
        <f>'일반 세출'!L6</f>
        <v>-18673514</v>
      </c>
      <c r="G25" s="93">
        <f>'일반 세출'!M6</f>
        <v>21808156</v>
      </c>
      <c r="H25" s="94">
        <f>C25+F25+G25</f>
        <v>14335740877</v>
      </c>
      <c r="I25" s="30">
        <f>C25+D25+E25</f>
        <v>14335740877</v>
      </c>
      <c r="J25" s="59">
        <f>I25-H25</f>
        <v>0</v>
      </c>
      <c r="K25" s="31" t="s">
        <v>58</v>
      </c>
    </row>
    <row r="26" spans="2:16" ht="18" customHeight="1" thickBot="1">
      <c r="B26" s="114" t="s">
        <v>59</v>
      </c>
      <c r="C26" s="115">
        <v>3470246009</v>
      </c>
      <c r="D26" s="112"/>
      <c r="E26" s="112"/>
      <c r="F26" s="112"/>
      <c r="G26" s="112"/>
      <c r="H26" s="113">
        <f>C26+F26+G26</f>
        <v>3470246009</v>
      </c>
      <c r="I26" s="30">
        <f>C26+D26+E26</f>
        <v>3470246009</v>
      </c>
      <c r="J26" s="59">
        <f>I26-H26</f>
        <v>0</v>
      </c>
      <c r="K26" s="31" t="s">
        <v>58</v>
      </c>
    </row>
    <row r="27" spans="2:16" ht="9" customHeight="1">
      <c r="B27" s="27"/>
      <c r="C27" s="27"/>
      <c r="D27" s="27"/>
      <c r="E27" s="27"/>
      <c r="F27" s="27"/>
      <c r="G27" s="27"/>
      <c r="H27" s="27"/>
    </row>
    <row r="28" spans="2:16" ht="20.25" hidden="1" customHeight="1">
      <c r="H28" s="116"/>
      <c r="J28" s="117"/>
    </row>
    <row r="29" spans="2:16" ht="20.25" hidden="1" customHeight="1"/>
    <row r="30" spans="2:16" ht="14.25" hidden="1">
      <c r="B30" s="60" t="s">
        <v>24</v>
      </c>
      <c r="C30" s="61" t="s">
        <v>60</v>
      </c>
      <c r="D30" s="62" t="s">
        <v>61</v>
      </c>
      <c r="E30" s="61" t="s">
        <v>62</v>
      </c>
      <c r="G30" s="20"/>
      <c r="H30" s="20"/>
      <c r="O30" s="21"/>
      <c r="P30" s="21"/>
    </row>
    <row r="31" spans="2:16" ht="15" hidden="1">
      <c r="B31" s="63" t="s">
        <v>25</v>
      </c>
      <c r="C31" s="275">
        <v>39922113</v>
      </c>
      <c r="D31" s="118"/>
      <c r="E31" s="118">
        <f>SUM(C31:D31)</f>
        <v>39922113</v>
      </c>
      <c r="G31" s="20"/>
      <c r="H31" s="20"/>
      <c r="O31" s="21"/>
      <c r="P31" s="21"/>
    </row>
    <row r="32" spans="2:16" ht="15" hidden="1">
      <c r="B32" s="63" t="s">
        <v>26</v>
      </c>
      <c r="C32" s="275">
        <v>3302571667</v>
      </c>
      <c r="D32" s="275">
        <v>1780946434</v>
      </c>
      <c r="E32" s="118">
        <f t="shared" ref="E32:E41" si="3">SUM(C32:D32)</f>
        <v>5083518101</v>
      </c>
      <c r="G32" s="20"/>
      <c r="H32" s="20"/>
      <c r="O32" s="21"/>
      <c r="P32" s="21"/>
    </row>
    <row r="33" spans="2:16" ht="15" hidden="1">
      <c r="B33" s="63" t="s">
        <v>16</v>
      </c>
      <c r="C33" s="275">
        <v>155329320</v>
      </c>
      <c r="D33" s="275">
        <v>384743740</v>
      </c>
      <c r="E33" s="118">
        <f t="shared" si="3"/>
        <v>540073060</v>
      </c>
      <c r="G33" s="20"/>
      <c r="H33" s="20"/>
      <c r="O33" s="21"/>
      <c r="P33" s="21"/>
    </row>
    <row r="34" spans="2:16" ht="15" hidden="1">
      <c r="B34" s="276" t="s">
        <v>114</v>
      </c>
      <c r="C34" s="275">
        <v>1142858974</v>
      </c>
      <c r="D34" s="118"/>
      <c r="E34" s="118">
        <f t="shared" si="3"/>
        <v>1142858974</v>
      </c>
      <c r="G34" s="20"/>
      <c r="H34" s="20"/>
      <c r="O34" s="21"/>
      <c r="P34" s="21"/>
    </row>
    <row r="35" spans="2:16" ht="15" hidden="1">
      <c r="B35" s="63" t="s">
        <v>21</v>
      </c>
      <c r="C35" s="275">
        <v>224243208</v>
      </c>
      <c r="D35" s="275">
        <v>52484400</v>
      </c>
      <c r="E35" s="118">
        <f t="shared" si="3"/>
        <v>276727608</v>
      </c>
      <c r="G35" s="20"/>
      <c r="H35" s="20"/>
      <c r="O35" s="21"/>
      <c r="P35" s="21"/>
    </row>
    <row r="36" spans="2:16" ht="15" hidden="1">
      <c r="B36" s="276" t="s">
        <v>493</v>
      </c>
      <c r="C36" s="275">
        <v>466978999</v>
      </c>
      <c r="D36" s="118"/>
      <c r="E36" s="118">
        <f t="shared" si="3"/>
        <v>466978999</v>
      </c>
      <c r="G36" s="20"/>
      <c r="H36" s="20"/>
      <c r="O36" s="21"/>
      <c r="P36" s="21"/>
    </row>
    <row r="37" spans="2:16" ht="15" hidden="1">
      <c r="B37" s="276" t="s">
        <v>83</v>
      </c>
      <c r="C37" s="275">
        <v>3254006708</v>
      </c>
      <c r="D37" s="118"/>
      <c r="E37" s="118">
        <f t="shared" si="3"/>
        <v>3254006708</v>
      </c>
      <c r="G37" s="20"/>
      <c r="H37" s="20"/>
      <c r="O37" s="21"/>
      <c r="P37" s="21"/>
    </row>
    <row r="38" spans="2:16" ht="15" hidden="1">
      <c r="B38" s="63" t="s">
        <v>18</v>
      </c>
      <c r="C38" s="275">
        <v>1220859831</v>
      </c>
      <c r="D38" s="118"/>
      <c r="E38" s="118">
        <f t="shared" si="3"/>
        <v>1220859831</v>
      </c>
      <c r="G38" s="20"/>
      <c r="H38" s="20"/>
      <c r="O38" s="21"/>
      <c r="P38" s="21"/>
    </row>
    <row r="39" spans="2:16" ht="15" hidden="1">
      <c r="B39" s="63" t="s">
        <v>19</v>
      </c>
      <c r="C39" s="275">
        <v>866963933</v>
      </c>
      <c r="D39" s="275">
        <v>28360000</v>
      </c>
      <c r="E39" s="118">
        <f t="shared" si="3"/>
        <v>895323933</v>
      </c>
      <c r="G39" s="20"/>
      <c r="H39" s="20"/>
      <c r="O39" s="21"/>
      <c r="P39" s="21"/>
    </row>
    <row r="40" spans="2:16" ht="15" hidden="1">
      <c r="B40" s="63" t="s">
        <v>20</v>
      </c>
      <c r="C40" s="275">
        <v>4882582917</v>
      </c>
      <c r="D40" s="118"/>
      <c r="E40" s="118">
        <f t="shared" si="3"/>
        <v>4882582917</v>
      </c>
      <c r="G40" s="20"/>
      <c r="H40" s="20"/>
      <c r="O40" s="21"/>
      <c r="P40" s="21"/>
    </row>
    <row r="41" spans="2:16" ht="15" hidden="1">
      <c r="B41" s="63" t="s">
        <v>27</v>
      </c>
      <c r="C41" s="118">
        <f>SUM(C31:C40)</f>
        <v>15556317670</v>
      </c>
      <c r="D41" s="118">
        <f>SUM(D31:D40)</f>
        <v>2246534574</v>
      </c>
      <c r="E41" s="118">
        <f t="shared" si="3"/>
        <v>17802852244</v>
      </c>
      <c r="G41" s="20"/>
      <c r="H41" s="20"/>
      <c r="O41" s="21"/>
      <c r="P41" s="21"/>
    </row>
    <row r="42" spans="2:16" hidden="1"/>
    <row r="43" spans="2:16" hidden="1">
      <c r="B43" s="64" t="s">
        <v>63</v>
      </c>
      <c r="C43" s="65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49" t="s">
        <v>64</v>
      </c>
    </row>
    <row r="290" spans="9:11">
      <c r="I290" s="66"/>
      <c r="K290" s="20">
        <v>-50000</v>
      </c>
    </row>
  </sheetData>
  <mergeCells count="17"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1:H1"/>
    <mergeCell ref="B5:B6"/>
    <mergeCell ref="C5:C6"/>
    <mergeCell ref="D5:E5"/>
    <mergeCell ref="F5:G5"/>
    <mergeCell ref="H5:H6"/>
  </mergeCells>
  <phoneticPr fontId="2" type="noConversion"/>
  <printOptions horizontalCentered="1"/>
  <pageMargins left="0.55118110236220474" right="0.51181102362204722" top="0.98425196850393704" bottom="0.78740157480314965" header="0.51181102362204722" footer="0.51181102362204722"/>
  <pageSetup paperSize="9" fitToHeight="0" orientation="landscape" r:id="rId1"/>
  <headerFooter alignWithMargins="0">
    <oddFooter>&amp;C&amp;P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  <pageSetUpPr fitToPage="1"/>
  </sheetPr>
  <dimension ref="A1:Z40"/>
  <sheetViews>
    <sheetView showGridLines="0" zoomScale="90" zoomScaleNormal="90" zoomScaleSheetLayoutView="90" workbookViewId="0">
      <pane ySplit="6" topLeftCell="A7" activePane="bottomLeft" state="frozen"/>
      <selection activeCell="G14" sqref="G14"/>
      <selection pane="bottomLeft" sqref="A1:P1"/>
    </sheetView>
  </sheetViews>
  <sheetFormatPr defaultColWidth="8.75" defaultRowHeight="13.5"/>
  <cols>
    <col min="1" max="1" width="2.5" style="87" customWidth="1"/>
    <col min="2" max="2" width="4.25" style="68" customWidth="1"/>
    <col min="3" max="3" width="6.875" style="14" customWidth="1"/>
    <col min="4" max="4" width="12.75" style="87" customWidth="1"/>
    <col min="5" max="5" width="32.625" style="87" customWidth="1"/>
    <col min="6" max="6" width="12.375" style="87" customWidth="1"/>
    <col min="7" max="8" width="12.625" style="87" customWidth="1"/>
    <col min="9" max="10" width="12.625" style="87" hidden="1" customWidth="1"/>
    <col min="11" max="11" width="12.125" style="87" hidden="1" customWidth="1"/>
    <col min="12" max="13" width="12.625" style="87" customWidth="1"/>
    <col min="14" max="14" width="11.625" style="87" customWidth="1"/>
    <col min="15" max="15" width="9.25" style="87" hidden="1" customWidth="1"/>
    <col min="16" max="16" width="26.625" style="87" customWidth="1"/>
    <col min="17" max="17" width="5.375" style="14" hidden="1" customWidth="1"/>
    <col min="18" max="18" width="11.125" style="87" hidden="1" customWidth="1"/>
    <col min="19" max="19" width="11.25" style="87" hidden="1" customWidth="1"/>
    <col min="20" max="20" width="6" style="14" hidden="1" customWidth="1"/>
    <col min="21" max="21" width="3.375" style="87" hidden="1" customWidth="1"/>
    <col min="22" max="22" width="5.375" style="14" hidden="1" customWidth="1"/>
    <col min="23" max="23" width="11.125" style="87" hidden="1" customWidth="1"/>
    <col min="24" max="24" width="11.25" style="87" hidden="1" customWidth="1"/>
    <col min="25" max="25" width="6" style="14" hidden="1" customWidth="1"/>
    <col min="26" max="27" width="0" style="87" hidden="1" customWidth="1"/>
    <col min="28" max="16384" width="8.75" style="87"/>
  </cols>
  <sheetData>
    <row r="1" spans="1:26" ht="29.25" customHeight="1">
      <c r="A1" s="344" t="s">
        <v>71</v>
      </c>
      <c r="B1" s="362"/>
      <c r="C1" s="362"/>
      <c r="D1" s="362"/>
      <c r="E1" s="362"/>
      <c r="F1" s="362"/>
      <c r="G1" s="362"/>
      <c r="H1" s="362"/>
      <c r="I1" s="344"/>
      <c r="J1" s="344"/>
      <c r="K1" s="344"/>
      <c r="L1" s="344"/>
      <c r="M1" s="344"/>
      <c r="N1" s="344"/>
      <c r="O1" s="344"/>
      <c r="P1" s="344"/>
    </row>
    <row r="2" spans="1:26" ht="22.5" customHeight="1">
      <c r="A2" s="15" t="s">
        <v>12</v>
      </c>
      <c r="B2" s="67"/>
      <c r="R2" s="191" t="s">
        <v>361</v>
      </c>
      <c r="S2" s="192"/>
      <c r="W2" s="191" t="s">
        <v>361</v>
      </c>
      <c r="X2" s="192"/>
    </row>
    <row r="3" spans="1:26" ht="16.5" customHeight="1">
      <c r="J3" s="119">
        <f>SUM(I6:J6)</f>
        <v>3053429</v>
      </c>
      <c r="K3" s="119"/>
      <c r="L3" s="119"/>
      <c r="M3" s="119">
        <f>SUM(L6:M6)</f>
        <v>3134642</v>
      </c>
      <c r="P3" s="16" t="s">
        <v>15</v>
      </c>
      <c r="R3" s="192" t="str">
        <f>IF(R6='일반 세출'!R6,"OK","@@")</f>
        <v>OK</v>
      </c>
      <c r="S3" s="87">
        <f>SUM(R6:S6)</f>
        <v>3134642</v>
      </c>
      <c r="T3" s="192" t="str">
        <f>IF(COUNTIF(T6:T1008,"@@")&gt;0,"@@","OK")</f>
        <v>OK</v>
      </c>
      <c r="W3" s="192" t="str">
        <f>IF(W6='일반 세출'!W6,"OK","@@")</f>
        <v>OK</v>
      </c>
      <c r="X3" s="87">
        <f>SUM(W6:X6)</f>
        <v>3053429</v>
      </c>
      <c r="Y3" s="192" t="str">
        <f>IF(COUNTIF(Y6:Y1008,"@@")&gt;0,"@@","OK")</f>
        <v>OK</v>
      </c>
    </row>
    <row r="4" spans="1:26" ht="27.75" customHeight="1">
      <c r="A4" s="345" t="s">
        <v>8</v>
      </c>
      <c r="B4" s="345"/>
      <c r="C4" s="346" t="s">
        <v>9</v>
      </c>
      <c r="D4" s="345" t="s">
        <v>7</v>
      </c>
      <c r="E4" s="345" t="s">
        <v>6</v>
      </c>
      <c r="F4" s="346" t="s">
        <v>69</v>
      </c>
      <c r="G4" s="346" t="s">
        <v>571</v>
      </c>
      <c r="H4" s="346" t="s">
        <v>572</v>
      </c>
      <c r="I4" s="347" t="s">
        <v>399</v>
      </c>
      <c r="J4" s="343"/>
      <c r="K4" s="346" t="s">
        <v>370</v>
      </c>
      <c r="L4" s="347" t="s">
        <v>573</v>
      </c>
      <c r="M4" s="343"/>
      <c r="N4" s="346" t="s">
        <v>574</v>
      </c>
      <c r="O4" s="348" t="s">
        <v>13</v>
      </c>
      <c r="P4" s="345" t="s">
        <v>10</v>
      </c>
      <c r="Q4" s="349" t="s">
        <v>11</v>
      </c>
      <c r="R4" s="351" t="s">
        <v>368</v>
      </c>
      <c r="S4" s="351"/>
      <c r="T4" s="351"/>
      <c r="V4" s="343" t="s">
        <v>11</v>
      </c>
      <c r="W4" s="342" t="s">
        <v>14</v>
      </c>
      <c r="X4" s="343"/>
      <c r="Y4" s="343"/>
    </row>
    <row r="5" spans="1:26" ht="14.25" customHeight="1">
      <c r="A5" s="345"/>
      <c r="B5" s="345"/>
      <c r="C5" s="346"/>
      <c r="D5" s="345"/>
      <c r="E5" s="345"/>
      <c r="F5" s="345"/>
      <c r="G5" s="345"/>
      <c r="H5" s="345"/>
      <c r="I5" s="208" t="s">
        <v>0</v>
      </c>
      <c r="J5" s="208" t="s">
        <v>1</v>
      </c>
      <c r="K5" s="345"/>
      <c r="L5" s="208" t="s">
        <v>0</v>
      </c>
      <c r="M5" s="208" t="s">
        <v>1</v>
      </c>
      <c r="N5" s="345"/>
      <c r="O5" s="348"/>
      <c r="P5" s="345"/>
      <c r="Q5" s="350"/>
      <c r="R5" s="168" t="s">
        <v>4</v>
      </c>
      <c r="S5" s="168" t="s">
        <v>2</v>
      </c>
      <c r="T5" s="168" t="s">
        <v>5</v>
      </c>
      <c r="V5" s="343"/>
      <c r="W5" s="168" t="s">
        <v>4</v>
      </c>
      <c r="X5" s="168" t="s">
        <v>2</v>
      </c>
      <c r="Y5" s="168" t="s">
        <v>5</v>
      </c>
    </row>
    <row r="6" spans="1:26" ht="43.5" customHeight="1">
      <c r="A6" s="17"/>
      <c r="B6" s="69" t="s">
        <v>3</v>
      </c>
      <c r="C6" s="19"/>
      <c r="D6" s="19"/>
      <c r="E6" s="19"/>
      <c r="F6" s="193">
        <f>SUM(F7:F164)/3</f>
        <v>55210346</v>
      </c>
      <c r="G6" s="193">
        <f>SUM(G7:G164)/3</f>
        <v>66014215</v>
      </c>
      <c r="H6" s="193">
        <f>SUM(H7:H164)/3</f>
        <v>2436948</v>
      </c>
      <c r="I6" s="193">
        <f>SUM(I7:I40)/3</f>
        <v>-200161</v>
      </c>
      <c r="J6" s="193">
        <f>SUM(J7:J40)/3</f>
        <v>3253590</v>
      </c>
      <c r="K6" s="193">
        <f>SUM(K7:K40)/3</f>
        <v>71504592</v>
      </c>
      <c r="L6" s="193">
        <f>SUM(L7:L164)/3</f>
        <v>-200161</v>
      </c>
      <c r="M6" s="193">
        <f>SUM(M7:M164)/3</f>
        <v>3334803</v>
      </c>
      <c r="N6" s="193">
        <f>SUM(N7:N164)/3</f>
        <v>71585805</v>
      </c>
      <c r="O6" s="2"/>
      <c r="P6" s="71"/>
      <c r="Q6" s="2"/>
      <c r="R6" s="193">
        <f>SUM(R7:R164)/3</f>
        <v>3334803</v>
      </c>
      <c r="S6" s="193">
        <f>SUM(S7:S164)/3</f>
        <v>-200161</v>
      </c>
      <c r="T6" s="195" t="str">
        <f>IF((L6+M6)=(R6+S6),"OK","검토")</f>
        <v>OK</v>
      </c>
      <c r="V6" s="2"/>
      <c r="W6" s="193">
        <f>SUM(W7:W164)/3</f>
        <v>3253590</v>
      </c>
      <c r="X6" s="193">
        <f>SUM(X7:X164)/3</f>
        <v>-200161</v>
      </c>
      <c r="Y6" s="195" t="str">
        <f>IF((I6+J6)=(W6+X6),"OK","검토")</f>
        <v>OK</v>
      </c>
    </row>
    <row r="7" spans="1:26" ht="39" customHeight="1">
      <c r="A7" s="1" t="s">
        <v>171</v>
      </c>
      <c r="B7" s="75"/>
      <c r="C7" s="75"/>
      <c r="D7" s="75"/>
      <c r="E7" s="75"/>
      <c r="F7" s="76">
        <f t="shared" ref="F7" si="0">SUM(F8:F9)/2</f>
        <v>21558</v>
      </c>
      <c r="G7" s="76">
        <f>SUM(G8:G9)/2</f>
        <v>0</v>
      </c>
      <c r="H7" s="76">
        <f t="shared" ref="H7:N7" si="1">SUM(H8:H9)/2</f>
        <v>21558</v>
      </c>
      <c r="I7" s="76">
        <f t="shared" si="1"/>
        <v>0</v>
      </c>
      <c r="J7" s="76">
        <f t="shared" si="1"/>
        <v>0</v>
      </c>
      <c r="K7" s="76">
        <f t="shared" si="1"/>
        <v>21558</v>
      </c>
      <c r="L7" s="76">
        <f t="shared" si="1"/>
        <v>0</v>
      </c>
      <c r="M7" s="76">
        <f t="shared" si="1"/>
        <v>0</v>
      </c>
      <c r="N7" s="76">
        <f t="shared" si="1"/>
        <v>21558</v>
      </c>
      <c r="O7" s="76"/>
      <c r="P7" s="72"/>
      <c r="Q7" s="75"/>
      <c r="R7" s="76">
        <f>SUM(R8:R9)/2</f>
        <v>0</v>
      </c>
      <c r="S7" s="76">
        <f>SUM(S8:S9)/2</f>
        <v>0</v>
      </c>
      <c r="T7" s="2" t="str">
        <f t="shared" ref="T7:T40" si="2">IF((L7+M7)=(R7+S7),"ok","검토")</f>
        <v>ok</v>
      </c>
      <c r="V7" s="75"/>
      <c r="W7" s="76">
        <f>SUM(W8:W9)/2</f>
        <v>0</v>
      </c>
      <c r="X7" s="76">
        <f>SUM(X8:X9)/2</f>
        <v>0</v>
      </c>
      <c r="Y7" s="2" t="str">
        <f t="shared" ref="Y7:Y40" si="3">IF((I7+J7)=(W7+X7),"ok","검토")</f>
        <v>ok</v>
      </c>
    </row>
    <row r="8" spans="1:26" ht="39" customHeight="1">
      <c r="A8" s="84"/>
      <c r="B8" s="78" t="s">
        <v>172</v>
      </c>
      <c r="C8" s="80"/>
      <c r="D8" s="79"/>
      <c r="E8" s="79"/>
      <c r="F8" s="81">
        <f t="shared" ref="F8:G8" si="4">SUM(F9:F9)</f>
        <v>21558</v>
      </c>
      <c r="G8" s="81">
        <f t="shared" si="4"/>
        <v>0</v>
      </c>
      <c r="H8" s="81">
        <f t="shared" ref="H8:N8" si="5">SUM(H9:H9)</f>
        <v>21558</v>
      </c>
      <c r="I8" s="81">
        <f t="shared" si="5"/>
        <v>0</v>
      </c>
      <c r="J8" s="81">
        <f t="shared" si="5"/>
        <v>0</v>
      </c>
      <c r="K8" s="81">
        <f t="shared" si="5"/>
        <v>21558</v>
      </c>
      <c r="L8" s="81">
        <f t="shared" si="5"/>
        <v>0</v>
      </c>
      <c r="M8" s="81">
        <f t="shared" si="5"/>
        <v>0</v>
      </c>
      <c r="N8" s="81">
        <f t="shared" si="5"/>
        <v>21558</v>
      </c>
      <c r="O8" s="81"/>
      <c r="P8" s="73"/>
      <c r="Q8" s="80"/>
      <c r="R8" s="81">
        <f>SUM(R9:R9)</f>
        <v>0</v>
      </c>
      <c r="S8" s="81">
        <f>SUM(S9:S9)</f>
        <v>0</v>
      </c>
      <c r="T8" s="2" t="str">
        <f t="shared" si="2"/>
        <v>ok</v>
      </c>
      <c r="V8" s="80"/>
      <c r="W8" s="81">
        <f>SUM(W9:W9)</f>
        <v>0</v>
      </c>
      <c r="X8" s="81">
        <f>SUM(X9:X9)</f>
        <v>0</v>
      </c>
      <c r="Y8" s="2" t="str">
        <f t="shared" si="3"/>
        <v>ok</v>
      </c>
    </row>
    <row r="9" spans="1:26" ht="47.25" customHeight="1">
      <c r="A9" s="84"/>
      <c r="B9" s="211" t="s">
        <v>70</v>
      </c>
      <c r="C9" s="212">
        <v>258</v>
      </c>
      <c r="D9" s="209" t="s">
        <v>173</v>
      </c>
      <c r="E9" s="210" t="s">
        <v>174</v>
      </c>
      <c r="F9" s="83">
        <v>21558</v>
      </c>
      <c r="G9" s="83"/>
      <c r="H9" s="215">
        <f>IF(SUMPRODUCT(COUNTIF(C9,{"*본예산*","*신규*"})),"-",F9-G9)</f>
        <v>21558</v>
      </c>
      <c r="I9" s="83"/>
      <c r="J9" s="83"/>
      <c r="K9" s="215">
        <f>IF(F9=0,G9+I9+J9,F9+I9+J9)</f>
        <v>21558</v>
      </c>
      <c r="L9" s="85">
        <v>0</v>
      </c>
      <c r="M9" s="85">
        <v>0</v>
      </c>
      <c r="N9" s="215">
        <f>IF(F9=0,G9+L9+M9,F9+L9+M9)</f>
        <v>21558</v>
      </c>
      <c r="O9" s="82" t="str">
        <f>IF(I9-L9&lt;0,"동의필요","-")</f>
        <v>-</v>
      </c>
      <c r="P9" s="177" t="s">
        <v>211</v>
      </c>
      <c r="Q9" s="82" t="s">
        <v>175</v>
      </c>
      <c r="R9" s="85">
        <f>IF(Q9&lt;&gt;"도비",SUM(L9:M9),)</f>
        <v>0</v>
      </c>
      <c r="S9" s="85">
        <f>IF(Q9="도비",SUM(L9:M9),SUM(L9:M9)-R9)</f>
        <v>0</v>
      </c>
      <c r="T9" s="2" t="str">
        <f t="shared" si="2"/>
        <v>ok</v>
      </c>
      <c r="V9" s="82" t="s">
        <v>175</v>
      </c>
      <c r="W9" s="85">
        <f>IF(V9&lt;&gt;"도비",SUM(I9:J9),)</f>
        <v>0</v>
      </c>
      <c r="X9" s="85">
        <f>IF(V9="도비",SUM(I9:J9),SUM(I9:J9)-W9)</f>
        <v>0</v>
      </c>
      <c r="Y9" s="2" t="str">
        <f t="shared" si="3"/>
        <v>ok</v>
      </c>
    </row>
    <row r="10" spans="1:26" s="225" customFormat="1" ht="31.5" customHeight="1">
      <c r="A10" s="1" t="s">
        <v>114</v>
      </c>
      <c r="B10" s="75"/>
      <c r="C10" s="75"/>
      <c r="D10" s="75"/>
      <c r="E10" s="75"/>
      <c r="F10" s="76">
        <f t="shared" ref="F10" si="6">SUM(F11:F12)/2</f>
        <v>924743</v>
      </c>
      <c r="G10" s="76">
        <f>SUM(G11:G12)/2</f>
        <v>909307</v>
      </c>
      <c r="H10" s="76">
        <f t="shared" ref="H10:N10" si="7">SUM(H11:H12)/2</f>
        <v>15436</v>
      </c>
      <c r="I10" s="76">
        <f t="shared" si="7"/>
        <v>0</v>
      </c>
      <c r="J10" s="76">
        <f t="shared" si="7"/>
        <v>0</v>
      </c>
      <c r="K10" s="76">
        <f t="shared" si="7"/>
        <v>924743</v>
      </c>
      <c r="L10" s="76">
        <f t="shared" si="7"/>
        <v>0</v>
      </c>
      <c r="M10" s="76">
        <f t="shared" si="7"/>
        <v>1421</v>
      </c>
      <c r="N10" s="76">
        <f t="shared" si="7"/>
        <v>926164</v>
      </c>
      <c r="O10" s="76"/>
      <c r="P10" s="72"/>
      <c r="Q10" s="75"/>
      <c r="R10" s="76">
        <f>SUM(R11:R12)/2</f>
        <v>1421</v>
      </c>
      <c r="S10" s="76">
        <f>SUM(S11:S12)/2</f>
        <v>0</v>
      </c>
      <c r="T10" s="222" t="str">
        <f t="shared" si="2"/>
        <v>ok</v>
      </c>
      <c r="V10" s="75"/>
      <c r="W10" s="76">
        <f>SUM(W11:W12)/2</f>
        <v>0</v>
      </c>
      <c r="X10" s="76">
        <f>SUM(X11:X12)/2</f>
        <v>0</v>
      </c>
      <c r="Y10" s="222" t="str">
        <f t="shared" si="3"/>
        <v>ok</v>
      </c>
    </row>
    <row r="11" spans="1:26" s="225" customFormat="1" ht="31.5" customHeight="1">
      <c r="A11" s="223"/>
      <c r="B11" s="78" t="s">
        <v>115</v>
      </c>
      <c r="C11" s="80"/>
      <c r="D11" s="79"/>
      <c r="E11" s="79"/>
      <c r="F11" s="81">
        <f t="shared" ref="F11:N11" si="8">SUM(F12:F12)</f>
        <v>924743</v>
      </c>
      <c r="G11" s="81">
        <f t="shared" si="8"/>
        <v>909307</v>
      </c>
      <c r="H11" s="81">
        <f t="shared" si="8"/>
        <v>15436</v>
      </c>
      <c r="I11" s="81">
        <f t="shared" si="8"/>
        <v>0</v>
      </c>
      <c r="J11" s="81">
        <f t="shared" si="8"/>
        <v>0</v>
      </c>
      <c r="K11" s="81">
        <f t="shared" si="8"/>
        <v>924743</v>
      </c>
      <c r="L11" s="81">
        <f t="shared" si="8"/>
        <v>0</v>
      </c>
      <c r="M11" s="81">
        <f t="shared" si="8"/>
        <v>1421</v>
      </c>
      <c r="N11" s="81">
        <f t="shared" si="8"/>
        <v>926164</v>
      </c>
      <c r="O11" s="81"/>
      <c r="P11" s="73"/>
      <c r="Q11" s="80"/>
      <c r="R11" s="81">
        <f>SUM(R12:R12)</f>
        <v>1421</v>
      </c>
      <c r="S11" s="81">
        <f>SUM(S12:S12)</f>
        <v>0</v>
      </c>
      <c r="T11" s="222" t="str">
        <f t="shared" si="2"/>
        <v>ok</v>
      </c>
      <c r="V11" s="80"/>
      <c r="W11" s="81">
        <f>SUM(W12:W12)</f>
        <v>0</v>
      </c>
      <c r="X11" s="81">
        <f>SUM(X12:X12)</f>
        <v>0</v>
      </c>
      <c r="Y11" s="222" t="str">
        <f t="shared" si="3"/>
        <v>ok</v>
      </c>
    </row>
    <row r="12" spans="1:26" s="225" customFormat="1" ht="47.25" customHeight="1">
      <c r="A12" s="223"/>
      <c r="B12" s="211" t="s">
        <v>118</v>
      </c>
      <c r="C12" s="234">
        <v>328</v>
      </c>
      <c r="D12" s="224" t="s">
        <v>392</v>
      </c>
      <c r="E12" s="230" t="s">
        <v>393</v>
      </c>
      <c r="F12" s="213">
        <v>924743</v>
      </c>
      <c r="G12" s="213">
        <v>909307</v>
      </c>
      <c r="H12" s="215">
        <f>IF(SUMPRODUCT(COUNTIF(C12,{"*본예산*","*신규*"})),"-",F12-G12)</f>
        <v>15436</v>
      </c>
      <c r="I12" s="83"/>
      <c r="J12" s="83"/>
      <c r="K12" s="215">
        <f>IF(F12=0,G12+I12+J12,F12+I12+J12)</f>
        <v>924743</v>
      </c>
      <c r="L12" s="85"/>
      <c r="M12" s="85">
        <v>1421</v>
      </c>
      <c r="N12" s="215">
        <f>IF(F12=0,G12+L12+M12,F12+L12+M12)</f>
        <v>926164</v>
      </c>
      <c r="O12" s="82" t="str">
        <f>IF(I12-L12&lt;0,"동의필요","-")</f>
        <v>-</v>
      </c>
      <c r="P12" s="214" t="s">
        <v>395</v>
      </c>
      <c r="Q12" s="82" t="s">
        <v>76</v>
      </c>
      <c r="R12" s="85">
        <f>IF(Q12&lt;&gt;"도비",SUM(L12:M12),)</f>
        <v>1421</v>
      </c>
      <c r="S12" s="85">
        <f>IF(Q12="도비",SUM(L12:M12),SUM(L12:M12)-R12)</f>
        <v>0</v>
      </c>
      <c r="T12" s="222" t="str">
        <f t="shared" si="2"/>
        <v>ok</v>
      </c>
      <c r="V12" s="82" t="s">
        <v>76</v>
      </c>
      <c r="W12" s="85">
        <f>IF(V12&lt;&gt;"도비",SUM(I12:J12),)</f>
        <v>0</v>
      </c>
      <c r="X12" s="85">
        <f>IF(V12="도비",SUM(I12:J12),SUM(I12:J12)-W12)</f>
        <v>0</v>
      </c>
      <c r="Y12" s="222" t="str">
        <f t="shared" si="3"/>
        <v>ok</v>
      </c>
      <c r="Z12" s="225" t="s">
        <v>489</v>
      </c>
    </row>
    <row r="13" spans="1:26" ht="39" customHeight="1">
      <c r="A13" s="1" t="s">
        <v>176</v>
      </c>
      <c r="B13" s="75"/>
      <c r="C13" s="75"/>
      <c r="D13" s="75"/>
      <c r="E13" s="75"/>
      <c r="F13" s="76">
        <f t="shared" ref="F13:N13" si="9">SUM(F14:F15)/2</f>
        <v>0</v>
      </c>
      <c r="G13" s="76">
        <f t="shared" si="9"/>
        <v>470000</v>
      </c>
      <c r="H13" s="76">
        <f t="shared" si="9"/>
        <v>0</v>
      </c>
      <c r="I13" s="76">
        <f t="shared" si="9"/>
        <v>0</v>
      </c>
      <c r="J13" s="76">
        <f t="shared" si="9"/>
        <v>10000</v>
      </c>
      <c r="K13" s="76">
        <f t="shared" si="9"/>
        <v>480000</v>
      </c>
      <c r="L13" s="76">
        <f t="shared" si="9"/>
        <v>0</v>
      </c>
      <c r="M13" s="76">
        <f t="shared" si="9"/>
        <v>10000</v>
      </c>
      <c r="N13" s="76">
        <f t="shared" si="9"/>
        <v>480000</v>
      </c>
      <c r="O13" s="76"/>
      <c r="P13" s="72"/>
      <c r="Q13" s="75"/>
      <c r="R13" s="76">
        <f>SUM(R14:R15)/2</f>
        <v>10000</v>
      </c>
      <c r="S13" s="76">
        <f>SUM(S14:S15)/2</f>
        <v>0</v>
      </c>
      <c r="T13" s="2" t="str">
        <f t="shared" si="2"/>
        <v>ok</v>
      </c>
      <c r="V13" s="75"/>
      <c r="W13" s="76">
        <f>SUM(W14:W15)/2</f>
        <v>10000</v>
      </c>
      <c r="X13" s="76">
        <f>SUM(X14:X15)/2</f>
        <v>0</v>
      </c>
      <c r="Y13" s="2" t="str">
        <f t="shared" si="3"/>
        <v>ok</v>
      </c>
    </row>
    <row r="14" spans="1:26" ht="39" customHeight="1">
      <c r="A14" s="84"/>
      <c r="B14" s="78" t="s">
        <v>177</v>
      </c>
      <c r="C14" s="80"/>
      <c r="D14" s="79"/>
      <c r="E14" s="79"/>
      <c r="F14" s="81">
        <f t="shared" ref="F14:N14" si="10">SUM(F15:F15)</f>
        <v>0</v>
      </c>
      <c r="G14" s="81">
        <f t="shared" si="10"/>
        <v>470000</v>
      </c>
      <c r="H14" s="81">
        <f t="shared" si="10"/>
        <v>0</v>
      </c>
      <c r="I14" s="81">
        <f t="shared" si="10"/>
        <v>0</v>
      </c>
      <c r="J14" s="81">
        <f t="shared" si="10"/>
        <v>10000</v>
      </c>
      <c r="K14" s="81">
        <f t="shared" si="10"/>
        <v>480000</v>
      </c>
      <c r="L14" s="81">
        <f t="shared" si="10"/>
        <v>0</v>
      </c>
      <c r="M14" s="81">
        <f t="shared" si="10"/>
        <v>10000</v>
      </c>
      <c r="N14" s="81">
        <f t="shared" si="10"/>
        <v>480000</v>
      </c>
      <c r="O14" s="81"/>
      <c r="P14" s="73"/>
      <c r="Q14" s="80"/>
      <c r="R14" s="81">
        <f>SUM(R15:R15)</f>
        <v>10000</v>
      </c>
      <c r="S14" s="81">
        <f>SUM(S15:S15)</f>
        <v>0</v>
      </c>
      <c r="T14" s="2" t="str">
        <f t="shared" si="2"/>
        <v>ok</v>
      </c>
      <c r="V14" s="80"/>
      <c r="W14" s="81">
        <f>SUM(W15:W15)</f>
        <v>10000</v>
      </c>
      <c r="X14" s="81">
        <f>SUM(X15:X15)</f>
        <v>0</v>
      </c>
      <c r="Y14" s="2" t="str">
        <f t="shared" si="3"/>
        <v>ok</v>
      </c>
    </row>
    <row r="15" spans="1:26" ht="39" customHeight="1">
      <c r="A15" s="84"/>
      <c r="B15" s="211" t="s">
        <v>178</v>
      </c>
      <c r="C15" s="212" t="s">
        <v>179</v>
      </c>
      <c r="D15" s="209" t="s">
        <v>180</v>
      </c>
      <c r="E15" s="74" t="s">
        <v>181</v>
      </c>
      <c r="F15" s="83"/>
      <c r="G15" s="83">
        <v>470000</v>
      </c>
      <c r="H15" s="215" t="str">
        <f>IF(SUMPRODUCT(COUNTIF(C15,{"*본예산*","*신규*"})),"-",F15-G15)</f>
        <v>-</v>
      </c>
      <c r="I15" s="83"/>
      <c r="J15" s="83">
        <v>10000</v>
      </c>
      <c r="K15" s="215">
        <f>IF(F15=0,G15+I15+J15,F15+I15+J15)</f>
        <v>480000</v>
      </c>
      <c r="L15" s="85"/>
      <c r="M15" s="85">
        <v>10000</v>
      </c>
      <c r="N15" s="215">
        <f>IF(F15=0,G15+L15+M15,F15+L15+M15)</f>
        <v>480000</v>
      </c>
      <c r="O15" s="82" t="str">
        <f>IF(I15-L15&lt;0,"동의필요","-")</f>
        <v>-</v>
      </c>
      <c r="P15" s="124" t="s">
        <v>127</v>
      </c>
      <c r="Q15" s="82" t="s">
        <v>212</v>
      </c>
      <c r="R15" s="85">
        <f>IF(Q15&lt;&gt;"도비",SUM(L15:M15),)</f>
        <v>10000</v>
      </c>
      <c r="S15" s="85">
        <f>IF(Q15="도비",SUM(L15:M15),SUM(L15:M15)-R15)</f>
        <v>0</v>
      </c>
      <c r="T15" s="2" t="str">
        <f t="shared" si="2"/>
        <v>ok</v>
      </c>
      <c r="V15" s="82" t="s">
        <v>212</v>
      </c>
      <c r="W15" s="85">
        <f>IF(V15&lt;&gt;"도비",SUM(I15:J15),)</f>
        <v>10000</v>
      </c>
      <c r="X15" s="85">
        <f>IF(V15="도비",SUM(I15:J15),SUM(I15:J15)-W15)</f>
        <v>0</v>
      </c>
      <c r="Y15" s="2" t="str">
        <f t="shared" si="3"/>
        <v>ok</v>
      </c>
    </row>
    <row r="16" spans="1:26" ht="39" customHeight="1">
      <c r="A16" s="171" t="s">
        <v>182</v>
      </c>
      <c r="B16" s="172"/>
      <c r="C16" s="75"/>
      <c r="D16" s="75"/>
      <c r="E16" s="75"/>
      <c r="F16" s="76">
        <f t="shared" ref="F16:N16" si="11">SUM(F17:F21)/2</f>
        <v>36484036</v>
      </c>
      <c r="G16" s="76">
        <f t="shared" si="11"/>
        <v>34553140</v>
      </c>
      <c r="H16" s="76">
        <f t="shared" si="11"/>
        <v>1930896</v>
      </c>
      <c r="I16" s="76">
        <f t="shared" si="11"/>
        <v>0</v>
      </c>
      <c r="J16" s="76">
        <f t="shared" si="11"/>
        <v>1088067</v>
      </c>
      <c r="K16" s="76">
        <f t="shared" si="11"/>
        <v>37572103</v>
      </c>
      <c r="L16" s="76">
        <f t="shared" si="11"/>
        <v>0</v>
      </c>
      <c r="M16" s="76">
        <f t="shared" si="11"/>
        <v>1094246</v>
      </c>
      <c r="N16" s="76">
        <f t="shared" si="11"/>
        <v>37578282</v>
      </c>
      <c r="O16" s="76"/>
      <c r="P16" s="76"/>
      <c r="Q16" s="75"/>
      <c r="R16" s="76">
        <f>SUM(R17:R21)/2</f>
        <v>1094246</v>
      </c>
      <c r="S16" s="76">
        <f>SUM(S17:S21)/2</f>
        <v>0</v>
      </c>
      <c r="T16" s="2" t="str">
        <f t="shared" si="2"/>
        <v>ok</v>
      </c>
      <c r="V16" s="75"/>
      <c r="W16" s="76">
        <f>SUM(W17:W21)/2</f>
        <v>1088067</v>
      </c>
      <c r="X16" s="76">
        <f>SUM(X17:X21)/2</f>
        <v>0</v>
      </c>
      <c r="Y16" s="2" t="str">
        <f t="shared" si="3"/>
        <v>ok</v>
      </c>
    </row>
    <row r="17" spans="1:26" ht="39" customHeight="1">
      <c r="A17" s="84"/>
      <c r="B17" s="173" t="s">
        <v>183</v>
      </c>
      <c r="C17" s="80"/>
      <c r="D17" s="79"/>
      <c r="E17" s="79"/>
      <c r="F17" s="81">
        <f t="shared" ref="F17:N17" si="12">SUM(F18:F18)</f>
        <v>23888164</v>
      </c>
      <c r="G17" s="81">
        <f t="shared" si="12"/>
        <v>22994613</v>
      </c>
      <c r="H17" s="81">
        <f t="shared" si="12"/>
        <v>893551</v>
      </c>
      <c r="I17" s="81">
        <f t="shared" si="12"/>
        <v>0</v>
      </c>
      <c r="J17" s="81">
        <f t="shared" si="12"/>
        <v>5067</v>
      </c>
      <c r="K17" s="81">
        <f t="shared" si="12"/>
        <v>23893231</v>
      </c>
      <c r="L17" s="81">
        <f t="shared" si="12"/>
        <v>0</v>
      </c>
      <c r="M17" s="81">
        <f t="shared" si="12"/>
        <v>5067</v>
      </c>
      <c r="N17" s="81">
        <f t="shared" si="12"/>
        <v>23893231</v>
      </c>
      <c r="O17" s="81"/>
      <c r="P17" s="151"/>
      <c r="Q17" s="80"/>
      <c r="R17" s="81">
        <f>SUM(R18:R18)</f>
        <v>5067</v>
      </c>
      <c r="S17" s="81">
        <f>SUM(S18:S18)</f>
        <v>0</v>
      </c>
      <c r="T17" s="2" t="str">
        <f t="shared" si="2"/>
        <v>ok</v>
      </c>
      <c r="V17" s="80"/>
      <c r="W17" s="81">
        <f>SUM(W18:W18)</f>
        <v>5067</v>
      </c>
      <c r="X17" s="81">
        <f>SUM(X18:X18)</f>
        <v>0</v>
      </c>
      <c r="Y17" s="2" t="str">
        <f t="shared" si="3"/>
        <v>ok</v>
      </c>
    </row>
    <row r="18" spans="1:26" ht="39" customHeight="1">
      <c r="A18" s="84"/>
      <c r="B18" s="211" t="s">
        <v>116</v>
      </c>
      <c r="C18" s="162">
        <v>445</v>
      </c>
      <c r="D18" s="209" t="s">
        <v>184</v>
      </c>
      <c r="E18" s="74" t="s">
        <v>185</v>
      </c>
      <c r="F18" s="83">
        <v>23888164</v>
      </c>
      <c r="G18" s="83">
        <v>22994613</v>
      </c>
      <c r="H18" s="215">
        <f>IF(SUMPRODUCT(COUNTIF(C18,{"*본예산*","*신규*"})),"-",F18-G18)</f>
        <v>893551</v>
      </c>
      <c r="I18" s="86"/>
      <c r="J18" s="86">
        <v>5067</v>
      </c>
      <c r="K18" s="215">
        <f>IF(F18=0,G18+I18+J18,F18+I18+J18)</f>
        <v>23893231</v>
      </c>
      <c r="L18" s="86"/>
      <c r="M18" s="86">
        <v>5067</v>
      </c>
      <c r="N18" s="215">
        <f>IF(F18=0,G18+L18+M18,F18+L18+M18)</f>
        <v>23893231</v>
      </c>
      <c r="O18" s="82" t="str">
        <f t="shared" ref="O18" si="13">IF(I18-L18&lt;0,"동의필요","-")</f>
        <v>-</v>
      </c>
      <c r="P18" s="147" t="s">
        <v>136</v>
      </c>
      <c r="Q18" s="82" t="s">
        <v>137</v>
      </c>
      <c r="R18" s="85">
        <f>IF(Q18&lt;&gt;"도비",SUM(L18:M18),)</f>
        <v>5067</v>
      </c>
      <c r="S18" s="85">
        <f>IF(Q18="도비",SUM(L18:M18),SUM(L18:M18)-R18)</f>
        <v>0</v>
      </c>
      <c r="T18" s="2" t="str">
        <f t="shared" si="2"/>
        <v>ok</v>
      </c>
      <c r="V18" s="82" t="s">
        <v>137</v>
      </c>
      <c r="W18" s="85">
        <f>IF(V18&lt;&gt;"도비",SUM(I18:J18),)</f>
        <v>5067</v>
      </c>
      <c r="X18" s="85">
        <f>IF(V18="도비",SUM(I18:J18),SUM(I18:J18)-W18)</f>
        <v>0</v>
      </c>
      <c r="Y18" s="2" t="str">
        <f t="shared" si="3"/>
        <v>ok</v>
      </c>
    </row>
    <row r="19" spans="1:26" ht="39" customHeight="1">
      <c r="A19" s="84"/>
      <c r="B19" s="173" t="s">
        <v>186</v>
      </c>
      <c r="C19" s="80"/>
      <c r="D19" s="79"/>
      <c r="E19" s="79"/>
      <c r="F19" s="81">
        <f t="shared" ref="F19:N19" si="14">SUM(F20:F21)</f>
        <v>12595872</v>
      </c>
      <c r="G19" s="81">
        <f t="shared" si="14"/>
        <v>11558527</v>
      </c>
      <c r="H19" s="81">
        <f t="shared" si="14"/>
        <v>1037345</v>
      </c>
      <c r="I19" s="81">
        <f t="shared" si="14"/>
        <v>0</v>
      </c>
      <c r="J19" s="81">
        <f t="shared" si="14"/>
        <v>1083000</v>
      </c>
      <c r="K19" s="81">
        <f t="shared" si="14"/>
        <v>13678872</v>
      </c>
      <c r="L19" s="81">
        <f t="shared" si="14"/>
        <v>0</v>
      </c>
      <c r="M19" s="81">
        <f t="shared" si="14"/>
        <v>1089179</v>
      </c>
      <c r="N19" s="81">
        <f t="shared" si="14"/>
        <v>13685051</v>
      </c>
      <c r="O19" s="81"/>
      <c r="P19" s="151"/>
      <c r="Q19" s="80"/>
      <c r="R19" s="81">
        <f>SUM(R20:R21)</f>
        <v>1089179</v>
      </c>
      <c r="S19" s="81">
        <f>SUM(S20:S21)</f>
        <v>0</v>
      </c>
      <c r="T19" s="222" t="str">
        <f t="shared" ref="T19" si="15">IF((L19+M19)=(R19+S19),"ok","검토")</f>
        <v>ok</v>
      </c>
      <c r="U19" s="225"/>
      <c r="V19" s="80"/>
      <c r="W19" s="81">
        <f>SUM(W20:W21)</f>
        <v>1083000</v>
      </c>
      <c r="X19" s="81">
        <f>SUM(X20:X21)</f>
        <v>0</v>
      </c>
      <c r="Y19" s="222" t="str">
        <f t="shared" ref="Y19" si="16">IF((I19+J19)=(W19+X19),"ok","검토")</f>
        <v>ok</v>
      </c>
    </row>
    <row r="20" spans="1:26" s="225" customFormat="1" ht="39" customHeight="1">
      <c r="A20" s="223"/>
      <c r="B20" s="211" t="s">
        <v>87</v>
      </c>
      <c r="C20" s="235">
        <v>471</v>
      </c>
      <c r="D20" s="224" t="s">
        <v>297</v>
      </c>
      <c r="E20" s="74" t="s">
        <v>469</v>
      </c>
      <c r="F20" s="83">
        <v>201176</v>
      </c>
      <c r="G20" s="256"/>
      <c r="H20" s="215">
        <f>IF(SUMPRODUCT(COUNTIF(C20,{"*본예산*","*신규*"})),"-",F20-G20)</f>
        <v>201176</v>
      </c>
      <c r="I20" s="83"/>
      <c r="J20" s="83"/>
      <c r="K20" s="215">
        <f>IF(F20=0,G20+I20+J20,F20+I20+J20)</f>
        <v>201176</v>
      </c>
      <c r="L20" s="85"/>
      <c r="M20" s="257">
        <v>6179</v>
      </c>
      <c r="N20" s="215">
        <f>IF(F20=0,G20+L20+M20,F20+L20+M20)</f>
        <v>207355</v>
      </c>
      <c r="O20" s="82" t="str">
        <f t="shared" ref="O20:O21" si="17">IF(I20-L20&lt;0,"동의필요","-")</f>
        <v>-</v>
      </c>
      <c r="P20" s="232" t="s">
        <v>470</v>
      </c>
      <c r="Q20" s="82" t="s">
        <v>212</v>
      </c>
      <c r="R20" s="85">
        <f>IF(Q20&lt;&gt;"도비",SUM(L20:M20),)</f>
        <v>6179</v>
      </c>
      <c r="S20" s="85">
        <f>IF(Q20="도비",SUM(L20:M20),SUM(L20:M20)-R20)</f>
        <v>0</v>
      </c>
      <c r="T20" s="222" t="str">
        <f t="shared" si="2"/>
        <v>ok</v>
      </c>
      <c r="V20" s="82" t="s">
        <v>76</v>
      </c>
      <c r="W20" s="85">
        <f>IF(V20&lt;&gt;"도비",SUM(I20:J20),)</f>
        <v>0</v>
      </c>
      <c r="X20" s="85">
        <f>IF(V20="도비",SUM(I20:J20),SUM(I20:J20)-W20)</f>
        <v>0</v>
      </c>
      <c r="Y20" s="222" t="str">
        <f t="shared" si="3"/>
        <v>ok</v>
      </c>
      <c r="Z20" s="225" t="s">
        <v>489</v>
      </c>
    </row>
    <row r="21" spans="1:26" s="225" customFormat="1" ht="39" customHeight="1">
      <c r="A21" s="223"/>
      <c r="B21" s="211" t="s">
        <v>116</v>
      </c>
      <c r="C21" s="235">
        <v>472</v>
      </c>
      <c r="D21" s="224" t="s">
        <v>187</v>
      </c>
      <c r="E21" s="74" t="s">
        <v>188</v>
      </c>
      <c r="F21" s="83">
        <v>12394696</v>
      </c>
      <c r="G21" s="83">
        <v>11558527</v>
      </c>
      <c r="H21" s="215">
        <f>IF(SUMPRODUCT(COUNTIF(C21,{"*본예산*","*신규*"})),"-",F21-G21)</f>
        <v>836169</v>
      </c>
      <c r="I21" s="86"/>
      <c r="J21" s="86">
        <v>1083000</v>
      </c>
      <c r="K21" s="215">
        <f>IF(F21=0,G21+I21+J21,F21+I21+J21)</f>
        <v>13477696</v>
      </c>
      <c r="L21" s="86"/>
      <c r="M21" s="86">
        <v>1083000</v>
      </c>
      <c r="N21" s="215">
        <f>IF(F21=0,G21+L21+M21,F21+L21+M21)</f>
        <v>13477696</v>
      </c>
      <c r="O21" s="82" t="str">
        <f t="shared" si="17"/>
        <v>-</v>
      </c>
      <c r="P21" s="232" t="s">
        <v>138</v>
      </c>
      <c r="Q21" s="82" t="s">
        <v>76</v>
      </c>
      <c r="R21" s="85">
        <f>IF(Q21&lt;&gt;"도비",SUM(L21:M21),)</f>
        <v>1083000</v>
      </c>
      <c r="S21" s="85">
        <f>IF(Q21="도비",SUM(L21:M21),SUM(L21:M21)-R21)</f>
        <v>0</v>
      </c>
      <c r="T21" s="222" t="str">
        <f t="shared" ref="T21" si="18">IF((L21+M21)=(R21+S21),"ok","검토")</f>
        <v>ok</v>
      </c>
      <c r="V21" s="82" t="s">
        <v>76</v>
      </c>
      <c r="W21" s="85">
        <f>IF(V21&lt;&gt;"도비",SUM(I21:J21),)</f>
        <v>1083000</v>
      </c>
      <c r="X21" s="85">
        <f>IF(V21="도비",SUM(I21:J21),SUM(I21:J21)-W21)</f>
        <v>0</v>
      </c>
      <c r="Y21" s="222" t="str">
        <f t="shared" ref="Y21" si="19">IF((I21+J21)=(W21+X21),"ok","검토")</f>
        <v>ok</v>
      </c>
    </row>
    <row r="22" spans="1:26" ht="39" customHeight="1">
      <c r="A22" s="1" t="s">
        <v>189</v>
      </c>
      <c r="B22" s="3"/>
      <c r="C22" s="75"/>
      <c r="D22" s="75"/>
      <c r="E22" s="75"/>
      <c r="F22" s="76">
        <f t="shared" ref="F22:N22" si="20">SUM(F23:F25)/2</f>
        <v>236817</v>
      </c>
      <c r="G22" s="76">
        <f t="shared" si="20"/>
        <v>59250</v>
      </c>
      <c r="H22" s="76">
        <f t="shared" si="20"/>
        <v>236817</v>
      </c>
      <c r="I22" s="76">
        <f t="shared" si="20"/>
        <v>-200161</v>
      </c>
      <c r="J22" s="76">
        <f t="shared" si="20"/>
        <v>3320</v>
      </c>
      <c r="K22" s="76">
        <f t="shared" si="20"/>
        <v>99226</v>
      </c>
      <c r="L22" s="76">
        <f t="shared" si="20"/>
        <v>-200161</v>
      </c>
      <c r="M22" s="76">
        <f t="shared" si="20"/>
        <v>3320</v>
      </c>
      <c r="N22" s="76">
        <f t="shared" si="20"/>
        <v>99226</v>
      </c>
      <c r="O22" s="76"/>
      <c r="P22" s="152"/>
      <c r="Q22" s="75"/>
      <c r="R22" s="76">
        <f>SUM(R23:R25)/2</f>
        <v>3320</v>
      </c>
      <c r="S22" s="76">
        <f>SUM(S23:S25)/2</f>
        <v>-200161</v>
      </c>
      <c r="T22" s="2" t="str">
        <f t="shared" si="2"/>
        <v>ok</v>
      </c>
      <c r="V22" s="75"/>
      <c r="W22" s="76">
        <f>SUM(W23:W25)/2</f>
        <v>3320</v>
      </c>
      <c r="X22" s="76">
        <f>SUM(X23:X25)/2</f>
        <v>-200161</v>
      </c>
      <c r="Y22" s="2" t="str">
        <f t="shared" si="3"/>
        <v>ok</v>
      </c>
    </row>
    <row r="23" spans="1:26" ht="39" customHeight="1">
      <c r="A23" s="84"/>
      <c r="B23" s="70" t="s">
        <v>190</v>
      </c>
      <c r="C23" s="80"/>
      <c r="D23" s="79"/>
      <c r="E23" s="79"/>
      <c r="F23" s="81">
        <f t="shared" ref="F23:N23" si="21">SUM(F24:F25)</f>
        <v>236817</v>
      </c>
      <c r="G23" s="81">
        <f t="shared" si="21"/>
        <v>59250</v>
      </c>
      <c r="H23" s="81">
        <f t="shared" si="21"/>
        <v>236817</v>
      </c>
      <c r="I23" s="81">
        <f t="shared" si="21"/>
        <v>-200161</v>
      </c>
      <c r="J23" s="81">
        <f t="shared" si="21"/>
        <v>3320</v>
      </c>
      <c r="K23" s="81">
        <f t="shared" si="21"/>
        <v>99226</v>
      </c>
      <c r="L23" s="81">
        <f t="shared" si="21"/>
        <v>-200161</v>
      </c>
      <c r="M23" s="81">
        <f t="shared" si="21"/>
        <v>3320</v>
      </c>
      <c r="N23" s="81">
        <f t="shared" si="21"/>
        <v>99226</v>
      </c>
      <c r="O23" s="81"/>
      <c r="P23" s="151"/>
      <c r="Q23" s="80"/>
      <c r="R23" s="81">
        <f>SUM(R24:R25)</f>
        <v>3320</v>
      </c>
      <c r="S23" s="81">
        <f>SUM(S24:S25)</f>
        <v>-200161</v>
      </c>
      <c r="T23" s="2" t="str">
        <f t="shared" si="2"/>
        <v>ok</v>
      </c>
      <c r="V23" s="80"/>
      <c r="W23" s="81">
        <f>SUM(W24:W25)</f>
        <v>3320</v>
      </c>
      <c r="X23" s="81">
        <f>SUM(X24:X25)</f>
        <v>-200161</v>
      </c>
      <c r="Y23" s="2" t="str">
        <f t="shared" si="3"/>
        <v>ok</v>
      </c>
    </row>
    <row r="24" spans="1:26" ht="48.75" customHeight="1">
      <c r="A24" s="123"/>
      <c r="B24" s="162" t="s">
        <v>191</v>
      </c>
      <c r="C24" s="212" t="s">
        <v>192</v>
      </c>
      <c r="D24" s="209" t="s">
        <v>193</v>
      </c>
      <c r="E24" s="74" t="s">
        <v>194</v>
      </c>
      <c r="F24" s="83"/>
      <c r="G24" s="83">
        <v>59250</v>
      </c>
      <c r="H24" s="215" t="str">
        <f>IF(SUMPRODUCT(COUNTIF(C24,{"*본예산*","*신규*"})),"-",F24-G24)</f>
        <v>-</v>
      </c>
      <c r="I24" s="86"/>
      <c r="J24" s="86">
        <v>3320</v>
      </c>
      <c r="K24" s="215">
        <f t="shared" ref="K24:K25" si="22">IF(F24=0,G24+I24+J24,F24+I24+J24)</f>
        <v>62570</v>
      </c>
      <c r="L24" s="86"/>
      <c r="M24" s="86">
        <v>3320</v>
      </c>
      <c r="N24" s="215">
        <f t="shared" ref="N24:N25" si="23">IF(F24=0,G24+L24+M24,F24+L24+M24)</f>
        <v>62570</v>
      </c>
      <c r="O24" s="82" t="str">
        <f t="shared" ref="O24" si="24">IF(I24-L24&lt;0,"동의필요","-")</f>
        <v>-</v>
      </c>
      <c r="P24" s="147" t="s">
        <v>78</v>
      </c>
      <c r="Q24" s="82" t="s">
        <v>85</v>
      </c>
      <c r="R24" s="85">
        <f t="shared" ref="R24:R25" si="25">IF(Q24&lt;&gt;"도비",SUM(L24:M24),)</f>
        <v>3320</v>
      </c>
      <c r="S24" s="85">
        <f t="shared" ref="S24:S25" si="26">IF(Q24="도비",SUM(L24:M24),SUM(L24:M24)-R24)</f>
        <v>0</v>
      </c>
      <c r="T24" s="2" t="str">
        <f t="shared" si="2"/>
        <v>ok</v>
      </c>
      <c r="V24" s="82" t="s">
        <v>85</v>
      </c>
      <c r="W24" s="85">
        <f t="shared" ref="W24:W25" si="27">IF(V24&lt;&gt;"도비",SUM(I24:J24),)</f>
        <v>3320</v>
      </c>
      <c r="X24" s="85">
        <f t="shared" ref="X24:X25" si="28">IF(V24="도비",SUM(I24:J24),SUM(I24:J24)-W24)</f>
        <v>0</v>
      </c>
      <c r="Y24" s="2" t="str">
        <f t="shared" si="3"/>
        <v>ok</v>
      </c>
    </row>
    <row r="25" spans="1:26" ht="48.75" customHeight="1">
      <c r="A25" s="123"/>
      <c r="B25" s="162" t="s">
        <v>195</v>
      </c>
      <c r="C25" s="212">
        <v>538</v>
      </c>
      <c r="D25" s="209" t="s">
        <v>196</v>
      </c>
      <c r="E25" s="74" t="s">
        <v>197</v>
      </c>
      <c r="F25" s="83">
        <v>236817</v>
      </c>
      <c r="G25" s="83"/>
      <c r="H25" s="215">
        <f>IF(SUMPRODUCT(COUNTIF(C25,{"*본예산*","*신규*"})),"-",F25-G25)</f>
        <v>236817</v>
      </c>
      <c r="I25" s="83">
        <v>-200161</v>
      </c>
      <c r="J25" s="83"/>
      <c r="K25" s="215">
        <f t="shared" si="22"/>
        <v>36656</v>
      </c>
      <c r="L25" s="83">
        <v>-200161</v>
      </c>
      <c r="M25" s="83"/>
      <c r="N25" s="215">
        <f t="shared" si="23"/>
        <v>36656</v>
      </c>
      <c r="O25" s="82" t="str">
        <f t="shared" ref="O25" si="29">IF(I25-L25&lt;0,"동의필요","-")</f>
        <v>-</v>
      </c>
      <c r="P25" s="147" t="s">
        <v>79</v>
      </c>
      <c r="Q25" s="82" t="s">
        <v>17</v>
      </c>
      <c r="R25" s="85">
        <f t="shared" si="25"/>
        <v>0</v>
      </c>
      <c r="S25" s="85">
        <f t="shared" si="26"/>
        <v>-200161</v>
      </c>
      <c r="T25" s="2" t="str">
        <f t="shared" si="2"/>
        <v>ok</v>
      </c>
      <c r="V25" s="82" t="s">
        <v>17</v>
      </c>
      <c r="W25" s="85">
        <f t="shared" si="27"/>
        <v>0</v>
      </c>
      <c r="X25" s="85">
        <f t="shared" si="28"/>
        <v>-200161</v>
      </c>
      <c r="Y25" s="2" t="str">
        <f t="shared" si="3"/>
        <v>ok</v>
      </c>
    </row>
    <row r="26" spans="1:26" ht="33" customHeight="1">
      <c r="A26" s="171" t="s">
        <v>20</v>
      </c>
      <c r="B26" s="172"/>
      <c r="C26" s="174"/>
      <c r="D26" s="174"/>
      <c r="E26" s="75"/>
      <c r="F26" s="76">
        <f t="shared" ref="F26:N26" si="30">SUM(F27:F40)/2</f>
        <v>17543192</v>
      </c>
      <c r="G26" s="76">
        <f t="shared" si="30"/>
        <v>30022518</v>
      </c>
      <c r="H26" s="76">
        <f t="shared" si="30"/>
        <v>232241</v>
      </c>
      <c r="I26" s="76">
        <f t="shared" si="30"/>
        <v>0</v>
      </c>
      <c r="J26" s="76">
        <f t="shared" si="30"/>
        <v>2152203</v>
      </c>
      <c r="K26" s="76">
        <f t="shared" si="30"/>
        <v>32406962</v>
      </c>
      <c r="L26" s="76">
        <f t="shared" si="30"/>
        <v>0</v>
      </c>
      <c r="M26" s="76">
        <f t="shared" si="30"/>
        <v>2225816</v>
      </c>
      <c r="N26" s="76">
        <f t="shared" si="30"/>
        <v>32480575</v>
      </c>
      <c r="O26" s="76"/>
      <c r="P26" s="152"/>
      <c r="Q26" s="75"/>
      <c r="R26" s="76">
        <f>R27+R39</f>
        <v>2225816</v>
      </c>
      <c r="S26" s="76">
        <f>S27+S39</f>
        <v>0</v>
      </c>
      <c r="T26" s="2" t="str">
        <f t="shared" si="2"/>
        <v>ok</v>
      </c>
      <c r="V26" s="75"/>
      <c r="W26" s="76">
        <f>W27+W39</f>
        <v>2152203</v>
      </c>
      <c r="X26" s="76">
        <f>X27+X39</f>
        <v>0</v>
      </c>
      <c r="Y26" s="2" t="str">
        <f t="shared" si="3"/>
        <v>ok</v>
      </c>
    </row>
    <row r="27" spans="1:26" ht="33" customHeight="1">
      <c r="A27" s="84"/>
      <c r="B27" s="70" t="s">
        <v>198</v>
      </c>
      <c r="C27" s="80"/>
      <c r="D27" s="79"/>
      <c r="E27" s="79"/>
      <c r="F27" s="81">
        <f t="shared" ref="F27:N27" si="31">SUM(F28:F38)</f>
        <v>17540598</v>
      </c>
      <c r="G27" s="81">
        <f t="shared" si="31"/>
        <v>30022518</v>
      </c>
      <c r="H27" s="81">
        <f t="shared" si="31"/>
        <v>229647</v>
      </c>
      <c r="I27" s="81">
        <f t="shared" si="31"/>
        <v>0</v>
      </c>
      <c r="J27" s="81">
        <f t="shared" si="31"/>
        <v>2152203</v>
      </c>
      <c r="K27" s="81">
        <f t="shared" si="31"/>
        <v>32404368</v>
      </c>
      <c r="L27" s="81">
        <f t="shared" si="31"/>
        <v>0</v>
      </c>
      <c r="M27" s="81">
        <f t="shared" si="31"/>
        <v>2225816</v>
      </c>
      <c r="N27" s="81">
        <f t="shared" si="31"/>
        <v>32477981</v>
      </c>
      <c r="O27" s="81"/>
      <c r="P27" s="151"/>
      <c r="Q27" s="80"/>
      <c r="R27" s="81">
        <f>SUM(R28:R38)</f>
        <v>2225816</v>
      </c>
      <c r="S27" s="81">
        <f>SUM(S28:S38)</f>
        <v>0</v>
      </c>
      <c r="T27" s="2" t="str">
        <f t="shared" si="2"/>
        <v>ok</v>
      </c>
      <c r="V27" s="80"/>
      <c r="W27" s="81">
        <f>SUM(W28:W38)</f>
        <v>2152203</v>
      </c>
      <c r="X27" s="81">
        <f>SUM(X28:X38)</f>
        <v>0</v>
      </c>
      <c r="Y27" s="2" t="str">
        <f t="shared" si="3"/>
        <v>ok</v>
      </c>
    </row>
    <row r="28" spans="1:26" ht="52.5" customHeight="1">
      <c r="A28" s="123"/>
      <c r="B28" s="162" t="s">
        <v>195</v>
      </c>
      <c r="C28" s="212">
        <v>743</v>
      </c>
      <c r="D28" s="209" t="s">
        <v>199</v>
      </c>
      <c r="E28" s="74" t="s">
        <v>200</v>
      </c>
      <c r="F28" s="83">
        <v>13370578</v>
      </c>
      <c r="G28" s="83">
        <v>13123578</v>
      </c>
      <c r="H28" s="215">
        <f>IF(SUMPRODUCT(COUNTIF(C28,{"*본예산*","*신규*"})),"-",F28-G28)</f>
        <v>247000</v>
      </c>
      <c r="I28" s="86"/>
      <c r="J28" s="86">
        <v>600000</v>
      </c>
      <c r="K28" s="215">
        <f t="shared" ref="K28:K33" si="32">IF(F28=0,G28+I28+J28,F28+I28+J28)</f>
        <v>13970578</v>
      </c>
      <c r="L28" s="86"/>
      <c r="M28" s="86">
        <v>600000</v>
      </c>
      <c r="N28" s="215">
        <f t="shared" ref="N28:N33" si="33">IF(F28=0,G28+L28+M28,F28+L28+M28)</f>
        <v>13970578</v>
      </c>
      <c r="O28" s="82"/>
      <c r="P28" s="147" t="s">
        <v>159</v>
      </c>
      <c r="Q28" s="169" t="s">
        <v>215</v>
      </c>
      <c r="R28" s="85">
        <f t="shared" ref="R28:R33" si="34">IF(Q28&lt;&gt;"도비",SUM(L28:M28),)</f>
        <v>600000</v>
      </c>
      <c r="S28" s="85">
        <f t="shared" ref="S28:S33" si="35">IF(Q28="도비",SUM(L28:M28),SUM(L28:M28)-R28)</f>
        <v>0</v>
      </c>
      <c r="T28" s="2" t="str">
        <f t="shared" si="2"/>
        <v>ok</v>
      </c>
      <c r="V28" s="82" t="s">
        <v>215</v>
      </c>
      <c r="W28" s="85">
        <f t="shared" ref="W28:W33" si="36">IF(V28&lt;&gt;"도비",SUM(I28:J28),)</f>
        <v>600000</v>
      </c>
      <c r="X28" s="85">
        <f t="shared" ref="X28:X33" si="37">IF(V28="도비",SUM(I28:J28),SUM(I28:J28)-W28)</f>
        <v>0</v>
      </c>
      <c r="Y28" s="2" t="str">
        <f t="shared" si="3"/>
        <v>ok</v>
      </c>
    </row>
    <row r="29" spans="1:26" ht="52.5" customHeight="1">
      <c r="A29" s="123"/>
      <c r="B29" s="162" t="s">
        <v>191</v>
      </c>
      <c r="C29" s="212" t="s">
        <v>201</v>
      </c>
      <c r="D29" s="209" t="s">
        <v>199</v>
      </c>
      <c r="E29" s="74" t="s">
        <v>202</v>
      </c>
      <c r="F29" s="83"/>
      <c r="G29" s="83">
        <v>263000</v>
      </c>
      <c r="H29" s="215" t="str">
        <f>IF(SUMPRODUCT(COUNTIF(C29,{"*본예산*","*신규*"})),"-",F29-G29)</f>
        <v>-</v>
      </c>
      <c r="I29" s="83"/>
      <c r="J29" s="83">
        <v>25000</v>
      </c>
      <c r="K29" s="215">
        <f t="shared" si="32"/>
        <v>288000</v>
      </c>
      <c r="L29" s="83"/>
      <c r="M29" s="83">
        <v>25000</v>
      </c>
      <c r="N29" s="215">
        <f t="shared" si="33"/>
        <v>288000</v>
      </c>
      <c r="O29" s="82"/>
      <c r="P29" s="147" t="s">
        <v>160</v>
      </c>
      <c r="Q29" s="169" t="s">
        <v>76</v>
      </c>
      <c r="R29" s="85">
        <f t="shared" si="34"/>
        <v>25000</v>
      </c>
      <c r="S29" s="85">
        <f t="shared" si="35"/>
        <v>0</v>
      </c>
      <c r="T29" s="2" t="str">
        <f t="shared" si="2"/>
        <v>ok</v>
      </c>
      <c r="V29" s="82" t="s">
        <v>76</v>
      </c>
      <c r="W29" s="85">
        <f t="shared" si="36"/>
        <v>25000</v>
      </c>
      <c r="X29" s="85">
        <f t="shared" si="37"/>
        <v>0</v>
      </c>
      <c r="Y29" s="2" t="str">
        <f t="shared" si="3"/>
        <v>ok</v>
      </c>
    </row>
    <row r="30" spans="1:26" ht="52.5" customHeight="1">
      <c r="A30" s="123"/>
      <c r="B30" s="162" t="s">
        <v>191</v>
      </c>
      <c r="C30" s="212" t="s">
        <v>203</v>
      </c>
      <c r="D30" s="209" t="s">
        <v>199</v>
      </c>
      <c r="E30" s="74" t="s">
        <v>204</v>
      </c>
      <c r="F30" s="83"/>
      <c r="G30" s="83">
        <v>11117000</v>
      </c>
      <c r="H30" s="215" t="str">
        <f>IF(SUMPRODUCT(COUNTIF(C30,{"*본예산*","*신규*"})),"-",F30-G30)</f>
        <v>-</v>
      </c>
      <c r="I30" s="83"/>
      <c r="J30" s="83">
        <v>1432800</v>
      </c>
      <c r="K30" s="215">
        <f t="shared" si="32"/>
        <v>12549800</v>
      </c>
      <c r="L30" s="83"/>
      <c r="M30" s="83">
        <v>1432800</v>
      </c>
      <c r="N30" s="215">
        <f t="shared" si="33"/>
        <v>12549800</v>
      </c>
      <c r="O30" s="82"/>
      <c r="P30" s="147" t="s">
        <v>161</v>
      </c>
      <c r="Q30" s="169" t="s">
        <v>214</v>
      </c>
      <c r="R30" s="85">
        <f t="shared" si="34"/>
        <v>1432800</v>
      </c>
      <c r="S30" s="85">
        <f t="shared" si="35"/>
        <v>0</v>
      </c>
      <c r="T30" s="2" t="str">
        <f t="shared" si="2"/>
        <v>ok</v>
      </c>
      <c r="V30" s="82" t="s">
        <v>214</v>
      </c>
      <c r="W30" s="85">
        <f t="shared" si="36"/>
        <v>1432800</v>
      </c>
      <c r="X30" s="85">
        <f t="shared" si="37"/>
        <v>0</v>
      </c>
      <c r="Y30" s="2" t="str">
        <f t="shared" si="3"/>
        <v>ok</v>
      </c>
    </row>
    <row r="31" spans="1:26" ht="52.5" customHeight="1">
      <c r="A31" s="123"/>
      <c r="B31" s="162" t="s">
        <v>191</v>
      </c>
      <c r="C31" s="212" t="s">
        <v>203</v>
      </c>
      <c r="D31" s="209" t="s">
        <v>199</v>
      </c>
      <c r="E31" s="74" t="s">
        <v>205</v>
      </c>
      <c r="F31" s="83"/>
      <c r="G31" s="83">
        <v>450542</v>
      </c>
      <c r="H31" s="215" t="str">
        <f>IF(SUMPRODUCT(COUNTIF(C31,{"*본예산*","*신규*"})),"-",F31-G31)</f>
        <v>-</v>
      </c>
      <c r="I31" s="83"/>
      <c r="J31" s="83">
        <v>29458</v>
      </c>
      <c r="K31" s="215">
        <f t="shared" si="32"/>
        <v>480000</v>
      </c>
      <c r="L31" s="83"/>
      <c r="M31" s="83">
        <v>29458</v>
      </c>
      <c r="N31" s="215">
        <f t="shared" si="33"/>
        <v>480000</v>
      </c>
      <c r="O31" s="82"/>
      <c r="P31" s="147" t="s">
        <v>161</v>
      </c>
      <c r="Q31" s="169" t="s">
        <v>214</v>
      </c>
      <c r="R31" s="85">
        <f t="shared" si="34"/>
        <v>29458</v>
      </c>
      <c r="S31" s="85">
        <f t="shared" si="35"/>
        <v>0</v>
      </c>
      <c r="T31" s="2" t="str">
        <f t="shared" si="2"/>
        <v>ok</v>
      </c>
      <c r="V31" s="82" t="s">
        <v>214</v>
      </c>
      <c r="W31" s="85">
        <f t="shared" si="36"/>
        <v>29458</v>
      </c>
      <c r="X31" s="85">
        <f t="shared" si="37"/>
        <v>0</v>
      </c>
      <c r="Y31" s="2" t="str">
        <f t="shared" si="3"/>
        <v>ok</v>
      </c>
    </row>
    <row r="32" spans="1:26" ht="52.5" customHeight="1">
      <c r="A32" s="123"/>
      <c r="B32" s="162" t="s">
        <v>191</v>
      </c>
      <c r="C32" s="212" t="s">
        <v>203</v>
      </c>
      <c r="D32" s="209" t="s">
        <v>199</v>
      </c>
      <c r="E32" s="74" t="s">
        <v>206</v>
      </c>
      <c r="F32" s="83"/>
      <c r="G32" s="83">
        <v>528525</v>
      </c>
      <c r="H32" s="215" t="str">
        <f>IF(SUMPRODUCT(COUNTIF(C32,{"*본예산*","*신규*"})),"-",F32-G32)</f>
        <v>-</v>
      </c>
      <c r="I32" s="83"/>
      <c r="J32" s="83">
        <v>20100</v>
      </c>
      <c r="K32" s="215">
        <f t="shared" si="32"/>
        <v>548625</v>
      </c>
      <c r="L32" s="83"/>
      <c r="M32" s="83">
        <v>20100</v>
      </c>
      <c r="N32" s="215">
        <f t="shared" si="33"/>
        <v>548625</v>
      </c>
      <c r="O32" s="82"/>
      <c r="P32" s="147" t="s">
        <v>162</v>
      </c>
      <c r="Q32" s="169" t="s">
        <v>214</v>
      </c>
      <c r="R32" s="85">
        <f t="shared" si="34"/>
        <v>20100</v>
      </c>
      <c r="S32" s="85">
        <f t="shared" si="35"/>
        <v>0</v>
      </c>
      <c r="T32" s="2" t="str">
        <f t="shared" si="2"/>
        <v>ok</v>
      </c>
      <c r="V32" s="82" t="s">
        <v>214</v>
      </c>
      <c r="W32" s="85">
        <f t="shared" si="36"/>
        <v>20100</v>
      </c>
      <c r="X32" s="85">
        <f t="shared" si="37"/>
        <v>0</v>
      </c>
      <c r="Y32" s="2" t="str">
        <f t="shared" si="3"/>
        <v>ok</v>
      </c>
    </row>
    <row r="33" spans="1:26" ht="52.5" customHeight="1">
      <c r="A33" s="123"/>
      <c r="B33" s="162" t="s">
        <v>195</v>
      </c>
      <c r="C33" s="212">
        <v>744</v>
      </c>
      <c r="D33" s="209" t="s">
        <v>199</v>
      </c>
      <c r="E33" s="74" t="s">
        <v>207</v>
      </c>
      <c r="F33" s="83">
        <v>2381652</v>
      </c>
      <c r="G33" s="83">
        <v>2377515</v>
      </c>
      <c r="H33" s="215">
        <f>IF(SUMPRODUCT(COUNTIF(C33,{"*본예산*","*신규*"})),"-",F33-G33)</f>
        <v>4137</v>
      </c>
      <c r="I33" s="83"/>
      <c r="J33" s="83">
        <v>42075</v>
      </c>
      <c r="K33" s="215">
        <f t="shared" si="32"/>
        <v>2423727</v>
      </c>
      <c r="L33" s="83"/>
      <c r="M33" s="83">
        <v>42075</v>
      </c>
      <c r="N33" s="215">
        <f t="shared" si="33"/>
        <v>2423727</v>
      </c>
      <c r="O33" s="82"/>
      <c r="P33" s="147" t="s">
        <v>163</v>
      </c>
      <c r="Q33" s="169" t="s">
        <v>214</v>
      </c>
      <c r="R33" s="85">
        <f t="shared" si="34"/>
        <v>42075</v>
      </c>
      <c r="S33" s="85">
        <f t="shared" si="35"/>
        <v>0</v>
      </c>
      <c r="T33" s="2" t="str">
        <f t="shared" si="2"/>
        <v>ok</v>
      </c>
      <c r="V33" s="82" t="s">
        <v>214</v>
      </c>
      <c r="W33" s="85">
        <f t="shared" si="36"/>
        <v>42075</v>
      </c>
      <c r="X33" s="85">
        <f t="shared" si="37"/>
        <v>0</v>
      </c>
      <c r="Y33" s="2" t="str">
        <f t="shared" si="3"/>
        <v>ok</v>
      </c>
    </row>
    <row r="34" spans="1:26" s="225" customFormat="1" ht="52.5" customHeight="1">
      <c r="A34" s="123"/>
      <c r="B34" s="235" t="s">
        <v>70</v>
      </c>
      <c r="C34" s="234">
        <v>744</v>
      </c>
      <c r="D34" s="224" t="s">
        <v>199</v>
      </c>
      <c r="E34" s="74" t="s">
        <v>208</v>
      </c>
      <c r="F34" s="83">
        <v>405300</v>
      </c>
      <c r="G34" s="83">
        <v>401100</v>
      </c>
      <c r="H34" s="215">
        <f>IF(SUMPRODUCT(COUNTIF(C34,{"*본예산*","*신규*"})),"-",F34-G34)</f>
        <v>4200</v>
      </c>
      <c r="I34" s="83"/>
      <c r="J34" s="83">
        <v>2770</v>
      </c>
      <c r="K34" s="215">
        <f t="shared" ref="K34:K38" si="38">IF(F34=0,G34+I34+J34,F34+I34+J34)</f>
        <v>408070</v>
      </c>
      <c r="L34" s="83"/>
      <c r="M34" s="83">
        <v>2770</v>
      </c>
      <c r="N34" s="215">
        <f t="shared" ref="N34:N38" si="39">IF(F34=0,G34+L34+M34,F34+L34+M34)</f>
        <v>408070</v>
      </c>
      <c r="O34" s="82"/>
      <c r="P34" s="232" t="s">
        <v>169</v>
      </c>
      <c r="Q34" s="169" t="s">
        <v>212</v>
      </c>
      <c r="R34" s="85">
        <f t="shared" ref="R34:R38" si="40">IF(Q34&lt;&gt;"도비",SUM(L34:M34),)</f>
        <v>2770</v>
      </c>
      <c r="S34" s="85">
        <f t="shared" ref="S34:S38" si="41">IF(Q34="도비",SUM(L34:M34),SUM(L34:M34)-R34)</f>
        <v>0</v>
      </c>
      <c r="T34" s="222" t="str">
        <f t="shared" ref="T34:T38" si="42">IF((L34+M34)=(R34+S34),"ok","검토")</f>
        <v>ok</v>
      </c>
      <c r="V34" s="82" t="s">
        <v>212</v>
      </c>
      <c r="W34" s="85">
        <f t="shared" ref="W34:W38" si="43">IF(V34&lt;&gt;"도비",SUM(I34:J34),)</f>
        <v>2770</v>
      </c>
      <c r="X34" s="85">
        <f t="shared" ref="X34:X38" si="44">IF(V34="도비",SUM(I34:J34),SUM(I34:J34)-W34)</f>
        <v>0</v>
      </c>
      <c r="Y34" s="222" t="str">
        <f t="shared" ref="Y34:Y38" si="45">IF((I34+J34)=(W34+X34),"ok","검토")</f>
        <v>ok</v>
      </c>
    </row>
    <row r="35" spans="1:26" s="225" customFormat="1" ht="54" customHeight="1">
      <c r="A35" s="123"/>
      <c r="B35" s="235" t="s">
        <v>116</v>
      </c>
      <c r="C35" s="234">
        <v>743</v>
      </c>
      <c r="D35" s="224" t="s">
        <v>449</v>
      </c>
      <c r="E35" s="230" t="s">
        <v>443</v>
      </c>
      <c r="F35" s="83">
        <v>321500</v>
      </c>
      <c r="G35" s="83">
        <v>348758</v>
      </c>
      <c r="H35" s="215">
        <f>IF(SUMPRODUCT(COUNTIF(C35,{"*본예산*","*신규*"})),"-",F35-G35)</f>
        <v>-27258</v>
      </c>
      <c r="I35" s="83"/>
      <c r="J35" s="83"/>
      <c r="K35" s="215">
        <f t="shared" si="38"/>
        <v>321500</v>
      </c>
      <c r="L35" s="85"/>
      <c r="M35" s="85">
        <v>37104</v>
      </c>
      <c r="N35" s="215">
        <f t="shared" si="39"/>
        <v>358604</v>
      </c>
      <c r="O35" s="82"/>
      <c r="P35" s="232" t="s">
        <v>445</v>
      </c>
      <c r="Q35" s="169" t="s">
        <v>52</v>
      </c>
      <c r="R35" s="85">
        <f t="shared" si="40"/>
        <v>37104</v>
      </c>
      <c r="S35" s="85">
        <f t="shared" si="41"/>
        <v>0</v>
      </c>
      <c r="T35" s="222" t="str">
        <f t="shared" si="42"/>
        <v>ok</v>
      </c>
      <c r="V35" s="82" t="s">
        <v>76</v>
      </c>
      <c r="W35" s="85">
        <f t="shared" si="43"/>
        <v>0</v>
      </c>
      <c r="X35" s="85">
        <f t="shared" si="44"/>
        <v>0</v>
      </c>
      <c r="Y35" s="222" t="str">
        <f t="shared" si="45"/>
        <v>ok</v>
      </c>
      <c r="Z35" s="225" t="s">
        <v>489</v>
      </c>
    </row>
    <row r="36" spans="1:26" s="225" customFormat="1" ht="36.75" customHeight="1">
      <c r="A36" s="123"/>
      <c r="B36" s="235" t="s">
        <v>87</v>
      </c>
      <c r="C36" s="234">
        <v>743</v>
      </c>
      <c r="D36" s="224" t="s">
        <v>341</v>
      </c>
      <c r="E36" s="74" t="s">
        <v>386</v>
      </c>
      <c r="F36" s="83">
        <v>1061568</v>
      </c>
      <c r="G36" s="83">
        <v>1060000</v>
      </c>
      <c r="H36" s="215">
        <f>IF(SUMPRODUCT(COUNTIF(C36,{"*본예산*","*신규*"})),"-",F36-G36)</f>
        <v>1568</v>
      </c>
      <c r="I36" s="83"/>
      <c r="J36" s="83"/>
      <c r="K36" s="215">
        <f t="shared" si="38"/>
        <v>1061568</v>
      </c>
      <c r="L36" s="85"/>
      <c r="M36" s="85">
        <v>28000</v>
      </c>
      <c r="N36" s="215">
        <f t="shared" si="39"/>
        <v>1089568</v>
      </c>
      <c r="O36" s="82"/>
      <c r="P36" s="232" t="s">
        <v>394</v>
      </c>
      <c r="Q36" s="169" t="s">
        <v>76</v>
      </c>
      <c r="R36" s="85">
        <f t="shared" si="40"/>
        <v>28000</v>
      </c>
      <c r="S36" s="85">
        <f t="shared" si="41"/>
        <v>0</v>
      </c>
      <c r="T36" s="222" t="str">
        <f t="shared" si="42"/>
        <v>ok</v>
      </c>
      <c r="V36" s="82" t="s">
        <v>76</v>
      </c>
      <c r="W36" s="85">
        <f t="shared" ref="W36" si="46">IF(V36&lt;&gt;"도비",SUM(I36:J36),)</f>
        <v>0</v>
      </c>
      <c r="X36" s="85">
        <f t="shared" ref="X36" si="47">IF(V36="도비",SUM(I36:J36),SUM(I36:J36)-W36)</f>
        <v>0</v>
      </c>
      <c r="Y36" s="222" t="str">
        <f t="shared" si="45"/>
        <v>ok</v>
      </c>
      <c r="Z36" s="225" t="s">
        <v>489</v>
      </c>
    </row>
    <row r="37" spans="1:26" s="225" customFormat="1" ht="36.75" customHeight="1">
      <c r="A37" s="123"/>
      <c r="B37" s="235" t="s">
        <v>91</v>
      </c>
      <c r="C37" s="234" t="s">
        <v>388</v>
      </c>
      <c r="D37" s="224" t="s">
        <v>341</v>
      </c>
      <c r="E37" s="74" t="s">
        <v>389</v>
      </c>
      <c r="F37" s="83"/>
      <c r="G37" s="83">
        <v>205000</v>
      </c>
      <c r="H37" s="215" t="str">
        <f>IF(SUMPRODUCT(COUNTIF(C37,{"*본예산*","*신규*"})),"-",F37-G37)</f>
        <v>-</v>
      </c>
      <c r="I37" s="83"/>
      <c r="J37" s="83"/>
      <c r="K37" s="215">
        <f t="shared" si="38"/>
        <v>205000</v>
      </c>
      <c r="L37" s="85"/>
      <c r="M37" s="85">
        <v>2000</v>
      </c>
      <c r="N37" s="215">
        <f t="shared" si="39"/>
        <v>207000</v>
      </c>
      <c r="O37" s="82"/>
      <c r="P37" s="232" t="s">
        <v>394</v>
      </c>
      <c r="Q37" s="169" t="s">
        <v>76</v>
      </c>
      <c r="R37" s="85">
        <f t="shared" si="40"/>
        <v>2000</v>
      </c>
      <c r="S37" s="85">
        <f t="shared" si="41"/>
        <v>0</v>
      </c>
      <c r="T37" s="222" t="str">
        <f t="shared" si="42"/>
        <v>ok</v>
      </c>
      <c r="V37" s="82" t="s">
        <v>76</v>
      </c>
      <c r="W37" s="85">
        <f t="shared" si="43"/>
        <v>0</v>
      </c>
      <c r="X37" s="85">
        <f t="shared" si="44"/>
        <v>0</v>
      </c>
      <c r="Y37" s="222" t="str">
        <f t="shared" si="45"/>
        <v>ok</v>
      </c>
      <c r="Z37" s="225" t="s">
        <v>489</v>
      </c>
    </row>
    <row r="38" spans="1:26" s="225" customFormat="1" ht="36.75" customHeight="1">
      <c r="A38" s="123"/>
      <c r="B38" s="235" t="s">
        <v>91</v>
      </c>
      <c r="C38" s="234" t="s">
        <v>388</v>
      </c>
      <c r="D38" s="224" t="s">
        <v>341</v>
      </c>
      <c r="E38" s="74" t="s">
        <v>390</v>
      </c>
      <c r="F38" s="83"/>
      <c r="G38" s="83">
        <v>147500</v>
      </c>
      <c r="H38" s="215" t="str">
        <f>IF(SUMPRODUCT(COUNTIF(C38,{"*본예산*","*신규*"})),"-",F38-G38)</f>
        <v>-</v>
      </c>
      <c r="I38" s="83"/>
      <c r="J38" s="83"/>
      <c r="K38" s="215">
        <f t="shared" si="38"/>
        <v>147500</v>
      </c>
      <c r="L38" s="85"/>
      <c r="M38" s="85">
        <v>6509</v>
      </c>
      <c r="N38" s="215">
        <f t="shared" si="39"/>
        <v>154009</v>
      </c>
      <c r="O38" s="82"/>
      <c r="P38" s="232" t="s">
        <v>394</v>
      </c>
      <c r="Q38" s="169" t="s">
        <v>212</v>
      </c>
      <c r="R38" s="85">
        <f t="shared" si="40"/>
        <v>6509</v>
      </c>
      <c r="S38" s="85">
        <f t="shared" si="41"/>
        <v>0</v>
      </c>
      <c r="T38" s="222" t="str">
        <f t="shared" si="42"/>
        <v>ok</v>
      </c>
      <c r="V38" s="82" t="s">
        <v>212</v>
      </c>
      <c r="W38" s="85">
        <f t="shared" si="43"/>
        <v>0</v>
      </c>
      <c r="X38" s="85">
        <f t="shared" si="44"/>
        <v>0</v>
      </c>
      <c r="Y38" s="222" t="str">
        <f t="shared" si="45"/>
        <v>ok</v>
      </c>
      <c r="Z38" s="225" t="s">
        <v>489</v>
      </c>
    </row>
    <row r="39" spans="1:26" ht="35.25" customHeight="1">
      <c r="A39" s="84"/>
      <c r="B39" s="173" t="s">
        <v>209</v>
      </c>
      <c r="C39" s="175"/>
      <c r="D39" s="176"/>
      <c r="E39" s="79"/>
      <c r="F39" s="81">
        <f t="shared" ref="F39:N39" si="48">SUM(F40:F40)</f>
        <v>2594</v>
      </c>
      <c r="G39" s="81">
        <f t="shared" si="48"/>
        <v>0</v>
      </c>
      <c r="H39" s="81">
        <f t="shared" si="48"/>
        <v>2594</v>
      </c>
      <c r="I39" s="81">
        <f t="shared" si="48"/>
        <v>0</v>
      </c>
      <c r="J39" s="81">
        <f t="shared" si="48"/>
        <v>0</v>
      </c>
      <c r="K39" s="81">
        <f t="shared" si="48"/>
        <v>2594</v>
      </c>
      <c r="L39" s="81">
        <f t="shared" si="48"/>
        <v>0</v>
      </c>
      <c r="M39" s="81">
        <f t="shared" si="48"/>
        <v>0</v>
      </c>
      <c r="N39" s="81">
        <f t="shared" si="48"/>
        <v>2594</v>
      </c>
      <c r="O39" s="81"/>
      <c r="P39" s="151"/>
      <c r="Q39" s="170"/>
      <c r="R39" s="81">
        <f>SUM(R40:R40)</f>
        <v>0</v>
      </c>
      <c r="S39" s="81">
        <f>SUM(S40:S40)</f>
        <v>0</v>
      </c>
      <c r="T39" s="2" t="str">
        <f t="shared" si="2"/>
        <v>ok</v>
      </c>
      <c r="V39" s="80"/>
      <c r="W39" s="81">
        <f>SUM(W40:W40)</f>
        <v>0</v>
      </c>
      <c r="X39" s="81">
        <f>SUM(X40:X40)</f>
        <v>0</v>
      </c>
      <c r="Y39" s="2" t="str">
        <f t="shared" si="3"/>
        <v>ok</v>
      </c>
    </row>
    <row r="40" spans="1:26" ht="90" customHeight="1">
      <c r="A40" s="123"/>
      <c r="B40" s="162" t="s">
        <v>116</v>
      </c>
      <c r="C40" s="212">
        <v>785</v>
      </c>
      <c r="D40" s="209" t="s">
        <v>210</v>
      </c>
      <c r="E40" s="210" t="s">
        <v>396</v>
      </c>
      <c r="F40" s="83">
        <v>2594</v>
      </c>
      <c r="G40" s="83"/>
      <c r="H40" s="215">
        <f>IF(SUMPRODUCT(COUNTIF(C40,{"*본예산*","*신규*"})),"-",F40-G40)</f>
        <v>2594</v>
      </c>
      <c r="I40" s="83"/>
      <c r="J40" s="83"/>
      <c r="K40" s="215">
        <f>IF(F40=0,G40+I40+J40,F40+I40+J40)</f>
        <v>2594</v>
      </c>
      <c r="L40" s="85">
        <v>0</v>
      </c>
      <c r="M40" s="85">
        <v>0</v>
      </c>
      <c r="N40" s="215">
        <f>IF(F40=0,G40+L40+M40,F40+L40+M40)</f>
        <v>2594</v>
      </c>
      <c r="O40" s="82"/>
      <c r="P40" s="178" t="s">
        <v>382</v>
      </c>
      <c r="Q40" s="169" t="s">
        <v>213</v>
      </c>
      <c r="R40" s="85">
        <f>IF(Q40&lt;&gt;"도비",SUM(L40:M40),)</f>
        <v>0</v>
      </c>
      <c r="S40" s="85">
        <f>IF(Q40="도비",SUM(L40:M40),SUM(L40:M40)-R40)</f>
        <v>0</v>
      </c>
      <c r="T40" s="2" t="str">
        <f t="shared" si="2"/>
        <v>ok</v>
      </c>
      <c r="V40" s="82" t="s">
        <v>213</v>
      </c>
      <c r="W40" s="85">
        <f>IF(V40&lt;&gt;"도비",SUM(I40:J40),)</f>
        <v>0</v>
      </c>
      <c r="X40" s="85">
        <f>IF(V40="도비",SUM(I40:J40),SUM(I40:J40)-W40)</f>
        <v>0</v>
      </c>
      <c r="Y40" s="2" t="str">
        <f t="shared" si="3"/>
        <v>ok</v>
      </c>
    </row>
  </sheetData>
  <sheetProtection formatCells="0" autoFilter="0"/>
  <autoFilter ref="A6:Y40"/>
  <mergeCells count="18">
    <mergeCell ref="R4:T4"/>
    <mergeCell ref="V4:V5"/>
    <mergeCell ref="W4:Y4"/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  <mergeCell ref="L4:M4"/>
    <mergeCell ref="N4:N5"/>
    <mergeCell ref="O4:O5"/>
    <mergeCell ref="P4:P5"/>
    <mergeCell ref="Q4:Q5"/>
  </mergeCells>
  <phoneticPr fontId="6" type="noConversion"/>
  <conditionalFormatting sqref="V6:V9 V13:V18 V22:V33 V39:V108 Q39:Q108">
    <cfRule type="containsText" dxfId="219" priority="86" operator="containsText" text="분권">
      <formula>NOT(ISERROR(SEARCH("분권",Q6)))</formula>
    </cfRule>
    <cfRule type="containsText" dxfId="218" priority="87" operator="containsText" text="특교">
      <formula>NOT(ISERROR(SEARCH("특교",Q6)))</formula>
    </cfRule>
    <cfRule type="containsText" dxfId="217" priority="88" operator="containsText" text="광특">
      <formula>NOT(ISERROR(SEARCH("광특",Q6)))</formula>
    </cfRule>
    <cfRule type="containsText" dxfId="216" priority="89" operator="containsText" text="기금">
      <formula>NOT(ISERROR(SEARCH("기금",Q6)))</formula>
    </cfRule>
    <cfRule type="containsText" dxfId="215" priority="90" operator="containsText" text="국비">
      <formula>NOT(ISERROR(SEARCH("국비",Q6)))</formula>
    </cfRule>
  </conditionalFormatting>
  <conditionalFormatting sqref="Q6:Q9 Q13:Q18 Q22:Q33">
    <cfRule type="containsText" dxfId="214" priority="81" operator="containsText" text="분권">
      <formula>NOT(ISERROR(SEARCH("분권",Q6)))</formula>
    </cfRule>
    <cfRule type="containsText" dxfId="213" priority="82" operator="containsText" text="특교">
      <formula>NOT(ISERROR(SEARCH("특교",Q6)))</formula>
    </cfRule>
    <cfRule type="containsText" dxfId="212" priority="83" operator="containsText" text="광특">
      <formula>NOT(ISERROR(SEARCH("광특",Q6)))</formula>
    </cfRule>
    <cfRule type="containsText" dxfId="211" priority="84" operator="containsText" text="기금">
      <formula>NOT(ISERROR(SEARCH("기금",Q6)))</formula>
    </cfRule>
    <cfRule type="containsText" dxfId="210" priority="85" operator="containsText" text="국비">
      <formula>NOT(ISERROR(SEARCH("국비",Q6)))</formula>
    </cfRule>
  </conditionalFormatting>
  <conditionalFormatting sqref="V19">
    <cfRule type="containsText" dxfId="209" priority="46" operator="containsText" text="분권">
      <formula>NOT(ISERROR(SEARCH("분권",V19)))</formula>
    </cfRule>
    <cfRule type="containsText" dxfId="208" priority="47" operator="containsText" text="특교">
      <formula>NOT(ISERROR(SEARCH("특교",V19)))</formula>
    </cfRule>
    <cfRule type="containsText" dxfId="207" priority="48" operator="containsText" text="광특">
      <formula>NOT(ISERROR(SEARCH("광특",V19)))</formula>
    </cfRule>
    <cfRule type="containsText" dxfId="206" priority="49" operator="containsText" text="기금">
      <formula>NOT(ISERROR(SEARCH("기금",V19)))</formula>
    </cfRule>
    <cfRule type="containsText" dxfId="205" priority="50" operator="containsText" text="국비">
      <formula>NOT(ISERROR(SEARCH("국비",V19)))</formula>
    </cfRule>
  </conditionalFormatting>
  <conditionalFormatting sqref="Q19">
    <cfRule type="containsText" dxfId="204" priority="41" operator="containsText" text="분권">
      <formula>NOT(ISERROR(SEARCH("분권",Q19)))</formula>
    </cfRule>
    <cfRule type="containsText" dxfId="203" priority="42" operator="containsText" text="특교">
      <formula>NOT(ISERROR(SEARCH("특교",Q19)))</formula>
    </cfRule>
    <cfRule type="containsText" dxfId="202" priority="43" operator="containsText" text="광특">
      <formula>NOT(ISERROR(SEARCH("광특",Q19)))</formula>
    </cfRule>
    <cfRule type="containsText" dxfId="201" priority="44" operator="containsText" text="기금">
      <formula>NOT(ISERROR(SEARCH("기금",Q19)))</formula>
    </cfRule>
    <cfRule type="containsText" dxfId="200" priority="45" operator="containsText" text="국비">
      <formula>NOT(ISERROR(SEARCH("국비",Q19)))</formula>
    </cfRule>
  </conditionalFormatting>
  <conditionalFormatting sqref="V21">
    <cfRule type="containsText" dxfId="199" priority="26" operator="containsText" text="분권">
      <formula>NOT(ISERROR(SEARCH("분권",V21)))</formula>
    </cfRule>
    <cfRule type="containsText" dxfId="198" priority="27" operator="containsText" text="특교">
      <formula>NOT(ISERROR(SEARCH("특교",V21)))</formula>
    </cfRule>
    <cfRule type="containsText" dxfId="197" priority="28" operator="containsText" text="광특">
      <formula>NOT(ISERROR(SEARCH("광특",V21)))</formula>
    </cfRule>
    <cfRule type="containsText" dxfId="196" priority="29" operator="containsText" text="기금">
      <formula>NOT(ISERROR(SEARCH("기금",V21)))</formula>
    </cfRule>
    <cfRule type="containsText" dxfId="195" priority="30" operator="containsText" text="국비">
      <formula>NOT(ISERROR(SEARCH("국비",V21)))</formula>
    </cfRule>
  </conditionalFormatting>
  <conditionalFormatting sqref="Q21">
    <cfRule type="containsText" dxfId="194" priority="21" operator="containsText" text="분권">
      <formula>NOT(ISERROR(SEARCH("분권",Q21)))</formula>
    </cfRule>
    <cfRule type="containsText" dxfId="193" priority="22" operator="containsText" text="특교">
      <formula>NOT(ISERROR(SEARCH("특교",Q21)))</formula>
    </cfRule>
    <cfRule type="containsText" dxfId="192" priority="23" operator="containsText" text="광특">
      <formula>NOT(ISERROR(SEARCH("광특",Q21)))</formula>
    </cfRule>
    <cfRule type="containsText" dxfId="191" priority="24" operator="containsText" text="기금">
      <formula>NOT(ISERROR(SEARCH("기금",Q21)))</formula>
    </cfRule>
    <cfRule type="containsText" dxfId="190" priority="25" operator="containsText" text="국비">
      <formula>NOT(ISERROR(SEARCH("국비",Q21)))</formula>
    </cfRule>
  </conditionalFormatting>
  <conditionalFormatting sqref="V34">
    <cfRule type="containsText" dxfId="189" priority="16" operator="containsText" text="분권">
      <formula>NOT(ISERROR(SEARCH("분권",V34)))</formula>
    </cfRule>
    <cfRule type="containsText" dxfId="188" priority="17" operator="containsText" text="특교">
      <formula>NOT(ISERROR(SEARCH("특교",V34)))</formula>
    </cfRule>
    <cfRule type="containsText" dxfId="187" priority="18" operator="containsText" text="광특">
      <formula>NOT(ISERROR(SEARCH("광특",V34)))</formula>
    </cfRule>
    <cfRule type="containsText" dxfId="186" priority="19" operator="containsText" text="기금">
      <formula>NOT(ISERROR(SEARCH("기금",V34)))</formula>
    </cfRule>
    <cfRule type="containsText" dxfId="185" priority="20" operator="containsText" text="국비">
      <formula>NOT(ISERROR(SEARCH("국비",V34)))</formula>
    </cfRule>
  </conditionalFormatting>
  <conditionalFormatting sqref="Q34">
    <cfRule type="containsText" dxfId="184" priority="11" operator="containsText" text="분권">
      <formula>NOT(ISERROR(SEARCH("분권",Q34)))</formula>
    </cfRule>
    <cfRule type="containsText" dxfId="183" priority="12" operator="containsText" text="특교">
      <formula>NOT(ISERROR(SEARCH("특교",Q34)))</formula>
    </cfRule>
    <cfRule type="containsText" dxfId="182" priority="13" operator="containsText" text="광특">
      <formula>NOT(ISERROR(SEARCH("광특",Q34)))</formula>
    </cfRule>
    <cfRule type="containsText" dxfId="181" priority="14" operator="containsText" text="기금">
      <formula>NOT(ISERROR(SEARCH("기금",Q34)))</formula>
    </cfRule>
    <cfRule type="containsText" dxfId="180" priority="15" operator="containsText" text="국비">
      <formula>NOT(ISERROR(SEARCH("국비",Q34)))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77" fitToHeight="0" orientation="landscape" r:id="rId1"/>
  <headerFooter alignWithMargins="0">
    <oddFooter>&amp;C&amp;P</oddFooter>
  </headerFooter>
  <colBreaks count="1" manualBreakCount="1">
    <brk id="21" max="2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6" operator="containsText" text="분권" id="{EE52A503-0285-4724-8D56-4864B7F1B665}">
            <xm:f>NOT(ISERROR(SEARCH("분권",'국비변경(일반 세입)(삭제)'!Q10)))</xm:f>
            <x14:dxf>
              <font>
                <color rgb="FF9C0006"/>
              </font>
            </x14:dxf>
          </x14:cfRule>
          <x14:cfRule type="containsText" priority="67" operator="containsText" text="특교" id="{5F7D1C97-F88C-4FAB-B1B7-4E811A5ED58E}">
            <xm:f>NOT(ISERROR(SEARCH("특교",'국비변경(일반 세입)(삭제)'!Q10)))</xm:f>
            <x14:dxf>
              <font>
                <color rgb="FF9C0006"/>
              </font>
            </x14:dxf>
          </x14:cfRule>
          <x14:cfRule type="containsText" priority="68" operator="containsText" text="광특" id="{A6302F5E-C108-4CE7-97E0-27C34FF23DBF}">
            <xm:f>NOT(ISERROR(SEARCH("광특",'국비변경(일반 세입)(삭제)'!Q10)))</xm:f>
            <x14:dxf>
              <font>
                <color rgb="FF9C0006"/>
              </font>
            </x14:dxf>
          </x14:cfRule>
          <x14:cfRule type="containsText" priority="69" operator="containsText" text="기금" id="{20F4923A-1A1E-4107-B719-2F9066ADCDC6}">
            <xm:f>NOT(ISERROR(SEARCH("기금",'국비변경(일반 세입)(삭제)'!Q10)))</xm:f>
            <x14:dxf>
              <font>
                <color rgb="FF9C0006"/>
              </font>
            </x14:dxf>
          </x14:cfRule>
          <x14:cfRule type="containsText" priority="70" operator="containsText" text="국비" id="{5B1F7B6F-4C8B-4595-A853-E5C7166BA18F}">
            <xm:f>NOT(ISERROR(SEARCH("국비",'국비변경(일반 세입)(삭제)'!Q10)))</xm:f>
            <x14:dxf>
              <font>
                <color rgb="FF9C0006"/>
              </font>
            </x14:dxf>
          </x14:cfRule>
          <xm:sqref>Q10:Q12 V10:V12 V35:V38 Q35:Q38</xm:sqref>
        </x14:conditionalFormatting>
        <x14:conditionalFormatting xmlns:xm="http://schemas.microsoft.com/office/excel/2006/main">
          <x14:cfRule type="containsText" priority="36" operator="containsText" text="분권" id="{E12CD3EE-E363-4192-B923-2D69CBCEDC41}">
            <xm:f>NOT(ISERROR(SEARCH("분권",'국비변경(일반 세입)(삭제)'!Q21)))</xm:f>
            <x14:dxf>
              <font>
                <color rgb="FF9C0006"/>
              </font>
            </x14:dxf>
          </x14:cfRule>
          <x14:cfRule type="containsText" priority="37" operator="containsText" text="특교" id="{31D60185-37F7-4B43-BEF5-82E82F7A46AA}">
            <xm:f>NOT(ISERROR(SEARCH("특교",'국비변경(일반 세입)(삭제)'!Q21)))</xm:f>
            <x14:dxf>
              <font>
                <color rgb="FF9C0006"/>
              </font>
            </x14:dxf>
          </x14:cfRule>
          <x14:cfRule type="containsText" priority="38" operator="containsText" text="광특" id="{60FC0B67-F8F6-4052-BC35-CBF6BDE10F17}">
            <xm:f>NOT(ISERROR(SEARCH("광특",'국비변경(일반 세입)(삭제)'!Q21)))</xm:f>
            <x14:dxf>
              <font>
                <color rgb="FF9C0006"/>
              </font>
            </x14:dxf>
          </x14:cfRule>
          <x14:cfRule type="containsText" priority="39" operator="containsText" text="기금" id="{AD1E4A1E-F925-4E64-991E-F60530FC0470}">
            <xm:f>NOT(ISERROR(SEARCH("기금",'국비변경(일반 세입)(삭제)'!Q21)))</xm:f>
            <x14:dxf>
              <font>
                <color rgb="FF9C0006"/>
              </font>
            </x14:dxf>
          </x14:cfRule>
          <x14:cfRule type="containsText" priority="40" operator="containsText" text="국비" id="{8EA501AC-3204-44BC-B38F-765D05BC2637}">
            <xm:f>NOT(ISERROR(SEARCH("국비",'국비변경(일반 세입)(삭제)'!Q21)))</xm:f>
            <x14:dxf>
              <font>
                <color rgb="FF9C0006"/>
              </font>
            </x14:dxf>
          </x14:cfRule>
          <xm:sqref>Q20 V20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  <pageSetUpPr fitToPage="1"/>
  </sheetPr>
  <dimension ref="A1:AC136"/>
  <sheetViews>
    <sheetView showGridLines="0" zoomScale="90" zoomScaleNormal="90" zoomScaleSheetLayoutView="80" workbookViewId="0">
      <pane ySplit="6" topLeftCell="A7" activePane="bottomLeft" state="frozen"/>
      <selection activeCell="G14" sqref="G14"/>
      <selection pane="bottomLeft" sqref="A1:P1"/>
    </sheetView>
  </sheetViews>
  <sheetFormatPr defaultColWidth="8.75" defaultRowHeight="13.5"/>
  <cols>
    <col min="1" max="1" width="2.5" style="225" customWidth="1"/>
    <col min="2" max="2" width="4.25" style="225" customWidth="1"/>
    <col min="3" max="3" width="7.75" style="14" customWidth="1"/>
    <col min="4" max="4" width="13.625" style="225" customWidth="1"/>
    <col min="5" max="5" width="32.625" style="225" customWidth="1"/>
    <col min="6" max="6" width="13.125" style="225" customWidth="1"/>
    <col min="7" max="7" width="13.75" style="225" customWidth="1"/>
    <col min="8" max="8" width="12" style="225" customWidth="1"/>
    <col min="9" max="9" width="11.375" style="225" hidden="1" customWidth="1"/>
    <col min="10" max="10" width="10.75" style="225" hidden="1" customWidth="1"/>
    <col min="11" max="11" width="11.75" style="225" hidden="1" customWidth="1"/>
    <col min="12" max="12" width="11.375" style="225" customWidth="1"/>
    <col min="13" max="13" width="10.75" style="225" customWidth="1"/>
    <col min="14" max="14" width="14.75" style="225" customWidth="1"/>
    <col min="15" max="15" width="9.875" style="14" hidden="1" customWidth="1"/>
    <col min="16" max="16" width="27.625" style="225" customWidth="1"/>
    <col min="17" max="17" width="6.125" style="264" hidden="1" customWidth="1"/>
    <col min="18" max="18" width="11.625" style="225" hidden="1" customWidth="1"/>
    <col min="19" max="19" width="11.125" style="225" hidden="1" customWidth="1"/>
    <col min="20" max="20" width="6" style="14" hidden="1" customWidth="1"/>
    <col min="21" max="21" width="3" style="225" hidden="1" customWidth="1"/>
    <col min="22" max="22" width="6.125" style="188" hidden="1" customWidth="1"/>
    <col min="23" max="23" width="11.625" style="225" hidden="1" customWidth="1"/>
    <col min="24" max="24" width="11.125" style="225" hidden="1" customWidth="1"/>
    <col min="25" max="25" width="6" style="14" hidden="1" customWidth="1"/>
    <col min="26" max="26" width="0" style="225" hidden="1" customWidth="1"/>
    <col min="27" max="27" width="11.375" style="225" hidden="1" customWidth="1"/>
    <col min="28" max="28" width="10.75" style="225" hidden="1" customWidth="1"/>
    <col min="29" max="29" width="17.375" style="225" hidden="1" customWidth="1"/>
    <col min="30" max="16384" width="8.75" style="225"/>
  </cols>
  <sheetData>
    <row r="1" spans="1:28" ht="32.25" customHeight="1">
      <c r="A1" s="344" t="s">
        <v>80</v>
      </c>
      <c r="B1" s="362"/>
      <c r="C1" s="362"/>
      <c r="D1" s="362"/>
      <c r="E1" s="362"/>
      <c r="F1" s="362"/>
      <c r="G1" s="362"/>
      <c r="H1" s="362"/>
      <c r="I1" s="344"/>
      <c r="J1" s="344"/>
      <c r="K1" s="344"/>
      <c r="L1" s="344"/>
      <c r="M1" s="344"/>
      <c r="N1" s="344"/>
      <c r="O1" s="344"/>
      <c r="P1" s="344"/>
    </row>
    <row r="2" spans="1:28" ht="20.25">
      <c r="A2" s="15" t="s">
        <v>73</v>
      </c>
      <c r="B2" s="15"/>
      <c r="L2" s="191"/>
      <c r="M2" s="191"/>
      <c r="R2" s="191" t="s">
        <v>361</v>
      </c>
      <c r="S2" s="192"/>
      <c r="W2" s="191" t="s">
        <v>361</v>
      </c>
      <c r="X2" s="192"/>
    </row>
    <row r="3" spans="1:28" ht="20.25">
      <c r="H3" s="119">
        <f>G3-E3</f>
        <v>0</v>
      </c>
      <c r="I3" s="119"/>
      <c r="J3" s="119">
        <f>SUM(I6:J6)</f>
        <v>29008824</v>
      </c>
      <c r="K3" s="119"/>
      <c r="L3" s="120"/>
      <c r="M3" s="119">
        <f>SUM(L6:M6)</f>
        <v>3134642</v>
      </c>
      <c r="N3" s="188"/>
      <c r="O3" s="197"/>
      <c r="P3" s="16" t="s">
        <v>15</v>
      </c>
      <c r="R3" s="192" t="str">
        <f>IF(R6='일반 세입'!R6,"OK","@@")</f>
        <v>OK</v>
      </c>
      <c r="S3" s="225">
        <f>SUM(R6:S6)</f>
        <v>3134642</v>
      </c>
      <c r="T3" s="192" t="str">
        <f>IF(COUNTIF(T6:T1027,"@@")&gt;0,"@@","OK")</f>
        <v>OK</v>
      </c>
      <c r="W3" s="192" t="str">
        <f>IF(W6='일반 세입'!W6,"OK","@@")</f>
        <v>OK</v>
      </c>
      <c r="X3" s="225">
        <f>SUM(W6:X6)</f>
        <v>29008824</v>
      </c>
      <c r="Y3" s="192" t="str">
        <f>IF(COUNTIF(Y6:Y1027,"@@")&gt;0,"@@","OK")</f>
        <v>OK</v>
      </c>
      <c r="AA3" s="120"/>
      <c r="AB3" s="225">
        <f>SUM(AA6:AB6)</f>
        <v>97</v>
      </c>
    </row>
    <row r="4" spans="1:28" ht="30" customHeight="1">
      <c r="A4" s="345" t="s">
        <v>373</v>
      </c>
      <c r="B4" s="345"/>
      <c r="C4" s="346" t="s">
        <v>374</v>
      </c>
      <c r="D4" s="345" t="s">
        <v>375</v>
      </c>
      <c r="E4" s="345" t="s">
        <v>376</v>
      </c>
      <c r="F4" s="346" t="s">
        <v>69</v>
      </c>
      <c r="G4" s="346" t="s">
        <v>571</v>
      </c>
      <c r="H4" s="346" t="s">
        <v>572</v>
      </c>
      <c r="I4" s="347" t="s">
        <v>399</v>
      </c>
      <c r="J4" s="343"/>
      <c r="K4" s="346" t="s">
        <v>369</v>
      </c>
      <c r="L4" s="347" t="s">
        <v>573</v>
      </c>
      <c r="M4" s="343"/>
      <c r="N4" s="346" t="s">
        <v>574</v>
      </c>
      <c r="O4" s="348" t="s">
        <v>13</v>
      </c>
      <c r="P4" s="345" t="s">
        <v>562</v>
      </c>
      <c r="Q4" s="352" t="s">
        <v>11</v>
      </c>
      <c r="R4" s="351" t="s">
        <v>368</v>
      </c>
      <c r="S4" s="351"/>
      <c r="T4" s="351"/>
      <c r="V4" s="354" t="s">
        <v>11</v>
      </c>
      <c r="W4" s="342" t="s">
        <v>14</v>
      </c>
      <c r="X4" s="343"/>
      <c r="Y4" s="343"/>
      <c r="AA4" s="347" t="s">
        <v>402</v>
      </c>
      <c r="AB4" s="343"/>
    </row>
    <row r="5" spans="1:28" ht="18" customHeight="1">
      <c r="A5" s="345"/>
      <c r="B5" s="345"/>
      <c r="C5" s="346"/>
      <c r="D5" s="345"/>
      <c r="E5" s="345"/>
      <c r="F5" s="345"/>
      <c r="G5" s="345"/>
      <c r="H5" s="345"/>
      <c r="I5" s="281" t="s">
        <v>0</v>
      </c>
      <c r="J5" s="281" t="s">
        <v>1</v>
      </c>
      <c r="K5" s="345"/>
      <c r="L5" s="281" t="s">
        <v>0</v>
      </c>
      <c r="M5" s="281" t="s">
        <v>1</v>
      </c>
      <c r="N5" s="345"/>
      <c r="O5" s="348"/>
      <c r="P5" s="345"/>
      <c r="Q5" s="353"/>
      <c r="R5" s="281" t="s">
        <v>4</v>
      </c>
      <c r="S5" s="281" t="s">
        <v>2</v>
      </c>
      <c r="T5" s="281" t="s">
        <v>5</v>
      </c>
      <c r="V5" s="355"/>
      <c r="W5" s="281" t="s">
        <v>4</v>
      </c>
      <c r="X5" s="281" t="s">
        <v>2</v>
      </c>
      <c r="Y5" s="281" t="s">
        <v>5</v>
      </c>
      <c r="AA5" s="281" t="s">
        <v>0</v>
      </c>
      <c r="AB5" s="281" t="s">
        <v>1</v>
      </c>
    </row>
    <row r="6" spans="1:28" ht="47.25" customHeight="1">
      <c r="A6" s="17"/>
      <c r="B6" s="18" t="s">
        <v>3</v>
      </c>
      <c r="C6" s="19"/>
      <c r="D6" s="19"/>
      <c r="E6" s="19"/>
      <c r="F6" s="77">
        <f t="shared" ref="F6:N6" si="0">SUM(F7:F134)/3</f>
        <v>1702695634</v>
      </c>
      <c r="G6" s="77">
        <f t="shared" si="0"/>
        <v>1537936588</v>
      </c>
      <c r="H6" s="77">
        <f t="shared" si="0"/>
        <v>211987699</v>
      </c>
      <c r="I6" s="77">
        <f t="shared" si="0"/>
        <v>-4102374</v>
      </c>
      <c r="J6" s="77">
        <f t="shared" si="0"/>
        <v>33111198</v>
      </c>
      <c r="K6" s="77">
        <f t="shared" si="0"/>
        <v>1778933111</v>
      </c>
      <c r="L6" s="77">
        <f t="shared" si="0"/>
        <v>-18673514</v>
      </c>
      <c r="M6" s="77">
        <f t="shared" si="0"/>
        <v>21808156</v>
      </c>
      <c r="N6" s="77">
        <f t="shared" si="0"/>
        <v>1753058929</v>
      </c>
      <c r="O6" s="222"/>
      <c r="P6" s="194"/>
      <c r="Q6" s="265"/>
      <c r="R6" s="77">
        <f>SUM(R7:R134)/3</f>
        <v>3334803</v>
      </c>
      <c r="S6" s="77">
        <f>SUM(S7:S134)/3</f>
        <v>-200161</v>
      </c>
      <c r="T6" s="195" t="str">
        <f>IF((L6+M6)=(R6+S6),"OK","검토")</f>
        <v>OK</v>
      </c>
      <c r="V6" s="166"/>
      <c r="W6" s="77">
        <f>SUM(W7:W134)/3</f>
        <v>3253590</v>
      </c>
      <c r="X6" s="77">
        <f>SUM(X7:X134)/3</f>
        <v>25755234</v>
      </c>
      <c r="Y6" s="195" t="str">
        <f>IF((I6+J6)=(W6+X6),"OK","검토")</f>
        <v>OK</v>
      </c>
      <c r="AA6" s="249">
        <f>SUM(AA7:AA134)</f>
        <v>97</v>
      </c>
      <c r="AB6" s="249">
        <f>SUM(AB7:AB134)</f>
        <v>0</v>
      </c>
    </row>
    <row r="7" spans="1:28" ht="31.5" customHeight="1">
      <c r="A7" s="1" t="s">
        <v>25</v>
      </c>
      <c r="B7" s="75"/>
      <c r="C7" s="75"/>
      <c r="D7" s="179"/>
      <c r="E7" s="180"/>
      <c r="F7" s="76">
        <f>SUM(F8:F14)/2</f>
        <v>6043490</v>
      </c>
      <c r="G7" s="76">
        <f t="shared" ref="G7:N7" si="1">SUM(G8:G14)/2</f>
        <v>4932490</v>
      </c>
      <c r="H7" s="76">
        <f t="shared" si="1"/>
        <v>1111000</v>
      </c>
      <c r="I7" s="76">
        <f t="shared" si="1"/>
        <v>0</v>
      </c>
      <c r="J7" s="76">
        <f t="shared" si="1"/>
        <v>60920</v>
      </c>
      <c r="K7" s="76">
        <f t="shared" si="1"/>
        <v>6104410</v>
      </c>
      <c r="L7" s="76">
        <f t="shared" si="1"/>
        <v>-1040000</v>
      </c>
      <c r="M7" s="76">
        <f t="shared" si="1"/>
        <v>60920</v>
      </c>
      <c r="N7" s="76">
        <f t="shared" si="1"/>
        <v>5064410</v>
      </c>
      <c r="O7" s="75"/>
      <c r="P7" s="76"/>
      <c r="Q7" s="266"/>
      <c r="R7" s="76">
        <f t="shared" ref="R7:S7" si="2">SUM(R8:R14)/2</f>
        <v>0</v>
      </c>
      <c r="S7" s="76">
        <f t="shared" si="2"/>
        <v>-979080</v>
      </c>
      <c r="T7" s="222" t="str">
        <f t="shared" ref="T7:T86" si="3">IF((L7+M7)=(R7+S7),"ok","검토")</f>
        <v>ok</v>
      </c>
      <c r="V7" s="75"/>
      <c r="W7" s="76">
        <f t="shared" ref="W7" si="4">SUM(W8:W14)/2</f>
        <v>0</v>
      </c>
      <c r="X7" s="76">
        <f t="shared" ref="X7" si="5">SUM(X8:X14)/2</f>
        <v>60920</v>
      </c>
      <c r="Y7" s="222" t="str">
        <f t="shared" ref="Y7:Y87" si="6">IF((I7+J7)=(W7+X7),"ok","검토")</f>
        <v>ok</v>
      </c>
      <c r="AA7" s="250"/>
      <c r="AB7" s="250"/>
    </row>
    <row r="8" spans="1:28" ht="31.5" customHeight="1">
      <c r="A8" s="223"/>
      <c r="B8" s="78" t="s">
        <v>135</v>
      </c>
      <c r="C8" s="80"/>
      <c r="D8" s="134"/>
      <c r="E8" s="181"/>
      <c r="F8" s="81">
        <f>SUM(F9:F11)</f>
        <v>537490</v>
      </c>
      <c r="G8" s="81">
        <f t="shared" ref="G8:N8" si="7">SUM(G9:G11)</f>
        <v>366490</v>
      </c>
      <c r="H8" s="81">
        <f t="shared" si="7"/>
        <v>171000</v>
      </c>
      <c r="I8" s="81">
        <f t="shared" si="7"/>
        <v>0</v>
      </c>
      <c r="J8" s="81">
        <f t="shared" si="7"/>
        <v>60920</v>
      </c>
      <c r="K8" s="81">
        <f t="shared" si="7"/>
        <v>598410</v>
      </c>
      <c r="L8" s="81">
        <f t="shared" si="7"/>
        <v>-100000</v>
      </c>
      <c r="M8" s="81">
        <f t="shared" si="7"/>
        <v>60920</v>
      </c>
      <c r="N8" s="81">
        <f t="shared" si="7"/>
        <v>498410</v>
      </c>
      <c r="O8" s="80"/>
      <c r="P8" s="81"/>
      <c r="Q8" s="266"/>
      <c r="R8" s="81">
        <f t="shared" ref="R8:S8" si="8">SUM(R9:R11)</f>
        <v>0</v>
      </c>
      <c r="S8" s="81">
        <f t="shared" si="8"/>
        <v>-39080</v>
      </c>
      <c r="T8" s="222" t="str">
        <f t="shared" si="3"/>
        <v>ok</v>
      </c>
      <c r="V8" s="80"/>
      <c r="W8" s="81">
        <f t="shared" ref="W8:X8" si="9">SUM(W9:W11)</f>
        <v>0</v>
      </c>
      <c r="X8" s="81">
        <f t="shared" si="9"/>
        <v>60920</v>
      </c>
      <c r="Y8" s="222" t="str">
        <f t="shared" si="6"/>
        <v>ok</v>
      </c>
      <c r="AA8" s="251"/>
      <c r="AB8" s="251"/>
    </row>
    <row r="9" spans="1:28" ht="31.5" customHeight="1">
      <c r="A9" s="123"/>
      <c r="B9" s="227" t="s">
        <v>87</v>
      </c>
      <c r="C9" s="227">
        <v>233</v>
      </c>
      <c r="D9" s="228" t="s">
        <v>216</v>
      </c>
      <c r="E9" s="230" t="s">
        <v>217</v>
      </c>
      <c r="F9" s="83">
        <v>358890</v>
      </c>
      <c r="G9" s="83">
        <v>287890</v>
      </c>
      <c r="H9" s="215">
        <f>IF(SUMPRODUCT(COUNTIF(C9,{"*본예산*","*신규*"})),"-",F9-G9)</f>
        <v>71000</v>
      </c>
      <c r="I9" s="83"/>
      <c r="J9" s="83">
        <v>60920</v>
      </c>
      <c r="K9" s="215">
        <f>IF(F9=0,G9+I9+J9,F9+I9+J9)</f>
        <v>419810</v>
      </c>
      <c r="L9" s="83"/>
      <c r="M9" s="83">
        <v>60920</v>
      </c>
      <c r="N9" s="215">
        <f>IF(F9=0,G9+L9+M9,F9+L9+M9)</f>
        <v>419810</v>
      </c>
      <c r="O9" s="198" t="str">
        <f>IF(I9-L9&lt;0,"동의필요","-")</f>
        <v>-</v>
      </c>
      <c r="P9" s="228" t="s">
        <v>540</v>
      </c>
      <c r="Q9" s="189" t="s">
        <v>17</v>
      </c>
      <c r="R9" s="83">
        <f>IF(Q9&lt;&gt;"도비",SUM(L9:M9),)</f>
        <v>0</v>
      </c>
      <c r="S9" s="83">
        <f>IF(Q9="도비",SUM(L9:M9),SUM(L9:M9)-R9)</f>
        <v>60920</v>
      </c>
      <c r="T9" s="222" t="str">
        <f t="shared" si="3"/>
        <v>ok</v>
      </c>
      <c r="V9" s="236" t="s">
        <v>17</v>
      </c>
      <c r="W9" s="83">
        <f>IF(V9&lt;&gt;"도비",SUM(I9:J9),)</f>
        <v>0</v>
      </c>
      <c r="X9" s="83">
        <f>IF(V9="도비",SUM(I9:J9),SUM(I9:J9)-W9)</f>
        <v>60920</v>
      </c>
      <c r="Y9" s="222" t="str">
        <f t="shared" si="6"/>
        <v>ok</v>
      </c>
      <c r="AA9" s="252">
        <v>1</v>
      </c>
      <c r="AB9" s="252"/>
    </row>
    <row r="10" spans="1:28" ht="31.5" customHeight="1">
      <c r="A10" s="123"/>
      <c r="B10" s="227" t="s">
        <v>87</v>
      </c>
      <c r="C10" s="227">
        <v>232</v>
      </c>
      <c r="D10" s="228" t="s">
        <v>216</v>
      </c>
      <c r="E10" s="230" t="s">
        <v>452</v>
      </c>
      <c r="F10" s="83">
        <v>70000</v>
      </c>
      <c r="G10" s="83"/>
      <c r="H10" s="215">
        <f>IF(SUMPRODUCT(COUNTIF(C10,{"*본예산*","*신규*"})),"-",F10-G10)</f>
        <v>70000</v>
      </c>
      <c r="I10" s="83"/>
      <c r="J10" s="83"/>
      <c r="K10" s="215">
        <f>IF(F10=0,G10+I10+J10,F10+I10+J10)</f>
        <v>70000</v>
      </c>
      <c r="L10" s="83">
        <v>-70000</v>
      </c>
      <c r="M10" s="83"/>
      <c r="N10" s="215">
        <f>IF(F10=0,G10+L10+M10,F10+L10+M10)</f>
        <v>0</v>
      </c>
      <c r="O10" s="198" t="str">
        <f>IF(I10-L10&lt;0,"동의필요","-")</f>
        <v>-</v>
      </c>
      <c r="P10" s="228" t="s">
        <v>541</v>
      </c>
      <c r="Q10" s="189" t="s">
        <v>17</v>
      </c>
      <c r="R10" s="83">
        <f>IF(Q10&lt;&gt;"도비",SUM(L10:M10),)</f>
        <v>0</v>
      </c>
      <c r="S10" s="83">
        <f>IF(Q10="도비",SUM(L10:M10),SUM(L10:M10)-R10)</f>
        <v>-70000</v>
      </c>
      <c r="T10" s="222" t="str">
        <f t="shared" si="3"/>
        <v>ok</v>
      </c>
      <c r="V10" s="236" t="s">
        <v>17</v>
      </c>
      <c r="W10" s="83">
        <f>IF(V10&lt;&gt;"도비",SUM(I10:J10),)</f>
        <v>0</v>
      </c>
      <c r="X10" s="83">
        <f>IF(V10="도비",SUM(I10:J10),SUM(I10:J10)-W10)</f>
        <v>0</v>
      </c>
      <c r="Y10" s="222" t="str">
        <f t="shared" si="6"/>
        <v>ok</v>
      </c>
      <c r="AA10" s="252">
        <v>1</v>
      </c>
      <c r="AB10" s="252"/>
    </row>
    <row r="11" spans="1:28" ht="31.5" customHeight="1">
      <c r="A11" s="123"/>
      <c r="B11" s="227" t="s">
        <v>87</v>
      </c>
      <c r="C11" s="227">
        <v>232</v>
      </c>
      <c r="D11" s="228" t="s">
        <v>216</v>
      </c>
      <c r="E11" s="230" t="s">
        <v>453</v>
      </c>
      <c r="F11" s="83">
        <v>108600</v>
      </c>
      <c r="G11" s="83">
        <v>78600</v>
      </c>
      <c r="H11" s="215">
        <f>IF(SUMPRODUCT(COUNTIF(C11,{"*본예산*","*신규*"})),"-",F11-G11)</f>
        <v>30000</v>
      </c>
      <c r="I11" s="83"/>
      <c r="J11" s="83"/>
      <c r="K11" s="215">
        <f>IF(F11=0,G11+I11+J11,F11+I11+J11)</f>
        <v>108600</v>
      </c>
      <c r="L11" s="83">
        <v>-30000</v>
      </c>
      <c r="M11" s="83"/>
      <c r="N11" s="215">
        <f>IF(F11=0,G11+L11+M11,F11+L11+M11)</f>
        <v>78600</v>
      </c>
      <c r="O11" s="198" t="str">
        <f>IF(I11-L11&lt;0,"동의필요","-")</f>
        <v>-</v>
      </c>
      <c r="P11" s="228" t="s">
        <v>542</v>
      </c>
      <c r="Q11" s="189" t="s">
        <v>17</v>
      </c>
      <c r="R11" s="83">
        <f>IF(Q11&lt;&gt;"도비",SUM(L11:M11),)</f>
        <v>0</v>
      </c>
      <c r="S11" s="83">
        <f>IF(Q11="도비",SUM(L11:M11),SUM(L11:M11)-R11)</f>
        <v>-30000</v>
      </c>
      <c r="T11" s="222" t="str">
        <f t="shared" si="3"/>
        <v>ok</v>
      </c>
      <c r="V11" s="236" t="s">
        <v>17</v>
      </c>
      <c r="W11" s="83">
        <f>IF(V11&lt;&gt;"도비",SUM(I11:J11),)</f>
        <v>0</v>
      </c>
      <c r="X11" s="83">
        <f>IF(V11="도비",SUM(I11:J11),SUM(I11:J11)-W11)</f>
        <v>0</v>
      </c>
      <c r="Y11" s="222" t="str">
        <f t="shared" si="6"/>
        <v>ok</v>
      </c>
      <c r="AA11" s="252">
        <v>1</v>
      </c>
      <c r="AB11" s="252"/>
    </row>
    <row r="12" spans="1:28" ht="31.5" customHeight="1">
      <c r="A12" s="223"/>
      <c r="B12" s="78" t="s">
        <v>454</v>
      </c>
      <c r="C12" s="80"/>
      <c r="D12" s="134"/>
      <c r="E12" s="181"/>
      <c r="F12" s="81">
        <f>SUM(F13:F14)</f>
        <v>5506000</v>
      </c>
      <c r="G12" s="81">
        <f t="shared" ref="G12:N12" si="10">SUM(G13:G14)</f>
        <v>4566000</v>
      </c>
      <c r="H12" s="81">
        <f t="shared" si="10"/>
        <v>940000</v>
      </c>
      <c r="I12" s="81">
        <f t="shared" si="10"/>
        <v>0</v>
      </c>
      <c r="J12" s="81">
        <f t="shared" si="10"/>
        <v>0</v>
      </c>
      <c r="K12" s="81">
        <f t="shared" si="10"/>
        <v>5506000</v>
      </c>
      <c r="L12" s="81">
        <f t="shared" si="10"/>
        <v>-940000</v>
      </c>
      <c r="M12" s="81">
        <f t="shared" si="10"/>
        <v>0</v>
      </c>
      <c r="N12" s="81">
        <f t="shared" si="10"/>
        <v>4566000</v>
      </c>
      <c r="O12" s="80"/>
      <c r="P12" s="81"/>
      <c r="Q12" s="266"/>
      <c r="R12" s="81">
        <f t="shared" ref="R12:S12" si="11">SUM(R13:R14)</f>
        <v>0</v>
      </c>
      <c r="S12" s="81">
        <f t="shared" si="11"/>
        <v>-940000</v>
      </c>
      <c r="T12" s="222" t="str">
        <f t="shared" si="3"/>
        <v>ok</v>
      </c>
      <c r="V12" s="80"/>
      <c r="W12" s="81">
        <f t="shared" ref="W12:X12" si="12">SUM(W13:W14)</f>
        <v>0</v>
      </c>
      <c r="X12" s="81">
        <f t="shared" si="12"/>
        <v>0</v>
      </c>
      <c r="Y12" s="222" t="str">
        <f t="shared" si="6"/>
        <v>ok</v>
      </c>
      <c r="AA12" s="251"/>
      <c r="AB12" s="251"/>
    </row>
    <row r="13" spans="1:28" ht="31.5" customHeight="1">
      <c r="A13" s="123"/>
      <c r="B13" s="227" t="s">
        <v>87</v>
      </c>
      <c r="C13" s="227">
        <v>238</v>
      </c>
      <c r="D13" s="228" t="s">
        <v>456</v>
      </c>
      <c r="E13" s="230" t="s">
        <v>455</v>
      </c>
      <c r="F13" s="83">
        <v>1776000</v>
      </c>
      <c r="G13" s="83">
        <v>1226000</v>
      </c>
      <c r="H13" s="215">
        <f>IF(SUMPRODUCT(COUNTIF(C13,{"*본예산*","*신규*"})),"-",F13-G13)</f>
        <v>550000</v>
      </c>
      <c r="I13" s="83"/>
      <c r="J13" s="83"/>
      <c r="K13" s="215">
        <f>IF(F13=0,G13+I13+J13,F13+I13+J13)</f>
        <v>1776000</v>
      </c>
      <c r="L13" s="83">
        <v>-550000</v>
      </c>
      <c r="M13" s="83"/>
      <c r="N13" s="215">
        <f>IF(F13=0,G13+L13+M13,F13+L13+M13)</f>
        <v>1226000</v>
      </c>
      <c r="O13" s="198" t="str">
        <f>IF(I13-L13&lt;0,"동의필요","-")</f>
        <v>-</v>
      </c>
      <c r="P13" s="228" t="s">
        <v>543</v>
      </c>
      <c r="Q13" s="189" t="s">
        <v>17</v>
      </c>
      <c r="R13" s="83">
        <f>IF(Q13&lt;&gt;"도비",SUM(L13:M13),)</f>
        <v>0</v>
      </c>
      <c r="S13" s="83">
        <f>IF(Q13="도비",SUM(L13:M13),SUM(L13:M13)-R13)</f>
        <v>-550000</v>
      </c>
      <c r="T13" s="222" t="str">
        <f t="shared" si="3"/>
        <v>ok</v>
      </c>
      <c r="V13" s="236" t="s">
        <v>17</v>
      </c>
      <c r="W13" s="83">
        <f>IF(V13&lt;&gt;"도비",SUM(I13:J13),)</f>
        <v>0</v>
      </c>
      <c r="X13" s="83">
        <f>IF(V13="도비",SUM(I13:J13),SUM(I13:J13)-W13)</f>
        <v>0</v>
      </c>
      <c r="Y13" s="222" t="str">
        <f t="shared" si="6"/>
        <v>ok</v>
      </c>
      <c r="AA13" s="252">
        <v>1</v>
      </c>
      <c r="AB13" s="252"/>
    </row>
    <row r="14" spans="1:28" ht="31.5" customHeight="1">
      <c r="A14" s="123"/>
      <c r="B14" s="227" t="s">
        <v>87</v>
      </c>
      <c r="C14" s="227">
        <v>239</v>
      </c>
      <c r="D14" s="228" t="s">
        <v>457</v>
      </c>
      <c r="E14" s="230" t="s">
        <v>458</v>
      </c>
      <c r="F14" s="83">
        <v>3730000</v>
      </c>
      <c r="G14" s="83">
        <v>3340000</v>
      </c>
      <c r="H14" s="215">
        <f>IF(SUMPRODUCT(COUNTIF(C14,{"*본예산*","*신규*"})),"-",F14-G14)</f>
        <v>390000</v>
      </c>
      <c r="I14" s="83"/>
      <c r="J14" s="83"/>
      <c r="K14" s="215">
        <f>IF(F14=0,G14+I14+J14,F14+I14+J14)</f>
        <v>3730000</v>
      </c>
      <c r="L14" s="83">
        <v>-390000</v>
      </c>
      <c r="M14" s="83"/>
      <c r="N14" s="215">
        <f>IF(F14=0,G14+L14+M14,F14+L14+M14)</f>
        <v>3340000</v>
      </c>
      <c r="O14" s="198" t="str">
        <f>IF(I14-L14&lt;0,"동의필요","-")</f>
        <v>-</v>
      </c>
      <c r="P14" s="228" t="s">
        <v>543</v>
      </c>
      <c r="Q14" s="189" t="s">
        <v>17</v>
      </c>
      <c r="R14" s="83">
        <f>IF(Q14&lt;&gt;"도비",SUM(L14:M14),)</f>
        <v>0</v>
      </c>
      <c r="S14" s="83">
        <f>IF(Q14="도비",SUM(L14:M14),SUM(L14:M14)-R14)</f>
        <v>-390000</v>
      </c>
      <c r="T14" s="222" t="str">
        <f t="shared" si="3"/>
        <v>ok</v>
      </c>
      <c r="V14" s="236" t="s">
        <v>17</v>
      </c>
      <c r="W14" s="83">
        <f>IF(V14&lt;&gt;"도비",SUM(I14:J14),)</f>
        <v>0</v>
      </c>
      <c r="X14" s="83">
        <f>IF(V14="도비",SUM(I14:J14),SUM(I14:J14)-W14)</f>
        <v>0</v>
      </c>
      <c r="Y14" s="222" t="str">
        <f t="shared" si="6"/>
        <v>ok</v>
      </c>
      <c r="AA14" s="252">
        <v>1</v>
      </c>
      <c r="AB14" s="252"/>
    </row>
    <row r="15" spans="1:28" ht="31.5" customHeight="1">
      <c r="A15" s="1" t="s">
        <v>171</v>
      </c>
      <c r="B15" s="75"/>
      <c r="C15" s="75"/>
      <c r="D15" s="179"/>
      <c r="E15" s="180"/>
      <c r="F15" s="76">
        <f t="shared" ref="F15:N15" si="13">SUM(F16:F23)/2</f>
        <v>1570648622</v>
      </c>
      <c r="G15" s="76">
        <f t="shared" si="13"/>
        <v>1399359490</v>
      </c>
      <c r="H15" s="76">
        <f t="shared" si="13"/>
        <v>171289132</v>
      </c>
      <c r="I15" s="76">
        <f t="shared" si="13"/>
        <v>-1910000</v>
      </c>
      <c r="J15" s="76">
        <f t="shared" si="13"/>
        <v>0</v>
      </c>
      <c r="K15" s="76">
        <f t="shared" si="13"/>
        <v>1568738622</v>
      </c>
      <c r="L15" s="76">
        <f t="shared" si="13"/>
        <v>-14046635</v>
      </c>
      <c r="M15" s="76">
        <f t="shared" si="13"/>
        <v>0</v>
      </c>
      <c r="N15" s="76">
        <f t="shared" si="13"/>
        <v>1556601987</v>
      </c>
      <c r="O15" s="75"/>
      <c r="P15" s="76"/>
      <c r="Q15" s="266"/>
      <c r="R15" s="76">
        <f>SUM(R16:R23)/2</f>
        <v>0</v>
      </c>
      <c r="S15" s="76">
        <f>SUM(S16:S23)/2</f>
        <v>-14046635</v>
      </c>
      <c r="T15" s="222" t="str">
        <f t="shared" si="3"/>
        <v>ok</v>
      </c>
      <c r="V15" s="75"/>
      <c r="W15" s="76">
        <f>SUM(W16:W23)/2</f>
        <v>0</v>
      </c>
      <c r="X15" s="76">
        <f>SUM(X16:X23)/2</f>
        <v>-1910000</v>
      </c>
      <c r="Y15" s="222" t="str">
        <f t="shared" si="6"/>
        <v>ok</v>
      </c>
      <c r="AA15" s="250"/>
      <c r="AB15" s="250"/>
    </row>
    <row r="16" spans="1:28" ht="31.5" customHeight="1">
      <c r="A16" s="223"/>
      <c r="B16" s="78" t="s">
        <v>172</v>
      </c>
      <c r="C16" s="80"/>
      <c r="D16" s="134"/>
      <c r="E16" s="181"/>
      <c r="F16" s="81">
        <f t="shared" ref="F16:N16" si="14">SUM(F17:F20)</f>
        <v>1570348622</v>
      </c>
      <c r="G16" s="81">
        <f t="shared" si="14"/>
        <v>1399359490</v>
      </c>
      <c r="H16" s="81">
        <f t="shared" si="14"/>
        <v>170989132</v>
      </c>
      <c r="I16" s="81">
        <f t="shared" si="14"/>
        <v>-1910000</v>
      </c>
      <c r="J16" s="81">
        <f t="shared" si="14"/>
        <v>0</v>
      </c>
      <c r="K16" s="81">
        <f t="shared" si="14"/>
        <v>1568438622</v>
      </c>
      <c r="L16" s="81">
        <f t="shared" si="14"/>
        <v>-13846635</v>
      </c>
      <c r="M16" s="81">
        <f t="shared" si="14"/>
        <v>0</v>
      </c>
      <c r="N16" s="81">
        <f t="shared" si="14"/>
        <v>1556501987</v>
      </c>
      <c r="O16" s="80"/>
      <c r="P16" s="81"/>
      <c r="Q16" s="266"/>
      <c r="R16" s="81">
        <f>SUM(R17:R20)</f>
        <v>0</v>
      </c>
      <c r="S16" s="81">
        <f>SUM(S17:S20)</f>
        <v>-13846635</v>
      </c>
      <c r="T16" s="222" t="str">
        <f t="shared" si="3"/>
        <v>ok</v>
      </c>
      <c r="V16" s="80"/>
      <c r="W16" s="81">
        <f>SUM(W17:W20)</f>
        <v>0</v>
      </c>
      <c r="X16" s="81">
        <f>SUM(X17:X20)</f>
        <v>-1910000</v>
      </c>
      <c r="Y16" s="222" t="str">
        <f t="shared" si="6"/>
        <v>ok</v>
      </c>
      <c r="AA16" s="251"/>
      <c r="AB16" s="251"/>
    </row>
    <row r="17" spans="1:28" ht="41.25" customHeight="1">
      <c r="A17" s="123"/>
      <c r="B17" s="227" t="s">
        <v>87</v>
      </c>
      <c r="C17" s="227">
        <v>261</v>
      </c>
      <c r="D17" s="182" t="s">
        <v>218</v>
      </c>
      <c r="E17" s="230" t="s">
        <v>219</v>
      </c>
      <c r="F17" s="83">
        <v>1000000</v>
      </c>
      <c r="G17" s="83">
        <v>300000</v>
      </c>
      <c r="H17" s="215">
        <f>IF(SUMPRODUCT(COUNTIF(C17,{"*본예산*","*신규*"})),"-",F17-G17)</f>
        <v>700000</v>
      </c>
      <c r="I17" s="83">
        <v>-500000</v>
      </c>
      <c r="J17" s="83"/>
      <c r="K17" s="215">
        <f t="shared" ref="K17:K18" si="15">IF(F17=0,G17+I17+J17,F17+I17+J17)</f>
        <v>500000</v>
      </c>
      <c r="L17" s="83">
        <v>-500000</v>
      </c>
      <c r="M17" s="83"/>
      <c r="N17" s="215">
        <f t="shared" ref="N17:N18" si="16">IF(F17=0,G17+L17+M17,F17+L17+M17)</f>
        <v>500000</v>
      </c>
      <c r="O17" s="198" t="str">
        <f t="shared" ref="O17:O18" si="17">IF(I17-L17&lt;0,"동의필요","-")</f>
        <v>-</v>
      </c>
      <c r="P17" s="228" t="s">
        <v>544</v>
      </c>
      <c r="Q17" s="189" t="s">
        <v>17</v>
      </c>
      <c r="R17" s="83">
        <f t="shared" ref="R17:R18" si="18">IF(Q17&lt;&gt;"도비",SUM(L17:M17),)</f>
        <v>0</v>
      </c>
      <c r="S17" s="83">
        <f t="shared" ref="S17:S18" si="19">IF(Q17="도비",SUM(L17:M17),SUM(L17:M17)-R17)</f>
        <v>-500000</v>
      </c>
      <c r="T17" s="222" t="str">
        <f t="shared" si="3"/>
        <v>ok</v>
      </c>
      <c r="V17" s="236" t="s">
        <v>17</v>
      </c>
      <c r="W17" s="83">
        <f t="shared" ref="W17:W18" si="20">IF(V17&lt;&gt;"도비",SUM(I17:J17),)</f>
        <v>0</v>
      </c>
      <c r="X17" s="83">
        <f t="shared" ref="X17:X18" si="21">IF(V17="도비",SUM(I17:J17),SUM(I17:J17)-W17)</f>
        <v>-500000</v>
      </c>
      <c r="Y17" s="222" t="str">
        <f t="shared" si="6"/>
        <v>ok</v>
      </c>
      <c r="AA17" s="252">
        <v>1</v>
      </c>
      <c r="AB17" s="252"/>
    </row>
    <row r="18" spans="1:28" ht="36.75" customHeight="1">
      <c r="A18" s="123"/>
      <c r="B18" s="227" t="s">
        <v>87</v>
      </c>
      <c r="C18" s="229">
        <v>269</v>
      </c>
      <c r="D18" s="182" t="s">
        <v>220</v>
      </c>
      <c r="E18" s="230" t="s">
        <v>221</v>
      </c>
      <c r="F18" s="83">
        <v>210000</v>
      </c>
      <c r="G18" s="83"/>
      <c r="H18" s="215">
        <f>IF(SUMPRODUCT(COUNTIF(C18,{"*본예산*","*신규*"})),"-",F18-G18)</f>
        <v>210000</v>
      </c>
      <c r="I18" s="83">
        <v>-210000</v>
      </c>
      <c r="J18" s="83"/>
      <c r="K18" s="215">
        <f t="shared" si="15"/>
        <v>0</v>
      </c>
      <c r="L18" s="83">
        <v>0</v>
      </c>
      <c r="M18" s="83">
        <v>0</v>
      </c>
      <c r="N18" s="215">
        <f t="shared" si="16"/>
        <v>210000</v>
      </c>
      <c r="O18" s="198" t="str">
        <f t="shared" si="17"/>
        <v>동의필요</v>
      </c>
      <c r="P18" s="228" t="s">
        <v>546</v>
      </c>
      <c r="Q18" s="189" t="s">
        <v>151</v>
      </c>
      <c r="R18" s="83">
        <f t="shared" si="18"/>
        <v>0</v>
      </c>
      <c r="S18" s="83">
        <f t="shared" si="19"/>
        <v>0</v>
      </c>
      <c r="T18" s="222" t="str">
        <f t="shared" si="3"/>
        <v>ok</v>
      </c>
      <c r="V18" s="236" t="s">
        <v>151</v>
      </c>
      <c r="W18" s="83">
        <f t="shared" si="20"/>
        <v>0</v>
      </c>
      <c r="X18" s="83">
        <f t="shared" si="21"/>
        <v>-210000</v>
      </c>
      <c r="Y18" s="222" t="str">
        <f t="shared" si="6"/>
        <v>ok</v>
      </c>
      <c r="AA18" s="252">
        <v>1</v>
      </c>
      <c r="AB18" s="252"/>
    </row>
    <row r="19" spans="1:28" ht="61.5" customHeight="1">
      <c r="A19" s="223"/>
      <c r="B19" s="227" t="s">
        <v>87</v>
      </c>
      <c r="C19" s="229">
        <v>269</v>
      </c>
      <c r="D19" s="182" t="s">
        <v>220</v>
      </c>
      <c r="E19" s="230" t="s">
        <v>222</v>
      </c>
      <c r="F19" s="83">
        <v>1700000</v>
      </c>
      <c r="G19" s="154"/>
      <c r="H19" s="215">
        <f>IF(SUMPRODUCT(COUNTIF(C19,{"*본예산*","*신규*"})),"-",F19-G19)</f>
        <v>1700000</v>
      </c>
      <c r="I19" s="83">
        <v>-1200000</v>
      </c>
      <c r="J19" s="83"/>
      <c r="K19" s="215">
        <f>IF(F19=0,G19+I19+J19,F19+I19+J19)</f>
        <v>500000</v>
      </c>
      <c r="L19" s="83">
        <v>-1200000</v>
      </c>
      <c r="M19" s="83"/>
      <c r="N19" s="215">
        <f>IF(F19=0,G19+L19+M19,F19+L19+M19)</f>
        <v>500000</v>
      </c>
      <c r="O19" s="198" t="str">
        <f>IF(I19-L19&lt;0,"동의필요","-")</f>
        <v>-</v>
      </c>
      <c r="P19" s="228" t="s">
        <v>541</v>
      </c>
      <c r="Q19" s="189" t="s">
        <v>89</v>
      </c>
      <c r="R19" s="83">
        <f>IF(Q19&lt;&gt;"도비",SUM(L19:M19),)</f>
        <v>0</v>
      </c>
      <c r="S19" s="83">
        <f>IF(Q19="도비",SUM(L19:M19),SUM(L19:M19)-R19)</f>
        <v>-1200000</v>
      </c>
      <c r="T19" s="222" t="str">
        <f>IF((L19+M19)=(R19+S19),"ok","검토")</f>
        <v>ok</v>
      </c>
      <c r="V19" s="236" t="s">
        <v>89</v>
      </c>
      <c r="W19" s="83">
        <f>IF(V19&lt;&gt;"도비",SUM(I19:J19),)</f>
        <v>0</v>
      </c>
      <c r="X19" s="83">
        <f>IF(V19="도비",SUM(I19:J19),SUM(I19:J19)-W19)</f>
        <v>-1200000</v>
      </c>
      <c r="Y19" s="222" t="str">
        <f>IF((I19+J19)=(W19+X19),"ok","검토")</f>
        <v>ok</v>
      </c>
      <c r="AA19" s="252">
        <v>1</v>
      </c>
      <c r="AB19" s="252"/>
    </row>
    <row r="20" spans="1:28" ht="36.75" customHeight="1">
      <c r="A20" s="123"/>
      <c r="B20" s="227" t="s">
        <v>557</v>
      </c>
      <c r="C20" s="229">
        <v>263</v>
      </c>
      <c r="D20" s="182" t="s">
        <v>485</v>
      </c>
      <c r="E20" s="230" t="s">
        <v>563</v>
      </c>
      <c r="F20" s="83">
        <v>1567438622</v>
      </c>
      <c r="G20" s="83">
        <v>1399059490</v>
      </c>
      <c r="H20" s="215">
        <f>IF(SUMPRODUCT(COUNTIF(C20,{"*본예산*","*신규*"})),"-",F20-G20)</f>
        <v>168379132</v>
      </c>
      <c r="I20" s="83"/>
      <c r="J20" s="83"/>
      <c r="K20" s="215">
        <f t="shared" ref="K20" si="22">IF(F20=0,G20+I20+J20,F20+I20+J20)</f>
        <v>1567438622</v>
      </c>
      <c r="L20" s="83">
        <f>-11446635-700000</f>
        <v>-12146635</v>
      </c>
      <c r="M20" s="83"/>
      <c r="N20" s="215">
        <f t="shared" ref="N20" si="23">IF(F20=0,G20+L20+M20,F20+L20+M20)</f>
        <v>1555291987</v>
      </c>
      <c r="O20" s="198" t="str">
        <f t="shared" ref="O20" si="24">IF(I20-L20&lt;0,"동의필요","-")</f>
        <v>-</v>
      </c>
      <c r="P20" s="228" t="s">
        <v>545</v>
      </c>
      <c r="Q20" s="189" t="s">
        <v>89</v>
      </c>
      <c r="R20" s="83">
        <f t="shared" ref="R20" si="25">IF(Q20&lt;&gt;"도비",SUM(L20:M20),)</f>
        <v>0</v>
      </c>
      <c r="S20" s="83">
        <f t="shared" ref="S20" si="26">IF(Q20="도비",SUM(L20:M20),SUM(L20:M20)-R20)</f>
        <v>-12146635</v>
      </c>
      <c r="T20" s="222" t="str">
        <f t="shared" ref="T20:T23" si="27">IF((L20+M20)=(R20+S20),"ok","검토")</f>
        <v>ok</v>
      </c>
      <c r="V20" s="236" t="s">
        <v>89</v>
      </c>
      <c r="W20" s="83">
        <f t="shared" ref="W20" si="28">IF(V20&lt;&gt;"도비",SUM(I20:J20),)</f>
        <v>0</v>
      </c>
      <c r="X20" s="83">
        <f t="shared" ref="X20" si="29">IF(V20="도비",SUM(I20:J20),SUM(I20:J20)-W20)</f>
        <v>0</v>
      </c>
      <c r="Y20" s="222" t="str">
        <f t="shared" ref="Y20:Y23" si="30">IF((I20+J20)=(W20+X20),"ok","검토")</f>
        <v>ok</v>
      </c>
      <c r="AA20" s="252">
        <v>1</v>
      </c>
      <c r="AB20" s="252"/>
    </row>
    <row r="21" spans="1:28" ht="31.5" customHeight="1">
      <c r="A21" s="223"/>
      <c r="B21" s="78" t="s">
        <v>463</v>
      </c>
      <c r="C21" s="80"/>
      <c r="D21" s="134"/>
      <c r="E21" s="181"/>
      <c r="F21" s="81">
        <f>SUM(F22:F23)</f>
        <v>300000</v>
      </c>
      <c r="G21" s="81">
        <f t="shared" ref="G21:N21" si="31">SUM(G22:G23)</f>
        <v>0</v>
      </c>
      <c r="H21" s="81">
        <f t="shared" si="31"/>
        <v>300000</v>
      </c>
      <c r="I21" s="81">
        <f t="shared" si="31"/>
        <v>0</v>
      </c>
      <c r="J21" s="81">
        <f t="shared" si="31"/>
        <v>0</v>
      </c>
      <c r="K21" s="81">
        <f t="shared" si="31"/>
        <v>300000</v>
      </c>
      <c r="L21" s="81">
        <f t="shared" si="31"/>
        <v>-200000</v>
      </c>
      <c r="M21" s="81">
        <f t="shared" si="31"/>
        <v>0</v>
      </c>
      <c r="N21" s="81">
        <f t="shared" si="31"/>
        <v>100000</v>
      </c>
      <c r="O21" s="80"/>
      <c r="P21" s="81"/>
      <c r="Q21" s="266"/>
      <c r="R21" s="81">
        <f t="shared" ref="R21:S21" si="32">SUM(R22:R23)</f>
        <v>0</v>
      </c>
      <c r="S21" s="81">
        <f t="shared" si="32"/>
        <v>-200000</v>
      </c>
      <c r="T21" s="222" t="str">
        <f t="shared" si="27"/>
        <v>ok</v>
      </c>
      <c r="V21" s="80"/>
      <c r="W21" s="81">
        <f t="shared" ref="W21" si="33">SUM(W22:W23)</f>
        <v>0</v>
      </c>
      <c r="X21" s="81">
        <f t="shared" ref="X21" si="34">SUM(X22:X23)</f>
        <v>0</v>
      </c>
      <c r="Y21" s="222" t="str">
        <f t="shared" si="30"/>
        <v>ok</v>
      </c>
      <c r="AA21" s="251"/>
      <c r="AB21" s="251"/>
    </row>
    <row r="22" spans="1:28" ht="41.25" customHeight="1">
      <c r="A22" s="123"/>
      <c r="B22" s="227" t="s">
        <v>87</v>
      </c>
      <c r="C22" s="227">
        <v>276</v>
      </c>
      <c r="D22" s="182" t="s">
        <v>464</v>
      </c>
      <c r="E22" s="230" t="s">
        <v>465</v>
      </c>
      <c r="F22" s="83">
        <v>200000</v>
      </c>
      <c r="G22" s="83"/>
      <c r="H22" s="215">
        <f>IF(SUMPRODUCT(COUNTIF(C22,{"*본예산*","*신규*"})),"-",F22-G22)</f>
        <v>200000</v>
      </c>
      <c r="I22" s="83"/>
      <c r="J22" s="83"/>
      <c r="K22" s="215">
        <f t="shared" ref="K22:K23" si="35">IF(F22=0,G22+I22+J22,F22+I22+J22)</f>
        <v>200000</v>
      </c>
      <c r="L22" s="83">
        <v>-200000</v>
      </c>
      <c r="M22" s="83"/>
      <c r="N22" s="215">
        <f t="shared" ref="N22:N23" si="36">IF(F22=0,G22+L22+M22,F22+L22+M22)</f>
        <v>0</v>
      </c>
      <c r="O22" s="198" t="str">
        <f t="shared" ref="O22:O23" si="37">IF(I22-L22&lt;0,"동의필요","-")</f>
        <v>-</v>
      </c>
      <c r="P22" s="228" t="s">
        <v>541</v>
      </c>
      <c r="Q22" s="189" t="s">
        <v>17</v>
      </c>
      <c r="R22" s="83">
        <f t="shared" ref="R22:R23" si="38">IF(Q22&lt;&gt;"도비",SUM(L22:M22),)</f>
        <v>0</v>
      </c>
      <c r="S22" s="83">
        <f t="shared" ref="S22:S23" si="39">IF(Q22="도비",SUM(L22:M22),SUM(L22:M22)-R22)</f>
        <v>-200000</v>
      </c>
      <c r="T22" s="222" t="str">
        <f t="shared" si="27"/>
        <v>ok</v>
      </c>
      <c r="V22" s="236" t="s">
        <v>17</v>
      </c>
      <c r="W22" s="83">
        <f t="shared" ref="W22" si="40">IF(V22&lt;&gt;"도비",SUM(I22:J22),)</f>
        <v>0</v>
      </c>
      <c r="X22" s="83">
        <f t="shared" ref="X22" si="41">IF(V22="도비",SUM(I22:J22),SUM(I22:J22)-W22)</f>
        <v>0</v>
      </c>
      <c r="Y22" s="222" t="str">
        <f t="shared" si="30"/>
        <v>ok</v>
      </c>
      <c r="AA22" s="252">
        <v>1</v>
      </c>
      <c r="AB22" s="252"/>
    </row>
    <row r="23" spans="1:28" ht="41.25" customHeight="1">
      <c r="A23" s="123"/>
      <c r="B23" s="227" t="s">
        <v>87</v>
      </c>
      <c r="C23" s="227">
        <v>280</v>
      </c>
      <c r="D23" s="182" t="s">
        <v>484</v>
      </c>
      <c r="E23" s="230" t="s">
        <v>547</v>
      </c>
      <c r="F23" s="83">
        <v>100000</v>
      </c>
      <c r="G23" s="83"/>
      <c r="H23" s="215">
        <f>IF(SUMPRODUCT(COUNTIF(C23,{"*본예산*","*신규*"})),"-",F23-G23)</f>
        <v>100000</v>
      </c>
      <c r="I23" s="83"/>
      <c r="J23" s="83"/>
      <c r="K23" s="215">
        <f t="shared" si="35"/>
        <v>100000</v>
      </c>
      <c r="L23" s="83"/>
      <c r="M23" s="83">
        <v>0</v>
      </c>
      <c r="N23" s="215">
        <f t="shared" si="36"/>
        <v>100000</v>
      </c>
      <c r="O23" s="198" t="str">
        <f t="shared" si="37"/>
        <v>-</v>
      </c>
      <c r="P23" s="287"/>
      <c r="Q23" s="189" t="s">
        <v>17</v>
      </c>
      <c r="R23" s="83">
        <f t="shared" si="38"/>
        <v>0</v>
      </c>
      <c r="S23" s="83">
        <f t="shared" si="39"/>
        <v>0</v>
      </c>
      <c r="T23" s="222" t="str">
        <f t="shared" si="27"/>
        <v>ok</v>
      </c>
      <c r="V23" s="236" t="s">
        <v>17</v>
      </c>
      <c r="W23" s="83">
        <f t="shared" ref="W23" si="42">IF(V23&lt;&gt;"도비",SUM(I23:J23),)</f>
        <v>0</v>
      </c>
      <c r="X23" s="83">
        <f t="shared" ref="X23" si="43">IF(V23="도비",SUM(I23:J23),SUM(I23:J23)-W23)</f>
        <v>0</v>
      </c>
      <c r="Y23" s="222" t="str">
        <f t="shared" si="30"/>
        <v>ok</v>
      </c>
      <c r="AA23" s="252">
        <v>1</v>
      </c>
      <c r="AB23" s="252"/>
    </row>
    <row r="24" spans="1:28" ht="33.75" customHeight="1">
      <c r="A24" s="1" t="s">
        <v>86</v>
      </c>
      <c r="B24" s="75"/>
      <c r="C24" s="75"/>
      <c r="D24" s="75"/>
      <c r="E24" s="75"/>
      <c r="F24" s="76">
        <f t="shared" ref="F24:N24" si="44">SUM(F25:F41)/2</f>
        <v>3030000</v>
      </c>
      <c r="G24" s="76">
        <f t="shared" si="44"/>
        <v>13188800</v>
      </c>
      <c r="H24" s="76">
        <f t="shared" si="44"/>
        <v>1430000</v>
      </c>
      <c r="I24" s="76">
        <f t="shared" si="44"/>
        <v>-180000</v>
      </c>
      <c r="J24" s="76">
        <f t="shared" si="44"/>
        <v>3741000</v>
      </c>
      <c r="K24" s="76">
        <f t="shared" si="44"/>
        <v>18179800</v>
      </c>
      <c r="L24" s="76">
        <f t="shared" si="44"/>
        <v>-180000</v>
      </c>
      <c r="M24" s="76">
        <f t="shared" si="44"/>
        <v>1660000</v>
      </c>
      <c r="N24" s="76">
        <f t="shared" si="44"/>
        <v>16098800</v>
      </c>
      <c r="O24" s="75"/>
      <c r="P24" s="76"/>
      <c r="Q24" s="266"/>
      <c r="R24" s="76">
        <f>SUM(R25:R41)/2</f>
        <v>0</v>
      </c>
      <c r="S24" s="76">
        <f>SUM(S25:S41)/2</f>
        <v>1480000</v>
      </c>
      <c r="T24" s="222" t="str">
        <f t="shared" si="3"/>
        <v>ok</v>
      </c>
      <c r="V24" s="75"/>
      <c r="W24" s="76">
        <f>SUM(W25:W41)/2</f>
        <v>0</v>
      </c>
      <c r="X24" s="76">
        <f>SUM(X25:X41)/2</f>
        <v>3561000</v>
      </c>
      <c r="Y24" s="222" t="str">
        <f t="shared" si="6"/>
        <v>ok</v>
      </c>
      <c r="AA24" s="250"/>
      <c r="AB24" s="250"/>
    </row>
    <row r="25" spans="1:28" ht="37.5" customHeight="1">
      <c r="A25" s="223"/>
      <c r="B25" s="78" t="s">
        <v>223</v>
      </c>
      <c r="C25" s="80"/>
      <c r="D25" s="134"/>
      <c r="E25" s="181"/>
      <c r="F25" s="81">
        <f t="shared" ref="F25:N25" si="45">SUM(F26:F39)</f>
        <v>3030000</v>
      </c>
      <c r="G25" s="81">
        <f t="shared" si="45"/>
        <v>12988800</v>
      </c>
      <c r="H25" s="81">
        <f t="shared" si="45"/>
        <v>1430000</v>
      </c>
      <c r="I25" s="81">
        <f t="shared" si="45"/>
        <v>-180000</v>
      </c>
      <c r="J25" s="81">
        <f t="shared" si="45"/>
        <v>3491000</v>
      </c>
      <c r="K25" s="81">
        <f t="shared" si="45"/>
        <v>17729800</v>
      </c>
      <c r="L25" s="81">
        <f t="shared" si="45"/>
        <v>-180000</v>
      </c>
      <c r="M25" s="81">
        <f t="shared" si="45"/>
        <v>1410000</v>
      </c>
      <c r="N25" s="81">
        <f t="shared" si="45"/>
        <v>15648800</v>
      </c>
      <c r="O25" s="80"/>
      <c r="P25" s="81"/>
      <c r="Q25" s="266"/>
      <c r="R25" s="81">
        <f>SUM(R26:R39)</f>
        <v>0</v>
      </c>
      <c r="S25" s="81">
        <f>SUM(S26:S39)</f>
        <v>1230000</v>
      </c>
      <c r="T25" s="222" t="str">
        <f t="shared" si="3"/>
        <v>ok</v>
      </c>
      <c r="V25" s="80"/>
      <c r="W25" s="81">
        <f>SUM(W26:W39)</f>
        <v>0</v>
      </c>
      <c r="X25" s="81">
        <f>SUM(X26:X39)</f>
        <v>3311000</v>
      </c>
      <c r="Y25" s="222" t="str">
        <f t="shared" si="6"/>
        <v>ok</v>
      </c>
      <c r="AA25" s="251"/>
      <c r="AB25" s="251"/>
    </row>
    <row r="26" spans="1:28" ht="47.25" customHeight="1">
      <c r="A26" s="223"/>
      <c r="B26" s="183" t="s">
        <v>87</v>
      </c>
      <c r="C26" s="227">
        <v>303</v>
      </c>
      <c r="D26" s="228" t="s">
        <v>224</v>
      </c>
      <c r="E26" s="230" t="s">
        <v>460</v>
      </c>
      <c r="F26" s="83">
        <v>400000</v>
      </c>
      <c r="G26" s="83"/>
      <c r="H26" s="215">
        <f>IF(SUMPRODUCT(COUNTIF(C26,{"*본예산*","*신규*"})),"-",F26-G26)</f>
        <v>400000</v>
      </c>
      <c r="I26" s="83"/>
      <c r="J26" s="83"/>
      <c r="K26" s="215">
        <f t="shared" ref="K26:K39" si="46">IF(F26=0,G26+I26+J26,F26+I26+J26)</f>
        <v>400000</v>
      </c>
      <c r="L26" s="83">
        <v>0</v>
      </c>
      <c r="M26" s="83">
        <v>0</v>
      </c>
      <c r="N26" s="215">
        <f t="shared" ref="N26:N39" si="47">IF(F26=0,G26+L26+M26,F26+L26+M26)</f>
        <v>400000</v>
      </c>
      <c r="O26" s="198" t="str">
        <f t="shared" ref="O26:O39" si="48">IF(I26-L26&lt;0,"동의필요","-")</f>
        <v>-</v>
      </c>
      <c r="P26" s="287" t="s">
        <v>564</v>
      </c>
      <c r="Q26" s="189" t="s">
        <v>17</v>
      </c>
      <c r="R26" s="83">
        <f t="shared" ref="R26:R39" si="49">IF(Q26&lt;&gt;"도비",SUM(L26:M26),)</f>
        <v>0</v>
      </c>
      <c r="S26" s="83">
        <f t="shared" ref="S26:S39" si="50">IF(Q26="도비",SUM(L26:M26),SUM(L26:M26)-R26)</f>
        <v>0</v>
      </c>
      <c r="T26" s="222" t="str">
        <f t="shared" si="3"/>
        <v>ok</v>
      </c>
      <c r="V26" s="236" t="s">
        <v>17</v>
      </c>
      <c r="W26" s="83">
        <f t="shared" ref="W26:W28" si="51">IF(V26&lt;&gt;"도비",SUM(I26:J26),)</f>
        <v>0</v>
      </c>
      <c r="X26" s="83">
        <f t="shared" ref="X26:X28" si="52">IF(V26="도비",SUM(I26:J26),SUM(I26:J26)-W26)</f>
        <v>0</v>
      </c>
      <c r="Y26" s="222" t="str">
        <f t="shared" si="6"/>
        <v>ok</v>
      </c>
      <c r="AA26" s="252">
        <v>1</v>
      </c>
      <c r="AB26" s="252"/>
    </row>
    <row r="27" spans="1:28" ht="57.75" customHeight="1">
      <c r="A27" s="223"/>
      <c r="B27" s="183" t="s">
        <v>87</v>
      </c>
      <c r="C27" s="227">
        <v>303</v>
      </c>
      <c r="D27" s="228" t="s">
        <v>224</v>
      </c>
      <c r="E27" s="230" t="s">
        <v>225</v>
      </c>
      <c r="F27" s="83">
        <v>200000</v>
      </c>
      <c r="G27" s="83"/>
      <c r="H27" s="215">
        <f>IF(SUMPRODUCT(COUNTIF(C27,{"*본예산*","*신규*"})),"-",F27-G27)</f>
        <v>200000</v>
      </c>
      <c r="I27" s="83"/>
      <c r="J27" s="83">
        <v>300000</v>
      </c>
      <c r="K27" s="215">
        <f t="shared" si="46"/>
        <v>500000</v>
      </c>
      <c r="L27" s="83"/>
      <c r="M27" s="83">
        <v>200000</v>
      </c>
      <c r="N27" s="215">
        <f t="shared" si="47"/>
        <v>400000</v>
      </c>
      <c r="O27" s="198" t="str">
        <f t="shared" si="48"/>
        <v>-</v>
      </c>
      <c r="P27" s="228" t="s">
        <v>556</v>
      </c>
      <c r="Q27" s="189" t="s">
        <v>17</v>
      </c>
      <c r="R27" s="83">
        <f t="shared" si="49"/>
        <v>0</v>
      </c>
      <c r="S27" s="83">
        <f t="shared" si="50"/>
        <v>200000</v>
      </c>
      <c r="T27" s="222" t="str">
        <f t="shared" si="3"/>
        <v>ok</v>
      </c>
      <c r="V27" s="236" t="s">
        <v>17</v>
      </c>
      <c r="W27" s="83">
        <f t="shared" si="51"/>
        <v>0</v>
      </c>
      <c r="X27" s="83">
        <f t="shared" si="52"/>
        <v>300000</v>
      </c>
      <c r="Y27" s="222" t="str">
        <f t="shared" si="6"/>
        <v>ok</v>
      </c>
      <c r="AA27" s="252">
        <v>1</v>
      </c>
      <c r="AB27" s="252"/>
    </row>
    <row r="28" spans="1:28" ht="51.75" customHeight="1">
      <c r="A28" s="223"/>
      <c r="B28" s="183" t="s">
        <v>87</v>
      </c>
      <c r="C28" s="227">
        <v>306</v>
      </c>
      <c r="D28" s="228" t="s">
        <v>93</v>
      </c>
      <c r="E28" s="230" t="s">
        <v>461</v>
      </c>
      <c r="F28" s="83">
        <v>2000000</v>
      </c>
      <c r="G28" s="83">
        <v>1600000</v>
      </c>
      <c r="H28" s="215">
        <f>IF(SUMPRODUCT(COUNTIF(C28,{"*본예산*","*신규*"})),"-",F28-G28)</f>
        <v>400000</v>
      </c>
      <c r="I28" s="83"/>
      <c r="J28" s="83"/>
      <c r="K28" s="215">
        <f t="shared" si="46"/>
        <v>2000000</v>
      </c>
      <c r="L28" s="83">
        <v>0</v>
      </c>
      <c r="M28" s="83">
        <v>0</v>
      </c>
      <c r="N28" s="215">
        <f t="shared" si="47"/>
        <v>2000000</v>
      </c>
      <c r="O28" s="198" t="str">
        <f t="shared" si="48"/>
        <v>-</v>
      </c>
      <c r="P28" s="248" t="s">
        <v>565</v>
      </c>
      <c r="Q28" s="189" t="s">
        <v>89</v>
      </c>
      <c r="R28" s="83">
        <f t="shared" si="49"/>
        <v>0</v>
      </c>
      <c r="S28" s="83">
        <f t="shared" si="50"/>
        <v>0</v>
      </c>
      <c r="T28" s="222" t="str">
        <f t="shared" si="3"/>
        <v>ok</v>
      </c>
      <c r="V28" s="236" t="s">
        <v>89</v>
      </c>
      <c r="W28" s="83">
        <f t="shared" si="51"/>
        <v>0</v>
      </c>
      <c r="X28" s="83">
        <f t="shared" si="52"/>
        <v>0</v>
      </c>
      <c r="Y28" s="222" t="str">
        <f t="shared" si="6"/>
        <v>ok</v>
      </c>
      <c r="AA28" s="252">
        <v>1</v>
      </c>
      <c r="AB28" s="252"/>
    </row>
    <row r="29" spans="1:28" ht="51.75" customHeight="1">
      <c r="A29" s="223"/>
      <c r="B29" s="183" t="s">
        <v>87</v>
      </c>
      <c r="C29" s="227">
        <v>310</v>
      </c>
      <c r="D29" s="228" t="s">
        <v>226</v>
      </c>
      <c r="E29" s="230" t="s">
        <v>227</v>
      </c>
      <c r="F29" s="83">
        <v>180000</v>
      </c>
      <c r="G29" s="83"/>
      <c r="H29" s="215">
        <f>IF(SUMPRODUCT(COUNTIF(C29,{"*본예산*","*신규*"})),"-",F29-G29)</f>
        <v>180000</v>
      </c>
      <c r="I29" s="83">
        <v>-180000</v>
      </c>
      <c r="J29" s="83"/>
      <c r="K29" s="215">
        <f t="shared" si="46"/>
        <v>0</v>
      </c>
      <c r="L29" s="83">
        <v>-180000</v>
      </c>
      <c r="M29" s="83"/>
      <c r="N29" s="215">
        <f t="shared" si="47"/>
        <v>0</v>
      </c>
      <c r="O29" s="198" t="str">
        <f t="shared" si="48"/>
        <v>-</v>
      </c>
      <c r="P29" s="228" t="s">
        <v>88</v>
      </c>
      <c r="Q29" s="189" t="s">
        <v>89</v>
      </c>
      <c r="R29" s="83">
        <f t="shared" si="49"/>
        <v>0</v>
      </c>
      <c r="S29" s="83">
        <f t="shared" si="50"/>
        <v>-180000</v>
      </c>
      <c r="T29" s="222" t="str">
        <f t="shared" si="3"/>
        <v>ok</v>
      </c>
      <c r="V29" s="236" t="s">
        <v>89</v>
      </c>
      <c r="W29" s="83">
        <f t="shared" ref="W29:W39" si="53">IF(V29&lt;&gt;"도비",SUM(I29:J29),)</f>
        <v>0</v>
      </c>
      <c r="X29" s="83">
        <f t="shared" ref="X29:X39" si="54">IF(V29="도비",SUM(I29:J29),SUM(I29:J29)-W29)</f>
        <v>-180000</v>
      </c>
      <c r="Y29" s="222" t="str">
        <f t="shared" si="6"/>
        <v>ok</v>
      </c>
      <c r="AA29" s="252">
        <v>1</v>
      </c>
      <c r="AB29" s="252"/>
    </row>
    <row r="30" spans="1:28" ht="51.75" customHeight="1">
      <c r="A30" s="223"/>
      <c r="B30" s="183" t="s">
        <v>87</v>
      </c>
      <c r="C30" s="227">
        <v>310</v>
      </c>
      <c r="D30" s="228" t="s">
        <v>226</v>
      </c>
      <c r="E30" s="230" t="s">
        <v>462</v>
      </c>
      <c r="F30" s="83">
        <v>200000</v>
      </c>
      <c r="G30" s="83"/>
      <c r="H30" s="215">
        <f>IF(SUMPRODUCT(COUNTIF(C30,{"*본예산*","*신규*"})),"-",F30-G30)</f>
        <v>200000</v>
      </c>
      <c r="I30" s="83"/>
      <c r="J30" s="83"/>
      <c r="K30" s="215">
        <f t="shared" si="46"/>
        <v>200000</v>
      </c>
      <c r="L30" s="83">
        <v>0</v>
      </c>
      <c r="M30" s="83">
        <v>0</v>
      </c>
      <c r="N30" s="215">
        <f t="shared" si="47"/>
        <v>200000</v>
      </c>
      <c r="O30" s="198" t="str">
        <f t="shared" si="48"/>
        <v>-</v>
      </c>
      <c r="P30" s="248" t="s">
        <v>566</v>
      </c>
      <c r="Q30" s="189" t="s">
        <v>89</v>
      </c>
      <c r="R30" s="83">
        <f t="shared" si="49"/>
        <v>0</v>
      </c>
      <c r="S30" s="83">
        <f t="shared" si="50"/>
        <v>0</v>
      </c>
      <c r="T30" s="222" t="str">
        <f t="shared" si="3"/>
        <v>ok</v>
      </c>
      <c r="V30" s="236" t="s">
        <v>89</v>
      </c>
      <c r="W30" s="83">
        <f t="shared" ref="W30" si="55">IF(V30&lt;&gt;"도비",SUM(I30:J30),)</f>
        <v>0</v>
      </c>
      <c r="X30" s="83">
        <f t="shared" ref="X30" si="56">IF(V30="도비",SUM(I30:J30),SUM(I30:J30)-W30)</f>
        <v>0</v>
      </c>
      <c r="Y30" s="222" t="str">
        <f t="shared" si="6"/>
        <v>ok</v>
      </c>
      <c r="AA30" s="252">
        <v>1</v>
      </c>
      <c r="AB30" s="252"/>
    </row>
    <row r="31" spans="1:28" ht="37.5" customHeight="1">
      <c r="A31" s="223"/>
      <c r="B31" s="183" t="s">
        <v>87</v>
      </c>
      <c r="C31" s="227">
        <v>311</v>
      </c>
      <c r="D31" s="228" t="s">
        <v>228</v>
      </c>
      <c r="E31" s="230" t="s">
        <v>229</v>
      </c>
      <c r="F31" s="83">
        <v>50000</v>
      </c>
      <c r="G31" s="83"/>
      <c r="H31" s="215">
        <f>IF(SUMPRODUCT(COUNTIF(C31,{"*본예산*","*신규*"})),"-",F31-G31)</f>
        <v>50000</v>
      </c>
      <c r="I31" s="83"/>
      <c r="J31" s="83">
        <v>20000</v>
      </c>
      <c r="K31" s="215">
        <f t="shared" si="46"/>
        <v>70000</v>
      </c>
      <c r="L31" s="83"/>
      <c r="M31" s="83">
        <v>0</v>
      </c>
      <c r="N31" s="215">
        <f t="shared" si="47"/>
        <v>50000</v>
      </c>
      <c r="O31" s="198" t="str">
        <f t="shared" si="48"/>
        <v>-</v>
      </c>
      <c r="P31" s="287" t="s">
        <v>90</v>
      </c>
      <c r="Q31" s="189" t="s">
        <v>89</v>
      </c>
      <c r="R31" s="83">
        <f t="shared" si="49"/>
        <v>0</v>
      </c>
      <c r="S31" s="83">
        <f t="shared" si="50"/>
        <v>0</v>
      </c>
      <c r="T31" s="222" t="str">
        <f t="shared" si="3"/>
        <v>ok</v>
      </c>
      <c r="V31" s="236" t="s">
        <v>89</v>
      </c>
      <c r="W31" s="83">
        <f t="shared" si="53"/>
        <v>0</v>
      </c>
      <c r="X31" s="83">
        <f t="shared" si="54"/>
        <v>20000</v>
      </c>
      <c r="Y31" s="222" t="str">
        <f t="shared" si="6"/>
        <v>ok</v>
      </c>
      <c r="AA31" s="252">
        <v>1</v>
      </c>
      <c r="AB31" s="252"/>
    </row>
    <row r="32" spans="1:28" ht="52.5" customHeight="1">
      <c r="A32" s="223"/>
      <c r="B32" s="227" t="s">
        <v>91</v>
      </c>
      <c r="C32" s="229" t="s">
        <v>92</v>
      </c>
      <c r="D32" s="228" t="s">
        <v>93</v>
      </c>
      <c r="E32" s="230" t="s">
        <v>230</v>
      </c>
      <c r="F32" s="83"/>
      <c r="G32" s="83">
        <v>4070000</v>
      </c>
      <c r="H32" s="215" t="str">
        <f>IF(SUMPRODUCT(COUNTIF(C32,{"*본예산*","*신규*"})),"-",F32-G32)</f>
        <v>-</v>
      </c>
      <c r="I32" s="83"/>
      <c r="J32" s="83">
        <v>500000</v>
      </c>
      <c r="K32" s="215">
        <f t="shared" si="46"/>
        <v>4570000</v>
      </c>
      <c r="L32" s="83"/>
      <c r="M32" s="83">
        <v>0</v>
      </c>
      <c r="N32" s="215">
        <f t="shared" si="47"/>
        <v>4070000</v>
      </c>
      <c r="O32" s="198" t="str">
        <f t="shared" si="48"/>
        <v>-</v>
      </c>
      <c r="P32" s="287"/>
      <c r="Q32" s="189" t="s">
        <v>89</v>
      </c>
      <c r="R32" s="83">
        <f t="shared" si="49"/>
        <v>0</v>
      </c>
      <c r="S32" s="83">
        <f t="shared" si="50"/>
        <v>0</v>
      </c>
      <c r="T32" s="222" t="str">
        <f t="shared" si="3"/>
        <v>ok</v>
      </c>
      <c r="V32" s="236" t="s">
        <v>89</v>
      </c>
      <c r="W32" s="83">
        <f t="shared" si="53"/>
        <v>0</v>
      </c>
      <c r="X32" s="83">
        <f t="shared" si="54"/>
        <v>500000</v>
      </c>
      <c r="Y32" s="222" t="str">
        <f t="shared" si="6"/>
        <v>ok</v>
      </c>
      <c r="AA32" s="252">
        <v>1</v>
      </c>
      <c r="AB32" s="252"/>
    </row>
    <row r="33" spans="1:28" ht="37.5" customHeight="1">
      <c r="A33" s="223"/>
      <c r="B33" s="227" t="s">
        <v>91</v>
      </c>
      <c r="C33" s="229" t="s">
        <v>231</v>
      </c>
      <c r="D33" s="228" t="s">
        <v>93</v>
      </c>
      <c r="E33" s="230" t="s">
        <v>232</v>
      </c>
      <c r="F33" s="83"/>
      <c r="G33" s="83">
        <v>160000</v>
      </c>
      <c r="H33" s="215" t="str">
        <f>IF(SUMPRODUCT(COUNTIF(C33,{"*본예산*","*신규*"})),"-",F33-G33)</f>
        <v>-</v>
      </c>
      <c r="I33" s="83"/>
      <c r="J33" s="83">
        <v>140000</v>
      </c>
      <c r="K33" s="215">
        <f t="shared" si="46"/>
        <v>300000</v>
      </c>
      <c r="L33" s="83"/>
      <c r="M33" s="83">
        <v>140000</v>
      </c>
      <c r="N33" s="215">
        <f t="shared" si="47"/>
        <v>300000</v>
      </c>
      <c r="O33" s="198" t="str">
        <f t="shared" si="48"/>
        <v>-</v>
      </c>
      <c r="P33" s="228" t="s">
        <v>94</v>
      </c>
      <c r="Q33" s="189" t="s">
        <v>89</v>
      </c>
      <c r="R33" s="83">
        <f t="shared" si="49"/>
        <v>0</v>
      </c>
      <c r="S33" s="83">
        <f t="shared" si="50"/>
        <v>140000</v>
      </c>
      <c r="T33" s="222" t="str">
        <f t="shared" si="3"/>
        <v>ok</v>
      </c>
      <c r="V33" s="236" t="s">
        <v>89</v>
      </c>
      <c r="W33" s="83">
        <f t="shared" si="53"/>
        <v>0</v>
      </c>
      <c r="X33" s="83">
        <f t="shared" si="54"/>
        <v>140000</v>
      </c>
      <c r="Y33" s="222" t="str">
        <f t="shared" si="6"/>
        <v>ok</v>
      </c>
      <c r="AA33" s="252">
        <v>1</v>
      </c>
      <c r="AB33" s="252"/>
    </row>
    <row r="34" spans="1:28" ht="37.5" customHeight="1">
      <c r="A34" s="223"/>
      <c r="B34" s="227" t="s">
        <v>91</v>
      </c>
      <c r="C34" s="229" t="s">
        <v>96</v>
      </c>
      <c r="D34" s="228" t="s">
        <v>226</v>
      </c>
      <c r="E34" s="230" t="s">
        <v>233</v>
      </c>
      <c r="F34" s="83"/>
      <c r="G34" s="83">
        <v>1550000</v>
      </c>
      <c r="H34" s="215" t="str">
        <f>IF(SUMPRODUCT(COUNTIF(C34,{"*본예산*","*신규*"})),"-",F34-G34)</f>
        <v>-</v>
      </c>
      <c r="I34" s="83"/>
      <c r="J34" s="83">
        <v>300000</v>
      </c>
      <c r="K34" s="215">
        <f t="shared" si="46"/>
        <v>1850000</v>
      </c>
      <c r="L34" s="83"/>
      <c r="M34" s="83">
        <v>300000</v>
      </c>
      <c r="N34" s="215">
        <f t="shared" si="47"/>
        <v>1850000</v>
      </c>
      <c r="O34" s="198" t="str">
        <f t="shared" si="48"/>
        <v>-</v>
      </c>
      <c r="P34" s="228" t="s">
        <v>122</v>
      </c>
      <c r="Q34" s="189" t="s">
        <v>89</v>
      </c>
      <c r="R34" s="83">
        <f t="shared" si="49"/>
        <v>0</v>
      </c>
      <c r="S34" s="83">
        <f t="shared" si="50"/>
        <v>300000</v>
      </c>
      <c r="T34" s="222" t="str">
        <f t="shared" si="3"/>
        <v>ok</v>
      </c>
      <c r="V34" s="236" t="s">
        <v>89</v>
      </c>
      <c r="W34" s="83">
        <f t="shared" si="53"/>
        <v>0</v>
      </c>
      <c r="X34" s="83">
        <f t="shared" si="54"/>
        <v>300000</v>
      </c>
      <c r="Y34" s="222" t="str">
        <f t="shared" si="6"/>
        <v>ok</v>
      </c>
      <c r="AA34" s="252">
        <v>1</v>
      </c>
      <c r="AB34" s="252"/>
    </row>
    <row r="35" spans="1:28" ht="61.5" customHeight="1">
      <c r="A35" s="223"/>
      <c r="B35" s="227" t="s">
        <v>91</v>
      </c>
      <c r="C35" s="229" t="s">
        <v>234</v>
      </c>
      <c r="D35" s="228" t="s">
        <v>228</v>
      </c>
      <c r="E35" s="230" t="s">
        <v>235</v>
      </c>
      <c r="F35" s="83"/>
      <c r="G35" s="83">
        <v>5508800</v>
      </c>
      <c r="H35" s="215" t="str">
        <f>IF(SUMPRODUCT(COUNTIF(C35,{"*본예산*","*신규*"})),"-",F35-G35)</f>
        <v>-</v>
      </c>
      <c r="I35" s="83"/>
      <c r="J35" s="83">
        <v>1761000</v>
      </c>
      <c r="K35" s="215">
        <f t="shared" si="46"/>
        <v>7269800</v>
      </c>
      <c r="L35" s="83"/>
      <c r="M35" s="83">
        <v>300000</v>
      </c>
      <c r="N35" s="215">
        <f t="shared" si="47"/>
        <v>5808800</v>
      </c>
      <c r="O35" s="198" t="str">
        <f t="shared" si="48"/>
        <v>-</v>
      </c>
      <c r="P35" s="228" t="s">
        <v>123</v>
      </c>
      <c r="Q35" s="189" t="s">
        <v>89</v>
      </c>
      <c r="R35" s="83">
        <f t="shared" si="49"/>
        <v>0</v>
      </c>
      <c r="S35" s="83">
        <f t="shared" si="50"/>
        <v>300000</v>
      </c>
      <c r="T35" s="222" t="str">
        <f t="shared" si="3"/>
        <v>ok</v>
      </c>
      <c r="V35" s="236" t="s">
        <v>89</v>
      </c>
      <c r="W35" s="83">
        <f t="shared" si="53"/>
        <v>0</v>
      </c>
      <c r="X35" s="83">
        <f t="shared" si="54"/>
        <v>1761000</v>
      </c>
      <c r="Y35" s="222" t="str">
        <f t="shared" si="6"/>
        <v>ok</v>
      </c>
      <c r="AA35" s="252">
        <v>1</v>
      </c>
      <c r="AB35" s="252"/>
    </row>
    <row r="36" spans="1:28" ht="53.25" customHeight="1">
      <c r="A36" s="223"/>
      <c r="B36" s="227" t="s">
        <v>91</v>
      </c>
      <c r="C36" s="229" t="s">
        <v>236</v>
      </c>
      <c r="D36" s="228" t="s">
        <v>97</v>
      </c>
      <c r="E36" s="230" t="s">
        <v>237</v>
      </c>
      <c r="F36" s="83"/>
      <c r="G36" s="83">
        <v>100000</v>
      </c>
      <c r="H36" s="215" t="str">
        <f>IF(SUMPRODUCT(COUNTIF(C36,{"*본예산*","*신규*"})),"-",F36-G36)</f>
        <v>-</v>
      </c>
      <c r="I36" s="83"/>
      <c r="J36" s="83">
        <v>200000</v>
      </c>
      <c r="K36" s="215">
        <f t="shared" si="46"/>
        <v>300000</v>
      </c>
      <c r="L36" s="83"/>
      <c r="M36" s="83">
        <v>200000</v>
      </c>
      <c r="N36" s="215">
        <f t="shared" si="47"/>
        <v>300000</v>
      </c>
      <c r="O36" s="198" t="str">
        <f t="shared" si="48"/>
        <v>-</v>
      </c>
      <c r="P36" s="228" t="s">
        <v>124</v>
      </c>
      <c r="Q36" s="189" t="s">
        <v>89</v>
      </c>
      <c r="R36" s="83">
        <f t="shared" si="49"/>
        <v>0</v>
      </c>
      <c r="S36" s="83">
        <f t="shared" si="50"/>
        <v>200000</v>
      </c>
      <c r="T36" s="222" t="str">
        <f t="shared" si="3"/>
        <v>ok</v>
      </c>
      <c r="V36" s="236" t="s">
        <v>89</v>
      </c>
      <c r="W36" s="83">
        <f t="shared" si="53"/>
        <v>0</v>
      </c>
      <c r="X36" s="83">
        <f t="shared" si="54"/>
        <v>200000</v>
      </c>
      <c r="Y36" s="222" t="str">
        <f t="shared" si="6"/>
        <v>ok</v>
      </c>
      <c r="AA36" s="252">
        <v>1</v>
      </c>
      <c r="AB36" s="252"/>
    </row>
    <row r="37" spans="1:28" ht="37.5" customHeight="1">
      <c r="A37" s="223"/>
      <c r="B37" s="227" t="s">
        <v>91</v>
      </c>
      <c r="C37" s="227" t="s">
        <v>238</v>
      </c>
      <c r="D37" s="228" t="s">
        <v>93</v>
      </c>
      <c r="E37" s="230" t="s">
        <v>239</v>
      </c>
      <c r="F37" s="83"/>
      <c r="G37" s="83"/>
      <c r="H37" s="215" t="str">
        <f>IF(SUMPRODUCT(COUNTIF(C37,{"*본예산*","*신규*"})),"-",F37-G37)</f>
        <v>-</v>
      </c>
      <c r="I37" s="83"/>
      <c r="J37" s="83">
        <v>130000</v>
      </c>
      <c r="K37" s="215">
        <f t="shared" si="46"/>
        <v>130000</v>
      </c>
      <c r="L37" s="83"/>
      <c r="M37" s="83">
        <v>130000</v>
      </c>
      <c r="N37" s="215">
        <f t="shared" si="47"/>
        <v>130000</v>
      </c>
      <c r="O37" s="198" t="str">
        <f t="shared" si="48"/>
        <v>-</v>
      </c>
      <c r="P37" s="228" t="s">
        <v>98</v>
      </c>
      <c r="Q37" s="189" t="s">
        <v>89</v>
      </c>
      <c r="R37" s="83">
        <f t="shared" si="49"/>
        <v>0</v>
      </c>
      <c r="S37" s="83">
        <f t="shared" si="50"/>
        <v>130000</v>
      </c>
      <c r="T37" s="222" t="str">
        <f t="shared" si="3"/>
        <v>ok</v>
      </c>
      <c r="V37" s="236" t="s">
        <v>89</v>
      </c>
      <c r="W37" s="83">
        <f t="shared" si="53"/>
        <v>0</v>
      </c>
      <c r="X37" s="83">
        <f t="shared" si="54"/>
        <v>130000</v>
      </c>
      <c r="Y37" s="222" t="str">
        <f t="shared" si="6"/>
        <v>ok</v>
      </c>
      <c r="AA37" s="252">
        <v>1</v>
      </c>
      <c r="AB37" s="252"/>
    </row>
    <row r="38" spans="1:28" ht="37.5" customHeight="1">
      <c r="A38" s="223"/>
      <c r="B38" s="227" t="s">
        <v>91</v>
      </c>
      <c r="C38" s="227" t="s">
        <v>238</v>
      </c>
      <c r="D38" s="228" t="s">
        <v>228</v>
      </c>
      <c r="E38" s="230" t="s">
        <v>240</v>
      </c>
      <c r="F38" s="83"/>
      <c r="G38" s="83"/>
      <c r="H38" s="215" t="str">
        <f>IF(SUMPRODUCT(COUNTIF(C38,{"*본예산*","*신규*"})),"-",F38-G38)</f>
        <v>-</v>
      </c>
      <c r="I38" s="83"/>
      <c r="J38" s="83">
        <v>110000</v>
      </c>
      <c r="K38" s="215">
        <f t="shared" si="46"/>
        <v>110000</v>
      </c>
      <c r="L38" s="83"/>
      <c r="M38" s="83">
        <v>110000</v>
      </c>
      <c r="N38" s="215">
        <f t="shared" si="47"/>
        <v>110000</v>
      </c>
      <c r="O38" s="198" t="str">
        <f t="shared" si="48"/>
        <v>-</v>
      </c>
      <c r="P38" s="228" t="s">
        <v>120</v>
      </c>
      <c r="Q38" s="189" t="s">
        <v>89</v>
      </c>
      <c r="R38" s="83">
        <f t="shared" si="49"/>
        <v>0</v>
      </c>
      <c r="S38" s="83">
        <f t="shared" si="50"/>
        <v>110000</v>
      </c>
      <c r="T38" s="222" t="str">
        <f t="shared" si="3"/>
        <v>ok</v>
      </c>
      <c r="V38" s="236" t="s">
        <v>89</v>
      </c>
      <c r="W38" s="83">
        <f t="shared" si="53"/>
        <v>0</v>
      </c>
      <c r="X38" s="83">
        <f t="shared" si="54"/>
        <v>110000</v>
      </c>
      <c r="Y38" s="222" t="str">
        <f t="shared" si="6"/>
        <v>ok</v>
      </c>
      <c r="AA38" s="252">
        <v>1</v>
      </c>
      <c r="AB38" s="252"/>
    </row>
    <row r="39" spans="1:28" ht="44.25" customHeight="1">
      <c r="A39" s="223"/>
      <c r="B39" s="227" t="s">
        <v>91</v>
      </c>
      <c r="C39" s="227" t="s">
        <v>238</v>
      </c>
      <c r="D39" s="228" t="s">
        <v>228</v>
      </c>
      <c r="E39" s="230" t="s">
        <v>241</v>
      </c>
      <c r="F39" s="83"/>
      <c r="G39" s="83"/>
      <c r="H39" s="215" t="str">
        <f>IF(SUMPRODUCT(COUNTIF(C39,{"*본예산*","*신규*"})),"-",F39-G39)</f>
        <v>-</v>
      </c>
      <c r="I39" s="83"/>
      <c r="J39" s="83">
        <v>30000</v>
      </c>
      <c r="K39" s="215">
        <f t="shared" si="46"/>
        <v>30000</v>
      </c>
      <c r="L39" s="83"/>
      <c r="M39" s="83">
        <v>30000</v>
      </c>
      <c r="N39" s="215">
        <f t="shared" si="47"/>
        <v>30000</v>
      </c>
      <c r="O39" s="198" t="str">
        <f t="shared" si="48"/>
        <v>-</v>
      </c>
      <c r="P39" s="228" t="s">
        <v>99</v>
      </c>
      <c r="Q39" s="189" t="s">
        <v>89</v>
      </c>
      <c r="R39" s="83">
        <f t="shared" si="49"/>
        <v>0</v>
      </c>
      <c r="S39" s="83">
        <f t="shared" si="50"/>
        <v>30000</v>
      </c>
      <c r="T39" s="222" t="str">
        <f t="shared" si="3"/>
        <v>ok</v>
      </c>
      <c r="V39" s="236" t="s">
        <v>89</v>
      </c>
      <c r="W39" s="83">
        <f t="shared" si="53"/>
        <v>0</v>
      </c>
      <c r="X39" s="83">
        <f t="shared" si="54"/>
        <v>30000</v>
      </c>
      <c r="Y39" s="222" t="str">
        <f t="shared" si="6"/>
        <v>ok</v>
      </c>
      <c r="AA39" s="252">
        <v>1</v>
      </c>
      <c r="AB39" s="252"/>
    </row>
    <row r="40" spans="1:28" ht="33.75" customHeight="1">
      <c r="A40" s="223"/>
      <c r="B40" s="78" t="s">
        <v>242</v>
      </c>
      <c r="C40" s="80"/>
      <c r="D40" s="134"/>
      <c r="E40" s="181"/>
      <c r="F40" s="81">
        <f t="shared" ref="F40:N40" si="57">SUM(F41:F41)</f>
        <v>0</v>
      </c>
      <c r="G40" s="81">
        <f t="shared" si="57"/>
        <v>200000</v>
      </c>
      <c r="H40" s="81">
        <f t="shared" si="57"/>
        <v>0</v>
      </c>
      <c r="I40" s="81">
        <f t="shared" si="57"/>
        <v>0</v>
      </c>
      <c r="J40" s="81">
        <f t="shared" si="57"/>
        <v>250000</v>
      </c>
      <c r="K40" s="81">
        <f t="shared" si="57"/>
        <v>450000</v>
      </c>
      <c r="L40" s="81">
        <f t="shared" si="57"/>
        <v>0</v>
      </c>
      <c r="M40" s="81">
        <f t="shared" si="57"/>
        <v>250000</v>
      </c>
      <c r="N40" s="81">
        <f t="shared" si="57"/>
        <v>450000</v>
      </c>
      <c r="O40" s="80"/>
      <c r="P40" s="81"/>
      <c r="Q40" s="266"/>
      <c r="R40" s="81">
        <f t="shared" ref="R40:S40" si="58">SUM(R41:R41)</f>
        <v>0</v>
      </c>
      <c r="S40" s="81">
        <f t="shared" si="58"/>
        <v>250000</v>
      </c>
      <c r="T40" s="222" t="str">
        <f t="shared" si="3"/>
        <v>ok</v>
      </c>
      <c r="V40" s="80"/>
      <c r="W40" s="81">
        <f t="shared" ref="W40:X40" si="59">SUM(W41:W41)</f>
        <v>0</v>
      </c>
      <c r="X40" s="81">
        <f t="shared" si="59"/>
        <v>250000</v>
      </c>
      <c r="Y40" s="222" t="str">
        <f t="shared" si="6"/>
        <v>ok</v>
      </c>
      <c r="AA40" s="251"/>
      <c r="AB40" s="251"/>
    </row>
    <row r="41" spans="1:28" ht="42.75" customHeight="1">
      <c r="A41" s="223"/>
      <c r="B41" s="235" t="s">
        <v>91</v>
      </c>
      <c r="C41" s="234" t="s">
        <v>243</v>
      </c>
      <c r="D41" s="184" t="s">
        <v>244</v>
      </c>
      <c r="E41" s="230" t="s">
        <v>245</v>
      </c>
      <c r="F41" s="83"/>
      <c r="G41" s="83">
        <v>200000</v>
      </c>
      <c r="H41" s="215" t="str">
        <f>IF(SUMPRODUCT(COUNTIF(C41,{"*본예산*","*신규*"})),"-",F41-G41)</f>
        <v>-</v>
      </c>
      <c r="I41" s="83"/>
      <c r="J41" s="83">
        <v>250000</v>
      </c>
      <c r="K41" s="215">
        <f>IF(F41=0,G41+I41+J41,F41+I41+J41)</f>
        <v>450000</v>
      </c>
      <c r="L41" s="83"/>
      <c r="M41" s="83">
        <v>250000</v>
      </c>
      <c r="N41" s="215">
        <f>IF(F41=0,G41+L41+M41,F41+L41+M41)</f>
        <v>450000</v>
      </c>
      <c r="O41" s="198" t="str">
        <f>IF(I41-L41&lt;0,"동의필요","-")</f>
        <v>-</v>
      </c>
      <c r="P41" s="228" t="s">
        <v>121</v>
      </c>
      <c r="Q41" s="262" t="s">
        <v>17</v>
      </c>
      <c r="R41" s="83">
        <f>IF(Q41&lt;&gt;"도비",SUM(L41:M41),)</f>
        <v>0</v>
      </c>
      <c r="S41" s="83">
        <f>IF(Q41="도비",SUM(L41:M41),SUM(L41:M41)-R41)</f>
        <v>250000</v>
      </c>
      <c r="T41" s="222" t="str">
        <f t="shared" si="3"/>
        <v>ok</v>
      </c>
      <c r="V41" s="236" t="s">
        <v>17</v>
      </c>
      <c r="W41" s="83">
        <f>IF(V41&lt;&gt;"도비",SUM(I41:J41),)</f>
        <v>0</v>
      </c>
      <c r="X41" s="83">
        <f>IF(V41="도비",SUM(I41:J41),SUM(I41:J41)-W41)</f>
        <v>250000</v>
      </c>
      <c r="Y41" s="222" t="str">
        <f t="shared" si="6"/>
        <v>ok</v>
      </c>
      <c r="AA41" s="252">
        <v>1</v>
      </c>
      <c r="AB41" s="252"/>
    </row>
    <row r="42" spans="1:28" ht="31.5" customHeight="1">
      <c r="A42" s="1" t="s">
        <v>114</v>
      </c>
      <c r="B42" s="75"/>
      <c r="C42" s="75"/>
      <c r="D42" s="75"/>
      <c r="E42" s="75"/>
      <c r="F42" s="76">
        <f t="shared" ref="F42:N42" si="60">SUM(F43:F56)/2</f>
        <v>1544355</v>
      </c>
      <c r="G42" s="76">
        <f t="shared" si="60"/>
        <v>1953564</v>
      </c>
      <c r="H42" s="76">
        <f t="shared" si="60"/>
        <v>1490791</v>
      </c>
      <c r="I42" s="76">
        <f t="shared" si="60"/>
        <v>-804840</v>
      </c>
      <c r="J42" s="76">
        <f t="shared" si="60"/>
        <v>5525500</v>
      </c>
      <c r="K42" s="76">
        <f t="shared" si="60"/>
        <v>8165015</v>
      </c>
      <c r="L42" s="76">
        <f t="shared" si="60"/>
        <v>-1302695</v>
      </c>
      <c r="M42" s="76">
        <f t="shared" si="60"/>
        <v>5514421</v>
      </c>
      <c r="N42" s="76">
        <f t="shared" si="60"/>
        <v>7656081</v>
      </c>
      <c r="O42" s="75"/>
      <c r="P42" s="76"/>
      <c r="Q42" s="266"/>
      <c r="R42" s="76">
        <f>SUM(R43:R56)/2</f>
        <v>1421</v>
      </c>
      <c r="S42" s="76">
        <f>SUM(S43:S56)/2</f>
        <v>4210305</v>
      </c>
      <c r="T42" s="222" t="str">
        <f t="shared" si="3"/>
        <v>ok</v>
      </c>
      <c r="V42" s="75"/>
      <c r="W42" s="76">
        <f>SUM(W43:W56)/2</f>
        <v>0</v>
      </c>
      <c r="X42" s="76">
        <f>SUM(X43:X56)/2</f>
        <v>4720660</v>
      </c>
      <c r="Y42" s="222" t="str">
        <f t="shared" si="6"/>
        <v>ok</v>
      </c>
      <c r="AA42" s="250"/>
      <c r="AB42" s="250"/>
    </row>
    <row r="43" spans="1:28" ht="31.5" customHeight="1">
      <c r="A43" s="223"/>
      <c r="B43" s="78" t="s">
        <v>115</v>
      </c>
      <c r="C43" s="80"/>
      <c r="D43" s="79"/>
      <c r="E43" s="79"/>
      <c r="F43" s="81">
        <f t="shared" ref="F43:N43" si="61">SUM(F44:F44)</f>
        <v>1502695</v>
      </c>
      <c r="G43" s="81">
        <f t="shared" si="61"/>
        <v>0</v>
      </c>
      <c r="H43" s="81">
        <f t="shared" si="61"/>
        <v>1502695</v>
      </c>
      <c r="I43" s="81">
        <f t="shared" si="61"/>
        <v>-804840</v>
      </c>
      <c r="J43" s="81">
        <f t="shared" si="61"/>
        <v>0</v>
      </c>
      <c r="K43" s="81">
        <f t="shared" si="61"/>
        <v>697855</v>
      </c>
      <c r="L43" s="81">
        <f t="shared" si="61"/>
        <v>-1302695</v>
      </c>
      <c r="M43" s="81">
        <f t="shared" si="61"/>
        <v>0</v>
      </c>
      <c r="N43" s="81">
        <f t="shared" si="61"/>
        <v>200000</v>
      </c>
      <c r="O43" s="80"/>
      <c r="P43" s="81"/>
      <c r="Q43" s="266"/>
      <c r="R43" s="81">
        <f>SUM(R44:R44)</f>
        <v>0</v>
      </c>
      <c r="S43" s="81">
        <f>SUM(S44:S44)</f>
        <v>-1302695</v>
      </c>
      <c r="T43" s="222" t="str">
        <f t="shared" si="3"/>
        <v>ok</v>
      </c>
      <c r="V43" s="80"/>
      <c r="W43" s="81">
        <f>SUM(W44:W44)</f>
        <v>0</v>
      </c>
      <c r="X43" s="81">
        <f>SUM(X44:X44)</f>
        <v>-804840</v>
      </c>
      <c r="Y43" s="222" t="str">
        <f t="shared" si="6"/>
        <v>ok</v>
      </c>
      <c r="AA43" s="251"/>
      <c r="AB43" s="251"/>
    </row>
    <row r="44" spans="1:28" ht="31.5" customHeight="1">
      <c r="A44" s="223"/>
      <c r="B44" s="226" t="s">
        <v>116</v>
      </c>
      <c r="C44" s="227">
        <v>342</v>
      </c>
      <c r="D44" s="123" t="s">
        <v>117</v>
      </c>
      <c r="E44" s="74" t="s">
        <v>459</v>
      </c>
      <c r="F44" s="83">
        <v>1502695</v>
      </c>
      <c r="G44" s="83"/>
      <c r="H44" s="215">
        <f>IF(SUMPRODUCT(COUNTIF(C44,{"*본예산*","*신규*"})),"-",F44-G44)</f>
        <v>1502695</v>
      </c>
      <c r="I44" s="86">
        <v>-804840</v>
      </c>
      <c r="J44" s="83"/>
      <c r="K44" s="215">
        <f>IF(F44=0,G44+I44+J44,F44+I44+J44)</f>
        <v>697855</v>
      </c>
      <c r="L44" s="85">
        <v>-1302695</v>
      </c>
      <c r="M44" s="83"/>
      <c r="N44" s="215">
        <f>IF(F44=0,G44+L44+M44,F44+L44+M44)</f>
        <v>200000</v>
      </c>
      <c r="O44" s="198" t="str">
        <f>IF(I44-L44&lt;0,"동의필요","-")</f>
        <v>-</v>
      </c>
      <c r="P44" s="228"/>
      <c r="Q44" s="189" t="s">
        <v>17</v>
      </c>
      <c r="R44" s="83">
        <f>IF(Q44&lt;&gt;"도비",SUM(L44:M44),)</f>
        <v>0</v>
      </c>
      <c r="S44" s="83">
        <f>IF(Q44="도비",SUM(L44:M44),SUM(L44:M44)-R44)</f>
        <v>-1302695</v>
      </c>
      <c r="T44" s="222" t="str">
        <f t="shared" si="3"/>
        <v>ok</v>
      </c>
      <c r="V44" s="236" t="s">
        <v>17</v>
      </c>
      <c r="W44" s="83">
        <f>IF(V44&lt;&gt;"도비",SUM(I44:J44),)</f>
        <v>0</v>
      </c>
      <c r="X44" s="83">
        <f>IF(V44="도비",SUM(I44:J44),SUM(I44:J44)-W44)</f>
        <v>-804840</v>
      </c>
      <c r="Y44" s="222" t="str">
        <f t="shared" si="6"/>
        <v>ok</v>
      </c>
      <c r="AA44" s="252">
        <v>1</v>
      </c>
      <c r="AB44" s="252"/>
    </row>
    <row r="45" spans="1:28" ht="31.5" customHeight="1">
      <c r="A45" s="223"/>
      <c r="B45" s="78" t="s">
        <v>463</v>
      </c>
      <c r="C45" s="80"/>
      <c r="D45" s="79"/>
      <c r="E45" s="79"/>
      <c r="F45" s="81">
        <f t="shared" ref="F45:N45" si="62">SUM(F46:F46)</f>
        <v>31210</v>
      </c>
      <c r="G45" s="81">
        <f t="shared" si="62"/>
        <v>30574</v>
      </c>
      <c r="H45" s="81">
        <f t="shared" si="62"/>
        <v>636</v>
      </c>
      <c r="I45" s="81">
        <f t="shared" si="62"/>
        <v>0</v>
      </c>
      <c r="J45" s="81">
        <f t="shared" si="62"/>
        <v>0</v>
      </c>
      <c r="K45" s="81">
        <f t="shared" si="62"/>
        <v>31210</v>
      </c>
      <c r="L45" s="81">
        <f t="shared" si="62"/>
        <v>0</v>
      </c>
      <c r="M45" s="81">
        <f t="shared" si="62"/>
        <v>1421</v>
      </c>
      <c r="N45" s="81">
        <f t="shared" si="62"/>
        <v>32631</v>
      </c>
      <c r="O45" s="80"/>
      <c r="P45" s="81"/>
      <c r="Q45" s="266"/>
      <c r="R45" s="81">
        <f>SUM(R46:R46)</f>
        <v>1421</v>
      </c>
      <c r="S45" s="81">
        <f>SUM(S46:S46)</f>
        <v>0</v>
      </c>
      <c r="T45" s="222" t="str">
        <f t="shared" si="3"/>
        <v>ok</v>
      </c>
      <c r="V45" s="80"/>
      <c r="W45" s="81">
        <f>SUM(W46:W46)</f>
        <v>0</v>
      </c>
      <c r="X45" s="81">
        <f>SUM(X46:X46)</f>
        <v>0</v>
      </c>
      <c r="Y45" s="222" t="str">
        <f t="shared" si="6"/>
        <v>ok</v>
      </c>
      <c r="AA45" s="251"/>
      <c r="AB45" s="251"/>
    </row>
    <row r="46" spans="1:28" ht="31.5" customHeight="1">
      <c r="A46" s="223"/>
      <c r="B46" s="226" t="s">
        <v>87</v>
      </c>
      <c r="C46" s="227">
        <v>395</v>
      </c>
      <c r="D46" s="123" t="s">
        <v>413</v>
      </c>
      <c r="E46" s="230" t="s">
        <v>414</v>
      </c>
      <c r="F46" s="83">
        <v>31210</v>
      </c>
      <c r="G46" s="83">
        <v>30574</v>
      </c>
      <c r="H46" s="215">
        <f>IF(SUMPRODUCT(COUNTIF(C46,{"*본예산*","*신규*"})),"-",F46-G46)</f>
        <v>636</v>
      </c>
      <c r="I46" s="83"/>
      <c r="J46" s="83"/>
      <c r="K46" s="215">
        <f t="shared" ref="K46" si="63">IF(F46=0,G46+I46+J46,F46+I46+J46)</f>
        <v>31210</v>
      </c>
      <c r="L46" s="83"/>
      <c r="M46" s="83">
        <v>1421</v>
      </c>
      <c r="N46" s="215">
        <f t="shared" ref="N46" si="64">IF(F46=0,G46+L46+M46,F46+L46+M46)</f>
        <v>32631</v>
      </c>
      <c r="O46" s="198" t="str">
        <f>IF(I46-L46&lt;0,"동의필요","-")</f>
        <v>-</v>
      </c>
      <c r="P46" s="214" t="s">
        <v>415</v>
      </c>
      <c r="Q46" s="236" t="s">
        <v>95</v>
      </c>
      <c r="R46" s="83">
        <f>IF(Q46&lt;&gt;"도비",SUM(L46:M46),)</f>
        <v>1421</v>
      </c>
      <c r="S46" s="83">
        <f>IF(Q46="도비",SUM(L46:M46),SUM(L46:M46)-R46)</f>
        <v>0</v>
      </c>
      <c r="T46" s="222" t="str">
        <f t="shared" si="3"/>
        <v>ok</v>
      </c>
      <c r="V46" s="236" t="s">
        <v>95</v>
      </c>
      <c r="W46" s="83">
        <f>IF(V46&lt;&gt;"도비",SUM(I46:J46),)</f>
        <v>0</v>
      </c>
      <c r="X46" s="83">
        <f>IF(V46="도비",SUM(I46:J46),SUM(I46:J46)-W46)</f>
        <v>0</v>
      </c>
      <c r="Y46" s="222" t="str">
        <f t="shared" si="6"/>
        <v>ok</v>
      </c>
      <c r="Z46" s="225" t="s">
        <v>490</v>
      </c>
      <c r="AA46" s="252">
        <v>1</v>
      </c>
    </row>
    <row r="47" spans="1:28" ht="31.5" customHeight="1">
      <c r="A47" s="223"/>
      <c r="B47" s="78" t="s">
        <v>246</v>
      </c>
      <c r="C47" s="80"/>
      <c r="D47" s="134"/>
      <c r="E47" s="181"/>
      <c r="F47" s="81">
        <f t="shared" ref="F47:N47" si="65">SUM(F48:F54)</f>
        <v>10450</v>
      </c>
      <c r="G47" s="81">
        <f t="shared" si="65"/>
        <v>1022990</v>
      </c>
      <c r="H47" s="81">
        <f t="shared" si="65"/>
        <v>-12540</v>
      </c>
      <c r="I47" s="81">
        <f t="shared" si="65"/>
        <v>0</v>
      </c>
      <c r="J47" s="81">
        <f t="shared" si="65"/>
        <v>4255500</v>
      </c>
      <c r="K47" s="81">
        <f t="shared" si="65"/>
        <v>5265950</v>
      </c>
      <c r="L47" s="81">
        <f t="shared" si="65"/>
        <v>0</v>
      </c>
      <c r="M47" s="81">
        <f t="shared" si="65"/>
        <v>4243000</v>
      </c>
      <c r="N47" s="81">
        <f t="shared" si="65"/>
        <v>5253450</v>
      </c>
      <c r="O47" s="80"/>
      <c r="P47" s="81"/>
      <c r="Q47" s="266"/>
      <c r="R47" s="81">
        <f t="shared" ref="R47:S47" si="66">SUM(R48:R54)</f>
        <v>0</v>
      </c>
      <c r="S47" s="81">
        <f t="shared" si="66"/>
        <v>4243000</v>
      </c>
      <c r="T47" s="222" t="str">
        <f t="shared" si="3"/>
        <v>ok</v>
      </c>
      <c r="V47" s="80"/>
      <c r="W47" s="81">
        <f t="shared" ref="W47:X47" si="67">SUM(W48:W54)</f>
        <v>0</v>
      </c>
      <c r="X47" s="81">
        <f t="shared" si="67"/>
        <v>4255500</v>
      </c>
      <c r="Y47" s="222" t="str">
        <f t="shared" si="6"/>
        <v>ok</v>
      </c>
      <c r="AA47" s="251"/>
      <c r="AB47" s="251"/>
    </row>
    <row r="48" spans="1:28" ht="31.5" customHeight="1">
      <c r="A48" s="223"/>
      <c r="B48" s="123" t="s">
        <v>87</v>
      </c>
      <c r="C48" s="229">
        <v>357</v>
      </c>
      <c r="D48" s="228" t="s">
        <v>253</v>
      </c>
      <c r="E48" s="230" t="s">
        <v>254</v>
      </c>
      <c r="F48" s="83">
        <v>10450</v>
      </c>
      <c r="G48" s="83">
        <v>22990</v>
      </c>
      <c r="H48" s="215">
        <f>IF(SUMPRODUCT(COUNTIF(C48,{"*본예산*","*신규*"})),"-",F48-G48)</f>
        <v>-12540</v>
      </c>
      <c r="I48" s="83"/>
      <c r="J48" s="83">
        <v>12500</v>
      </c>
      <c r="K48" s="215">
        <f t="shared" ref="K48:K54" si="68">IF(F48=0,G48+I48+J48,F48+I48+J48)</f>
        <v>22950</v>
      </c>
      <c r="L48" s="83"/>
      <c r="M48" s="83">
        <v>0</v>
      </c>
      <c r="N48" s="215">
        <f t="shared" ref="N48:N54" si="69">IF(F48=0,G48+L48+M48,F48+L48+M48)</f>
        <v>10450</v>
      </c>
      <c r="O48" s="198" t="str">
        <f t="shared" ref="O48:O54" si="70">IF(I48-L48&lt;0,"동의필요","-")</f>
        <v>-</v>
      </c>
      <c r="P48" s="287" t="s">
        <v>555</v>
      </c>
      <c r="Q48" s="269" t="s">
        <v>119</v>
      </c>
      <c r="R48" s="83">
        <f t="shared" ref="R48:R54" si="71">IF(Q48&lt;&gt;"도비",SUM(L48:M48),)</f>
        <v>0</v>
      </c>
      <c r="S48" s="83">
        <f t="shared" ref="S48:S54" si="72">IF(Q48="도비",SUM(L48:M48),SUM(L48:M48)-R48)</f>
        <v>0</v>
      </c>
      <c r="T48" s="222" t="str">
        <f t="shared" si="3"/>
        <v>ok</v>
      </c>
      <c r="V48" s="236" t="s">
        <v>119</v>
      </c>
      <c r="W48" s="83">
        <f t="shared" ref="W48:W54" si="73">IF(V48&lt;&gt;"도비",SUM(I48:J48),)</f>
        <v>0</v>
      </c>
      <c r="X48" s="83">
        <f t="shared" ref="X48:X54" si="74">IF(V48="도비",SUM(I48:J48),SUM(I48:J48)-W48)</f>
        <v>12500</v>
      </c>
      <c r="Y48" s="222" t="str">
        <f t="shared" si="6"/>
        <v>ok</v>
      </c>
      <c r="AA48" s="252">
        <v>1</v>
      </c>
      <c r="AB48" s="252"/>
    </row>
    <row r="49" spans="1:28" ht="31.5" customHeight="1">
      <c r="A49" s="223"/>
      <c r="B49" s="227" t="s">
        <v>91</v>
      </c>
      <c r="C49" s="229" t="s">
        <v>247</v>
      </c>
      <c r="D49" s="228" t="s">
        <v>248</v>
      </c>
      <c r="E49" s="230" t="s">
        <v>249</v>
      </c>
      <c r="F49" s="83"/>
      <c r="G49" s="83">
        <v>500000</v>
      </c>
      <c r="H49" s="215" t="str">
        <f>IF(SUMPRODUCT(COUNTIF(C49,{"*본예산*","*신규*"})),"-",F49-G49)</f>
        <v>-</v>
      </c>
      <c r="I49" s="83"/>
      <c r="J49" s="86">
        <v>1140000</v>
      </c>
      <c r="K49" s="215">
        <f t="shared" si="68"/>
        <v>1640000</v>
      </c>
      <c r="L49" s="83"/>
      <c r="M49" s="86">
        <v>1140000</v>
      </c>
      <c r="N49" s="215">
        <f t="shared" si="69"/>
        <v>1640000</v>
      </c>
      <c r="O49" s="198" t="str">
        <f t="shared" si="70"/>
        <v>-</v>
      </c>
      <c r="P49" s="228" t="s">
        <v>540</v>
      </c>
      <c r="Q49" s="269" t="s">
        <v>119</v>
      </c>
      <c r="R49" s="83">
        <f t="shared" si="71"/>
        <v>0</v>
      </c>
      <c r="S49" s="83">
        <f t="shared" si="72"/>
        <v>1140000</v>
      </c>
      <c r="T49" s="222" t="str">
        <f t="shared" si="3"/>
        <v>ok</v>
      </c>
      <c r="V49" s="236" t="s">
        <v>119</v>
      </c>
      <c r="W49" s="83">
        <f t="shared" si="73"/>
        <v>0</v>
      </c>
      <c r="X49" s="83">
        <f t="shared" si="74"/>
        <v>1140000</v>
      </c>
      <c r="Y49" s="222" t="str">
        <f>IF((I49+J49)=(W49+X49),"ok","검토")</f>
        <v>ok</v>
      </c>
      <c r="AA49" s="252">
        <v>1</v>
      </c>
      <c r="AB49" s="252"/>
    </row>
    <row r="50" spans="1:28" ht="31.5" customHeight="1">
      <c r="A50" s="223"/>
      <c r="B50" s="123" t="s">
        <v>91</v>
      </c>
      <c r="C50" s="229" t="s">
        <v>250</v>
      </c>
      <c r="D50" s="228" t="s">
        <v>251</v>
      </c>
      <c r="E50" s="230" t="s">
        <v>252</v>
      </c>
      <c r="F50" s="83"/>
      <c r="G50" s="83">
        <v>500000</v>
      </c>
      <c r="H50" s="215" t="str">
        <f>IF(SUMPRODUCT(COUNTIF(C50,{"*본예산*","*신규*"})),"-",F50-G50)</f>
        <v>-</v>
      </c>
      <c r="I50" s="83"/>
      <c r="J50" s="83">
        <v>1100000</v>
      </c>
      <c r="K50" s="215">
        <f t="shared" si="68"/>
        <v>1600000</v>
      </c>
      <c r="L50" s="83"/>
      <c r="M50" s="83">
        <v>1100000</v>
      </c>
      <c r="N50" s="215">
        <f t="shared" si="69"/>
        <v>1600000</v>
      </c>
      <c r="O50" s="198" t="str">
        <f t="shared" si="70"/>
        <v>-</v>
      </c>
      <c r="P50" s="228" t="s">
        <v>540</v>
      </c>
      <c r="Q50" s="269" t="s">
        <v>119</v>
      </c>
      <c r="R50" s="83">
        <f t="shared" si="71"/>
        <v>0</v>
      </c>
      <c r="S50" s="83">
        <f t="shared" si="72"/>
        <v>1100000</v>
      </c>
      <c r="T50" s="222" t="str">
        <f t="shared" si="3"/>
        <v>ok</v>
      </c>
      <c r="V50" s="236" t="s">
        <v>119</v>
      </c>
      <c r="W50" s="83">
        <f t="shared" si="73"/>
        <v>0</v>
      </c>
      <c r="X50" s="83">
        <f t="shared" si="74"/>
        <v>1100000</v>
      </c>
      <c r="Y50" s="222" t="str">
        <f>IF((I50+J50)=(W50+X50),"ok","검토")</f>
        <v>ok</v>
      </c>
      <c r="AA50" s="252">
        <v>1</v>
      </c>
      <c r="AB50" s="252"/>
    </row>
    <row r="51" spans="1:28" ht="31.5" customHeight="1">
      <c r="A51" s="223"/>
      <c r="B51" s="123" t="s">
        <v>91</v>
      </c>
      <c r="C51" s="229" t="s">
        <v>238</v>
      </c>
      <c r="D51" s="184" t="s">
        <v>255</v>
      </c>
      <c r="E51" s="230" t="s">
        <v>256</v>
      </c>
      <c r="F51" s="185"/>
      <c r="G51" s="185"/>
      <c r="H51" s="215" t="str">
        <f>IF(SUMPRODUCT(COUNTIF(C51,{"*본예산*","*신규*"})),"-",F51-G51)</f>
        <v>-</v>
      </c>
      <c r="I51" s="83"/>
      <c r="J51" s="83">
        <v>1290000</v>
      </c>
      <c r="K51" s="215">
        <f t="shared" si="68"/>
        <v>1290000</v>
      </c>
      <c r="L51" s="83"/>
      <c r="M51" s="83">
        <v>1290000</v>
      </c>
      <c r="N51" s="215">
        <f t="shared" si="69"/>
        <v>1290000</v>
      </c>
      <c r="O51" s="198" t="str">
        <f t="shared" si="70"/>
        <v>-</v>
      </c>
      <c r="P51" s="228" t="s">
        <v>540</v>
      </c>
      <c r="Q51" s="269" t="s">
        <v>119</v>
      </c>
      <c r="R51" s="83">
        <f t="shared" si="71"/>
        <v>0</v>
      </c>
      <c r="S51" s="83">
        <f t="shared" si="72"/>
        <v>1290000</v>
      </c>
      <c r="T51" s="222" t="str">
        <f t="shared" si="3"/>
        <v>ok</v>
      </c>
      <c r="V51" s="236" t="s">
        <v>119</v>
      </c>
      <c r="W51" s="83">
        <f t="shared" si="73"/>
        <v>0</v>
      </c>
      <c r="X51" s="83">
        <f t="shared" si="74"/>
        <v>1290000</v>
      </c>
      <c r="Y51" s="222" t="str">
        <f t="shared" si="6"/>
        <v>ok</v>
      </c>
      <c r="AA51" s="252">
        <v>1</v>
      </c>
      <c r="AB51" s="252"/>
    </row>
    <row r="52" spans="1:28" ht="31.5" customHeight="1">
      <c r="A52" s="223"/>
      <c r="B52" s="123" t="s">
        <v>91</v>
      </c>
      <c r="C52" s="229" t="s">
        <v>238</v>
      </c>
      <c r="D52" s="184" t="s">
        <v>255</v>
      </c>
      <c r="E52" s="230" t="s">
        <v>257</v>
      </c>
      <c r="F52" s="185"/>
      <c r="G52" s="185"/>
      <c r="H52" s="215" t="str">
        <f>IF(SUMPRODUCT(COUNTIF(C52,{"*본예산*","*신규*"})),"-",F52-G52)</f>
        <v>-</v>
      </c>
      <c r="I52" s="83"/>
      <c r="J52" s="83">
        <v>243000</v>
      </c>
      <c r="K52" s="215">
        <f t="shared" si="68"/>
        <v>243000</v>
      </c>
      <c r="L52" s="83"/>
      <c r="M52" s="83">
        <v>243000</v>
      </c>
      <c r="N52" s="215">
        <f t="shared" si="69"/>
        <v>243000</v>
      </c>
      <c r="O52" s="198" t="str">
        <f t="shared" si="70"/>
        <v>-</v>
      </c>
      <c r="P52" s="228" t="s">
        <v>540</v>
      </c>
      <c r="Q52" s="269" t="s">
        <v>119</v>
      </c>
      <c r="R52" s="83">
        <f t="shared" si="71"/>
        <v>0</v>
      </c>
      <c r="S52" s="83">
        <f t="shared" si="72"/>
        <v>243000</v>
      </c>
      <c r="T52" s="222" t="str">
        <f t="shared" si="3"/>
        <v>ok</v>
      </c>
      <c r="V52" s="236" t="s">
        <v>119</v>
      </c>
      <c r="W52" s="83">
        <f t="shared" si="73"/>
        <v>0</v>
      </c>
      <c r="X52" s="83">
        <f t="shared" si="74"/>
        <v>243000</v>
      </c>
      <c r="Y52" s="222" t="str">
        <f t="shared" si="6"/>
        <v>ok</v>
      </c>
      <c r="AA52" s="252">
        <v>1</v>
      </c>
      <c r="AB52" s="252"/>
    </row>
    <row r="53" spans="1:28" ht="31.5" customHeight="1">
      <c r="A53" s="223"/>
      <c r="B53" s="123" t="s">
        <v>91</v>
      </c>
      <c r="C53" s="229" t="s">
        <v>238</v>
      </c>
      <c r="D53" s="228" t="s">
        <v>258</v>
      </c>
      <c r="E53" s="230" t="s">
        <v>259</v>
      </c>
      <c r="F53" s="83"/>
      <c r="G53" s="83"/>
      <c r="H53" s="215" t="str">
        <f>IF(SUMPRODUCT(COUNTIF(C53,{"*본예산*","*신규*"})),"-",F53-G53)</f>
        <v>-</v>
      </c>
      <c r="I53" s="83"/>
      <c r="J53" s="83">
        <v>300000</v>
      </c>
      <c r="K53" s="215">
        <f t="shared" si="68"/>
        <v>300000</v>
      </c>
      <c r="L53" s="83"/>
      <c r="M53" s="83">
        <v>300000</v>
      </c>
      <c r="N53" s="215">
        <f t="shared" si="69"/>
        <v>300000</v>
      </c>
      <c r="O53" s="198" t="str">
        <f t="shared" si="70"/>
        <v>-</v>
      </c>
      <c r="P53" s="228" t="s">
        <v>540</v>
      </c>
      <c r="Q53" s="269" t="s">
        <v>17</v>
      </c>
      <c r="R53" s="83">
        <f t="shared" si="71"/>
        <v>0</v>
      </c>
      <c r="S53" s="83">
        <f t="shared" si="72"/>
        <v>300000</v>
      </c>
      <c r="T53" s="222" t="str">
        <f t="shared" si="3"/>
        <v>ok</v>
      </c>
      <c r="V53" s="236" t="s">
        <v>17</v>
      </c>
      <c r="W53" s="83">
        <f t="shared" si="73"/>
        <v>0</v>
      </c>
      <c r="X53" s="83">
        <f t="shared" si="74"/>
        <v>300000</v>
      </c>
      <c r="Y53" s="222" t="str">
        <f t="shared" si="6"/>
        <v>ok</v>
      </c>
      <c r="AA53" s="252">
        <v>1</v>
      </c>
      <c r="AB53" s="252"/>
    </row>
    <row r="54" spans="1:28" ht="31.5" customHeight="1">
      <c r="A54" s="223"/>
      <c r="B54" s="123" t="s">
        <v>91</v>
      </c>
      <c r="C54" s="229" t="s">
        <v>238</v>
      </c>
      <c r="D54" s="228" t="s">
        <v>260</v>
      </c>
      <c r="E54" s="230" t="s">
        <v>261</v>
      </c>
      <c r="F54" s="83"/>
      <c r="G54" s="83"/>
      <c r="H54" s="215" t="str">
        <f>IF(SUMPRODUCT(COUNTIF(C54,{"*본예산*","*신규*"})),"-",F54-G54)</f>
        <v>-</v>
      </c>
      <c r="I54" s="83"/>
      <c r="J54" s="83">
        <v>170000</v>
      </c>
      <c r="K54" s="215">
        <f t="shared" si="68"/>
        <v>170000</v>
      </c>
      <c r="L54" s="83"/>
      <c r="M54" s="83">
        <v>170000</v>
      </c>
      <c r="N54" s="215">
        <f t="shared" si="69"/>
        <v>170000</v>
      </c>
      <c r="O54" s="198" t="str">
        <f t="shared" si="70"/>
        <v>-</v>
      </c>
      <c r="P54" s="228" t="s">
        <v>540</v>
      </c>
      <c r="Q54" s="269" t="s">
        <v>119</v>
      </c>
      <c r="R54" s="83">
        <f t="shared" si="71"/>
        <v>0</v>
      </c>
      <c r="S54" s="83">
        <f t="shared" si="72"/>
        <v>170000</v>
      </c>
      <c r="T54" s="222" t="str">
        <f t="shared" si="3"/>
        <v>ok</v>
      </c>
      <c r="V54" s="236" t="s">
        <v>119</v>
      </c>
      <c r="W54" s="83">
        <f t="shared" si="73"/>
        <v>0</v>
      </c>
      <c r="X54" s="83">
        <f t="shared" si="74"/>
        <v>170000</v>
      </c>
      <c r="Y54" s="222" t="str">
        <f t="shared" si="6"/>
        <v>ok</v>
      </c>
      <c r="AA54" s="252">
        <v>1</v>
      </c>
      <c r="AB54" s="252"/>
    </row>
    <row r="55" spans="1:28" ht="31.5" customHeight="1">
      <c r="A55" s="223"/>
      <c r="B55" s="78" t="s">
        <v>262</v>
      </c>
      <c r="C55" s="80"/>
      <c r="D55" s="134"/>
      <c r="E55" s="181"/>
      <c r="F55" s="81">
        <f>SUM(F56)</f>
        <v>0</v>
      </c>
      <c r="G55" s="81">
        <f t="shared" ref="G55:N55" si="75">SUM(G56)</f>
        <v>900000</v>
      </c>
      <c r="H55" s="81">
        <f t="shared" si="75"/>
        <v>0</v>
      </c>
      <c r="I55" s="81">
        <f t="shared" si="75"/>
        <v>0</v>
      </c>
      <c r="J55" s="81">
        <f t="shared" si="75"/>
        <v>1270000</v>
      </c>
      <c r="K55" s="81">
        <f t="shared" si="75"/>
        <v>2170000</v>
      </c>
      <c r="L55" s="81">
        <f t="shared" si="75"/>
        <v>0</v>
      </c>
      <c r="M55" s="81">
        <f t="shared" si="75"/>
        <v>1270000</v>
      </c>
      <c r="N55" s="81">
        <f t="shared" si="75"/>
        <v>2170000</v>
      </c>
      <c r="O55" s="80"/>
      <c r="P55" s="81"/>
      <c r="Q55" s="266"/>
      <c r="R55" s="81">
        <f t="shared" ref="R55:S55" si="76">SUM(R56)</f>
        <v>0</v>
      </c>
      <c r="S55" s="81">
        <f t="shared" si="76"/>
        <v>1270000</v>
      </c>
      <c r="T55" s="222" t="str">
        <f t="shared" si="3"/>
        <v>ok</v>
      </c>
      <c r="V55" s="80"/>
      <c r="W55" s="81">
        <f t="shared" ref="W55:X55" si="77">SUM(W56)</f>
        <v>0</v>
      </c>
      <c r="X55" s="81">
        <f t="shared" si="77"/>
        <v>1270000</v>
      </c>
      <c r="Y55" s="222" t="str">
        <f t="shared" si="6"/>
        <v>ok</v>
      </c>
      <c r="AA55" s="251"/>
      <c r="AB55" s="251"/>
    </row>
    <row r="56" spans="1:28" ht="31.5" customHeight="1">
      <c r="A56" s="223"/>
      <c r="B56" s="123" t="s">
        <v>91</v>
      </c>
      <c r="C56" s="229" t="s">
        <v>263</v>
      </c>
      <c r="D56" s="228" t="s">
        <v>264</v>
      </c>
      <c r="E56" s="230" t="s">
        <v>265</v>
      </c>
      <c r="F56" s="83"/>
      <c r="G56" s="83">
        <v>900000</v>
      </c>
      <c r="H56" s="215" t="str">
        <f>IF(SUMPRODUCT(COUNTIF(C56,{"*본예산*","*신규*"})),"-",F56-G56)</f>
        <v>-</v>
      </c>
      <c r="I56" s="83"/>
      <c r="J56" s="86">
        <v>1270000</v>
      </c>
      <c r="K56" s="215">
        <f>IF(F56=0,G56+I56+J56,F56+I56+J56)</f>
        <v>2170000</v>
      </c>
      <c r="L56" s="83"/>
      <c r="M56" s="86">
        <v>1270000</v>
      </c>
      <c r="N56" s="215">
        <f>IF(F56=0,G56+L56+M56,F56+L56+M56)</f>
        <v>2170000</v>
      </c>
      <c r="O56" s="198" t="str">
        <f>IF(I56-L56&lt;0,"동의필요","-")</f>
        <v>-</v>
      </c>
      <c r="P56" s="228"/>
      <c r="Q56" s="269" t="s">
        <v>17</v>
      </c>
      <c r="R56" s="83">
        <f>IF(Q56&lt;&gt;"도비",SUM(L56:M56),)</f>
        <v>0</v>
      </c>
      <c r="S56" s="83">
        <f>IF(Q56="도비",SUM(L56:M56),SUM(L56:M56)-R56)</f>
        <v>1270000</v>
      </c>
      <c r="T56" s="222" t="str">
        <f t="shared" si="3"/>
        <v>ok</v>
      </c>
      <c r="V56" s="236" t="s">
        <v>17</v>
      </c>
      <c r="W56" s="83">
        <f>IF(V56&lt;&gt;"도비",SUM(I56:J56),)</f>
        <v>0</v>
      </c>
      <c r="X56" s="83">
        <f>IF(V56="도비",SUM(I56:J56),SUM(I56:J56)-W56)</f>
        <v>1270000</v>
      </c>
      <c r="Y56" s="222" t="str">
        <f t="shared" si="6"/>
        <v>ok</v>
      </c>
      <c r="AA56" s="252">
        <v>1</v>
      </c>
      <c r="AB56" s="252"/>
    </row>
    <row r="57" spans="1:28" ht="31.5" customHeight="1">
      <c r="A57" s="1" t="s">
        <v>125</v>
      </c>
      <c r="B57" s="75"/>
      <c r="C57" s="75"/>
      <c r="D57" s="75"/>
      <c r="E57" s="75"/>
      <c r="F57" s="76">
        <f t="shared" ref="F57:N57" si="78">SUM(F58:F66)/2</f>
        <v>50328000</v>
      </c>
      <c r="G57" s="76">
        <f t="shared" si="78"/>
        <v>46258000</v>
      </c>
      <c r="H57" s="76">
        <f t="shared" si="78"/>
        <v>4240000</v>
      </c>
      <c r="I57" s="76">
        <f t="shared" si="78"/>
        <v>-922534</v>
      </c>
      <c r="J57" s="76">
        <f t="shared" si="78"/>
        <v>2062534</v>
      </c>
      <c r="K57" s="76">
        <f t="shared" si="78"/>
        <v>51638000</v>
      </c>
      <c r="L57" s="76">
        <f t="shared" si="78"/>
        <v>-1792534</v>
      </c>
      <c r="M57" s="76">
        <f t="shared" si="78"/>
        <v>2632534</v>
      </c>
      <c r="N57" s="76">
        <f t="shared" si="78"/>
        <v>51338000</v>
      </c>
      <c r="O57" s="75"/>
      <c r="P57" s="76"/>
      <c r="Q57" s="266"/>
      <c r="R57" s="76">
        <f>SUM(R58:R66)/2</f>
        <v>10000</v>
      </c>
      <c r="S57" s="76">
        <f>SUM(S58:S66)/2</f>
        <v>830000</v>
      </c>
      <c r="T57" s="222" t="str">
        <f t="shared" si="3"/>
        <v>ok</v>
      </c>
      <c r="V57" s="75"/>
      <c r="W57" s="76">
        <f>SUM(W58:W66)/2</f>
        <v>10000</v>
      </c>
      <c r="X57" s="76">
        <f>SUM(X58:X66)/2</f>
        <v>1130000</v>
      </c>
      <c r="Y57" s="222" t="str">
        <f t="shared" si="6"/>
        <v>ok</v>
      </c>
      <c r="AA57" s="250"/>
      <c r="AB57" s="250"/>
    </row>
    <row r="58" spans="1:28" ht="31.5" customHeight="1">
      <c r="A58" s="223"/>
      <c r="B58" s="78" t="s">
        <v>177</v>
      </c>
      <c r="C58" s="80"/>
      <c r="D58" s="134"/>
      <c r="E58" s="181"/>
      <c r="F58" s="81">
        <f t="shared" ref="F58:N58" si="79">SUM(F59:F66)</f>
        <v>50328000</v>
      </c>
      <c r="G58" s="81">
        <f t="shared" si="79"/>
        <v>46258000</v>
      </c>
      <c r="H58" s="81">
        <f t="shared" si="79"/>
        <v>4240000</v>
      </c>
      <c r="I58" s="81">
        <f t="shared" si="79"/>
        <v>-922534</v>
      </c>
      <c r="J58" s="81">
        <f t="shared" si="79"/>
        <v>2062534</v>
      </c>
      <c r="K58" s="81">
        <f t="shared" si="79"/>
        <v>51638000</v>
      </c>
      <c r="L58" s="81">
        <f t="shared" si="79"/>
        <v>-1792534</v>
      </c>
      <c r="M58" s="81">
        <f t="shared" si="79"/>
        <v>2632534</v>
      </c>
      <c r="N58" s="81">
        <f t="shared" si="79"/>
        <v>51338000</v>
      </c>
      <c r="O58" s="80"/>
      <c r="P58" s="81"/>
      <c r="Q58" s="266"/>
      <c r="R58" s="81">
        <f>SUM(R59:R66)</f>
        <v>10000</v>
      </c>
      <c r="S58" s="81">
        <f>SUM(S59:S66)</f>
        <v>830000</v>
      </c>
      <c r="T58" s="222" t="str">
        <f t="shared" si="3"/>
        <v>ok</v>
      </c>
      <c r="V58" s="80"/>
      <c r="W58" s="81">
        <f>SUM(W59:W66)</f>
        <v>10000</v>
      </c>
      <c r="X58" s="81">
        <f>SUM(X59:X66)</f>
        <v>1130000</v>
      </c>
      <c r="Y58" s="222" t="str">
        <f t="shared" si="6"/>
        <v>ok</v>
      </c>
      <c r="AA58" s="251"/>
      <c r="AB58" s="251"/>
    </row>
    <row r="59" spans="1:28" ht="31.5" customHeight="1">
      <c r="A59" s="223"/>
      <c r="B59" s="227" t="s">
        <v>87</v>
      </c>
      <c r="C59" s="227">
        <v>418</v>
      </c>
      <c r="D59" s="228" t="s">
        <v>267</v>
      </c>
      <c r="E59" s="230" t="s">
        <v>268</v>
      </c>
      <c r="F59" s="83">
        <v>20637000</v>
      </c>
      <c r="G59" s="83">
        <v>20137000</v>
      </c>
      <c r="H59" s="215">
        <f>IF(SUMPRODUCT(COUNTIF(C59,{"*본예산*","*신규*"})),"-",F59-G59)</f>
        <v>500000</v>
      </c>
      <c r="I59" s="83"/>
      <c r="J59" s="83">
        <v>50000</v>
      </c>
      <c r="K59" s="215">
        <f t="shared" ref="K59:K66" si="80">IF(F59=0,G59+I59+J59,F59+I59+J59)</f>
        <v>20687000</v>
      </c>
      <c r="L59" s="83">
        <v>0</v>
      </c>
      <c r="M59" s="83">
        <v>50000</v>
      </c>
      <c r="N59" s="215">
        <f t="shared" ref="N59:N66" si="81">IF(F59=0,G59+L59+M59,F59+L59+M59)</f>
        <v>20687000</v>
      </c>
      <c r="O59" s="198" t="str">
        <f t="shared" ref="O59:O66" si="82">IF(I59-L59&lt;0,"동의필요","-")</f>
        <v>-</v>
      </c>
      <c r="P59" s="287" t="s">
        <v>540</v>
      </c>
      <c r="Q59" s="189" t="s">
        <v>17</v>
      </c>
      <c r="R59" s="83">
        <f t="shared" ref="R59:R66" si="83">IF(Q59&lt;&gt;"도비",SUM(L59:M59),)</f>
        <v>0</v>
      </c>
      <c r="S59" s="83">
        <f t="shared" ref="S59:S66" si="84">IF(Q59="도비",SUM(L59:M59),SUM(L59:M59)-R59)</f>
        <v>50000</v>
      </c>
      <c r="T59" s="222" t="str">
        <f t="shared" si="3"/>
        <v>ok</v>
      </c>
      <c r="V59" s="236" t="s">
        <v>17</v>
      </c>
      <c r="W59" s="83">
        <f t="shared" ref="W59:W66" si="85">IF(V59&lt;&gt;"도비",SUM(I59:J59),)</f>
        <v>0</v>
      </c>
      <c r="X59" s="83">
        <f t="shared" ref="X59:X66" si="86">IF(V59="도비",SUM(I59:J59),SUM(I59:J59)-W59)</f>
        <v>50000</v>
      </c>
      <c r="Y59" s="222" t="str">
        <f t="shared" si="6"/>
        <v>ok</v>
      </c>
      <c r="AA59" s="252">
        <v>1</v>
      </c>
      <c r="AB59" s="252"/>
    </row>
    <row r="60" spans="1:28" ht="89.25" customHeight="1">
      <c r="A60" s="223"/>
      <c r="B60" s="227" t="s">
        <v>87</v>
      </c>
      <c r="C60" s="229">
        <v>419</v>
      </c>
      <c r="D60" s="228" t="s">
        <v>267</v>
      </c>
      <c r="E60" s="230" t="s">
        <v>269</v>
      </c>
      <c r="F60" s="83">
        <v>18765000</v>
      </c>
      <c r="G60" s="83">
        <v>17895000</v>
      </c>
      <c r="H60" s="215">
        <f>IF(SUMPRODUCT(COUNTIF(C60,{"*본예산*","*신규*"})),"-",F60-G60)</f>
        <v>870000</v>
      </c>
      <c r="I60" s="83"/>
      <c r="J60" s="83">
        <f>500000-70000</f>
        <v>430000</v>
      </c>
      <c r="K60" s="215">
        <f t="shared" si="80"/>
        <v>19195000</v>
      </c>
      <c r="L60" s="83">
        <v>-270000</v>
      </c>
      <c r="M60" s="83"/>
      <c r="N60" s="215">
        <f t="shared" si="81"/>
        <v>18495000</v>
      </c>
      <c r="O60" s="198" t="str">
        <f t="shared" si="82"/>
        <v>-</v>
      </c>
      <c r="P60" s="247" t="s">
        <v>567</v>
      </c>
      <c r="Q60" s="189" t="s">
        <v>126</v>
      </c>
      <c r="R60" s="83">
        <f t="shared" si="83"/>
        <v>0</v>
      </c>
      <c r="S60" s="83">
        <f t="shared" si="84"/>
        <v>-270000</v>
      </c>
      <c r="T60" s="222" t="str">
        <f t="shared" si="3"/>
        <v>ok</v>
      </c>
      <c r="V60" s="236" t="s">
        <v>126</v>
      </c>
      <c r="W60" s="83">
        <f t="shared" si="85"/>
        <v>0</v>
      </c>
      <c r="X60" s="83">
        <f t="shared" si="86"/>
        <v>430000</v>
      </c>
      <c r="Y60" s="222" t="str">
        <f t="shared" si="6"/>
        <v>ok</v>
      </c>
      <c r="AA60" s="252">
        <v>1</v>
      </c>
      <c r="AB60" s="252"/>
    </row>
    <row r="61" spans="1:28" ht="31.5" customHeight="1">
      <c r="A61" s="223"/>
      <c r="B61" s="227" t="s">
        <v>87</v>
      </c>
      <c r="C61" s="229">
        <v>420</v>
      </c>
      <c r="D61" s="228" t="s">
        <v>266</v>
      </c>
      <c r="E61" s="230" t="s">
        <v>270</v>
      </c>
      <c r="F61" s="83">
        <v>150000</v>
      </c>
      <c r="G61" s="154"/>
      <c r="H61" s="215">
        <f>IF(SUMPRODUCT(COUNTIF(C61,{"*본예산*","*신규*"})),"-",F61-G61)</f>
        <v>150000</v>
      </c>
      <c r="I61" s="83">
        <v>-50000</v>
      </c>
      <c r="J61" s="83"/>
      <c r="K61" s="215">
        <f t="shared" si="80"/>
        <v>100000</v>
      </c>
      <c r="L61" s="83">
        <v>-50000</v>
      </c>
      <c r="M61" s="83"/>
      <c r="N61" s="215">
        <f t="shared" si="81"/>
        <v>100000</v>
      </c>
      <c r="O61" s="198" t="str">
        <f t="shared" si="82"/>
        <v>-</v>
      </c>
      <c r="P61" s="228" t="s">
        <v>548</v>
      </c>
      <c r="Q61" s="189" t="s">
        <v>126</v>
      </c>
      <c r="R61" s="83">
        <f t="shared" si="83"/>
        <v>0</v>
      </c>
      <c r="S61" s="83">
        <f t="shared" si="84"/>
        <v>-50000</v>
      </c>
      <c r="T61" s="222" t="str">
        <f t="shared" si="3"/>
        <v>ok</v>
      </c>
      <c r="V61" s="236" t="s">
        <v>126</v>
      </c>
      <c r="W61" s="83">
        <f t="shared" si="85"/>
        <v>0</v>
      </c>
      <c r="X61" s="83">
        <f t="shared" si="86"/>
        <v>-50000</v>
      </c>
      <c r="Y61" s="222" t="str">
        <f t="shared" si="6"/>
        <v>ok</v>
      </c>
      <c r="AA61" s="252">
        <v>1</v>
      </c>
      <c r="AB61" s="252"/>
    </row>
    <row r="62" spans="1:28" ht="31.5" customHeight="1">
      <c r="A62" s="223"/>
      <c r="B62" s="227" t="s">
        <v>87</v>
      </c>
      <c r="C62" s="229">
        <v>424</v>
      </c>
      <c r="D62" s="228" t="s">
        <v>271</v>
      </c>
      <c r="E62" s="230" t="s">
        <v>272</v>
      </c>
      <c r="F62" s="83">
        <v>4000000</v>
      </c>
      <c r="G62" s="83">
        <v>2000000</v>
      </c>
      <c r="H62" s="215">
        <f>IF(SUMPRODUCT(COUNTIF(C62,{"*본예산*","*신규*"})),"-",F62-G62)</f>
        <v>2000000</v>
      </c>
      <c r="I62" s="83"/>
      <c r="J62" s="83">
        <v>700000</v>
      </c>
      <c r="K62" s="215">
        <f t="shared" si="80"/>
        <v>4700000</v>
      </c>
      <c r="L62" s="83"/>
      <c r="M62" s="83">
        <v>1700000</v>
      </c>
      <c r="N62" s="215">
        <f t="shared" si="81"/>
        <v>5700000</v>
      </c>
      <c r="O62" s="198" t="str">
        <f t="shared" si="82"/>
        <v>-</v>
      </c>
      <c r="P62" s="228" t="s">
        <v>549</v>
      </c>
      <c r="Q62" s="189" t="s">
        <v>126</v>
      </c>
      <c r="R62" s="83">
        <f t="shared" si="83"/>
        <v>0</v>
      </c>
      <c r="S62" s="83">
        <f t="shared" si="84"/>
        <v>1700000</v>
      </c>
      <c r="T62" s="222" t="str">
        <f t="shared" si="3"/>
        <v>ok</v>
      </c>
      <c r="V62" s="236" t="s">
        <v>126</v>
      </c>
      <c r="W62" s="83">
        <f t="shared" si="85"/>
        <v>0</v>
      </c>
      <c r="X62" s="83">
        <f t="shared" si="86"/>
        <v>700000</v>
      </c>
      <c r="Y62" s="222" t="str">
        <f t="shared" si="6"/>
        <v>ok</v>
      </c>
      <c r="AA62" s="252">
        <v>1</v>
      </c>
      <c r="AB62" s="252"/>
    </row>
    <row r="63" spans="1:28" ht="31.5" customHeight="1">
      <c r="A63" s="223"/>
      <c r="B63" s="227" t="s">
        <v>87</v>
      </c>
      <c r="C63" s="229">
        <v>431</v>
      </c>
      <c r="D63" s="228" t="s">
        <v>273</v>
      </c>
      <c r="E63" s="230" t="s">
        <v>274</v>
      </c>
      <c r="F63" s="83">
        <v>6176000</v>
      </c>
      <c r="G63" s="83">
        <v>6056000</v>
      </c>
      <c r="H63" s="215">
        <f>IF(SUMPRODUCT(COUNTIF(C63,{"*본예산*","*신규*"})),"-",F63-G63)</f>
        <v>120000</v>
      </c>
      <c r="I63" s="83">
        <v>-872534</v>
      </c>
      <c r="J63" s="83"/>
      <c r="K63" s="215">
        <f t="shared" si="80"/>
        <v>5303466</v>
      </c>
      <c r="L63" s="83">
        <v>-872534</v>
      </c>
      <c r="M63" s="83"/>
      <c r="N63" s="215">
        <f t="shared" si="81"/>
        <v>5303466</v>
      </c>
      <c r="O63" s="198" t="str">
        <f t="shared" si="82"/>
        <v>-</v>
      </c>
      <c r="P63" s="228" t="s">
        <v>550</v>
      </c>
      <c r="Q63" s="189" t="s">
        <v>126</v>
      </c>
      <c r="R63" s="83">
        <f t="shared" si="83"/>
        <v>0</v>
      </c>
      <c r="S63" s="83">
        <f t="shared" si="84"/>
        <v>-872534</v>
      </c>
      <c r="T63" s="222" t="str">
        <f t="shared" si="3"/>
        <v>ok</v>
      </c>
      <c r="V63" s="236" t="s">
        <v>126</v>
      </c>
      <c r="W63" s="83">
        <f t="shared" si="85"/>
        <v>0</v>
      </c>
      <c r="X63" s="83">
        <f t="shared" si="86"/>
        <v>-872534</v>
      </c>
      <c r="Y63" s="222" t="str">
        <f t="shared" si="6"/>
        <v>ok</v>
      </c>
      <c r="AA63" s="252">
        <v>1</v>
      </c>
      <c r="AB63" s="252"/>
    </row>
    <row r="64" spans="1:28" ht="31.5" customHeight="1">
      <c r="A64" s="223"/>
      <c r="B64" s="227" t="s">
        <v>91</v>
      </c>
      <c r="C64" s="229" t="s">
        <v>238</v>
      </c>
      <c r="D64" s="228" t="s">
        <v>273</v>
      </c>
      <c r="E64" s="230" t="s">
        <v>275</v>
      </c>
      <c r="F64" s="154"/>
      <c r="G64" s="154"/>
      <c r="H64" s="215" t="str">
        <f>IF(SUMPRODUCT(COUNTIF(C64,{"*본예산*","*신규*"})),"-",F64-G64)</f>
        <v>-</v>
      </c>
      <c r="I64" s="83"/>
      <c r="J64" s="83">
        <v>872534</v>
      </c>
      <c r="K64" s="215">
        <f t="shared" si="80"/>
        <v>872534</v>
      </c>
      <c r="L64" s="83"/>
      <c r="M64" s="83">
        <v>872534</v>
      </c>
      <c r="N64" s="215">
        <f t="shared" si="81"/>
        <v>872534</v>
      </c>
      <c r="O64" s="198" t="str">
        <f t="shared" si="82"/>
        <v>-</v>
      </c>
      <c r="P64" s="228" t="s">
        <v>168</v>
      </c>
      <c r="Q64" s="189" t="s">
        <v>126</v>
      </c>
      <c r="R64" s="83">
        <f t="shared" si="83"/>
        <v>0</v>
      </c>
      <c r="S64" s="83">
        <f t="shared" si="84"/>
        <v>872534</v>
      </c>
      <c r="T64" s="222" t="str">
        <f t="shared" si="3"/>
        <v>ok</v>
      </c>
      <c r="V64" s="236" t="s">
        <v>126</v>
      </c>
      <c r="W64" s="83">
        <f t="shared" si="85"/>
        <v>0</v>
      </c>
      <c r="X64" s="83">
        <f t="shared" si="86"/>
        <v>872534</v>
      </c>
      <c r="Y64" s="222" t="str">
        <f t="shared" si="6"/>
        <v>ok</v>
      </c>
      <c r="AA64" s="252">
        <v>1</v>
      </c>
      <c r="AB64" s="252"/>
    </row>
    <row r="65" spans="1:28" ht="31.5" customHeight="1">
      <c r="A65" s="223"/>
      <c r="B65" s="227" t="s">
        <v>87</v>
      </c>
      <c r="C65" s="229">
        <v>436</v>
      </c>
      <c r="D65" s="228" t="s">
        <v>277</v>
      </c>
      <c r="E65" s="230" t="s">
        <v>466</v>
      </c>
      <c r="F65" s="83">
        <v>600000</v>
      </c>
      <c r="G65" s="83"/>
      <c r="H65" s="215">
        <f>IF(SUMPRODUCT(COUNTIF(C65,{"*본예산*","*신규*"})),"-",F65-G65)</f>
        <v>600000</v>
      </c>
      <c r="I65" s="83"/>
      <c r="J65" s="83"/>
      <c r="K65" s="215">
        <f t="shared" si="80"/>
        <v>600000</v>
      </c>
      <c r="L65" s="83">
        <v>-600000</v>
      </c>
      <c r="M65" s="83"/>
      <c r="N65" s="215">
        <f t="shared" si="81"/>
        <v>0</v>
      </c>
      <c r="O65" s="198" t="str">
        <f t="shared" si="82"/>
        <v>-</v>
      </c>
      <c r="P65" s="228" t="s">
        <v>551</v>
      </c>
      <c r="Q65" s="189" t="s">
        <v>126</v>
      </c>
      <c r="R65" s="83">
        <f t="shared" si="83"/>
        <v>0</v>
      </c>
      <c r="S65" s="83">
        <f t="shared" si="84"/>
        <v>-600000</v>
      </c>
      <c r="T65" s="222" t="str">
        <f t="shared" si="3"/>
        <v>ok</v>
      </c>
      <c r="V65" s="236" t="s">
        <v>126</v>
      </c>
      <c r="W65" s="83">
        <f t="shared" ref="W65" si="87">IF(V65&lt;&gt;"도비",SUM(I65:J65),)</f>
        <v>0</v>
      </c>
      <c r="X65" s="83">
        <f t="shared" ref="X65" si="88">IF(V65="도비",SUM(I65:J65),SUM(I65:J65)-W65)</f>
        <v>0</v>
      </c>
      <c r="Y65" s="222" t="str">
        <f t="shared" si="6"/>
        <v>ok</v>
      </c>
      <c r="AA65" s="252">
        <v>1</v>
      </c>
      <c r="AB65" s="252"/>
    </row>
    <row r="66" spans="1:28" ht="31.5" customHeight="1">
      <c r="A66" s="223"/>
      <c r="B66" s="227" t="s">
        <v>91</v>
      </c>
      <c r="C66" s="229" t="s">
        <v>276</v>
      </c>
      <c r="D66" s="228" t="s">
        <v>277</v>
      </c>
      <c r="E66" s="230" t="s">
        <v>278</v>
      </c>
      <c r="F66" s="154"/>
      <c r="G66" s="83">
        <v>170000</v>
      </c>
      <c r="H66" s="215" t="str">
        <f>IF(SUMPRODUCT(COUNTIF(C66,{"*본예산*","*신규*"})),"-",F66-G66)</f>
        <v>-</v>
      </c>
      <c r="I66" s="83"/>
      <c r="J66" s="83">
        <v>10000</v>
      </c>
      <c r="K66" s="215">
        <f t="shared" si="80"/>
        <v>180000</v>
      </c>
      <c r="L66" s="83"/>
      <c r="M66" s="83">
        <v>10000</v>
      </c>
      <c r="N66" s="215">
        <f t="shared" si="81"/>
        <v>180000</v>
      </c>
      <c r="O66" s="198" t="str">
        <f t="shared" si="82"/>
        <v>-</v>
      </c>
      <c r="P66" s="228" t="s">
        <v>127</v>
      </c>
      <c r="Q66" s="189" t="s">
        <v>359</v>
      </c>
      <c r="R66" s="83">
        <f t="shared" si="83"/>
        <v>10000</v>
      </c>
      <c r="S66" s="83">
        <f t="shared" si="84"/>
        <v>0</v>
      </c>
      <c r="T66" s="222" t="str">
        <f t="shared" si="3"/>
        <v>ok</v>
      </c>
      <c r="V66" s="233" t="s">
        <v>359</v>
      </c>
      <c r="W66" s="83">
        <f t="shared" si="85"/>
        <v>10000</v>
      </c>
      <c r="X66" s="83">
        <f t="shared" si="86"/>
        <v>0</v>
      </c>
      <c r="Y66" s="222" t="str">
        <f t="shared" si="6"/>
        <v>ok</v>
      </c>
      <c r="AA66" s="252">
        <v>1</v>
      </c>
      <c r="AB66" s="252"/>
    </row>
    <row r="67" spans="1:28" ht="31.5" customHeight="1">
      <c r="A67" s="1" t="s">
        <v>139</v>
      </c>
      <c r="B67" s="75"/>
      <c r="C67" s="75"/>
      <c r="D67" s="75"/>
      <c r="E67" s="75"/>
      <c r="F67" s="76">
        <f t="shared" ref="F67:N67" si="89">SUM(F68:F81)/2</f>
        <v>22778747</v>
      </c>
      <c r="G67" s="76">
        <f t="shared" si="89"/>
        <v>11510450</v>
      </c>
      <c r="H67" s="76">
        <f t="shared" si="89"/>
        <v>16451747</v>
      </c>
      <c r="I67" s="76">
        <f t="shared" si="89"/>
        <v>0</v>
      </c>
      <c r="J67" s="76">
        <f t="shared" si="89"/>
        <v>3578067</v>
      </c>
      <c r="K67" s="76">
        <f t="shared" si="89"/>
        <v>31540264</v>
      </c>
      <c r="L67" s="76">
        <f t="shared" si="89"/>
        <v>0</v>
      </c>
      <c r="M67" s="76">
        <f t="shared" si="89"/>
        <v>3584246</v>
      </c>
      <c r="N67" s="76">
        <f t="shared" si="89"/>
        <v>31546443</v>
      </c>
      <c r="O67" s="75"/>
      <c r="P67" s="76"/>
      <c r="Q67" s="267"/>
      <c r="R67" s="76">
        <f>SUM(R68:R81)/2</f>
        <v>1094246</v>
      </c>
      <c r="S67" s="76">
        <f>SUM(S68:S81)/2</f>
        <v>2490000</v>
      </c>
      <c r="T67" s="222" t="str">
        <f t="shared" si="3"/>
        <v>ok</v>
      </c>
      <c r="V67" s="76"/>
      <c r="W67" s="76">
        <f>SUM(W68:W81)/2</f>
        <v>1088067</v>
      </c>
      <c r="X67" s="76">
        <f>SUM(X68:X81)/2</f>
        <v>2490000</v>
      </c>
      <c r="Y67" s="222" t="str">
        <f t="shared" si="6"/>
        <v>ok</v>
      </c>
      <c r="AA67" s="250"/>
      <c r="AB67" s="250"/>
    </row>
    <row r="68" spans="1:28" ht="31.5" customHeight="1">
      <c r="A68" s="223"/>
      <c r="B68" s="78" t="s">
        <v>279</v>
      </c>
      <c r="C68" s="80"/>
      <c r="D68" s="134"/>
      <c r="E68" s="181"/>
      <c r="F68" s="81">
        <f t="shared" ref="F68:N68" si="90">SUM(F69:F73)</f>
        <v>370052</v>
      </c>
      <c r="G68" s="81">
        <f t="shared" si="90"/>
        <v>497000</v>
      </c>
      <c r="H68" s="81">
        <f t="shared" si="90"/>
        <v>43052</v>
      </c>
      <c r="I68" s="81">
        <f t="shared" si="90"/>
        <v>0</v>
      </c>
      <c r="J68" s="81">
        <f t="shared" si="90"/>
        <v>180067</v>
      </c>
      <c r="K68" s="81">
        <f t="shared" si="90"/>
        <v>720119</v>
      </c>
      <c r="L68" s="81">
        <f t="shared" si="90"/>
        <v>0</v>
      </c>
      <c r="M68" s="81">
        <f t="shared" si="90"/>
        <v>180067</v>
      </c>
      <c r="N68" s="81">
        <f t="shared" si="90"/>
        <v>720119</v>
      </c>
      <c r="O68" s="80"/>
      <c r="P68" s="81"/>
      <c r="Q68" s="267"/>
      <c r="R68" s="81">
        <f t="shared" ref="R68:S68" si="91">SUM(R69:R73)</f>
        <v>5067</v>
      </c>
      <c r="S68" s="81">
        <f t="shared" si="91"/>
        <v>175000</v>
      </c>
      <c r="T68" s="222" t="str">
        <f t="shared" si="3"/>
        <v>ok</v>
      </c>
      <c r="V68" s="81"/>
      <c r="W68" s="81">
        <f t="shared" ref="W68:X68" si="92">SUM(W69:W73)</f>
        <v>5067</v>
      </c>
      <c r="X68" s="81">
        <f t="shared" si="92"/>
        <v>175000</v>
      </c>
      <c r="Y68" s="222" t="str">
        <f t="shared" si="6"/>
        <v>ok</v>
      </c>
      <c r="AA68" s="251"/>
      <c r="AB68" s="251"/>
    </row>
    <row r="69" spans="1:28" ht="31.5" customHeight="1">
      <c r="A69" s="223"/>
      <c r="B69" s="227" t="s">
        <v>87</v>
      </c>
      <c r="C69" s="227">
        <v>450</v>
      </c>
      <c r="D69" s="228" t="s">
        <v>280</v>
      </c>
      <c r="E69" s="230" t="s">
        <v>281</v>
      </c>
      <c r="F69" s="83">
        <v>75000</v>
      </c>
      <c r="G69" s="83">
        <v>50000</v>
      </c>
      <c r="H69" s="215">
        <f>IF(SUMPRODUCT(COUNTIF(C69,{"*본예산*","*신규*"})),"-",F69-G69)</f>
        <v>25000</v>
      </c>
      <c r="I69" s="83"/>
      <c r="J69" s="83">
        <v>25000</v>
      </c>
      <c r="K69" s="215">
        <f t="shared" ref="K69:K73" si="93">IF(F69=0,G69+I69+J69,F69+I69+J69)</f>
        <v>100000</v>
      </c>
      <c r="L69" s="83"/>
      <c r="M69" s="83">
        <v>25000</v>
      </c>
      <c r="N69" s="215">
        <f t="shared" ref="N69:N73" si="94">IF(F69=0,G69+L69+M69,F69+L69+M69)</f>
        <v>100000</v>
      </c>
      <c r="O69" s="198" t="str">
        <f t="shared" ref="O69:O73" si="95">IF(I69-L69&lt;0,"동의필요","-")</f>
        <v>-</v>
      </c>
      <c r="P69" s="232" t="s">
        <v>142</v>
      </c>
      <c r="Q69" s="189" t="s">
        <v>143</v>
      </c>
      <c r="R69" s="83">
        <f t="shared" ref="R69:R73" si="96">IF(Q69&lt;&gt;"도비",SUM(L69:M69),)</f>
        <v>0</v>
      </c>
      <c r="S69" s="83">
        <f t="shared" ref="S69:S73" si="97">IF(Q69="도비",SUM(L69:M69),SUM(L69:M69)-R69)</f>
        <v>25000</v>
      </c>
      <c r="T69" s="222" t="str">
        <f t="shared" si="3"/>
        <v>ok</v>
      </c>
      <c r="V69" s="236" t="s">
        <v>143</v>
      </c>
      <c r="W69" s="83">
        <f t="shared" ref="W69:W73" si="98">IF(V69&lt;&gt;"도비",SUM(I69:J69),)</f>
        <v>0</v>
      </c>
      <c r="X69" s="83">
        <f t="shared" ref="X69:X73" si="99">IF(V69="도비",SUM(I69:J69),SUM(I69:J69)-W69)</f>
        <v>25000</v>
      </c>
      <c r="Y69" s="222" t="str">
        <f t="shared" si="6"/>
        <v>ok</v>
      </c>
      <c r="AA69" s="252">
        <v>1</v>
      </c>
      <c r="AB69" s="252"/>
    </row>
    <row r="70" spans="1:28" ht="31.5" customHeight="1">
      <c r="A70" s="223"/>
      <c r="B70" s="227" t="s">
        <v>87</v>
      </c>
      <c r="C70" s="227">
        <v>461</v>
      </c>
      <c r="D70" s="228" t="s">
        <v>282</v>
      </c>
      <c r="E70" s="230" t="s">
        <v>283</v>
      </c>
      <c r="F70" s="83">
        <v>295052</v>
      </c>
      <c r="G70" s="83">
        <v>277000</v>
      </c>
      <c r="H70" s="215">
        <f>IF(SUMPRODUCT(COUNTIF(C70,{"*본예산*","*신규*"})),"-",F70-G70)</f>
        <v>18052</v>
      </c>
      <c r="I70" s="83"/>
      <c r="J70" s="83">
        <v>5067</v>
      </c>
      <c r="K70" s="215">
        <f t="shared" si="93"/>
        <v>300119</v>
      </c>
      <c r="L70" s="83"/>
      <c r="M70" s="83">
        <v>5067</v>
      </c>
      <c r="N70" s="215">
        <f t="shared" si="94"/>
        <v>300119</v>
      </c>
      <c r="O70" s="198" t="str">
        <f t="shared" si="95"/>
        <v>-</v>
      </c>
      <c r="P70" s="232" t="s">
        <v>140</v>
      </c>
      <c r="Q70" s="189" t="s">
        <v>141</v>
      </c>
      <c r="R70" s="83">
        <f t="shared" si="96"/>
        <v>5067</v>
      </c>
      <c r="S70" s="83">
        <f t="shared" si="97"/>
        <v>0</v>
      </c>
      <c r="T70" s="222" t="str">
        <f t="shared" si="3"/>
        <v>ok</v>
      </c>
      <c r="V70" s="190" t="s">
        <v>141</v>
      </c>
      <c r="W70" s="83">
        <f t="shared" si="98"/>
        <v>5067</v>
      </c>
      <c r="X70" s="83">
        <f t="shared" si="99"/>
        <v>0</v>
      </c>
      <c r="Y70" s="222" t="str">
        <f>IF((I70+J70)=(W70+X70),"ok","검토")</f>
        <v>ok</v>
      </c>
      <c r="AA70" s="252">
        <v>1</v>
      </c>
      <c r="AB70" s="252"/>
    </row>
    <row r="71" spans="1:28" ht="31.5" customHeight="1">
      <c r="A71" s="223"/>
      <c r="B71" s="123" t="s">
        <v>91</v>
      </c>
      <c r="C71" s="229" t="s">
        <v>284</v>
      </c>
      <c r="D71" s="228" t="s">
        <v>285</v>
      </c>
      <c r="E71" s="230" t="s">
        <v>286</v>
      </c>
      <c r="F71" s="83"/>
      <c r="G71" s="83">
        <v>100000</v>
      </c>
      <c r="H71" s="215" t="str">
        <f>IF(SUMPRODUCT(COUNTIF(C71,{"*본예산*","*신규*"})),"-",F71-G71)</f>
        <v>-</v>
      </c>
      <c r="I71" s="83"/>
      <c r="J71" s="83">
        <v>30000</v>
      </c>
      <c r="K71" s="215">
        <f t="shared" si="93"/>
        <v>130000</v>
      </c>
      <c r="L71" s="83"/>
      <c r="M71" s="83">
        <v>30000</v>
      </c>
      <c r="N71" s="215">
        <f t="shared" si="94"/>
        <v>130000</v>
      </c>
      <c r="O71" s="198" t="str">
        <f t="shared" si="95"/>
        <v>-</v>
      </c>
      <c r="P71" s="228" t="s">
        <v>145</v>
      </c>
      <c r="Q71" s="189" t="s">
        <v>143</v>
      </c>
      <c r="R71" s="83">
        <f t="shared" si="96"/>
        <v>0</v>
      </c>
      <c r="S71" s="83">
        <f t="shared" si="97"/>
        <v>30000</v>
      </c>
      <c r="T71" s="222" t="str">
        <f t="shared" si="3"/>
        <v>ok</v>
      </c>
      <c r="V71" s="236" t="s">
        <v>143</v>
      </c>
      <c r="W71" s="83">
        <f t="shared" si="98"/>
        <v>0</v>
      </c>
      <c r="X71" s="83">
        <f t="shared" si="99"/>
        <v>30000</v>
      </c>
      <c r="Y71" s="222" t="str">
        <f>IF((I71+J71)=(W71+X71),"ok","검토")</f>
        <v>ok</v>
      </c>
      <c r="AA71" s="252">
        <v>1</v>
      </c>
      <c r="AB71" s="252"/>
    </row>
    <row r="72" spans="1:28" ht="31.5" customHeight="1">
      <c r="A72" s="223"/>
      <c r="B72" s="123" t="s">
        <v>118</v>
      </c>
      <c r="C72" s="229" t="s">
        <v>144</v>
      </c>
      <c r="D72" s="228" t="s">
        <v>282</v>
      </c>
      <c r="E72" s="230" t="s">
        <v>287</v>
      </c>
      <c r="F72" s="83"/>
      <c r="G72" s="83">
        <v>70000</v>
      </c>
      <c r="H72" s="215" t="str">
        <f>IF(SUMPRODUCT(COUNTIF(C72,{"*본예산*","*신규*"})),"-",F72-G72)</f>
        <v>-</v>
      </c>
      <c r="I72" s="83"/>
      <c r="J72" s="83">
        <v>70000</v>
      </c>
      <c r="K72" s="215">
        <f t="shared" si="93"/>
        <v>140000</v>
      </c>
      <c r="L72" s="83"/>
      <c r="M72" s="83">
        <v>70000</v>
      </c>
      <c r="N72" s="215">
        <f t="shared" si="94"/>
        <v>140000</v>
      </c>
      <c r="O72" s="198" t="str">
        <f t="shared" si="95"/>
        <v>-</v>
      </c>
      <c r="P72" s="228" t="s">
        <v>142</v>
      </c>
      <c r="Q72" s="189" t="s">
        <v>143</v>
      </c>
      <c r="R72" s="83">
        <f t="shared" si="96"/>
        <v>0</v>
      </c>
      <c r="S72" s="83">
        <f t="shared" si="97"/>
        <v>70000</v>
      </c>
      <c r="T72" s="222" t="str">
        <f t="shared" si="3"/>
        <v>ok</v>
      </c>
      <c r="V72" s="236" t="s">
        <v>143</v>
      </c>
      <c r="W72" s="83">
        <f t="shared" si="98"/>
        <v>0</v>
      </c>
      <c r="X72" s="83">
        <f t="shared" si="99"/>
        <v>70000</v>
      </c>
      <c r="Y72" s="222" t="str">
        <f t="shared" si="6"/>
        <v>ok</v>
      </c>
      <c r="AA72" s="252">
        <v>1</v>
      </c>
      <c r="AB72" s="252"/>
    </row>
    <row r="73" spans="1:28" ht="31.5" customHeight="1">
      <c r="A73" s="223"/>
      <c r="B73" s="123" t="s">
        <v>91</v>
      </c>
      <c r="C73" s="229" t="s">
        <v>238</v>
      </c>
      <c r="D73" s="228" t="s">
        <v>280</v>
      </c>
      <c r="E73" s="230" t="s">
        <v>288</v>
      </c>
      <c r="F73" s="83"/>
      <c r="G73" s="83"/>
      <c r="H73" s="215" t="str">
        <f>IF(SUMPRODUCT(COUNTIF(C73,{"*본예산*","*신규*"})),"-",F73-G73)</f>
        <v>-</v>
      </c>
      <c r="I73" s="83"/>
      <c r="J73" s="83">
        <v>50000</v>
      </c>
      <c r="K73" s="215">
        <f t="shared" si="93"/>
        <v>50000</v>
      </c>
      <c r="L73" s="83"/>
      <c r="M73" s="83">
        <v>50000</v>
      </c>
      <c r="N73" s="215">
        <f t="shared" si="94"/>
        <v>50000</v>
      </c>
      <c r="O73" s="198" t="str">
        <f t="shared" si="95"/>
        <v>-</v>
      </c>
      <c r="P73" s="228" t="s">
        <v>552</v>
      </c>
      <c r="Q73" s="269" t="s">
        <v>143</v>
      </c>
      <c r="R73" s="83">
        <f t="shared" si="96"/>
        <v>0</v>
      </c>
      <c r="S73" s="83">
        <f t="shared" si="97"/>
        <v>50000</v>
      </c>
      <c r="T73" s="222" t="str">
        <f t="shared" si="3"/>
        <v>ok</v>
      </c>
      <c r="V73" s="236" t="s">
        <v>143</v>
      </c>
      <c r="W73" s="83">
        <f t="shared" si="98"/>
        <v>0</v>
      </c>
      <c r="X73" s="83">
        <f t="shared" si="99"/>
        <v>50000</v>
      </c>
      <c r="Y73" s="222" t="str">
        <f t="shared" si="6"/>
        <v>ok</v>
      </c>
      <c r="AA73" s="252">
        <v>1</v>
      </c>
      <c r="AB73" s="252"/>
    </row>
    <row r="74" spans="1:28" ht="31.5" customHeight="1">
      <c r="A74" s="223"/>
      <c r="B74" s="78" t="s">
        <v>289</v>
      </c>
      <c r="C74" s="80"/>
      <c r="D74" s="134"/>
      <c r="E74" s="181"/>
      <c r="F74" s="81">
        <f t="shared" ref="F74:N74" si="100">SUM(F75:F81)</f>
        <v>22408695</v>
      </c>
      <c r="G74" s="81">
        <f t="shared" si="100"/>
        <v>11013450</v>
      </c>
      <c r="H74" s="81">
        <f t="shared" si="100"/>
        <v>16408695</v>
      </c>
      <c r="I74" s="81">
        <f t="shared" si="100"/>
        <v>0</v>
      </c>
      <c r="J74" s="81">
        <f t="shared" si="100"/>
        <v>3398000</v>
      </c>
      <c r="K74" s="81">
        <f t="shared" si="100"/>
        <v>30820145</v>
      </c>
      <c r="L74" s="81">
        <f t="shared" si="100"/>
        <v>0</v>
      </c>
      <c r="M74" s="81">
        <f t="shared" si="100"/>
        <v>3404179</v>
      </c>
      <c r="N74" s="81">
        <f t="shared" si="100"/>
        <v>30826324</v>
      </c>
      <c r="O74" s="80"/>
      <c r="P74" s="155"/>
      <c r="Q74" s="266"/>
      <c r="R74" s="81">
        <f>SUM(R75:R81)</f>
        <v>1089179</v>
      </c>
      <c r="S74" s="81">
        <f>SUM(S75:S81)</f>
        <v>2315000</v>
      </c>
      <c r="T74" s="222" t="str">
        <f t="shared" si="3"/>
        <v>ok</v>
      </c>
      <c r="V74" s="80"/>
      <c r="W74" s="81">
        <f>SUM(W75:W81)</f>
        <v>1083000</v>
      </c>
      <c r="X74" s="81">
        <f>SUM(X75:X81)</f>
        <v>2315000</v>
      </c>
      <c r="Y74" s="222" t="str">
        <f t="shared" si="6"/>
        <v>ok</v>
      </c>
      <c r="AA74" s="251"/>
      <c r="AB74" s="251"/>
    </row>
    <row r="75" spans="1:28" ht="28.5" customHeight="1">
      <c r="A75" s="223"/>
      <c r="B75" s="227" t="s">
        <v>87</v>
      </c>
      <c r="C75" s="227">
        <v>477</v>
      </c>
      <c r="D75" s="228" t="s">
        <v>297</v>
      </c>
      <c r="E75" s="230" t="s">
        <v>472</v>
      </c>
      <c r="F75" s="83">
        <v>12695</v>
      </c>
      <c r="G75" s="256"/>
      <c r="H75" s="215">
        <f>IF(SUMPRODUCT(COUNTIF(C75,{"*본예산*","*신규*"})),"-",F75-G75)</f>
        <v>12695</v>
      </c>
      <c r="I75" s="83"/>
      <c r="J75" s="83"/>
      <c r="K75" s="215">
        <f t="shared" ref="K75" si="101">IF(F75=0,G75+I75+J75,F75+I75+J75)</f>
        <v>12695</v>
      </c>
      <c r="L75" s="83"/>
      <c r="M75" s="83">
        <v>6179</v>
      </c>
      <c r="N75" s="215">
        <f t="shared" ref="N75" si="102">IF(F75=0,G75+L75+M75,F75+L75+M75)</f>
        <v>18874</v>
      </c>
      <c r="O75" s="198" t="str">
        <f t="shared" ref="O75" si="103">IF(I75-L75&lt;0,"동의필요","-")</f>
        <v>-</v>
      </c>
      <c r="P75" s="232" t="s">
        <v>473</v>
      </c>
      <c r="Q75" s="236" t="s">
        <v>359</v>
      </c>
      <c r="R75" s="83">
        <f t="shared" ref="R75" si="104">IF(Q75&lt;&gt;"도비",SUM(L75:M75),)</f>
        <v>6179</v>
      </c>
      <c r="S75" s="83">
        <f t="shared" ref="S75" si="105">IF(Q75="도비",SUM(L75:M75),SUM(L75:M75)-R75)</f>
        <v>0</v>
      </c>
      <c r="T75" s="222" t="str">
        <f t="shared" si="3"/>
        <v>ok</v>
      </c>
      <c r="V75" s="236" t="s">
        <v>359</v>
      </c>
      <c r="W75" s="83">
        <f t="shared" ref="W75" si="106">IF(V75&lt;&gt;"도비",SUM(I75:J75),)</f>
        <v>0</v>
      </c>
      <c r="X75" s="83">
        <f t="shared" ref="X75" si="107">IF(V75="도비",SUM(I75:J75),SUM(I75:J75)-W75)</f>
        <v>0</v>
      </c>
      <c r="Y75" s="222" t="str">
        <f t="shared" si="6"/>
        <v>ok</v>
      </c>
      <c r="Z75" s="225" t="s">
        <v>490</v>
      </c>
      <c r="AA75" s="252">
        <v>1</v>
      </c>
    </row>
    <row r="76" spans="1:28" ht="36" customHeight="1">
      <c r="A76" s="223"/>
      <c r="B76" s="227" t="s">
        <v>290</v>
      </c>
      <c r="C76" s="229">
        <v>481</v>
      </c>
      <c r="D76" s="182" t="s">
        <v>292</v>
      </c>
      <c r="E76" s="230" t="s">
        <v>293</v>
      </c>
      <c r="F76" s="83">
        <v>21600000</v>
      </c>
      <c r="G76" s="83">
        <v>6000000</v>
      </c>
      <c r="H76" s="215">
        <f>IF(SUMPRODUCT(COUNTIF(C76,{"*본예산*","*신규*"})),"-",F76-G76)</f>
        <v>15600000</v>
      </c>
      <c r="I76" s="83"/>
      <c r="J76" s="83">
        <v>1320000</v>
      </c>
      <c r="K76" s="215">
        <f>IF(F76=0,G76+I76+J76,F76+I76+J76)</f>
        <v>22920000</v>
      </c>
      <c r="L76" s="83"/>
      <c r="M76" s="83">
        <v>1320000</v>
      </c>
      <c r="N76" s="215">
        <f>IF(F76=0,G76+L76+M76,F76+L76+M76)</f>
        <v>22920000</v>
      </c>
      <c r="O76" s="198" t="str">
        <f>IF(I76-L76&lt;0,"동의필요","-")</f>
        <v>-</v>
      </c>
      <c r="P76" s="232" t="s">
        <v>147</v>
      </c>
      <c r="Q76" s="269" t="s">
        <v>143</v>
      </c>
      <c r="R76" s="83">
        <f>IF(Q76&lt;&gt;"도비",SUM(L76:M76),)</f>
        <v>0</v>
      </c>
      <c r="S76" s="83">
        <f>IF(Q76="도비",SUM(L76:M76),SUM(L76:M76)-R76)</f>
        <v>1320000</v>
      </c>
      <c r="T76" s="222" t="str">
        <f>IF((L76+M76)=(R76+S76),"ok","검토")</f>
        <v>ok</v>
      </c>
      <c r="V76" s="236" t="s">
        <v>143</v>
      </c>
      <c r="W76" s="83">
        <f>IF(V76&lt;&gt;"도비",SUM(I76:J76),)</f>
        <v>0</v>
      </c>
      <c r="X76" s="83">
        <f>IF(V76="도비",SUM(I76:J76),SUM(I76:J76)-W76)</f>
        <v>1320000</v>
      </c>
      <c r="Y76" s="222" t="str">
        <f>IF((I76+J76)=(W76+X76),"ok","검토")</f>
        <v>ok</v>
      </c>
      <c r="AA76" s="252">
        <v>1</v>
      </c>
      <c r="AB76" s="252"/>
    </row>
    <row r="77" spans="1:28" ht="36" customHeight="1">
      <c r="A77" s="223"/>
      <c r="B77" s="227" t="s">
        <v>290</v>
      </c>
      <c r="C77" s="227">
        <v>482</v>
      </c>
      <c r="D77" s="182" t="s">
        <v>292</v>
      </c>
      <c r="E77" s="258" t="s">
        <v>294</v>
      </c>
      <c r="F77" s="83">
        <v>300000</v>
      </c>
      <c r="G77" s="83"/>
      <c r="H77" s="215">
        <f>IF(SUMPRODUCT(COUNTIF(C77,{"*본예산*","*신규*"})),"-",F77-G77)</f>
        <v>300000</v>
      </c>
      <c r="I77" s="83"/>
      <c r="J77" s="83">
        <v>210000</v>
      </c>
      <c r="K77" s="215">
        <f>IF(F77=0,G77+I77+J77,F77+I77+J77)</f>
        <v>510000</v>
      </c>
      <c r="L77" s="83"/>
      <c r="M77" s="83">
        <v>210000</v>
      </c>
      <c r="N77" s="215">
        <f>IF(F77=0,G77+L77+M77,F77+L77+M77)</f>
        <v>510000</v>
      </c>
      <c r="O77" s="198" t="str">
        <f>IF(I77-L77&lt;0,"동의필요","-")</f>
        <v>-</v>
      </c>
      <c r="P77" s="232" t="s">
        <v>147</v>
      </c>
      <c r="Q77" s="269" t="s">
        <v>143</v>
      </c>
      <c r="R77" s="83">
        <f>IF(Q77&lt;&gt;"도비",SUM(L77:M77),)</f>
        <v>0</v>
      </c>
      <c r="S77" s="83">
        <f>IF(Q77="도비",SUM(L77:M77),SUM(L77:M77)-R77)</f>
        <v>210000</v>
      </c>
      <c r="T77" s="222" t="str">
        <f>IF((L77+M77)=(R77+S77),"ok","검토")</f>
        <v>ok</v>
      </c>
      <c r="V77" s="236" t="s">
        <v>143</v>
      </c>
      <c r="W77" s="83">
        <f>IF(V77&lt;&gt;"도비",SUM(I77:J77),)</f>
        <v>0</v>
      </c>
      <c r="X77" s="83">
        <f>IF(V77="도비",SUM(I77:J77),SUM(I77:J77)-W77)</f>
        <v>210000</v>
      </c>
      <c r="Y77" s="222" t="str">
        <f>IF((I77+J77)=(W77+X77),"ok","검토")</f>
        <v>ok</v>
      </c>
      <c r="AA77" s="252">
        <v>1</v>
      </c>
      <c r="AB77" s="252"/>
    </row>
    <row r="78" spans="1:28" ht="45.75" customHeight="1">
      <c r="A78" s="223"/>
      <c r="B78" s="227" t="s">
        <v>290</v>
      </c>
      <c r="C78" s="227">
        <v>483</v>
      </c>
      <c r="D78" s="182" t="s">
        <v>292</v>
      </c>
      <c r="E78" s="230" t="s">
        <v>295</v>
      </c>
      <c r="F78" s="83">
        <v>496000</v>
      </c>
      <c r="G78" s="83"/>
      <c r="H78" s="215">
        <f>IF(SUMPRODUCT(COUNTIF(C78,{"*본예산*","*신규*"})),"-",F78-G78)</f>
        <v>496000</v>
      </c>
      <c r="I78" s="83"/>
      <c r="J78" s="83">
        <v>663000</v>
      </c>
      <c r="K78" s="215">
        <f>IF(F78=0,G78+I78+J78,F78+I78+J78)</f>
        <v>1159000</v>
      </c>
      <c r="L78" s="83"/>
      <c r="M78" s="83">
        <v>663000</v>
      </c>
      <c r="N78" s="215">
        <f>IF(F78=0,G78+L78+M78,F78+L78+M78)</f>
        <v>1159000</v>
      </c>
      <c r="O78" s="198" t="str">
        <f>IF(I78-L78&lt;0,"동의필요","-")</f>
        <v>-</v>
      </c>
      <c r="P78" s="232" t="s">
        <v>146</v>
      </c>
      <c r="Q78" s="269" t="s">
        <v>141</v>
      </c>
      <c r="R78" s="83">
        <f>IF(Q78&lt;&gt;"도비",SUM(L78:M78),)</f>
        <v>663000</v>
      </c>
      <c r="S78" s="83">
        <f>IF(Q78="도비",SUM(L78:M78),SUM(L78:M78)-R78)</f>
        <v>0</v>
      </c>
      <c r="T78" s="222" t="str">
        <f>IF((L78+M78)=(R78+S78),"ok","검토")</f>
        <v>ok</v>
      </c>
      <c r="V78" s="233" t="s">
        <v>141</v>
      </c>
      <c r="W78" s="83">
        <f>IF(V78&lt;&gt;"도비",SUM(I78:J78),)</f>
        <v>663000</v>
      </c>
      <c r="X78" s="83">
        <f>IF(V78="도비",SUM(I78:J78),SUM(I78:J78)-W78)</f>
        <v>0</v>
      </c>
      <c r="Y78" s="222" t="str">
        <f>IF((I78+J78)=(W78+X78),"ok","검토")</f>
        <v>ok</v>
      </c>
      <c r="AA78" s="252">
        <v>1</v>
      </c>
      <c r="AB78" s="252"/>
    </row>
    <row r="79" spans="1:28" ht="34.5" customHeight="1">
      <c r="A79" s="223"/>
      <c r="B79" s="229" t="s">
        <v>91</v>
      </c>
      <c r="C79" s="229" t="s">
        <v>296</v>
      </c>
      <c r="D79" s="182" t="s">
        <v>297</v>
      </c>
      <c r="E79" s="230" t="s">
        <v>298</v>
      </c>
      <c r="F79" s="83"/>
      <c r="G79" s="83">
        <v>4686200</v>
      </c>
      <c r="H79" s="215" t="str">
        <f>IF(SUMPRODUCT(COUNTIF(C79,{"*본예산*","*신규*"})),"-",F79-G79)</f>
        <v>-</v>
      </c>
      <c r="I79" s="83"/>
      <c r="J79" s="83">
        <v>585000</v>
      </c>
      <c r="K79" s="215">
        <f t="shared" ref="K79:K81" si="108">IF(F79=0,G79+I79+J79,F79+I79+J79)</f>
        <v>5271200</v>
      </c>
      <c r="L79" s="83"/>
      <c r="M79" s="83">
        <v>585000</v>
      </c>
      <c r="N79" s="215">
        <f t="shared" ref="N79:N81" si="109">IF(F79=0,G79+L79+M79,F79+L79+M79)</f>
        <v>5271200</v>
      </c>
      <c r="O79" s="198" t="str">
        <f t="shared" ref="O79:O81" si="110">IF(I79-L79&lt;0,"동의필요","-")</f>
        <v>-</v>
      </c>
      <c r="P79" s="232" t="s">
        <v>147</v>
      </c>
      <c r="Q79" s="262" t="s">
        <v>143</v>
      </c>
      <c r="R79" s="83">
        <f t="shared" ref="R79:R81" si="111">IF(Q79&lt;&gt;"도비",SUM(L79:M79),)</f>
        <v>0</v>
      </c>
      <c r="S79" s="83">
        <f t="shared" ref="S79:S81" si="112">IF(Q79="도비",SUM(L79:M79),SUM(L79:M79)-R79)</f>
        <v>585000</v>
      </c>
      <c r="T79" s="222" t="str">
        <f t="shared" si="3"/>
        <v>ok</v>
      </c>
      <c r="V79" s="236" t="s">
        <v>143</v>
      </c>
      <c r="W79" s="83">
        <f t="shared" ref="W79:W81" si="113">IF(V79&lt;&gt;"도비",SUM(I79:J79),)</f>
        <v>0</v>
      </c>
      <c r="X79" s="83">
        <f t="shared" ref="X79:X81" si="114">IF(V79="도비",SUM(I79:J79),SUM(I79:J79)-W79)</f>
        <v>585000</v>
      </c>
      <c r="Y79" s="222" t="str">
        <f t="shared" si="6"/>
        <v>ok</v>
      </c>
      <c r="AA79" s="252">
        <v>1</v>
      </c>
      <c r="AB79" s="252"/>
    </row>
    <row r="80" spans="1:28" ht="34.5" customHeight="1">
      <c r="A80" s="223"/>
      <c r="B80" s="229" t="s">
        <v>91</v>
      </c>
      <c r="C80" s="229" t="s">
        <v>299</v>
      </c>
      <c r="D80" s="182" t="s">
        <v>297</v>
      </c>
      <c r="E80" s="230" t="s">
        <v>300</v>
      </c>
      <c r="F80" s="83"/>
      <c r="G80" s="83">
        <v>327250</v>
      </c>
      <c r="H80" s="215" t="str">
        <f>IF(SUMPRODUCT(COUNTIF(C80,{"*본예산*","*신규*"})),"-",F80-G80)</f>
        <v>-</v>
      </c>
      <c r="I80" s="83"/>
      <c r="J80" s="83">
        <v>200000</v>
      </c>
      <c r="K80" s="215">
        <f t="shared" si="108"/>
        <v>527250</v>
      </c>
      <c r="L80" s="83"/>
      <c r="M80" s="83">
        <v>200000</v>
      </c>
      <c r="N80" s="215">
        <f t="shared" si="109"/>
        <v>527250</v>
      </c>
      <c r="O80" s="198" t="str">
        <f t="shared" si="110"/>
        <v>-</v>
      </c>
      <c r="P80" s="232" t="s">
        <v>145</v>
      </c>
      <c r="Q80" s="262" t="s">
        <v>143</v>
      </c>
      <c r="R80" s="83">
        <f t="shared" si="111"/>
        <v>0</v>
      </c>
      <c r="S80" s="83">
        <f t="shared" si="112"/>
        <v>200000</v>
      </c>
      <c r="T80" s="222" t="str">
        <f t="shared" si="3"/>
        <v>ok</v>
      </c>
      <c r="V80" s="236" t="s">
        <v>143</v>
      </c>
      <c r="W80" s="83">
        <f t="shared" si="113"/>
        <v>0</v>
      </c>
      <c r="X80" s="83">
        <f t="shared" si="114"/>
        <v>200000</v>
      </c>
      <c r="Y80" s="222" t="str">
        <f>IF((I80+J80)=(W80+X80),"ok","검토")</f>
        <v>ok</v>
      </c>
      <c r="AA80" s="252">
        <v>1</v>
      </c>
      <c r="AB80" s="252"/>
    </row>
    <row r="81" spans="1:28" ht="31.5" customHeight="1">
      <c r="A81" s="223"/>
      <c r="B81" s="227" t="s">
        <v>91</v>
      </c>
      <c r="C81" s="227" t="s">
        <v>238</v>
      </c>
      <c r="D81" s="182" t="s">
        <v>291</v>
      </c>
      <c r="E81" s="230" t="s">
        <v>360</v>
      </c>
      <c r="F81" s="83"/>
      <c r="G81" s="83"/>
      <c r="H81" s="215" t="str">
        <f>IF(SUMPRODUCT(COUNTIF(C81,{"*본예산*","*신규*"})),"-",F81-G81)</f>
        <v>-</v>
      </c>
      <c r="I81" s="83"/>
      <c r="J81" s="83">
        <v>420000</v>
      </c>
      <c r="K81" s="215">
        <f t="shared" si="108"/>
        <v>420000</v>
      </c>
      <c r="L81" s="83"/>
      <c r="M81" s="83">
        <v>420000</v>
      </c>
      <c r="N81" s="215">
        <f t="shared" si="109"/>
        <v>420000</v>
      </c>
      <c r="O81" s="198" t="str">
        <f t="shared" si="110"/>
        <v>-</v>
      </c>
      <c r="P81" s="232" t="s">
        <v>146</v>
      </c>
      <c r="Q81" s="262" t="s">
        <v>141</v>
      </c>
      <c r="R81" s="83">
        <f t="shared" si="111"/>
        <v>420000</v>
      </c>
      <c r="S81" s="83">
        <f t="shared" si="112"/>
        <v>0</v>
      </c>
      <c r="T81" s="222" t="str">
        <f t="shared" si="3"/>
        <v>ok</v>
      </c>
      <c r="V81" s="233" t="s">
        <v>141</v>
      </c>
      <c r="W81" s="83">
        <f t="shared" si="113"/>
        <v>420000</v>
      </c>
      <c r="X81" s="83">
        <f t="shared" si="114"/>
        <v>0</v>
      </c>
      <c r="Y81" s="222" t="str">
        <f>IF((I81+J81)=(W81+X81),"ok","검토")</f>
        <v>ok</v>
      </c>
      <c r="AA81" s="252">
        <v>1</v>
      </c>
      <c r="AB81" s="252"/>
    </row>
    <row r="82" spans="1:28" ht="31.5" customHeight="1">
      <c r="A82" s="1" t="s">
        <v>83</v>
      </c>
      <c r="B82" s="75"/>
      <c r="C82" s="75"/>
      <c r="D82" s="75"/>
      <c r="E82" s="75"/>
      <c r="F82" s="76">
        <f t="shared" ref="F82:N82" si="115">SUM(F83:F93)/2</f>
        <v>2222190</v>
      </c>
      <c r="G82" s="76">
        <f t="shared" si="115"/>
        <v>10727689</v>
      </c>
      <c r="H82" s="76">
        <f t="shared" si="115"/>
        <v>663154</v>
      </c>
      <c r="I82" s="76">
        <f t="shared" si="115"/>
        <v>-145000</v>
      </c>
      <c r="J82" s="76">
        <f t="shared" si="115"/>
        <v>500525</v>
      </c>
      <c r="K82" s="76">
        <f t="shared" si="115"/>
        <v>11746368</v>
      </c>
      <c r="L82" s="76">
        <f t="shared" si="115"/>
        <v>-171650</v>
      </c>
      <c r="M82" s="76">
        <f t="shared" si="115"/>
        <v>627175</v>
      </c>
      <c r="N82" s="76">
        <f t="shared" si="115"/>
        <v>11846368</v>
      </c>
      <c r="O82" s="75"/>
      <c r="P82" s="76"/>
      <c r="Q82" s="266"/>
      <c r="R82" s="76">
        <f>SUM(R83:R93)/2</f>
        <v>3320</v>
      </c>
      <c r="S82" s="76">
        <f>SUM(S83:S93)/2</f>
        <v>452205</v>
      </c>
      <c r="T82" s="222" t="str">
        <f t="shared" si="3"/>
        <v>ok</v>
      </c>
      <c r="V82" s="75"/>
      <c r="W82" s="76">
        <f>SUM(W83:W93)/2</f>
        <v>3320</v>
      </c>
      <c r="X82" s="76">
        <f>SUM(X83:X93)/2</f>
        <v>352205</v>
      </c>
      <c r="Y82" s="222" t="str">
        <f t="shared" si="6"/>
        <v>ok</v>
      </c>
      <c r="AA82" s="250"/>
      <c r="AB82" s="250"/>
    </row>
    <row r="83" spans="1:28" ht="31.5" customHeight="1">
      <c r="A83" s="223"/>
      <c r="B83" s="78" t="s">
        <v>301</v>
      </c>
      <c r="C83" s="80"/>
      <c r="D83" s="134"/>
      <c r="E83" s="181"/>
      <c r="F83" s="81">
        <f t="shared" ref="F83:N83" si="116">SUM(F84:F89)</f>
        <v>1775247</v>
      </c>
      <c r="G83" s="81">
        <f t="shared" si="116"/>
        <v>7605651</v>
      </c>
      <c r="H83" s="81">
        <f t="shared" si="116"/>
        <v>413154</v>
      </c>
      <c r="I83" s="81">
        <f t="shared" si="116"/>
        <v>-145000</v>
      </c>
      <c r="J83" s="81">
        <f t="shared" si="116"/>
        <v>397811</v>
      </c>
      <c r="K83" s="81">
        <f t="shared" si="116"/>
        <v>8271616</v>
      </c>
      <c r="L83" s="81">
        <f t="shared" si="116"/>
        <v>-171650</v>
      </c>
      <c r="M83" s="81">
        <f t="shared" si="116"/>
        <v>397811</v>
      </c>
      <c r="N83" s="81">
        <f t="shared" si="116"/>
        <v>8244966</v>
      </c>
      <c r="O83" s="80"/>
      <c r="P83" s="81"/>
      <c r="Q83" s="266"/>
      <c r="R83" s="81">
        <f>SUM(R84:R89)</f>
        <v>-115680</v>
      </c>
      <c r="S83" s="81">
        <f>SUM(S84:S89)</f>
        <v>341841</v>
      </c>
      <c r="T83" s="222" t="str">
        <f t="shared" si="3"/>
        <v>ok</v>
      </c>
      <c r="V83" s="80"/>
      <c r="W83" s="81">
        <f>SUM(W84:W89)</f>
        <v>3320</v>
      </c>
      <c r="X83" s="81">
        <f>SUM(X84:X89)</f>
        <v>249491</v>
      </c>
      <c r="Y83" s="222" t="str">
        <f t="shared" si="6"/>
        <v>ok</v>
      </c>
      <c r="AA83" s="251"/>
      <c r="AB83" s="251"/>
    </row>
    <row r="84" spans="1:28" ht="31.5" customHeight="1">
      <c r="A84" s="223"/>
      <c r="B84" s="227" t="s">
        <v>302</v>
      </c>
      <c r="C84" s="229">
        <v>548</v>
      </c>
      <c r="D84" s="228" t="s">
        <v>303</v>
      </c>
      <c r="E84" s="230" t="s">
        <v>304</v>
      </c>
      <c r="F84" s="83">
        <v>100000</v>
      </c>
      <c r="G84" s="83"/>
      <c r="H84" s="215">
        <f>IF(SUMPRODUCT(COUNTIF(C84,{"*본예산*","*신규*"})),"-",F84-G84)</f>
        <v>100000</v>
      </c>
      <c r="I84" s="83">
        <v>-100000</v>
      </c>
      <c r="J84" s="83"/>
      <c r="K84" s="215">
        <f t="shared" ref="K84:K89" si="117">IF(F84=0,G84+I84+J84,F84+I84+J84)</f>
        <v>0</v>
      </c>
      <c r="L84" s="85">
        <v>0</v>
      </c>
      <c r="M84" s="83">
        <v>0</v>
      </c>
      <c r="N84" s="215">
        <f t="shared" ref="N84:N89" si="118">IF(F84=0,G84+L84+M84,F84+L84+M84)</f>
        <v>100000</v>
      </c>
      <c r="O84" s="198" t="str">
        <f t="shared" ref="O84:O89" si="119">IF(I84-L84&lt;0,"동의필요","-")</f>
        <v>동의필요</v>
      </c>
      <c r="P84" s="232" t="s">
        <v>553</v>
      </c>
      <c r="Q84" s="189" t="s">
        <v>17</v>
      </c>
      <c r="R84" s="83">
        <f t="shared" ref="R84:R89" si="120">IF(Q84&lt;&gt;"도비",SUM(L84:M84),)</f>
        <v>0</v>
      </c>
      <c r="S84" s="83">
        <f t="shared" ref="S84:S89" si="121">IF(Q84="도비",SUM(L84:M84),SUM(L84:M84)-R84)</f>
        <v>0</v>
      </c>
      <c r="T84" s="222" t="str">
        <f t="shared" si="3"/>
        <v>ok</v>
      </c>
      <c r="V84" s="236" t="s">
        <v>17</v>
      </c>
      <c r="W84" s="83">
        <f t="shared" ref="W84:W89" si="122">IF(V84&lt;&gt;"도비",SUM(I84:J84),)</f>
        <v>0</v>
      </c>
      <c r="X84" s="83">
        <f t="shared" ref="X84:X89" si="123">IF(V84="도비",SUM(I84:J84),SUM(I84:J84)-W84)</f>
        <v>-100000</v>
      </c>
      <c r="Y84" s="222" t="str">
        <f t="shared" si="6"/>
        <v>ok</v>
      </c>
      <c r="AA84" s="252">
        <v>1</v>
      </c>
      <c r="AB84" s="252"/>
    </row>
    <row r="85" spans="1:28" ht="31.5" customHeight="1">
      <c r="A85" s="223"/>
      <c r="B85" s="227" t="s">
        <v>302</v>
      </c>
      <c r="C85" s="227">
        <v>554</v>
      </c>
      <c r="D85" s="228" t="s">
        <v>306</v>
      </c>
      <c r="E85" s="230" t="s">
        <v>307</v>
      </c>
      <c r="F85" s="83">
        <v>664553</v>
      </c>
      <c r="G85" s="83">
        <v>414553</v>
      </c>
      <c r="H85" s="215">
        <f>IF(SUMPRODUCT(COUNTIF(C85,{"*본예산*","*신규*"})),"-",F85-G85)</f>
        <v>250000</v>
      </c>
      <c r="I85" s="86"/>
      <c r="J85" s="86">
        <v>146551</v>
      </c>
      <c r="K85" s="215">
        <f t="shared" si="117"/>
        <v>811104</v>
      </c>
      <c r="L85" s="86"/>
      <c r="M85" s="86">
        <v>146551</v>
      </c>
      <c r="N85" s="215">
        <f t="shared" si="118"/>
        <v>811104</v>
      </c>
      <c r="O85" s="198" t="str">
        <f t="shared" si="119"/>
        <v>-</v>
      </c>
      <c r="P85" s="232" t="s">
        <v>74</v>
      </c>
      <c r="Q85" s="189" t="s">
        <v>17</v>
      </c>
      <c r="R85" s="83">
        <f t="shared" si="120"/>
        <v>0</v>
      </c>
      <c r="S85" s="83">
        <f t="shared" si="121"/>
        <v>146551</v>
      </c>
      <c r="T85" s="222" t="str">
        <f t="shared" si="3"/>
        <v>ok</v>
      </c>
      <c r="V85" s="236" t="s">
        <v>17</v>
      </c>
      <c r="W85" s="83">
        <f t="shared" si="122"/>
        <v>0</v>
      </c>
      <c r="X85" s="83">
        <f t="shared" si="123"/>
        <v>146551</v>
      </c>
      <c r="Y85" s="222" t="str">
        <f>IF((I85+J85)=(W85+X85),"ok","검토")</f>
        <v>ok</v>
      </c>
      <c r="AA85" s="252">
        <v>1</v>
      </c>
      <c r="AB85" s="252"/>
    </row>
    <row r="86" spans="1:28" ht="31.5" customHeight="1">
      <c r="A86" s="223"/>
      <c r="B86" s="227" t="s">
        <v>87</v>
      </c>
      <c r="C86" s="229">
        <v>556</v>
      </c>
      <c r="D86" s="228" t="s">
        <v>305</v>
      </c>
      <c r="E86" s="230" t="s">
        <v>308</v>
      </c>
      <c r="F86" s="83">
        <v>965694</v>
      </c>
      <c r="G86" s="83">
        <v>947540</v>
      </c>
      <c r="H86" s="215">
        <f>IF(SUMPRODUCT(COUNTIF(C86,{"*본예산*","*신규*"})),"-",F86-G86)</f>
        <v>18154</v>
      </c>
      <c r="I86" s="83"/>
      <c r="J86" s="83">
        <v>247940</v>
      </c>
      <c r="K86" s="215">
        <f t="shared" si="117"/>
        <v>1213634</v>
      </c>
      <c r="L86" s="83"/>
      <c r="M86" s="83">
        <v>247940</v>
      </c>
      <c r="N86" s="215">
        <f t="shared" si="118"/>
        <v>1213634</v>
      </c>
      <c r="O86" s="198" t="str">
        <f t="shared" si="119"/>
        <v>-</v>
      </c>
      <c r="P86" s="232" t="s">
        <v>75</v>
      </c>
      <c r="Q86" s="268" t="s">
        <v>153</v>
      </c>
      <c r="R86" s="83">
        <f t="shared" si="120"/>
        <v>0</v>
      </c>
      <c r="S86" s="83">
        <f t="shared" si="121"/>
        <v>247940</v>
      </c>
      <c r="T86" s="222" t="str">
        <f t="shared" si="3"/>
        <v>ok</v>
      </c>
      <c r="V86" s="153" t="s">
        <v>153</v>
      </c>
      <c r="W86" s="83">
        <f t="shared" si="122"/>
        <v>0</v>
      </c>
      <c r="X86" s="83">
        <f t="shared" si="123"/>
        <v>247940</v>
      </c>
      <c r="Y86" s="222" t="str">
        <f>IF((I86+J86)=(W86+X86),"ok","검토")</f>
        <v>ok</v>
      </c>
      <c r="AA86" s="252">
        <v>1</v>
      </c>
      <c r="AB86" s="252"/>
    </row>
    <row r="87" spans="1:28" ht="31.5" customHeight="1">
      <c r="A87" s="223"/>
      <c r="B87" s="227" t="s">
        <v>87</v>
      </c>
      <c r="C87" s="229">
        <v>567</v>
      </c>
      <c r="D87" s="228" t="s">
        <v>309</v>
      </c>
      <c r="E87" s="230" t="s">
        <v>310</v>
      </c>
      <c r="F87" s="83">
        <v>45000</v>
      </c>
      <c r="G87" s="83"/>
      <c r="H87" s="215">
        <f>IF(SUMPRODUCT(COUNTIF(C87,{"*본예산*","*신규*"})),"-",F87-G87)</f>
        <v>45000</v>
      </c>
      <c r="I87" s="83">
        <v>-45000</v>
      </c>
      <c r="J87" s="83"/>
      <c r="K87" s="215">
        <f t="shared" si="117"/>
        <v>0</v>
      </c>
      <c r="L87" s="83">
        <v>-45000</v>
      </c>
      <c r="M87" s="83"/>
      <c r="N87" s="215">
        <f t="shared" si="118"/>
        <v>0</v>
      </c>
      <c r="O87" s="198" t="str">
        <f t="shared" si="119"/>
        <v>-</v>
      </c>
      <c r="P87" s="232" t="s">
        <v>77</v>
      </c>
      <c r="Q87" s="268" t="s">
        <v>153</v>
      </c>
      <c r="R87" s="83">
        <f t="shared" si="120"/>
        <v>0</v>
      </c>
      <c r="S87" s="83">
        <f t="shared" si="121"/>
        <v>-45000</v>
      </c>
      <c r="T87" s="222" t="str">
        <f t="shared" ref="T87:T134" si="124">IF((L87+M87)=(R87+S87),"ok","검토")</f>
        <v>ok</v>
      </c>
      <c r="V87" s="153" t="s">
        <v>153</v>
      </c>
      <c r="W87" s="83">
        <f t="shared" si="122"/>
        <v>0</v>
      </c>
      <c r="X87" s="83">
        <f t="shared" si="123"/>
        <v>-45000</v>
      </c>
      <c r="Y87" s="222" t="str">
        <f t="shared" si="6"/>
        <v>ok</v>
      </c>
      <c r="AA87" s="252">
        <v>1</v>
      </c>
      <c r="AB87" s="252"/>
    </row>
    <row r="88" spans="1:28" ht="60.75" customHeight="1">
      <c r="A88" s="223"/>
      <c r="B88" s="227" t="s">
        <v>118</v>
      </c>
      <c r="C88" s="229" t="s">
        <v>403</v>
      </c>
      <c r="D88" s="228" t="s">
        <v>404</v>
      </c>
      <c r="E88" s="230" t="s">
        <v>405</v>
      </c>
      <c r="F88" s="83"/>
      <c r="G88" s="83">
        <v>6158915</v>
      </c>
      <c r="H88" s="215" t="str">
        <f>IF(SUMPRODUCT(COUNTIF(C88,{"*본예산*","*신규*"})),"-",F88-G88)</f>
        <v>-</v>
      </c>
      <c r="I88" s="83"/>
      <c r="J88" s="83"/>
      <c r="K88" s="215">
        <f>IF(F88=0,G88+I88+J88,F88+I88+J88)</f>
        <v>6158915</v>
      </c>
      <c r="L88" s="85">
        <v>-126650</v>
      </c>
      <c r="M88" s="83"/>
      <c r="N88" s="215">
        <f>IF(F88=0,G88+L88+M88,F88+L88+M88)</f>
        <v>6032265</v>
      </c>
      <c r="O88" s="198" t="str">
        <f>IF(I88-L88&lt;0,"동의필요","-")</f>
        <v>-</v>
      </c>
      <c r="P88" s="232" t="s">
        <v>421</v>
      </c>
      <c r="Q88" s="233" t="s">
        <v>95</v>
      </c>
      <c r="R88" s="203">
        <v>-119000</v>
      </c>
      <c r="S88" s="203">
        <f t="shared" ref="S88" si="125">IF(Q88="도비",SUM(L88:M88),SUM(L88:M88)-R88)</f>
        <v>-7650</v>
      </c>
      <c r="T88" s="222" t="str">
        <f t="shared" si="124"/>
        <v>ok</v>
      </c>
      <c r="V88" s="236" t="s">
        <v>17</v>
      </c>
      <c r="W88" s="83">
        <f>IF(V88&lt;&gt;"도비",SUM(I88:J88),)</f>
        <v>0</v>
      </c>
      <c r="X88" s="83">
        <f>IF(V88="도비",SUM(I88:J88),SUM(I88:J88)-W88)</f>
        <v>0</v>
      </c>
      <c r="Y88" s="222" t="str">
        <f t="shared" ref="Y88:Y134" si="126">IF((I88+J88)=(W88+X88),"ok","검토")</f>
        <v>ok</v>
      </c>
      <c r="Z88" s="225" t="s">
        <v>490</v>
      </c>
      <c r="AA88" s="252">
        <v>1</v>
      </c>
    </row>
    <row r="89" spans="1:28" ht="31.5" customHeight="1">
      <c r="A89" s="223"/>
      <c r="B89" s="227" t="s">
        <v>91</v>
      </c>
      <c r="C89" s="229" t="s">
        <v>311</v>
      </c>
      <c r="D89" s="228" t="s">
        <v>305</v>
      </c>
      <c r="E89" s="230" t="s">
        <v>312</v>
      </c>
      <c r="F89" s="83"/>
      <c r="G89" s="83">
        <v>84643</v>
      </c>
      <c r="H89" s="215" t="str">
        <f>IF(SUMPRODUCT(COUNTIF(C89,{"*본예산*","*신규*"})),"-",F89-G89)</f>
        <v>-</v>
      </c>
      <c r="I89" s="83"/>
      <c r="J89" s="83">
        <v>3320</v>
      </c>
      <c r="K89" s="215">
        <f t="shared" si="117"/>
        <v>87963</v>
      </c>
      <c r="L89" s="83"/>
      <c r="M89" s="83">
        <v>3320</v>
      </c>
      <c r="N89" s="215">
        <f t="shared" si="118"/>
        <v>87963</v>
      </c>
      <c r="O89" s="198" t="str">
        <f t="shared" si="119"/>
        <v>-</v>
      </c>
      <c r="P89" s="232" t="s">
        <v>440</v>
      </c>
      <c r="Q89" s="189" t="s">
        <v>76</v>
      </c>
      <c r="R89" s="83">
        <f t="shared" si="120"/>
        <v>3320</v>
      </c>
      <c r="S89" s="83">
        <f t="shared" si="121"/>
        <v>0</v>
      </c>
      <c r="T89" s="222" t="str">
        <f t="shared" si="124"/>
        <v>ok</v>
      </c>
      <c r="V89" s="233" t="s">
        <v>76</v>
      </c>
      <c r="W89" s="83">
        <f t="shared" si="122"/>
        <v>3320</v>
      </c>
      <c r="X89" s="83">
        <f t="shared" si="123"/>
        <v>0</v>
      </c>
      <c r="Y89" s="222" t="str">
        <f t="shared" si="126"/>
        <v>ok</v>
      </c>
      <c r="AA89" s="252">
        <v>1</v>
      </c>
      <c r="AB89" s="252"/>
    </row>
    <row r="90" spans="1:28" ht="31.5" customHeight="1">
      <c r="A90" s="223"/>
      <c r="B90" s="78" t="s">
        <v>84</v>
      </c>
      <c r="C90" s="80"/>
      <c r="D90" s="134"/>
      <c r="E90" s="181"/>
      <c r="F90" s="81">
        <f t="shared" ref="F90:N90" si="127">SUM(F91:F93)</f>
        <v>446943</v>
      </c>
      <c r="G90" s="81">
        <f t="shared" si="127"/>
        <v>3122038</v>
      </c>
      <c r="H90" s="81">
        <f t="shared" si="127"/>
        <v>250000</v>
      </c>
      <c r="I90" s="81">
        <f t="shared" si="127"/>
        <v>0</v>
      </c>
      <c r="J90" s="81">
        <f t="shared" si="127"/>
        <v>102714</v>
      </c>
      <c r="K90" s="81">
        <f t="shared" si="127"/>
        <v>3474752</v>
      </c>
      <c r="L90" s="81">
        <f t="shared" si="127"/>
        <v>0</v>
      </c>
      <c r="M90" s="81">
        <f t="shared" si="127"/>
        <v>229364</v>
      </c>
      <c r="N90" s="81">
        <f t="shared" si="127"/>
        <v>3601402</v>
      </c>
      <c r="O90" s="80"/>
      <c r="P90" s="81"/>
      <c r="Q90" s="266"/>
      <c r="R90" s="81">
        <f t="shared" ref="R90:S90" si="128">SUM(R91:R93)</f>
        <v>119000</v>
      </c>
      <c r="S90" s="81">
        <f t="shared" si="128"/>
        <v>110364</v>
      </c>
      <c r="T90" s="222" t="str">
        <f t="shared" si="124"/>
        <v>ok</v>
      </c>
      <c r="V90" s="80"/>
      <c r="W90" s="81">
        <f t="shared" ref="W90:X90" si="129">SUM(W91:W93)</f>
        <v>0</v>
      </c>
      <c r="X90" s="81">
        <f t="shared" si="129"/>
        <v>102714</v>
      </c>
      <c r="Y90" s="222" t="str">
        <f t="shared" si="126"/>
        <v>ok</v>
      </c>
      <c r="AA90" s="251"/>
      <c r="AB90" s="251"/>
    </row>
    <row r="91" spans="1:28" ht="31.5" customHeight="1">
      <c r="A91" s="223"/>
      <c r="B91" s="227" t="s">
        <v>87</v>
      </c>
      <c r="C91" s="229">
        <v>587</v>
      </c>
      <c r="D91" s="228" t="s">
        <v>313</v>
      </c>
      <c r="E91" s="230" t="s">
        <v>314</v>
      </c>
      <c r="F91" s="83">
        <v>446943</v>
      </c>
      <c r="G91" s="83">
        <v>196943</v>
      </c>
      <c r="H91" s="215">
        <f>IF(SUMPRODUCT(COUNTIF(C91,{"*본예산*","*신규*"})),"-",F91-G91)</f>
        <v>250000</v>
      </c>
      <c r="I91" s="83"/>
      <c r="J91" s="83">
        <v>82547</v>
      </c>
      <c r="K91" s="215">
        <f t="shared" ref="K91:K93" si="130">IF(F91=0,G91+I91+J91,F91+I91+J91)</f>
        <v>529490</v>
      </c>
      <c r="L91" s="83"/>
      <c r="M91" s="83">
        <v>82547</v>
      </c>
      <c r="N91" s="215">
        <f t="shared" ref="N91:N93" si="131">IF(F91=0,G91+L91+M91,F91+L91+M91)</f>
        <v>529490</v>
      </c>
      <c r="O91" s="198" t="str">
        <f t="shared" ref="O91:O93" si="132">IF(I91-L91&lt;0,"동의필요","-")</f>
        <v>-</v>
      </c>
      <c r="P91" s="232" t="s">
        <v>74</v>
      </c>
      <c r="Q91" s="268" t="s">
        <v>153</v>
      </c>
      <c r="R91" s="83">
        <f t="shared" ref="R91:R93" si="133">IF(Q91&lt;&gt;"도비",SUM(L91:M91),)</f>
        <v>0</v>
      </c>
      <c r="S91" s="83">
        <f t="shared" ref="S91:S93" si="134">IF(Q91="도비",SUM(L91:M91),SUM(L91:M91)-R91)</f>
        <v>82547</v>
      </c>
      <c r="T91" s="222" t="str">
        <f t="shared" si="124"/>
        <v>ok</v>
      </c>
      <c r="V91" s="153" t="s">
        <v>153</v>
      </c>
      <c r="W91" s="83">
        <f t="shared" ref="W91:W93" si="135">IF(V91&lt;&gt;"도비",SUM(I91:J91),)</f>
        <v>0</v>
      </c>
      <c r="X91" s="83">
        <f t="shared" ref="X91:X93" si="136">IF(V91="도비",SUM(I91:J91),SUM(I91:J91)-W91)</f>
        <v>82547</v>
      </c>
      <c r="Y91" s="222" t="str">
        <f t="shared" si="126"/>
        <v>ok</v>
      </c>
      <c r="AA91" s="252">
        <v>1</v>
      </c>
      <c r="AB91" s="252"/>
    </row>
    <row r="92" spans="1:28" ht="57.75" customHeight="1">
      <c r="A92" s="223"/>
      <c r="B92" s="227" t="s">
        <v>118</v>
      </c>
      <c r="C92" s="229" t="s">
        <v>406</v>
      </c>
      <c r="D92" s="228" t="s">
        <v>407</v>
      </c>
      <c r="E92" s="230" t="s">
        <v>408</v>
      </c>
      <c r="F92" s="83"/>
      <c r="G92" s="83">
        <v>2639535</v>
      </c>
      <c r="H92" s="215" t="str">
        <f>IF(SUMPRODUCT(COUNTIF(C92,{"*본예산*","*신규*"})),"-",F92-G92)</f>
        <v>-</v>
      </c>
      <c r="I92" s="83"/>
      <c r="J92" s="83"/>
      <c r="K92" s="215">
        <f t="shared" si="130"/>
        <v>2639535</v>
      </c>
      <c r="L92" s="83"/>
      <c r="M92" s="83">
        <v>126650</v>
      </c>
      <c r="N92" s="215">
        <f t="shared" si="131"/>
        <v>2766185</v>
      </c>
      <c r="O92" s="198" t="str">
        <f t="shared" si="132"/>
        <v>-</v>
      </c>
      <c r="P92" s="232" t="s">
        <v>423</v>
      </c>
      <c r="Q92" s="218" t="s">
        <v>76</v>
      </c>
      <c r="R92" s="203">
        <v>119000</v>
      </c>
      <c r="S92" s="203">
        <f t="shared" ref="S92" si="137">IF(Q92="도비",SUM(L92:M92),SUM(L92:M92)-R92)</f>
        <v>7650</v>
      </c>
      <c r="T92" s="222" t="str">
        <f t="shared" si="124"/>
        <v>ok</v>
      </c>
      <c r="V92" s="153" t="s">
        <v>119</v>
      </c>
      <c r="W92" s="83">
        <f t="shared" si="135"/>
        <v>0</v>
      </c>
      <c r="X92" s="83">
        <f t="shared" si="136"/>
        <v>0</v>
      </c>
      <c r="Y92" s="222" t="str">
        <f t="shared" si="126"/>
        <v>ok</v>
      </c>
      <c r="Z92" s="225" t="s">
        <v>490</v>
      </c>
      <c r="AA92" s="252">
        <v>1</v>
      </c>
    </row>
    <row r="93" spans="1:28" ht="45.75" customHeight="1">
      <c r="A93" s="223"/>
      <c r="B93" s="227" t="s">
        <v>91</v>
      </c>
      <c r="C93" s="229" t="s">
        <v>315</v>
      </c>
      <c r="D93" s="228" t="s">
        <v>313</v>
      </c>
      <c r="E93" s="230" t="s">
        <v>316</v>
      </c>
      <c r="F93" s="154"/>
      <c r="G93" s="83">
        <v>285560</v>
      </c>
      <c r="H93" s="215" t="str">
        <f>IF(SUMPRODUCT(COUNTIF(C93,{"*본예산*","*신규*"})),"-",F93-G93)</f>
        <v>-</v>
      </c>
      <c r="I93" s="83"/>
      <c r="J93" s="83">
        <v>20167</v>
      </c>
      <c r="K93" s="215">
        <f t="shared" si="130"/>
        <v>305727</v>
      </c>
      <c r="L93" s="83"/>
      <c r="M93" s="83">
        <v>20167</v>
      </c>
      <c r="N93" s="215">
        <f t="shared" si="131"/>
        <v>305727</v>
      </c>
      <c r="O93" s="198" t="str">
        <f t="shared" si="132"/>
        <v>-</v>
      </c>
      <c r="P93" s="232" t="s">
        <v>75</v>
      </c>
      <c r="Q93" s="268" t="s">
        <v>153</v>
      </c>
      <c r="R93" s="83">
        <f t="shared" si="133"/>
        <v>0</v>
      </c>
      <c r="S93" s="83">
        <f t="shared" si="134"/>
        <v>20167</v>
      </c>
      <c r="T93" s="222" t="str">
        <f t="shared" si="124"/>
        <v>ok</v>
      </c>
      <c r="V93" s="153" t="s">
        <v>153</v>
      </c>
      <c r="W93" s="83">
        <f t="shared" si="135"/>
        <v>0</v>
      </c>
      <c r="X93" s="83">
        <f t="shared" si="136"/>
        <v>20167</v>
      </c>
      <c r="Y93" s="222" t="str">
        <f t="shared" si="126"/>
        <v>ok</v>
      </c>
      <c r="AA93" s="252">
        <v>1</v>
      </c>
      <c r="AB93" s="252"/>
    </row>
    <row r="94" spans="1:28" ht="33" customHeight="1">
      <c r="A94" s="1" t="s">
        <v>152</v>
      </c>
      <c r="B94" s="3"/>
      <c r="C94" s="75"/>
      <c r="D94" s="75"/>
      <c r="E94" s="75"/>
      <c r="F94" s="76">
        <f t="shared" ref="F94:N94" si="138">SUM(F95:F107)/2</f>
        <v>29840406</v>
      </c>
      <c r="G94" s="76">
        <f t="shared" si="138"/>
        <v>19375597</v>
      </c>
      <c r="H94" s="76">
        <f t="shared" si="138"/>
        <v>14938355</v>
      </c>
      <c r="I94" s="76">
        <f t="shared" si="138"/>
        <v>-40000</v>
      </c>
      <c r="J94" s="76">
        <f t="shared" si="138"/>
        <v>5160000</v>
      </c>
      <c r="K94" s="76">
        <f t="shared" si="138"/>
        <v>39433952</v>
      </c>
      <c r="L94" s="76">
        <f t="shared" si="138"/>
        <v>-40000</v>
      </c>
      <c r="M94" s="76">
        <f t="shared" si="138"/>
        <v>5160000</v>
      </c>
      <c r="N94" s="76">
        <f t="shared" si="138"/>
        <v>39433952</v>
      </c>
      <c r="O94" s="75"/>
      <c r="P94" s="156"/>
      <c r="Q94" s="266"/>
      <c r="R94" s="76">
        <f>SUM(R95:R107)/2</f>
        <v>0</v>
      </c>
      <c r="S94" s="76">
        <f>SUM(S95:S107)/2</f>
        <v>5120000</v>
      </c>
      <c r="T94" s="222" t="str">
        <f t="shared" si="124"/>
        <v>ok</v>
      </c>
      <c r="V94" s="75"/>
      <c r="W94" s="76">
        <f>SUM(W95:W107)/2</f>
        <v>0</v>
      </c>
      <c r="X94" s="76">
        <f>SUM(X95:X107)/2</f>
        <v>5120000</v>
      </c>
      <c r="Y94" s="222" t="str">
        <f t="shared" si="126"/>
        <v>ok</v>
      </c>
      <c r="AA94" s="250"/>
      <c r="AB94" s="250"/>
    </row>
    <row r="95" spans="1:28" ht="33" customHeight="1">
      <c r="A95" s="223"/>
      <c r="B95" s="78" t="s">
        <v>317</v>
      </c>
      <c r="C95" s="80"/>
      <c r="D95" s="134"/>
      <c r="E95" s="181"/>
      <c r="F95" s="81">
        <f t="shared" ref="F95:N95" si="139">SUM(F96:F102)</f>
        <v>15123355</v>
      </c>
      <c r="G95" s="81">
        <f t="shared" si="139"/>
        <v>3600000</v>
      </c>
      <c r="H95" s="81">
        <f t="shared" si="139"/>
        <v>11523355</v>
      </c>
      <c r="I95" s="81">
        <f t="shared" si="139"/>
        <v>0</v>
      </c>
      <c r="J95" s="81">
        <f t="shared" si="139"/>
        <v>1750000</v>
      </c>
      <c r="K95" s="81">
        <f t="shared" si="139"/>
        <v>16873355</v>
      </c>
      <c r="L95" s="81">
        <f t="shared" si="139"/>
        <v>0</v>
      </c>
      <c r="M95" s="81">
        <f t="shared" si="139"/>
        <v>1750000</v>
      </c>
      <c r="N95" s="81">
        <f t="shared" si="139"/>
        <v>16873355</v>
      </c>
      <c r="O95" s="80"/>
      <c r="P95" s="157"/>
      <c r="Q95" s="266"/>
      <c r="R95" s="81">
        <f>SUM(R96:R102)</f>
        <v>0</v>
      </c>
      <c r="S95" s="81">
        <f>SUM(S96:S102)</f>
        <v>1750000</v>
      </c>
      <c r="T95" s="222" t="str">
        <f t="shared" si="124"/>
        <v>ok</v>
      </c>
      <c r="V95" s="80"/>
      <c r="W95" s="81">
        <f>SUM(W96:W102)</f>
        <v>0</v>
      </c>
      <c r="X95" s="81">
        <f>SUM(X96:X102)</f>
        <v>1750000</v>
      </c>
      <c r="Y95" s="222" t="str">
        <f t="shared" si="126"/>
        <v>ok</v>
      </c>
      <c r="AA95" s="251"/>
      <c r="AB95" s="251"/>
    </row>
    <row r="96" spans="1:28" ht="31.5" customHeight="1">
      <c r="A96" s="223"/>
      <c r="B96" s="211" t="s">
        <v>318</v>
      </c>
      <c r="C96" s="235">
        <v>645</v>
      </c>
      <c r="D96" s="184" t="s">
        <v>319</v>
      </c>
      <c r="E96" s="230" t="s">
        <v>320</v>
      </c>
      <c r="F96" s="83">
        <v>20000</v>
      </c>
      <c r="G96" s="83"/>
      <c r="H96" s="215">
        <f>IF(SUMPRODUCT(COUNTIF(C96,{"*본예산*","*신규*"})),"-",F96-G96)</f>
        <v>20000</v>
      </c>
      <c r="I96" s="86"/>
      <c r="J96" s="86">
        <v>10000</v>
      </c>
      <c r="K96" s="215">
        <f t="shared" ref="K96:K102" si="140">IF(F96=0,G96+I96+J96,F96+I96+J96)</f>
        <v>30000</v>
      </c>
      <c r="L96" s="216"/>
      <c r="M96" s="85">
        <v>10000</v>
      </c>
      <c r="N96" s="215">
        <f t="shared" ref="N96:N102" si="141">IF(F96=0,G96+L96+M96,F96+L96+M96)</f>
        <v>30000</v>
      </c>
      <c r="O96" s="198" t="str">
        <f t="shared" ref="O96:O102" si="142">IF(I96-L96&lt;0,"동의필요","-")</f>
        <v>-</v>
      </c>
      <c r="P96" s="232" t="s">
        <v>486</v>
      </c>
      <c r="Q96" s="263" t="s">
        <v>153</v>
      </c>
      <c r="R96" s="83">
        <f t="shared" ref="R96:R102" si="143">IF(Q96&lt;&gt;"도비",SUM(L96:M96),)</f>
        <v>0</v>
      </c>
      <c r="S96" s="83">
        <f t="shared" ref="S96:S102" si="144">IF(Q96="도비",SUM(L96:M96),SUM(L96:M96)-R96)</f>
        <v>10000</v>
      </c>
      <c r="T96" s="222" t="str">
        <f t="shared" si="124"/>
        <v>ok</v>
      </c>
      <c r="V96" s="153" t="s">
        <v>153</v>
      </c>
      <c r="W96" s="83">
        <f t="shared" ref="W96:W102" si="145">IF(V96&lt;&gt;"도비",SUM(I96:J96),)</f>
        <v>0</v>
      </c>
      <c r="X96" s="83">
        <f t="shared" ref="X96:X102" si="146">IF(V96="도비",SUM(I96:J96),SUM(I96:J96)-W96)</f>
        <v>10000</v>
      </c>
      <c r="Y96" s="222" t="str">
        <f t="shared" si="126"/>
        <v>ok</v>
      </c>
      <c r="AA96" s="252">
        <v>1</v>
      </c>
      <c r="AB96" s="253"/>
    </row>
    <row r="97" spans="1:28" ht="31.5" customHeight="1">
      <c r="A97" s="223"/>
      <c r="B97" s="211" t="s">
        <v>318</v>
      </c>
      <c r="C97" s="235">
        <v>646</v>
      </c>
      <c r="D97" s="184" t="s">
        <v>319</v>
      </c>
      <c r="E97" s="230" t="s">
        <v>487</v>
      </c>
      <c r="F97" s="83">
        <v>6100000</v>
      </c>
      <c r="G97" s="83">
        <v>3600000</v>
      </c>
      <c r="H97" s="215">
        <f>IF(SUMPRODUCT(COUNTIF(C97,{"*본예산*","*신규*"})),"-",F97-G97)</f>
        <v>2500000</v>
      </c>
      <c r="I97" s="86"/>
      <c r="J97" s="86">
        <v>90000</v>
      </c>
      <c r="K97" s="215">
        <f t="shared" si="140"/>
        <v>6190000</v>
      </c>
      <c r="L97" s="216"/>
      <c r="M97" s="85">
        <v>90000</v>
      </c>
      <c r="N97" s="215">
        <f t="shared" si="141"/>
        <v>6190000</v>
      </c>
      <c r="O97" s="198" t="str">
        <f t="shared" si="142"/>
        <v>-</v>
      </c>
      <c r="P97" s="232" t="s">
        <v>488</v>
      </c>
      <c r="Q97" s="263" t="s">
        <v>153</v>
      </c>
      <c r="R97" s="83">
        <f t="shared" si="143"/>
        <v>0</v>
      </c>
      <c r="S97" s="83">
        <f t="shared" si="144"/>
        <v>90000</v>
      </c>
      <c r="T97" s="222" t="str">
        <f t="shared" si="124"/>
        <v>ok</v>
      </c>
      <c r="V97" s="153" t="s">
        <v>153</v>
      </c>
      <c r="W97" s="83">
        <f t="shared" ref="W97:W100" si="147">IF(V97&lt;&gt;"도비",SUM(I97:J97),)</f>
        <v>0</v>
      </c>
      <c r="X97" s="83">
        <f t="shared" ref="X97:X100" si="148">IF(V97="도비",SUM(I97:J97),SUM(I97:J97)-W97)</f>
        <v>90000</v>
      </c>
      <c r="Y97" s="222" t="str">
        <f t="shared" si="126"/>
        <v>ok</v>
      </c>
      <c r="AA97" s="252">
        <v>1</v>
      </c>
      <c r="AB97" s="253"/>
    </row>
    <row r="98" spans="1:28" ht="35.25" customHeight="1">
      <c r="A98" s="223"/>
      <c r="B98" s="211" t="s">
        <v>70</v>
      </c>
      <c r="C98" s="235">
        <v>633</v>
      </c>
      <c r="D98" s="184" t="s">
        <v>322</v>
      </c>
      <c r="E98" s="230" t="s">
        <v>475</v>
      </c>
      <c r="F98" s="83">
        <v>662076</v>
      </c>
      <c r="G98" s="83"/>
      <c r="H98" s="215">
        <f>IF(SUMPRODUCT(COUNTIF(C98,{"*본예산*","*신규*"})),"-",F98-G98)</f>
        <v>662076</v>
      </c>
      <c r="I98" s="86"/>
      <c r="J98" s="86"/>
      <c r="K98" s="215">
        <f t="shared" si="140"/>
        <v>662076</v>
      </c>
      <c r="L98" s="216">
        <v>0</v>
      </c>
      <c r="M98" s="85">
        <v>0</v>
      </c>
      <c r="N98" s="215">
        <f t="shared" si="141"/>
        <v>662076</v>
      </c>
      <c r="O98" s="198" t="str">
        <f t="shared" si="142"/>
        <v>-</v>
      </c>
      <c r="P98" s="247" t="s">
        <v>568</v>
      </c>
      <c r="Q98" s="268" t="s">
        <v>119</v>
      </c>
      <c r="R98" s="83">
        <f t="shared" si="143"/>
        <v>0</v>
      </c>
      <c r="S98" s="83">
        <f t="shared" si="144"/>
        <v>0</v>
      </c>
      <c r="T98" s="222" t="str">
        <f t="shared" si="124"/>
        <v>ok</v>
      </c>
      <c r="V98" s="153" t="s">
        <v>119</v>
      </c>
      <c r="W98" s="83">
        <f t="shared" si="147"/>
        <v>0</v>
      </c>
      <c r="X98" s="83">
        <f t="shared" si="148"/>
        <v>0</v>
      </c>
      <c r="Y98" s="222" t="str">
        <f>IF((I98+J98)=(W98+X98),"ok","검토")</f>
        <v>ok</v>
      </c>
      <c r="AA98" s="252">
        <v>1</v>
      </c>
      <c r="AB98" s="253"/>
    </row>
    <row r="99" spans="1:28" ht="35.25" customHeight="1">
      <c r="A99" s="223"/>
      <c r="B99" s="211" t="s">
        <v>70</v>
      </c>
      <c r="C99" s="235">
        <v>633</v>
      </c>
      <c r="D99" s="184" t="s">
        <v>322</v>
      </c>
      <c r="E99" s="230" t="s">
        <v>479</v>
      </c>
      <c r="F99" s="83">
        <v>2576979</v>
      </c>
      <c r="G99" s="83"/>
      <c r="H99" s="215">
        <f>IF(SUMPRODUCT(COUNTIF(C99,{"*본예산*","*신규*"})),"-",F99-G99)</f>
        <v>2576979</v>
      </c>
      <c r="I99" s="86"/>
      <c r="J99" s="86"/>
      <c r="K99" s="215">
        <f t="shared" si="140"/>
        <v>2576979</v>
      </c>
      <c r="L99" s="216">
        <v>0</v>
      </c>
      <c r="M99" s="85">
        <v>0</v>
      </c>
      <c r="N99" s="215">
        <f t="shared" si="141"/>
        <v>2576979</v>
      </c>
      <c r="O99" s="198" t="str">
        <f t="shared" si="142"/>
        <v>-</v>
      </c>
      <c r="P99" s="247" t="s">
        <v>568</v>
      </c>
      <c r="Q99" s="268" t="s">
        <v>119</v>
      </c>
      <c r="R99" s="83">
        <f t="shared" si="143"/>
        <v>0</v>
      </c>
      <c r="S99" s="83">
        <f t="shared" si="144"/>
        <v>0</v>
      </c>
      <c r="T99" s="222" t="str">
        <f t="shared" si="124"/>
        <v>ok</v>
      </c>
      <c r="V99" s="153" t="s">
        <v>119</v>
      </c>
      <c r="W99" s="83">
        <f t="shared" si="147"/>
        <v>0</v>
      </c>
      <c r="X99" s="83">
        <f t="shared" si="148"/>
        <v>0</v>
      </c>
      <c r="Y99" s="222" t="str">
        <f>IF((I99+J99)=(W99+X99),"ok","검토")</f>
        <v>ok</v>
      </c>
      <c r="AA99" s="252">
        <v>1</v>
      </c>
      <c r="AB99" s="253"/>
    </row>
    <row r="100" spans="1:28" ht="59.25" customHeight="1">
      <c r="A100" s="223"/>
      <c r="B100" s="211" t="s">
        <v>70</v>
      </c>
      <c r="C100" s="235">
        <v>636</v>
      </c>
      <c r="D100" s="184" t="s">
        <v>476</v>
      </c>
      <c r="E100" s="230" t="s">
        <v>477</v>
      </c>
      <c r="F100" s="83">
        <v>5764300</v>
      </c>
      <c r="G100" s="83"/>
      <c r="H100" s="215">
        <f>IF(SUMPRODUCT(COUNTIF(C100,{"*본예산*","*신규*"})),"-",F100-G100)</f>
        <v>5764300</v>
      </c>
      <c r="I100" s="86"/>
      <c r="J100" s="86"/>
      <c r="K100" s="215">
        <f t="shared" si="140"/>
        <v>5764300</v>
      </c>
      <c r="L100" s="216">
        <v>0</v>
      </c>
      <c r="M100" s="85">
        <v>0</v>
      </c>
      <c r="N100" s="215">
        <f t="shared" si="141"/>
        <v>5764300</v>
      </c>
      <c r="O100" s="198" t="str">
        <f t="shared" si="142"/>
        <v>-</v>
      </c>
      <c r="P100" s="247" t="s">
        <v>569</v>
      </c>
      <c r="Q100" s="268" t="s">
        <v>119</v>
      </c>
      <c r="R100" s="83">
        <f t="shared" si="143"/>
        <v>0</v>
      </c>
      <c r="S100" s="83">
        <f t="shared" si="144"/>
        <v>0</v>
      </c>
      <c r="T100" s="222" t="str">
        <f t="shared" si="124"/>
        <v>ok</v>
      </c>
      <c r="V100" s="153" t="s">
        <v>119</v>
      </c>
      <c r="W100" s="83">
        <f t="shared" si="147"/>
        <v>0</v>
      </c>
      <c r="X100" s="83">
        <f t="shared" si="148"/>
        <v>0</v>
      </c>
      <c r="Y100" s="222" t="str">
        <f>IF((I100+J100)=(W100+X100),"ok","검토")</f>
        <v>ok</v>
      </c>
      <c r="AA100" s="252">
        <v>1</v>
      </c>
      <c r="AB100" s="253"/>
    </row>
    <row r="101" spans="1:28" ht="30.75" customHeight="1">
      <c r="A101" s="223"/>
      <c r="B101" s="211" t="s">
        <v>178</v>
      </c>
      <c r="C101" s="235" t="s">
        <v>321</v>
      </c>
      <c r="D101" s="184" t="s">
        <v>322</v>
      </c>
      <c r="E101" s="230" t="s">
        <v>323</v>
      </c>
      <c r="F101" s="83"/>
      <c r="G101" s="83"/>
      <c r="H101" s="215" t="str">
        <f>IF(SUMPRODUCT(COUNTIF(C101,{"*본예산*","*신규*"})),"-",F101-G101)</f>
        <v>-</v>
      </c>
      <c r="I101" s="86"/>
      <c r="J101" s="86">
        <v>650000</v>
      </c>
      <c r="K101" s="215">
        <f t="shared" si="140"/>
        <v>650000</v>
      </c>
      <c r="L101" s="216">
        <v>0</v>
      </c>
      <c r="M101" s="85">
        <v>650000</v>
      </c>
      <c r="N101" s="215">
        <f t="shared" si="141"/>
        <v>650000</v>
      </c>
      <c r="O101" s="198" t="str">
        <f t="shared" si="142"/>
        <v>-</v>
      </c>
      <c r="P101" s="288"/>
      <c r="Q101" s="268" t="s">
        <v>153</v>
      </c>
      <c r="R101" s="83">
        <f t="shared" si="143"/>
        <v>0</v>
      </c>
      <c r="S101" s="83">
        <f t="shared" si="144"/>
        <v>650000</v>
      </c>
      <c r="T101" s="222" t="str">
        <f t="shared" si="124"/>
        <v>ok</v>
      </c>
      <c r="V101" s="153" t="s">
        <v>153</v>
      </c>
      <c r="W101" s="83">
        <f t="shared" si="145"/>
        <v>0</v>
      </c>
      <c r="X101" s="83">
        <f t="shared" si="146"/>
        <v>650000</v>
      </c>
      <c r="Y101" s="222" t="str">
        <f>IF((I101+J101)=(W101+X101),"ok","검토")</f>
        <v>ok</v>
      </c>
      <c r="AA101" s="252">
        <v>1</v>
      </c>
      <c r="AB101" s="253"/>
    </row>
    <row r="102" spans="1:28" ht="28.5" customHeight="1">
      <c r="A102" s="223"/>
      <c r="B102" s="161" t="s">
        <v>178</v>
      </c>
      <c r="C102" s="235" t="s">
        <v>321</v>
      </c>
      <c r="D102" s="228" t="s">
        <v>319</v>
      </c>
      <c r="E102" s="230" t="s">
        <v>324</v>
      </c>
      <c r="F102" s="83"/>
      <c r="G102" s="83"/>
      <c r="H102" s="215" t="str">
        <f>IF(SUMPRODUCT(COUNTIF(C102,{"*본예산*","*신규*"})),"-",F102-G102)</f>
        <v>-</v>
      </c>
      <c r="I102" s="83"/>
      <c r="J102" s="83">
        <v>1000000</v>
      </c>
      <c r="K102" s="215">
        <f t="shared" si="140"/>
        <v>1000000</v>
      </c>
      <c r="L102" s="85"/>
      <c r="M102" s="85">
        <v>1000000</v>
      </c>
      <c r="N102" s="215">
        <f t="shared" si="141"/>
        <v>1000000</v>
      </c>
      <c r="O102" s="198" t="str">
        <f t="shared" si="142"/>
        <v>-</v>
      </c>
      <c r="P102" s="232" t="s">
        <v>540</v>
      </c>
      <c r="Q102" s="263" t="s">
        <v>153</v>
      </c>
      <c r="R102" s="83">
        <f t="shared" si="143"/>
        <v>0</v>
      </c>
      <c r="S102" s="83">
        <f t="shared" si="144"/>
        <v>1000000</v>
      </c>
      <c r="T102" s="222" t="str">
        <f t="shared" si="124"/>
        <v>ok</v>
      </c>
      <c r="V102" s="153" t="s">
        <v>153</v>
      </c>
      <c r="W102" s="83">
        <f t="shared" si="145"/>
        <v>0</v>
      </c>
      <c r="X102" s="83">
        <f t="shared" si="146"/>
        <v>1000000</v>
      </c>
      <c r="Y102" s="222" t="str">
        <f t="shared" si="126"/>
        <v>ok</v>
      </c>
      <c r="AA102" s="252">
        <v>1</v>
      </c>
      <c r="AB102" s="253"/>
    </row>
    <row r="103" spans="1:28" ht="33" customHeight="1">
      <c r="A103" s="223"/>
      <c r="B103" s="78" t="s">
        <v>325</v>
      </c>
      <c r="C103" s="80"/>
      <c r="D103" s="134"/>
      <c r="E103" s="181"/>
      <c r="F103" s="81">
        <f t="shared" ref="F103:N103" si="149">SUM(F104:F107)</f>
        <v>14717051</v>
      </c>
      <c r="G103" s="81">
        <f t="shared" si="149"/>
        <v>15775597</v>
      </c>
      <c r="H103" s="81">
        <f t="shared" si="149"/>
        <v>3415000</v>
      </c>
      <c r="I103" s="81">
        <f t="shared" si="149"/>
        <v>-40000</v>
      </c>
      <c r="J103" s="81">
        <f t="shared" si="149"/>
        <v>3410000</v>
      </c>
      <c r="K103" s="81">
        <f t="shared" si="149"/>
        <v>22560597</v>
      </c>
      <c r="L103" s="81">
        <f t="shared" si="149"/>
        <v>-40000</v>
      </c>
      <c r="M103" s="81">
        <f t="shared" si="149"/>
        <v>3410000</v>
      </c>
      <c r="N103" s="81">
        <f t="shared" si="149"/>
        <v>22560597</v>
      </c>
      <c r="O103" s="199"/>
      <c r="P103" s="158"/>
      <c r="Q103" s="266"/>
      <c r="R103" s="81">
        <f t="shared" ref="R103:S103" si="150">SUM(R104:R107)</f>
        <v>0</v>
      </c>
      <c r="S103" s="81">
        <f t="shared" si="150"/>
        <v>3370000</v>
      </c>
      <c r="T103" s="222" t="str">
        <f t="shared" si="124"/>
        <v>ok</v>
      </c>
      <c r="V103" s="80"/>
      <c r="W103" s="81">
        <f t="shared" ref="W103:X103" si="151">SUM(W104:W107)</f>
        <v>0</v>
      </c>
      <c r="X103" s="81">
        <f t="shared" si="151"/>
        <v>3370000</v>
      </c>
      <c r="Y103" s="222" t="str">
        <f t="shared" si="126"/>
        <v>ok</v>
      </c>
      <c r="AA103" s="251"/>
      <c r="AB103" s="251"/>
    </row>
    <row r="104" spans="1:28" ht="33" customHeight="1">
      <c r="A104" s="223"/>
      <c r="B104" s="227" t="s">
        <v>116</v>
      </c>
      <c r="C104" s="229">
        <v>657</v>
      </c>
      <c r="D104" s="228" t="s">
        <v>326</v>
      </c>
      <c r="E104" s="230" t="s">
        <v>327</v>
      </c>
      <c r="F104" s="83">
        <v>20000</v>
      </c>
      <c r="G104" s="154"/>
      <c r="H104" s="215">
        <f>IF(SUMPRODUCT(COUNTIF(C104,{"*본예산*","*신규*"})),"-",F104-G104)</f>
        <v>20000</v>
      </c>
      <c r="I104" s="83"/>
      <c r="J104" s="83">
        <v>10000</v>
      </c>
      <c r="K104" s="215">
        <f t="shared" ref="K104:K107" si="152">IF(F104=0,G104+I104+J104,F104+I104+J104)</f>
        <v>30000</v>
      </c>
      <c r="L104" s="83"/>
      <c r="M104" s="83">
        <v>10000</v>
      </c>
      <c r="N104" s="215">
        <f t="shared" ref="N104:N107" si="153">IF(F104=0,G104+L104+M104,F104+L104+M104)</f>
        <v>30000</v>
      </c>
      <c r="O104" s="198" t="str">
        <f t="shared" ref="O104:O107" si="154">IF(I104-L104&lt;0,"동의필요","-")</f>
        <v>-</v>
      </c>
      <c r="P104" s="273" t="s">
        <v>334</v>
      </c>
      <c r="Q104" s="268" t="s">
        <v>153</v>
      </c>
      <c r="R104" s="83">
        <f t="shared" ref="R104:R107" si="155">IF(Q104&lt;&gt;"도비",SUM(L104:M104),)</f>
        <v>0</v>
      </c>
      <c r="S104" s="83">
        <f t="shared" ref="S104:S107" si="156">IF(Q104="도비",SUM(L104:M104),SUM(L104:M104)-R104)</f>
        <v>10000</v>
      </c>
      <c r="T104" s="222" t="str">
        <f t="shared" si="124"/>
        <v>ok</v>
      </c>
      <c r="V104" s="153" t="s">
        <v>153</v>
      </c>
      <c r="W104" s="83">
        <f t="shared" ref="W104:W107" si="157">IF(V104&lt;&gt;"도비",SUM(I104:J104),)</f>
        <v>0</v>
      </c>
      <c r="X104" s="83">
        <f t="shared" ref="X104:X107" si="158">IF(V104="도비",SUM(I104:J104),SUM(I104:J104)-W104)</f>
        <v>10000</v>
      </c>
      <c r="Y104" s="222" t="str">
        <f t="shared" si="126"/>
        <v>ok</v>
      </c>
      <c r="AA104" s="252">
        <v>1</v>
      </c>
      <c r="AB104" s="254"/>
    </row>
    <row r="105" spans="1:28" ht="48" customHeight="1">
      <c r="A105" s="223"/>
      <c r="B105" s="227" t="s">
        <v>116</v>
      </c>
      <c r="C105" s="229">
        <v>657</v>
      </c>
      <c r="D105" s="228" t="s">
        <v>326</v>
      </c>
      <c r="E105" s="230" t="s">
        <v>328</v>
      </c>
      <c r="F105" s="83">
        <v>40000</v>
      </c>
      <c r="G105" s="154"/>
      <c r="H105" s="215">
        <f>IF(SUMPRODUCT(COUNTIF(C105,{"*본예산*","*신규*"})),"-",F105-G105)</f>
        <v>40000</v>
      </c>
      <c r="I105" s="83">
        <v>-40000</v>
      </c>
      <c r="J105" s="83"/>
      <c r="K105" s="215">
        <f t="shared" si="152"/>
        <v>0</v>
      </c>
      <c r="L105" s="83">
        <v>-40000</v>
      </c>
      <c r="M105" s="83"/>
      <c r="N105" s="215">
        <f t="shared" si="153"/>
        <v>0</v>
      </c>
      <c r="O105" s="198" t="str">
        <f t="shared" si="154"/>
        <v>-</v>
      </c>
      <c r="P105" s="273" t="s">
        <v>335</v>
      </c>
      <c r="Q105" s="268" t="s">
        <v>153</v>
      </c>
      <c r="R105" s="83">
        <f t="shared" si="155"/>
        <v>0</v>
      </c>
      <c r="S105" s="83">
        <f t="shared" si="156"/>
        <v>-40000</v>
      </c>
      <c r="T105" s="222" t="str">
        <f t="shared" si="124"/>
        <v>ok</v>
      </c>
      <c r="V105" s="153" t="s">
        <v>153</v>
      </c>
      <c r="W105" s="83">
        <f t="shared" si="157"/>
        <v>0</v>
      </c>
      <c r="X105" s="83">
        <f t="shared" si="158"/>
        <v>-40000</v>
      </c>
      <c r="Y105" s="222" t="str">
        <f t="shared" si="126"/>
        <v>ok</v>
      </c>
      <c r="AA105" s="252">
        <v>1</v>
      </c>
      <c r="AB105" s="254"/>
    </row>
    <row r="106" spans="1:28" ht="36" customHeight="1">
      <c r="A106" s="223"/>
      <c r="B106" s="227" t="s">
        <v>116</v>
      </c>
      <c r="C106" s="229">
        <v>662</v>
      </c>
      <c r="D106" s="228" t="s">
        <v>329</v>
      </c>
      <c r="E106" s="230" t="s">
        <v>330</v>
      </c>
      <c r="F106" s="83">
        <v>14657051</v>
      </c>
      <c r="G106" s="83">
        <v>11302051</v>
      </c>
      <c r="H106" s="215">
        <f>IF(SUMPRODUCT(COUNTIF(C106,{"*본예산*","*신규*"})),"-",F106-G106)</f>
        <v>3355000</v>
      </c>
      <c r="I106" s="83"/>
      <c r="J106" s="83">
        <v>1700000</v>
      </c>
      <c r="K106" s="215">
        <f t="shared" si="152"/>
        <v>16357051</v>
      </c>
      <c r="L106" s="83"/>
      <c r="M106" s="83">
        <v>1700000</v>
      </c>
      <c r="N106" s="215">
        <f t="shared" si="153"/>
        <v>16357051</v>
      </c>
      <c r="O106" s="198" t="str">
        <f t="shared" si="154"/>
        <v>-</v>
      </c>
      <c r="P106" s="232" t="s">
        <v>154</v>
      </c>
      <c r="Q106" s="268" t="s">
        <v>153</v>
      </c>
      <c r="R106" s="83">
        <f t="shared" si="155"/>
        <v>0</v>
      </c>
      <c r="S106" s="83">
        <f t="shared" si="156"/>
        <v>1700000</v>
      </c>
      <c r="T106" s="222" t="str">
        <f t="shared" si="124"/>
        <v>ok</v>
      </c>
      <c r="V106" s="153" t="s">
        <v>153</v>
      </c>
      <c r="W106" s="83">
        <f t="shared" si="157"/>
        <v>0</v>
      </c>
      <c r="X106" s="83">
        <f t="shared" si="158"/>
        <v>1700000</v>
      </c>
      <c r="Y106" s="222" t="str">
        <f>IF((I106+J106)=(W106+X106),"ok","검토")</f>
        <v>ok</v>
      </c>
      <c r="AA106" s="252">
        <v>1</v>
      </c>
      <c r="AB106" s="253"/>
    </row>
    <row r="107" spans="1:28" ht="33" customHeight="1">
      <c r="A107" s="223"/>
      <c r="B107" s="227" t="s">
        <v>118</v>
      </c>
      <c r="C107" s="229" t="s">
        <v>331</v>
      </c>
      <c r="D107" s="228" t="s">
        <v>332</v>
      </c>
      <c r="E107" s="230" t="s">
        <v>333</v>
      </c>
      <c r="F107" s="83"/>
      <c r="G107" s="83">
        <v>4473546</v>
      </c>
      <c r="H107" s="215" t="str">
        <f>IF(SUMPRODUCT(COUNTIF(C107,{"*본예산*","*신규*"})),"-",F107-G107)</f>
        <v>-</v>
      </c>
      <c r="I107" s="83"/>
      <c r="J107" s="83">
        <v>1700000</v>
      </c>
      <c r="K107" s="215">
        <f t="shared" si="152"/>
        <v>6173546</v>
      </c>
      <c r="L107" s="83"/>
      <c r="M107" s="83">
        <v>1700000</v>
      </c>
      <c r="N107" s="215">
        <f t="shared" si="153"/>
        <v>6173546</v>
      </c>
      <c r="O107" s="198" t="str">
        <f t="shared" si="154"/>
        <v>-</v>
      </c>
      <c r="P107" s="273" t="s">
        <v>540</v>
      </c>
      <c r="Q107" s="268" t="s">
        <v>153</v>
      </c>
      <c r="R107" s="83">
        <f t="shared" si="155"/>
        <v>0</v>
      </c>
      <c r="S107" s="83">
        <f t="shared" si="156"/>
        <v>1700000</v>
      </c>
      <c r="T107" s="222" t="str">
        <f t="shared" si="124"/>
        <v>ok</v>
      </c>
      <c r="V107" s="153" t="s">
        <v>153</v>
      </c>
      <c r="W107" s="83">
        <f t="shared" si="157"/>
        <v>0</v>
      </c>
      <c r="X107" s="83">
        <f t="shared" si="158"/>
        <v>1700000</v>
      </c>
      <c r="Y107" s="222" t="str">
        <f>IF((I107+J107)=(W107+X107),"ok","검토")</f>
        <v>ok</v>
      </c>
      <c r="AA107" s="252">
        <v>1</v>
      </c>
      <c r="AB107" s="254"/>
    </row>
    <row r="108" spans="1:28" ht="31.5" customHeight="1">
      <c r="A108" s="1" t="s">
        <v>148</v>
      </c>
      <c r="B108" s="75"/>
      <c r="C108" s="75"/>
      <c r="D108" s="75"/>
      <c r="E108" s="75"/>
      <c r="F108" s="76">
        <f t="shared" ref="F108" si="159">SUM(F109:F111)/2</f>
        <v>158320</v>
      </c>
      <c r="G108" s="76">
        <f t="shared" ref="G108:N108" si="160">SUM(G109:G111)/2</f>
        <v>523120</v>
      </c>
      <c r="H108" s="76">
        <f t="shared" si="160"/>
        <v>100000</v>
      </c>
      <c r="I108" s="76">
        <f t="shared" si="160"/>
        <v>-50000</v>
      </c>
      <c r="J108" s="76">
        <f t="shared" si="160"/>
        <v>53000</v>
      </c>
      <c r="K108" s="76">
        <f t="shared" si="160"/>
        <v>626120</v>
      </c>
      <c r="L108" s="76">
        <f t="shared" si="160"/>
        <v>-50000</v>
      </c>
      <c r="M108" s="76">
        <f t="shared" si="160"/>
        <v>53000</v>
      </c>
      <c r="N108" s="76">
        <f t="shared" si="160"/>
        <v>626120</v>
      </c>
      <c r="O108" s="75"/>
      <c r="P108" s="76"/>
      <c r="Q108" s="266"/>
      <c r="R108" s="76">
        <f t="shared" ref="R108:S108" si="161">SUM(R109:R111)/2</f>
        <v>0</v>
      </c>
      <c r="S108" s="76">
        <f t="shared" si="161"/>
        <v>3000</v>
      </c>
      <c r="T108" s="222" t="str">
        <f t="shared" si="124"/>
        <v>ok</v>
      </c>
      <c r="V108" s="75"/>
      <c r="W108" s="76">
        <f t="shared" ref="W108:X108" si="162">SUM(W109:W111)/2</f>
        <v>0</v>
      </c>
      <c r="X108" s="76">
        <f t="shared" si="162"/>
        <v>3000</v>
      </c>
      <c r="Y108" s="222" t="str">
        <f t="shared" si="126"/>
        <v>ok</v>
      </c>
      <c r="AA108" s="250"/>
      <c r="AB108" s="250"/>
    </row>
    <row r="109" spans="1:28" ht="31.5" customHeight="1">
      <c r="A109" s="223"/>
      <c r="B109" s="78" t="s">
        <v>289</v>
      </c>
      <c r="C109" s="80"/>
      <c r="D109" s="134"/>
      <c r="E109" s="181"/>
      <c r="F109" s="81">
        <f t="shared" ref="F109:N109" si="163">SUM(F110:F111)</f>
        <v>158320</v>
      </c>
      <c r="G109" s="81">
        <f t="shared" si="163"/>
        <v>523120</v>
      </c>
      <c r="H109" s="81">
        <f t="shared" si="163"/>
        <v>100000</v>
      </c>
      <c r="I109" s="81">
        <f t="shared" si="163"/>
        <v>-50000</v>
      </c>
      <c r="J109" s="81">
        <f t="shared" si="163"/>
        <v>53000</v>
      </c>
      <c r="K109" s="81">
        <f t="shared" si="163"/>
        <v>626120</v>
      </c>
      <c r="L109" s="81">
        <f t="shared" si="163"/>
        <v>-50000</v>
      </c>
      <c r="M109" s="81">
        <f t="shared" si="163"/>
        <v>53000</v>
      </c>
      <c r="N109" s="81">
        <f t="shared" si="163"/>
        <v>626120</v>
      </c>
      <c r="O109" s="80"/>
      <c r="P109" s="81"/>
      <c r="Q109" s="266"/>
      <c r="R109" s="81">
        <f t="shared" ref="R109:S109" si="164">SUM(R110:R111)</f>
        <v>0</v>
      </c>
      <c r="S109" s="81">
        <f t="shared" si="164"/>
        <v>3000</v>
      </c>
      <c r="T109" s="222" t="str">
        <f t="shared" si="124"/>
        <v>ok</v>
      </c>
      <c r="V109" s="80"/>
      <c r="W109" s="81">
        <f t="shared" ref="W109:X109" si="165">SUM(W110:W111)</f>
        <v>0</v>
      </c>
      <c r="X109" s="81">
        <f t="shared" si="165"/>
        <v>3000</v>
      </c>
      <c r="Y109" s="222" t="str">
        <f t="shared" si="126"/>
        <v>ok</v>
      </c>
      <c r="AA109" s="251"/>
      <c r="AB109" s="251"/>
    </row>
    <row r="110" spans="1:28" ht="31.5" customHeight="1">
      <c r="A110" s="223"/>
      <c r="B110" s="211" t="s">
        <v>87</v>
      </c>
      <c r="C110" s="235">
        <v>706</v>
      </c>
      <c r="D110" s="184" t="s">
        <v>336</v>
      </c>
      <c r="E110" s="230" t="s">
        <v>337</v>
      </c>
      <c r="F110" s="185">
        <v>158320</v>
      </c>
      <c r="G110" s="185">
        <v>58320</v>
      </c>
      <c r="H110" s="215">
        <f>IF(SUMPRODUCT(COUNTIF(C110,{"*본예산*","*신규*"})),"-",F110-G110)</f>
        <v>100000</v>
      </c>
      <c r="I110" s="83">
        <v>-50000</v>
      </c>
      <c r="J110" s="83"/>
      <c r="K110" s="215">
        <f t="shared" ref="K110:K111" si="166">IF(F110=0,G110+I110+J110,F110+I110+J110)</f>
        <v>108320</v>
      </c>
      <c r="L110" s="83">
        <v>-50000</v>
      </c>
      <c r="M110" s="83"/>
      <c r="N110" s="215">
        <f t="shared" ref="N110:N111" si="167">IF(F110=0,G110+L110+M110,F110+L110+M110)</f>
        <v>108320</v>
      </c>
      <c r="O110" s="198" t="str">
        <f t="shared" ref="O110:O111" si="168">IF(I110-L110&lt;0,"동의필요","-")</f>
        <v>-</v>
      </c>
      <c r="P110" s="228" t="s">
        <v>149</v>
      </c>
      <c r="Q110" s="268" t="s">
        <v>153</v>
      </c>
      <c r="R110" s="83">
        <f t="shared" ref="R110:R111" si="169">IF(Q110&lt;&gt;"도비",SUM(L110:M110),)</f>
        <v>0</v>
      </c>
      <c r="S110" s="83">
        <f t="shared" ref="S110:S111" si="170">IF(Q110="도비",SUM(L110:M110),SUM(L110:M110)-R110)</f>
        <v>-50000</v>
      </c>
      <c r="T110" s="222" t="str">
        <f t="shared" si="124"/>
        <v>ok</v>
      </c>
      <c r="V110" s="153" t="s">
        <v>153</v>
      </c>
      <c r="W110" s="83">
        <f t="shared" ref="W110:W111" si="171">IF(V110&lt;&gt;"도비",SUM(I110:J110),)</f>
        <v>0</v>
      </c>
      <c r="X110" s="83">
        <f t="shared" ref="X110:X111" si="172">IF(V110="도비",SUM(I110:J110),SUM(I110:J110)-W110)</f>
        <v>-50000</v>
      </c>
      <c r="Y110" s="222" t="str">
        <f t="shared" si="126"/>
        <v>ok</v>
      </c>
      <c r="AA110" s="252">
        <v>1</v>
      </c>
      <c r="AB110" s="252"/>
    </row>
    <row r="111" spans="1:28" s="167" customFormat="1" ht="31.5" customHeight="1">
      <c r="A111" s="163"/>
      <c r="B111" s="186" t="s">
        <v>91</v>
      </c>
      <c r="C111" s="234" t="s">
        <v>338</v>
      </c>
      <c r="D111" s="184" t="s">
        <v>336</v>
      </c>
      <c r="E111" s="230" t="s">
        <v>339</v>
      </c>
      <c r="F111" s="185"/>
      <c r="G111" s="185">
        <v>464800</v>
      </c>
      <c r="H111" s="215" t="str">
        <f>IF(SUMPRODUCT(COUNTIF(C111,{"*본예산*","*신규*"})),"-",F111-G111)</f>
        <v>-</v>
      </c>
      <c r="I111" s="164"/>
      <c r="J111" s="164">
        <v>53000</v>
      </c>
      <c r="K111" s="215">
        <f t="shared" si="166"/>
        <v>517800</v>
      </c>
      <c r="L111" s="164"/>
      <c r="M111" s="164">
        <v>53000</v>
      </c>
      <c r="N111" s="215">
        <f t="shared" si="167"/>
        <v>517800</v>
      </c>
      <c r="O111" s="198" t="str">
        <f t="shared" si="168"/>
        <v>-</v>
      </c>
      <c r="P111" s="214" t="s">
        <v>150</v>
      </c>
      <c r="Q111" s="268" t="s">
        <v>153</v>
      </c>
      <c r="R111" s="83">
        <f t="shared" si="169"/>
        <v>0</v>
      </c>
      <c r="S111" s="83">
        <f t="shared" si="170"/>
        <v>53000</v>
      </c>
      <c r="T111" s="222" t="str">
        <f t="shared" si="124"/>
        <v>ok</v>
      </c>
      <c r="V111" s="153" t="s">
        <v>153</v>
      </c>
      <c r="W111" s="83">
        <f t="shared" si="171"/>
        <v>0</v>
      </c>
      <c r="X111" s="83">
        <f t="shared" si="172"/>
        <v>53000</v>
      </c>
      <c r="Y111" s="166" t="str">
        <f t="shared" si="126"/>
        <v>ok</v>
      </c>
      <c r="AA111" s="252">
        <v>1</v>
      </c>
      <c r="AB111" s="255"/>
    </row>
    <row r="112" spans="1:28" ht="31.5" customHeight="1">
      <c r="A112" s="1" t="s">
        <v>128</v>
      </c>
      <c r="B112" s="75"/>
      <c r="C112" s="75"/>
      <c r="D112" s="75"/>
      <c r="E112" s="75"/>
      <c r="F112" s="76">
        <f t="shared" ref="F112:N112" si="173">SUM(F113:F134)/2</f>
        <v>16101504</v>
      </c>
      <c r="G112" s="76">
        <f t="shared" si="173"/>
        <v>30107388</v>
      </c>
      <c r="H112" s="76">
        <f t="shared" si="173"/>
        <v>273520</v>
      </c>
      <c r="I112" s="76">
        <f t="shared" si="173"/>
        <v>-50000</v>
      </c>
      <c r="J112" s="76">
        <f t="shared" si="173"/>
        <v>12429652</v>
      </c>
      <c r="K112" s="76">
        <f t="shared" si="173"/>
        <v>42760560</v>
      </c>
      <c r="L112" s="76">
        <f t="shared" si="173"/>
        <v>-50000</v>
      </c>
      <c r="M112" s="76">
        <f t="shared" si="173"/>
        <v>2515860</v>
      </c>
      <c r="N112" s="76">
        <f t="shared" si="173"/>
        <v>32846768</v>
      </c>
      <c r="O112" s="75"/>
      <c r="P112" s="76"/>
      <c r="Q112" s="266"/>
      <c r="R112" s="76">
        <f>SUM(R113:R134)/2</f>
        <v>2225816</v>
      </c>
      <c r="S112" s="76">
        <f>SUM(S113:S134)/2</f>
        <v>240044</v>
      </c>
      <c r="T112" s="222" t="str">
        <f t="shared" si="124"/>
        <v>ok</v>
      </c>
      <c r="V112" s="75"/>
      <c r="W112" s="76">
        <f>SUM(W113:W134)/2</f>
        <v>2152203</v>
      </c>
      <c r="X112" s="76">
        <f>SUM(X113:X134)/2</f>
        <v>10227449</v>
      </c>
      <c r="Y112" s="222" t="str">
        <f t="shared" si="126"/>
        <v>ok</v>
      </c>
      <c r="AA112" s="250"/>
      <c r="AB112" s="250"/>
    </row>
    <row r="113" spans="1:28" ht="31.5" customHeight="1">
      <c r="A113" s="223"/>
      <c r="B113" s="78" t="s">
        <v>340</v>
      </c>
      <c r="C113" s="80"/>
      <c r="D113" s="134"/>
      <c r="E113" s="181"/>
      <c r="F113" s="81">
        <f t="shared" ref="F113:N113" si="174">SUM(F114:F123)</f>
        <v>10833754</v>
      </c>
      <c r="G113" s="81">
        <f t="shared" si="174"/>
        <v>20835685</v>
      </c>
      <c r="H113" s="81">
        <f t="shared" si="174"/>
        <v>151099</v>
      </c>
      <c r="I113" s="81">
        <f t="shared" si="174"/>
        <v>0</v>
      </c>
      <c r="J113" s="81">
        <f t="shared" si="174"/>
        <v>1680449</v>
      </c>
      <c r="K113" s="81">
        <f t="shared" si="174"/>
        <v>22667233</v>
      </c>
      <c r="L113" s="81">
        <f t="shared" si="174"/>
        <v>0</v>
      </c>
      <c r="M113" s="81">
        <f t="shared" si="174"/>
        <v>1710820</v>
      </c>
      <c r="N113" s="81">
        <f t="shared" si="174"/>
        <v>22697604</v>
      </c>
      <c r="O113" s="80"/>
      <c r="P113" s="81"/>
      <c r="Q113" s="266"/>
      <c r="R113" s="81">
        <f>SUM(R114:R123)</f>
        <v>1515024</v>
      </c>
      <c r="S113" s="81">
        <f>SUM(S114:S123)</f>
        <v>195796</v>
      </c>
      <c r="T113" s="222" t="str">
        <f t="shared" si="124"/>
        <v>ok</v>
      </c>
      <c r="V113" s="80"/>
      <c r="W113" s="81">
        <f>SUM(W114:W123)</f>
        <v>1488761</v>
      </c>
      <c r="X113" s="81">
        <f>SUM(X114:X123)</f>
        <v>191688</v>
      </c>
      <c r="Y113" s="222" t="str">
        <f t="shared" si="126"/>
        <v>ok</v>
      </c>
      <c r="AA113" s="251"/>
      <c r="AB113" s="251"/>
    </row>
    <row r="114" spans="1:28" ht="45" customHeight="1">
      <c r="A114" s="223"/>
      <c r="B114" s="226" t="s">
        <v>302</v>
      </c>
      <c r="C114" s="227">
        <v>750</v>
      </c>
      <c r="D114" s="228" t="s">
        <v>341</v>
      </c>
      <c r="E114" s="230" t="s">
        <v>342</v>
      </c>
      <c r="F114" s="83">
        <v>10437876</v>
      </c>
      <c r="G114" s="83">
        <v>10243131</v>
      </c>
      <c r="H114" s="215">
        <f>IF(SUMPRODUCT(COUNTIF(C114,{"*본예산*","*신규*"})),"-",F114-G114)</f>
        <v>194745</v>
      </c>
      <c r="I114" s="83"/>
      <c r="J114" s="83">
        <v>564284</v>
      </c>
      <c r="K114" s="215">
        <f t="shared" ref="K114:K123" si="175">IF(F114=0,G114+I114+J114,F114+I114+J114)</f>
        <v>11002160</v>
      </c>
      <c r="L114" s="83"/>
      <c r="M114" s="83">
        <v>564284</v>
      </c>
      <c r="N114" s="215">
        <f t="shared" ref="N114:N123" si="176">IF(F114=0,G114+L114+M114,F114+L114+M114)</f>
        <v>11002160</v>
      </c>
      <c r="O114" s="198" t="str">
        <f t="shared" ref="O114:O123" si="177">IF(I114-L114&lt;0,"동의필요","-")</f>
        <v>-</v>
      </c>
      <c r="P114" s="231" t="s">
        <v>164</v>
      </c>
      <c r="Q114" s="189" t="s">
        <v>95</v>
      </c>
      <c r="R114" s="203">
        <v>500000</v>
      </c>
      <c r="S114" s="203">
        <v>64284</v>
      </c>
      <c r="T114" s="222" t="str">
        <f t="shared" si="124"/>
        <v>ok</v>
      </c>
      <c r="V114" s="233" t="s">
        <v>95</v>
      </c>
      <c r="W114" s="203">
        <v>500000</v>
      </c>
      <c r="X114" s="203">
        <v>64284</v>
      </c>
      <c r="Y114" s="222" t="str">
        <f t="shared" si="126"/>
        <v>ok</v>
      </c>
      <c r="AA114" s="252">
        <v>1</v>
      </c>
      <c r="AB114" s="252"/>
    </row>
    <row r="115" spans="1:28" ht="60.75" customHeight="1">
      <c r="A115" s="223"/>
      <c r="B115" s="235" t="s">
        <v>87</v>
      </c>
      <c r="C115" s="234">
        <v>752</v>
      </c>
      <c r="D115" s="74" t="s">
        <v>341</v>
      </c>
      <c r="E115" s="230" t="s">
        <v>444</v>
      </c>
      <c r="F115" s="83">
        <v>258746</v>
      </c>
      <c r="G115" s="83">
        <v>285567</v>
      </c>
      <c r="H115" s="215">
        <f>IF(SUMPRODUCT(COUNTIF(C115,{"*본예산*","*신규*"})),"-",F115-G115)</f>
        <v>-26821</v>
      </c>
      <c r="I115" s="83"/>
      <c r="J115" s="83"/>
      <c r="K115" s="215">
        <f>IF(F115=0,G115+I115+J115,F115+I115+J115)</f>
        <v>258746</v>
      </c>
      <c r="L115" s="83"/>
      <c r="M115" s="83">
        <v>20037</v>
      </c>
      <c r="N115" s="215">
        <f>IF(F115=0,G115+L115+M115,F115+L115+M115)</f>
        <v>278783</v>
      </c>
      <c r="O115" s="198" t="str">
        <f>IF(I115-L115&lt;0,"동의필요","-")</f>
        <v>-</v>
      </c>
      <c r="P115" s="232" t="s">
        <v>445</v>
      </c>
      <c r="Q115" s="236" t="s">
        <v>359</v>
      </c>
      <c r="R115" s="203">
        <v>17754</v>
      </c>
      <c r="S115" s="203">
        <f>IF(Q115="도비",SUM(L115:M115),SUM(L115:M115)-R115)</f>
        <v>2283</v>
      </c>
      <c r="T115" s="222" t="str">
        <f>IF((L115+M115)=(R115+S115),"ok","검토")</f>
        <v>ok</v>
      </c>
      <c r="V115" s="233" t="s">
        <v>95</v>
      </c>
      <c r="W115" s="83">
        <f>IF(V115&lt;&gt;"도비",SUM(I115:J115),)</f>
        <v>0</v>
      </c>
      <c r="X115" s="83">
        <f>IF(V115="도비",SUM(I115:J115),SUM(I115:J115)-W115)</f>
        <v>0</v>
      </c>
      <c r="Y115" s="222" t="str">
        <f>IF((I115+J115)=(W115+X115),"ok","검토")</f>
        <v>ok</v>
      </c>
      <c r="Z115" s="225" t="s">
        <v>490</v>
      </c>
      <c r="AA115" s="252">
        <v>1</v>
      </c>
    </row>
    <row r="116" spans="1:28" ht="45" customHeight="1">
      <c r="A116" s="223"/>
      <c r="B116" s="226" t="s">
        <v>87</v>
      </c>
      <c r="C116" s="229">
        <v>753</v>
      </c>
      <c r="D116" s="228" t="s">
        <v>341</v>
      </c>
      <c r="E116" s="230" t="s">
        <v>343</v>
      </c>
      <c r="F116" s="187">
        <v>137132</v>
      </c>
      <c r="G116" s="187">
        <v>153957</v>
      </c>
      <c r="H116" s="215">
        <f>IF(SUMPRODUCT(COUNTIF(C116,{"*본예산*","*신규*"})),"-",F116-G116)</f>
        <v>-16825</v>
      </c>
      <c r="I116" s="83"/>
      <c r="J116" s="83">
        <v>5491</v>
      </c>
      <c r="K116" s="215">
        <f t="shared" si="175"/>
        <v>142623</v>
      </c>
      <c r="L116" s="83"/>
      <c r="M116" s="83">
        <v>5491</v>
      </c>
      <c r="N116" s="215">
        <f t="shared" si="176"/>
        <v>142623</v>
      </c>
      <c r="O116" s="198" t="str">
        <f t="shared" si="177"/>
        <v>-</v>
      </c>
      <c r="P116" s="274" t="s">
        <v>352</v>
      </c>
      <c r="Q116" s="189" t="s">
        <v>359</v>
      </c>
      <c r="R116" s="203">
        <v>5491</v>
      </c>
      <c r="S116" s="203">
        <v>0</v>
      </c>
      <c r="T116" s="222" t="str">
        <f t="shared" si="124"/>
        <v>ok</v>
      </c>
      <c r="V116" s="233" t="s">
        <v>359</v>
      </c>
      <c r="W116" s="203">
        <v>5491</v>
      </c>
      <c r="X116" s="203">
        <v>0</v>
      </c>
      <c r="Y116" s="222" t="str">
        <f>IF((I116+J116)=(W116+X116),"ok","검토")</f>
        <v>ok</v>
      </c>
      <c r="AA116" s="252">
        <v>1</v>
      </c>
      <c r="AB116" s="252"/>
    </row>
    <row r="117" spans="1:28" ht="45" customHeight="1">
      <c r="A117" s="223"/>
      <c r="B117" s="226" t="s">
        <v>91</v>
      </c>
      <c r="C117" s="229" t="s">
        <v>344</v>
      </c>
      <c r="D117" s="228" t="s">
        <v>341</v>
      </c>
      <c r="E117" s="230" t="s">
        <v>345</v>
      </c>
      <c r="F117" s="83"/>
      <c r="G117" s="83">
        <v>8629716</v>
      </c>
      <c r="H117" s="215" t="str">
        <f>IF(SUMPRODUCT(COUNTIF(C117,{"*본예산*","*신규*"})),"-",F117-G117)</f>
        <v>-</v>
      </c>
      <c r="I117" s="83"/>
      <c r="J117" s="83">
        <v>1023912</v>
      </c>
      <c r="K117" s="215">
        <f t="shared" si="175"/>
        <v>9653628</v>
      </c>
      <c r="L117" s="83"/>
      <c r="M117" s="83">
        <v>1023912</v>
      </c>
      <c r="N117" s="215">
        <f t="shared" si="176"/>
        <v>9653628</v>
      </c>
      <c r="O117" s="198" t="str">
        <f t="shared" si="177"/>
        <v>-</v>
      </c>
      <c r="P117" s="274" t="s">
        <v>166</v>
      </c>
      <c r="Q117" s="189" t="s">
        <v>359</v>
      </c>
      <c r="R117" s="203">
        <v>910144</v>
      </c>
      <c r="S117" s="203">
        <v>113768</v>
      </c>
      <c r="T117" s="222" t="str">
        <f t="shared" si="124"/>
        <v>ok</v>
      </c>
      <c r="V117" s="233" t="s">
        <v>359</v>
      </c>
      <c r="W117" s="203">
        <v>910144</v>
      </c>
      <c r="X117" s="203">
        <v>113768</v>
      </c>
      <c r="Y117" s="222" t="str">
        <f>IF((I117+J117)=(W117+X117),"ok","검토")</f>
        <v>ok</v>
      </c>
      <c r="AA117" s="252">
        <v>1</v>
      </c>
      <c r="AB117" s="252"/>
    </row>
    <row r="118" spans="1:28" ht="45" customHeight="1">
      <c r="A118" s="223"/>
      <c r="B118" s="226" t="s">
        <v>91</v>
      </c>
      <c r="C118" s="229" t="s">
        <v>344</v>
      </c>
      <c r="D118" s="228" t="s">
        <v>341</v>
      </c>
      <c r="E118" s="230" t="s">
        <v>346</v>
      </c>
      <c r="F118" s="83"/>
      <c r="G118" s="83">
        <v>364939</v>
      </c>
      <c r="H118" s="215" t="str">
        <f>IF(SUMPRODUCT(COUNTIF(C118,{"*본예산*","*신규*"})),"-",F118-G118)</f>
        <v>-</v>
      </c>
      <c r="I118" s="83"/>
      <c r="J118" s="83">
        <v>5400</v>
      </c>
      <c r="K118" s="215">
        <f t="shared" si="175"/>
        <v>370339</v>
      </c>
      <c r="L118" s="83"/>
      <c r="M118" s="83">
        <v>5400</v>
      </c>
      <c r="N118" s="215">
        <f t="shared" si="176"/>
        <v>370339</v>
      </c>
      <c r="O118" s="198" t="str">
        <f t="shared" si="177"/>
        <v>-</v>
      </c>
      <c r="P118" s="274" t="s">
        <v>166</v>
      </c>
      <c r="Q118" s="189" t="s">
        <v>359</v>
      </c>
      <c r="R118" s="203">
        <v>4800</v>
      </c>
      <c r="S118" s="203">
        <v>600</v>
      </c>
      <c r="T118" s="222" t="str">
        <f t="shared" si="124"/>
        <v>ok</v>
      </c>
      <c r="V118" s="233" t="s">
        <v>359</v>
      </c>
      <c r="W118" s="203">
        <v>4800</v>
      </c>
      <c r="X118" s="203">
        <v>600</v>
      </c>
      <c r="Y118" s="222" t="str">
        <f>IF((I118+J118)=(W118+X118),"ok","검토")</f>
        <v>ok</v>
      </c>
      <c r="AA118" s="252">
        <v>1</v>
      </c>
      <c r="AB118" s="252"/>
    </row>
    <row r="119" spans="1:28" ht="45" customHeight="1">
      <c r="A119" s="223"/>
      <c r="B119" s="226" t="s">
        <v>91</v>
      </c>
      <c r="C119" s="229" t="s">
        <v>344</v>
      </c>
      <c r="D119" s="228" t="s">
        <v>341</v>
      </c>
      <c r="E119" s="230" t="s">
        <v>347</v>
      </c>
      <c r="F119" s="83"/>
      <c r="G119" s="83">
        <v>119250</v>
      </c>
      <c r="H119" s="215" t="str">
        <f>IF(SUMPRODUCT(COUNTIF(C119,{"*본예산*","*신규*"})),"-",F119-G119)</f>
        <v>-</v>
      </c>
      <c r="I119" s="83"/>
      <c r="J119" s="83">
        <v>25000</v>
      </c>
      <c r="K119" s="215">
        <f t="shared" si="175"/>
        <v>144250</v>
      </c>
      <c r="L119" s="83"/>
      <c r="M119" s="83">
        <v>25000</v>
      </c>
      <c r="N119" s="215">
        <f t="shared" si="176"/>
        <v>144250</v>
      </c>
      <c r="O119" s="198" t="str">
        <f t="shared" si="177"/>
        <v>-</v>
      </c>
      <c r="P119" s="274" t="s">
        <v>165</v>
      </c>
      <c r="Q119" s="189" t="s">
        <v>95</v>
      </c>
      <c r="R119" s="203">
        <v>25000</v>
      </c>
      <c r="S119" s="203">
        <v>0</v>
      </c>
      <c r="T119" s="222" t="str">
        <f t="shared" si="124"/>
        <v>ok</v>
      </c>
      <c r="V119" s="233" t="s">
        <v>95</v>
      </c>
      <c r="W119" s="203">
        <v>25000</v>
      </c>
      <c r="X119" s="203">
        <v>0</v>
      </c>
      <c r="Y119" s="222" t="str">
        <f t="shared" si="126"/>
        <v>ok</v>
      </c>
      <c r="AA119" s="252">
        <v>1</v>
      </c>
      <c r="AB119" s="252"/>
    </row>
    <row r="120" spans="1:28" ht="45" customHeight="1">
      <c r="A120" s="223"/>
      <c r="B120" s="226" t="s">
        <v>91</v>
      </c>
      <c r="C120" s="229" t="s">
        <v>348</v>
      </c>
      <c r="D120" s="228" t="s">
        <v>341</v>
      </c>
      <c r="E120" s="230" t="s">
        <v>349</v>
      </c>
      <c r="F120" s="83"/>
      <c r="G120" s="83">
        <v>312788</v>
      </c>
      <c r="H120" s="215" t="str">
        <f>IF(SUMPRODUCT(COUNTIF(C120,{"*본예산*","*신규*"})),"-",F120-G120)</f>
        <v>-</v>
      </c>
      <c r="I120" s="83"/>
      <c r="J120" s="83">
        <v>30150</v>
      </c>
      <c r="K120" s="215">
        <f t="shared" si="175"/>
        <v>342938</v>
      </c>
      <c r="L120" s="83"/>
      <c r="M120" s="83">
        <v>30150</v>
      </c>
      <c r="N120" s="215">
        <f t="shared" si="176"/>
        <v>342938</v>
      </c>
      <c r="O120" s="198" t="str">
        <f t="shared" si="177"/>
        <v>-</v>
      </c>
      <c r="P120" s="274" t="s">
        <v>165</v>
      </c>
      <c r="Q120" s="189" t="s">
        <v>359</v>
      </c>
      <c r="R120" s="203">
        <v>20100</v>
      </c>
      <c r="S120" s="203">
        <v>10050</v>
      </c>
      <c r="T120" s="222" t="str">
        <f t="shared" si="124"/>
        <v>ok</v>
      </c>
      <c r="V120" s="233" t="s">
        <v>359</v>
      </c>
      <c r="W120" s="203">
        <v>20100</v>
      </c>
      <c r="X120" s="203">
        <v>10050</v>
      </c>
      <c r="Y120" s="222" t="str">
        <f t="shared" si="126"/>
        <v>ok</v>
      </c>
      <c r="AA120" s="252">
        <v>1</v>
      </c>
      <c r="AB120" s="252"/>
    </row>
    <row r="121" spans="1:28" ht="45" customHeight="1">
      <c r="A121" s="223"/>
      <c r="B121" s="226" t="s">
        <v>91</v>
      </c>
      <c r="C121" s="229" t="s">
        <v>350</v>
      </c>
      <c r="D121" s="228" t="s">
        <v>341</v>
      </c>
      <c r="E121" s="230" t="s">
        <v>351</v>
      </c>
      <c r="F121" s="154"/>
      <c r="G121" s="83">
        <v>430571</v>
      </c>
      <c r="H121" s="215" t="str">
        <f>IF(SUMPRODUCT(COUNTIF(C121,{"*본예산*","*신규*"})),"-",F121-G121)</f>
        <v>-</v>
      </c>
      <c r="I121" s="83"/>
      <c r="J121" s="83">
        <v>26212</v>
      </c>
      <c r="K121" s="215">
        <f>IF(F121=0,G121+I121+J121,F121+I121+J121)</f>
        <v>456783</v>
      </c>
      <c r="L121" s="83"/>
      <c r="M121" s="83">
        <v>26212</v>
      </c>
      <c r="N121" s="215">
        <f>IF(F121=0,G121+L121+M121,F121+L121+M121)</f>
        <v>456783</v>
      </c>
      <c r="O121" s="198" t="str">
        <f>IF(I121-L121&lt;0,"동의필요","-")</f>
        <v>-</v>
      </c>
      <c r="P121" s="274" t="s">
        <v>167</v>
      </c>
      <c r="Q121" s="189" t="s">
        <v>359</v>
      </c>
      <c r="R121" s="203">
        <v>23226</v>
      </c>
      <c r="S121" s="203">
        <v>2986</v>
      </c>
      <c r="T121" s="222" t="str">
        <f>IF((L121+M121)=(R121+S121),"ok","검토")</f>
        <v>ok</v>
      </c>
      <c r="V121" s="233" t="s">
        <v>359</v>
      </c>
      <c r="W121" s="203">
        <v>23226</v>
      </c>
      <c r="X121" s="203">
        <v>2986</v>
      </c>
      <c r="Y121" s="222" t="str">
        <f>IF((I121+J121)=(W121+X121),"ok","검토")</f>
        <v>ok</v>
      </c>
      <c r="AA121" s="252">
        <v>1</v>
      </c>
      <c r="AB121" s="252"/>
    </row>
    <row r="122" spans="1:28" ht="39.75" customHeight="1">
      <c r="A122" s="223"/>
      <c r="B122" s="226" t="s">
        <v>91</v>
      </c>
      <c r="C122" s="229" t="s">
        <v>350</v>
      </c>
      <c r="D122" s="228" t="s">
        <v>341</v>
      </c>
      <c r="E122" s="230" t="s">
        <v>431</v>
      </c>
      <c r="F122" s="187"/>
      <c r="G122" s="187">
        <v>170578</v>
      </c>
      <c r="H122" s="215" t="str">
        <f>IF(SUMPRODUCT(COUNTIF(C122,{"*본예산*","*신규*"})),"-",F122-G122)</f>
        <v>-</v>
      </c>
      <c r="I122" s="83"/>
      <c r="J122" s="83"/>
      <c r="K122" s="215">
        <f t="shared" si="175"/>
        <v>170578</v>
      </c>
      <c r="L122" s="83"/>
      <c r="M122" s="83">
        <v>2429</v>
      </c>
      <c r="N122" s="215">
        <f t="shared" si="176"/>
        <v>173007</v>
      </c>
      <c r="O122" s="198" t="str">
        <f t="shared" si="177"/>
        <v>-</v>
      </c>
      <c r="P122" s="231" t="s">
        <v>432</v>
      </c>
      <c r="Q122" s="236" t="s">
        <v>95</v>
      </c>
      <c r="R122" s="203">
        <v>2000</v>
      </c>
      <c r="S122" s="203">
        <f t="shared" ref="S122:S123" si="178">IF(Q122="도비",SUM(L122:M122),SUM(L122:M122)-R122)</f>
        <v>429</v>
      </c>
      <c r="T122" s="222" t="str">
        <f t="shared" si="124"/>
        <v>ok</v>
      </c>
      <c r="V122" s="233" t="s">
        <v>95</v>
      </c>
      <c r="W122" s="83">
        <f t="shared" ref="W122" si="179">IF(V122&lt;&gt;"도비",SUM(I122:J122),)</f>
        <v>0</v>
      </c>
      <c r="X122" s="83">
        <f t="shared" ref="X122" si="180">IF(V122="도비",SUM(I122:J122),SUM(I122:J122)-W122)</f>
        <v>0</v>
      </c>
      <c r="Y122" s="222" t="str">
        <f t="shared" si="126"/>
        <v>ok</v>
      </c>
      <c r="Z122" s="225" t="s">
        <v>490</v>
      </c>
      <c r="AA122" s="252">
        <v>1</v>
      </c>
    </row>
    <row r="123" spans="1:28" ht="41.25" customHeight="1">
      <c r="A123" s="223"/>
      <c r="B123" s="226" t="s">
        <v>91</v>
      </c>
      <c r="C123" s="229" t="s">
        <v>350</v>
      </c>
      <c r="D123" s="228" t="s">
        <v>341</v>
      </c>
      <c r="E123" s="230" t="s">
        <v>439</v>
      </c>
      <c r="F123" s="83"/>
      <c r="G123" s="83">
        <v>125188</v>
      </c>
      <c r="H123" s="215" t="str">
        <f>IF(SUMPRODUCT(COUNTIF(C123,{"*본예산*","*신규*"})),"-",F123-G123)</f>
        <v>-</v>
      </c>
      <c r="I123" s="83"/>
      <c r="J123" s="83"/>
      <c r="K123" s="215">
        <f t="shared" si="175"/>
        <v>125188</v>
      </c>
      <c r="L123" s="83"/>
      <c r="M123" s="83">
        <v>7905</v>
      </c>
      <c r="N123" s="215">
        <f t="shared" si="176"/>
        <v>133093</v>
      </c>
      <c r="O123" s="198" t="str">
        <f t="shared" si="177"/>
        <v>-</v>
      </c>
      <c r="P123" s="274" t="s">
        <v>434</v>
      </c>
      <c r="Q123" s="236" t="s">
        <v>359</v>
      </c>
      <c r="R123" s="203">
        <v>6509</v>
      </c>
      <c r="S123" s="203">
        <f t="shared" si="178"/>
        <v>1396</v>
      </c>
      <c r="T123" s="222" t="str">
        <f t="shared" si="124"/>
        <v>ok</v>
      </c>
      <c r="V123" s="233" t="s">
        <v>359</v>
      </c>
      <c r="W123" s="83">
        <f t="shared" ref="W123" si="181">IF(V123&lt;&gt;"도비",SUM(I123:J123),)</f>
        <v>0</v>
      </c>
      <c r="X123" s="83">
        <f t="shared" ref="X123" si="182">IF(V123="도비",SUM(I123:J123),SUM(I123:J123)-W123)</f>
        <v>0</v>
      </c>
      <c r="Y123" s="222" t="str">
        <f>IF((I123+J123)=(W123+X123),"ok","검토")</f>
        <v>ok</v>
      </c>
      <c r="Z123" s="225" t="s">
        <v>490</v>
      </c>
      <c r="AA123" s="252">
        <v>1</v>
      </c>
    </row>
    <row r="124" spans="1:28" ht="31.5" customHeight="1">
      <c r="A124" s="223"/>
      <c r="B124" s="78" t="s">
        <v>84</v>
      </c>
      <c r="C124" s="80"/>
      <c r="D124" s="79"/>
      <c r="E124" s="79"/>
      <c r="F124" s="81">
        <f>SUM(F125:F131)</f>
        <v>5217750</v>
      </c>
      <c r="G124" s="81">
        <f t="shared" ref="G124:N124" si="183">SUM(G125:G131)</f>
        <v>9271703</v>
      </c>
      <c r="H124" s="81">
        <f t="shared" si="183"/>
        <v>72421</v>
      </c>
      <c r="I124" s="81">
        <f t="shared" si="183"/>
        <v>0</v>
      </c>
      <c r="J124" s="81">
        <f t="shared" si="183"/>
        <v>749203</v>
      </c>
      <c r="K124" s="81">
        <f t="shared" si="183"/>
        <v>10093327</v>
      </c>
      <c r="L124" s="81">
        <f t="shared" si="183"/>
        <v>0</v>
      </c>
      <c r="M124" s="81">
        <f t="shared" si="183"/>
        <v>805040</v>
      </c>
      <c r="N124" s="81">
        <f t="shared" si="183"/>
        <v>10149164</v>
      </c>
      <c r="O124" s="80"/>
      <c r="P124" s="81"/>
      <c r="Q124" s="266"/>
      <c r="R124" s="81">
        <f t="shared" ref="R124:S124" si="184">SUM(R125:R131)</f>
        <v>710792</v>
      </c>
      <c r="S124" s="81">
        <f t="shared" si="184"/>
        <v>94248</v>
      </c>
      <c r="T124" s="222" t="str">
        <f t="shared" si="124"/>
        <v>ok</v>
      </c>
      <c r="V124" s="80"/>
      <c r="W124" s="81">
        <f t="shared" ref="W124:X124" si="185">SUM(W125:W131)</f>
        <v>663442</v>
      </c>
      <c r="X124" s="81">
        <f t="shared" si="185"/>
        <v>85761</v>
      </c>
      <c r="Y124" s="222" t="str">
        <f t="shared" si="126"/>
        <v>ok</v>
      </c>
      <c r="AA124" s="251"/>
      <c r="AB124" s="251"/>
    </row>
    <row r="125" spans="1:28" ht="42.75" customHeight="1">
      <c r="A125" s="223"/>
      <c r="B125" s="223" t="s">
        <v>87</v>
      </c>
      <c r="C125" s="144">
        <v>787</v>
      </c>
      <c r="D125" s="123" t="s">
        <v>130</v>
      </c>
      <c r="E125" s="159" t="s">
        <v>383</v>
      </c>
      <c r="F125" s="83">
        <v>4502909</v>
      </c>
      <c r="G125" s="83">
        <v>4418897</v>
      </c>
      <c r="H125" s="215">
        <f>IF(SUMPRODUCT(COUNTIF(C125,{"*본예산*","*신규*"})),"-",F125-G125)</f>
        <v>84012</v>
      </c>
      <c r="I125" s="83"/>
      <c r="J125" s="83">
        <v>112858</v>
      </c>
      <c r="K125" s="215">
        <f t="shared" ref="K125:K131" si="186">IF(F125=0,G125+I125+J125,F125+I125+J125)</f>
        <v>4615767</v>
      </c>
      <c r="L125" s="83"/>
      <c r="M125" s="83">
        <v>112858</v>
      </c>
      <c r="N125" s="215">
        <f t="shared" ref="N125:N131" si="187">IF(F125=0,G125+L125+M125,F125+L125+M125)</f>
        <v>4615767</v>
      </c>
      <c r="O125" s="198" t="str">
        <f t="shared" ref="O125:O131" si="188">IF(I125-L125&lt;0,"동의필요","-")</f>
        <v>-</v>
      </c>
      <c r="P125" s="231" t="s">
        <v>164</v>
      </c>
      <c r="Q125" s="189" t="s">
        <v>95</v>
      </c>
      <c r="R125" s="202">
        <v>100000</v>
      </c>
      <c r="S125" s="202">
        <v>12858</v>
      </c>
      <c r="T125" s="222" t="str">
        <f t="shared" si="124"/>
        <v>ok</v>
      </c>
      <c r="V125" s="233" t="s">
        <v>95</v>
      </c>
      <c r="W125" s="202">
        <v>100000</v>
      </c>
      <c r="X125" s="202">
        <v>12858</v>
      </c>
      <c r="Y125" s="222" t="str">
        <f t="shared" si="126"/>
        <v>ok</v>
      </c>
      <c r="AA125" s="252">
        <v>1</v>
      </c>
      <c r="AB125" s="252"/>
    </row>
    <row r="126" spans="1:28" ht="54" customHeight="1">
      <c r="A126" s="223"/>
      <c r="B126" s="226" t="s">
        <v>116</v>
      </c>
      <c r="C126" s="227">
        <v>789</v>
      </c>
      <c r="D126" s="228" t="s">
        <v>446</v>
      </c>
      <c r="E126" s="230" t="s">
        <v>447</v>
      </c>
      <c r="F126" s="83">
        <v>104089</v>
      </c>
      <c r="G126" s="83">
        <v>108032</v>
      </c>
      <c r="H126" s="215">
        <f>IF(SUMPRODUCT(COUNTIF(C126,{"*본예산*","*신규*"})),"-",F126-G126)</f>
        <v>-3943</v>
      </c>
      <c r="I126" s="83"/>
      <c r="J126" s="83"/>
      <c r="K126" s="215">
        <f t="shared" si="186"/>
        <v>104089</v>
      </c>
      <c r="L126" s="83"/>
      <c r="M126" s="83">
        <v>21837</v>
      </c>
      <c r="N126" s="215">
        <f t="shared" si="187"/>
        <v>125926</v>
      </c>
      <c r="O126" s="198" t="str">
        <f t="shared" si="188"/>
        <v>-</v>
      </c>
      <c r="P126" s="231" t="s">
        <v>448</v>
      </c>
      <c r="Q126" s="236" t="s">
        <v>359</v>
      </c>
      <c r="R126" s="203">
        <v>19350</v>
      </c>
      <c r="S126" s="203">
        <f t="shared" ref="S126:S127" si="189">IF(Q126="도비",SUM(L126:M126),SUM(L126:M126)-R126)</f>
        <v>2487</v>
      </c>
      <c r="T126" s="222" t="str">
        <f t="shared" si="124"/>
        <v>ok</v>
      </c>
      <c r="V126" s="233" t="s">
        <v>95</v>
      </c>
      <c r="W126" s="83">
        <f t="shared" ref="W126" si="190">IF(V126&lt;&gt;"도비",SUM(I126:J126),)</f>
        <v>0</v>
      </c>
      <c r="X126" s="83">
        <f t="shared" ref="X126" si="191">IF(V126="도비",SUM(I126:J126),SUM(I126:J126)-W126)</f>
        <v>0</v>
      </c>
      <c r="Y126" s="222" t="str">
        <f t="shared" si="126"/>
        <v>ok</v>
      </c>
      <c r="Z126" s="225" t="s">
        <v>490</v>
      </c>
      <c r="AA126" s="252">
        <v>1</v>
      </c>
    </row>
    <row r="127" spans="1:28" ht="54" customHeight="1">
      <c r="A127" s="223"/>
      <c r="B127" s="226" t="s">
        <v>87</v>
      </c>
      <c r="C127" s="227">
        <v>790</v>
      </c>
      <c r="D127" s="228" t="s">
        <v>130</v>
      </c>
      <c r="E127" s="230" t="s">
        <v>437</v>
      </c>
      <c r="F127" s="83">
        <v>610752</v>
      </c>
      <c r="G127" s="83">
        <v>618400</v>
      </c>
      <c r="H127" s="215">
        <f>IF(SUMPRODUCT(COUNTIF(C127,{"*본예산*","*신규*"})),"-",F127-G127)</f>
        <v>-7648</v>
      </c>
      <c r="I127" s="83"/>
      <c r="J127" s="83"/>
      <c r="K127" s="215">
        <f t="shared" si="186"/>
        <v>610752</v>
      </c>
      <c r="L127" s="83"/>
      <c r="M127" s="83">
        <v>34000</v>
      </c>
      <c r="N127" s="215">
        <f t="shared" si="187"/>
        <v>644752</v>
      </c>
      <c r="O127" s="198" t="str">
        <f t="shared" si="188"/>
        <v>-</v>
      </c>
      <c r="P127" s="231" t="s">
        <v>391</v>
      </c>
      <c r="Q127" s="236" t="s">
        <v>95</v>
      </c>
      <c r="R127" s="203">
        <v>28000</v>
      </c>
      <c r="S127" s="203">
        <f t="shared" si="189"/>
        <v>6000</v>
      </c>
      <c r="T127" s="222" t="str">
        <f t="shared" si="124"/>
        <v>ok</v>
      </c>
      <c r="V127" s="233" t="s">
        <v>95</v>
      </c>
      <c r="W127" s="83">
        <f t="shared" ref="W127" si="192">IF(V127&lt;&gt;"도비",SUM(I127:J127),)</f>
        <v>0</v>
      </c>
      <c r="X127" s="83">
        <f t="shared" ref="X127" si="193">IF(V127="도비",SUM(I127:J127),SUM(I127:J127)-W127)</f>
        <v>0</v>
      </c>
      <c r="Y127" s="222" t="str">
        <f t="shared" si="126"/>
        <v>ok</v>
      </c>
      <c r="Z127" s="225" t="s">
        <v>490</v>
      </c>
      <c r="AA127" s="252">
        <v>1</v>
      </c>
    </row>
    <row r="128" spans="1:28" ht="42.75" customHeight="1">
      <c r="A128" s="223"/>
      <c r="B128" s="223" t="s">
        <v>91</v>
      </c>
      <c r="C128" s="144" t="s">
        <v>131</v>
      </c>
      <c r="D128" s="123" t="s">
        <v>130</v>
      </c>
      <c r="E128" s="159" t="s">
        <v>132</v>
      </c>
      <c r="F128" s="83"/>
      <c r="G128" s="83">
        <v>3876909</v>
      </c>
      <c r="H128" s="215" t="str">
        <f>IF(SUMPRODUCT(COUNTIF(C128,{"*본예산*","*신규*"})),"-",F128-G128)</f>
        <v>-</v>
      </c>
      <c r="I128" s="83"/>
      <c r="J128" s="83">
        <v>587989</v>
      </c>
      <c r="K128" s="215">
        <f t="shared" si="186"/>
        <v>4464898</v>
      </c>
      <c r="L128" s="83"/>
      <c r="M128" s="83">
        <v>587989</v>
      </c>
      <c r="N128" s="215">
        <f t="shared" si="187"/>
        <v>4464898</v>
      </c>
      <c r="O128" s="198" t="str">
        <f t="shared" si="188"/>
        <v>-</v>
      </c>
      <c r="P128" s="274" t="s">
        <v>166</v>
      </c>
      <c r="Q128" s="189" t="s">
        <v>359</v>
      </c>
      <c r="R128" s="202">
        <v>522656</v>
      </c>
      <c r="S128" s="202">
        <v>65333</v>
      </c>
      <c r="T128" s="222" t="str">
        <f t="shared" si="124"/>
        <v>ok</v>
      </c>
      <c r="V128" s="233" t="s">
        <v>359</v>
      </c>
      <c r="W128" s="202">
        <v>522656</v>
      </c>
      <c r="X128" s="202">
        <v>65333</v>
      </c>
      <c r="Y128" s="222" t="str">
        <f t="shared" si="126"/>
        <v>ok</v>
      </c>
      <c r="AA128" s="252">
        <v>1</v>
      </c>
      <c r="AB128" s="252"/>
    </row>
    <row r="129" spans="1:28" ht="42.75" customHeight="1">
      <c r="A129" s="223"/>
      <c r="B129" s="223" t="s">
        <v>91</v>
      </c>
      <c r="C129" s="144" t="s">
        <v>131</v>
      </c>
      <c r="D129" s="123" t="s">
        <v>130</v>
      </c>
      <c r="E129" s="159" t="s">
        <v>133</v>
      </c>
      <c r="F129" s="83"/>
      <c r="G129" s="83">
        <v>141921</v>
      </c>
      <c r="H129" s="215" t="str">
        <f>IF(SUMPRODUCT(COUNTIF(C129,{"*본예산*","*신규*"})),"-",F129-G129)</f>
        <v>-</v>
      </c>
      <c r="I129" s="83"/>
      <c r="J129" s="83">
        <v>27740</v>
      </c>
      <c r="K129" s="215">
        <f t="shared" si="186"/>
        <v>169661</v>
      </c>
      <c r="L129" s="83"/>
      <c r="M129" s="83">
        <v>27740</v>
      </c>
      <c r="N129" s="215">
        <f t="shared" si="187"/>
        <v>169661</v>
      </c>
      <c r="O129" s="198" t="str">
        <f t="shared" si="188"/>
        <v>-</v>
      </c>
      <c r="P129" s="274" t="s">
        <v>166</v>
      </c>
      <c r="Q129" s="189" t="s">
        <v>359</v>
      </c>
      <c r="R129" s="202">
        <v>24658</v>
      </c>
      <c r="S129" s="202">
        <v>3082</v>
      </c>
      <c r="T129" s="222" t="str">
        <f t="shared" si="124"/>
        <v>ok</v>
      </c>
      <c r="V129" s="233" t="s">
        <v>359</v>
      </c>
      <c r="W129" s="202">
        <v>24658</v>
      </c>
      <c r="X129" s="202">
        <v>3082</v>
      </c>
      <c r="Y129" s="222" t="str">
        <f t="shared" si="126"/>
        <v>ok</v>
      </c>
      <c r="AA129" s="252">
        <v>1</v>
      </c>
      <c r="AB129" s="252"/>
    </row>
    <row r="130" spans="1:28" ht="42.75" customHeight="1">
      <c r="A130" s="223"/>
      <c r="B130" s="223" t="s">
        <v>91</v>
      </c>
      <c r="C130" s="144" t="s">
        <v>134</v>
      </c>
      <c r="D130" s="123" t="s">
        <v>130</v>
      </c>
      <c r="E130" s="159" t="s">
        <v>129</v>
      </c>
      <c r="F130" s="83"/>
      <c r="G130" s="83">
        <v>107544</v>
      </c>
      <c r="H130" s="215" t="str">
        <f>IF(SUMPRODUCT(COUNTIF(C130,{"*본예산*","*신규*"})),"-",F130-G130)</f>
        <v>-</v>
      </c>
      <c r="I130" s="83"/>
      <c r="J130" s="83">
        <v>15076</v>
      </c>
      <c r="K130" s="215">
        <f t="shared" si="186"/>
        <v>122620</v>
      </c>
      <c r="L130" s="83"/>
      <c r="M130" s="83">
        <v>15076</v>
      </c>
      <c r="N130" s="215">
        <f t="shared" si="187"/>
        <v>122620</v>
      </c>
      <c r="O130" s="198" t="str">
        <f t="shared" si="188"/>
        <v>-</v>
      </c>
      <c r="P130" s="274" t="s">
        <v>167</v>
      </c>
      <c r="Q130" s="189" t="s">
        <v>359</v>
      </c>
      <c r="R130" s="202">
        <v>13358</v>
      </c>
      <c r="S130" s="202">
        <v>1718</v>
      </c>
      <c r="T130" s="222" t="str">
        <f t="shared" si="124"/>
        <v>ok</v>
      </c>
      <c r="V130" s="233" t="s">
        <v>359</v>
      </c>
      <c r="W130" s="202">
        <v>13358</v>
      </c>
      <c r="X130" s="202">
        <v>1718</v>
      </c>
      <c r="Y130" s="222" t="str">
        <f t="shared" si="126"/>
        <v>ok</v>
      </c>
      <c r="AA130" s="252">
        <v>1</v>
      </c>
      <c r="AB130" s="252"/>
    </row>
    <row r="131" spans="1:28" ht="60" customHeight="1">
      <c r="A131" s="223"/>
      <c r="B131" s="223" t="s">
        <v>91</v>
      </c>
      <c r="C131" s="144" t="s">
        <v>28</v>
      </c>
      <c r="D131" s="123" t="s">
        <v>130</v>
      </c>
      <c r="E131" s="159" t="s">
        <v>353</v>
      </c>
      <c r="F131" s="83"/>
      <c r="G131" s="83"/>
      <c r="H131" s="215" t="str">
        <f>IF(SUMPRODUCT(COUNTIF(C131,{"*본예산*","*신규*"})),"-",F131-G131)</f>
        <v>-</v>
      </c>
      <c r="I131" s="83"/>
      <c r="J131" s="83">
        <v>5540</v>
      </c>
      <c r="K131" s="215">
        <f t="shared" si="186"/>
        <v>5540</v>
      </c>
      <c r="L131" s="83"/>
      <c r="M131" s="83">
        <v>5540</v>
      </c>
      <c r="N131" s="215">
        <f t="shared" si="187"/>
        <v>5540</v>
      </c>
      <c r="O131" s="198" t="str">
        <f t="shared" si="188"/>
        <v>-</v>
      </c>
      <c r="P131" s="274" t="s">
        <v>167</v>
      </c>
      <c r="Q131" s="189" t="s">
        <v>359</v>
      </c>
      <c r="R131" s="202">
        <v>2770</v>
      </c>
      <c r="S131" s="202">
        <v>2770</v>
      </c>
      <c r="T131" s="222" t="str">
        <f t="shared" si="124"/>
        <v>ok</v>
      </c>
      <c r="V131" s="233" t="s">
        <v>359</v>
      </c>
      <c r="W131" s="202">
        <v>2770</v>
      </c>
      <c r="X131" s="202">
        <v>2770</v>
      </c>
      <c r="Y131" s="222" t="str">
        <f t="shared" si="126"/>
        <v>ok</v>
      </c>
      <c r="AA131" s="252">
        <v>1</v>
      </c>
      <c r="AB131" s="252"/>
    </row>
    <row r="132" spans="1:28" ht="31.5" customHeight="1">
      <c r="A132" s="223"/>
      <c r="B132" s="78" t="s">
        <v>354</v>
      </c>
      <c r="C132" s="80"/>
      <c r="D132" s="134"/>
      <c r="E132" s="181"/>
      <c r="F132" s="81">
        <f t="shared" ref="F132:N132" si="194">SUM(F133:F134)</f>
        <v>50000</v>
      </c>
      <c r="G132" s="81">
        <f t="shared" si="194"/>
        <v>0</v>
      </c>
      <c r="H132" s="81">
        <f t="shared" si="194"/>
        <v>50000</v>
      </c>
      <c r="I132" s="81">
        <f t="shared" si="194"/>
        <v>-50000</v>
      </c>
      <c r="J132" s="81">
        <f t="shared" si="194"/>
        <v>10000000</v>
      </c>
      <c r="K132" s="81">
        <f t="shared" si="194"/>
        <v>10000000</v>
      </c>
      <c r="L132" s="81">
        <f t="shared" si="194"/>
        <v>-50000</v>
      </c>
      <c r="M132" s="81">
        <f t="shared" si="194"/>
        <v>0</v>
      </c>
      <c r="N132" s="81">
        <f t="shared" si="194"/>
        <v>0</v>
      </c>
      <c r="O132" s="80"/>
      <c r="P132" s="81"/>
      <c r="Q132" s="266"/>
      <c r="R132" s="81">
        <f t="shared" ref="R132:S132" si="195">SUM(R133:R134)</f>
        <v>0</v>
      </c>
      <c r="S132" s="81">
        <f t="shared" si="195"/>
        <v>-50000</v>
      </c>
      <c r="T132" s="222" t="str">
        <f t="shared" si="124"/>
        <v>ok</v>
      </c>
      <c r="V132" s="80"/>
      <c r="W132" s="81">
        <f t="shared" ref="W132:X132" si="196">SUM(W133:W134)</f>
        <v>0</v>
      </c>
      <c r="X132" s="81">
        <f t="shared" si="196"/>
        <v>9950000</v>
      </c>
      <c r="Y132" s="222" t="str">
        <f t="shared" si="126"/>
        <v>ok</v>
      </c>
      <c r="AA132" s="251"/>
      <c r="AB132" s="251"/>
    </row>
    <row r="133" spans="1:28" ht="31.5" customHeight="1">
      <c r="A133" s="223"/>
      <c r="B133" s="227" t="s">
        <v>87</v>
      </c>
      <c r="C133" s="227">
        <v>810</v>
      </c>
      <c r="D133" s="228" t="s">
        <v>355</v>
      </c>
      <c r="E133" s="230" t="s">
        <v>356</v>
      </c>
      <c r="F133" s="83">
        <v>50000</v>
      </c>
      <c r="G133" s="83"/>
      <c r="H133" s="215">
        <f>IF(SUMPRODUCT(COUNTIF(C133,{"*본예산*","*신규*"})),"-",F133-G133)</f>
        <v>50000</v>
      </c>
      <c r="I133" s="83">
        <v>-50000</v>
      </c>
      <c r="J133" s="83"/>
      <c r="K133" s="215">
        <f t="shared" ref="K133:K134" si="197">IF(F133=0,G133+I133+J133,F133+I133+J133)</f>
        <v>0</v>
      </c>
      <c r="L133" s="83">
        <v>-50000</v>
      </c>
      <c r="M133" s="83"/>
      <c r="N133" s="215">
        <f t="shared" ref="N133:N134" si="198">IF(F133=0,G133+L133+M133,F133+L133+M133)</f>
        <v>0</v>
      </c>
      <c r="O133" s="198" t="str">
        <f t="shared" ref="O133:O134" si="199">IF(I133-L133&lt;0,"동의필요","-")</f>
        <v>-</v>
      </c>
      <c r="P133" s="228" t="s">
        <v>540</v>
      </c>
      <c r="Q133" s="189" t="s">
        <v>89</v>
      </c>
      <c r="R133" s="83">
        <f t="shared" ref="R133:R134" si="200">IF(Q133&lt;&gt;"도비",SUM(L133:M133),)</f>
        <v>0</v>
      </c>
      <c r="S133" s="83">
        <f t="shared" ref="S133:S134" si="201">IF(Q133="도비",SUM(L133:M133),SUM(L133:M133)-R133)</f>
        <v>-50000</v>
      </c>
      <c r="T133" s="222" t="str">
        <f t="shared" si="124"/>
        <v>ok</v>
      </c>
      <c r="V133" s="236" t="s">
        <v>89</v>
      </c>
      <c r="W133" s="83">
        <f t="shared" ref="W133:W134" si="202">IF(V133&lt;&gt;"도비",SUM(I133:J133),)</f>
        <v>0</v>
      </c>
      <c r="X133" s="83">
        <f t="shared" ref="X133:X134" si="203">IF(V133="도비",SUM(I133:J133),SUM(I133:J133)-W133)</f>
        <v>-50000</v>
      </c>
      <c r="Y133" s="222" t="str">
        <f t="shared" si="126"/>
        <v>ok</v>
      </c>
      <c r="AA133" s="252">
        <v>1</v>
      </c>
      <c r="AB133" s="252"/>
    </row>
    <row r="134" spans="1:28" ht="31.5" customHeight="1">
      <c r="A134" s="223"/>
      <c r="B134" s="123" t="s">
        <v>91</v>
      </c>
      <c r="C134" s="229" t="s">
        <v>238</v>
      </c>
      <c r="D134" s="228" t="s">
        <v>357</v>
      </c>
      <c r="E134" s="230" t="s">
        <v>358</v>
      </c>
      <c r="F134" s="83"/>
      <c r="G134" s="83"/>
      <c r="H134" s="215" t="str">
        <f>IF(SUMPRODUCT(COUNTIF(C134,{"*본예산*","*신규*"})),"-",F134-G134)</f>
        <v>-</v>
      </c>
      <c r="I134" s="83"/>
      <c r="J134" s="83">
        <v>10000000</v>
      </c>
      <c r="K134" s="215">
        <f t="shared" si="197"/>
        <v>10000000</v>
      </c>
      <c r="L134" s="83">
        <v>0</v>
      </c>
      <c r="M134" s="83">
        <v>0</v>
      </c>
      <c r="N134" s="215">
        <f t="shared" si="198"/>
        <v>0</v>
      </c>
      <c r="O134" s="198" t="str">
        <f t="shared" si="199"/>
        <v>-</v>
      </c>
      <c r="P134" s="248" t="s">
        <v>570</v>
      </c>
      <c r="Q134" s="189" t="s">
        <v>89</v>
      </c>
      <c r="R134" s="83">
        <f t="shared" si="200"/>
        <v>0</v>
      </c>
      <c r="S134" s="83">
        <f t="shared" si="201"/>
        <v>0</v>
      </c>
      <c r="T134" s="222" t="str">
        <f t="shared" si="124"/>
        <v>ok</v>
      </c>
      <c r="V134" s="236" t="s">
        <v>89</v>
      </c>
      <c r="W134" s="83">
        <f t="shared" si="202"/>
        <v>0</v>
      </c>
      <c r="X134" s="83">
        <f t="shared" si="203"/>
        <v>10000000</v>
      </c>
      <c r="Y134" s="222" t="str">
        <f t="shared" si="126"/>
        <v>ok</v>
      </c>
      <c r="AA134" s="252">
        <v>1</v>
      </c>
      <c r="AB134" s="252"/>
    </row>
    <row r="135" spans="1:28" ht="24" customHeight="1"/>
    <row r="136" spans="1:28" ht="24" customHeight="1"/>
  </sheetData>
  <sheetProtection formatCells="0" autoFilter="0"/>
  <autoFilter ref="A6:AC134"/>
  <mergeCells count="19">
    <mergeCell ref="V4:V5"/>
    <mergeCell ref="W4:Y4"/>
    <mergeCell ref="AA4:AB4"/>
    <mergeCell ref="L4:M4"/>
    <mergeCell ref="N4:N5"/>
    <mergeCell ref="O4:O5"/>
    <mergeCell ref="P4:P5"/>
    <mergeCell ref="Q4:Q5"/>
    <mergeCell ref="R4:T4"/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</mergeCells>
  <phoneticPr fontId="2" type="noConversion"/>
  <conditionalFormatting sqref="Q24:Q25 Q6:Q9 Q29 Q31:Q44 Q101:Q114 Q15:Q19 Q47:Q64 Q93:Q96 Q124:Q125 Q116:Q121 Q128:Q433 Q89:Q91 Q66:Q74 Q76:Q87">
    <cfRule type="containsText" dxfId="169" priority="116" operator="containsText" text="분권">
      <formula>NOT(ISERROR(SEARCH("분권",Q6)))</formula>
    </cfRule>
    <cfRule type="containsText" dxfId="168" priority="117" operator="containsText" text="특교">
      <formula>NOT(ISERROR(SEARCH("특교",Q6)))</formula>
    </cfRule>
    <cfRule type="containsText" dxfId="167" priority="118" operator="containsText" text="광특">
      <formula>NOT(ISERROR(SEARCH("광특",Q6)))</formula>
    </cfRule>
    <cfRule type="containsText" dxfId="166" priority="119" operator="containsText" text="기금">
      <formula>NOT(ISERROR(SEARCH("기금",Q6)))</formula>
    </cfRule>
    <cfRule type="containsText" dxfId="165" priority="120" operator="containsText" text="국비">
      <formula>NOT(ISERROR(SEARCH("국비",Q6)))</formula>
    </cfRule>
  </conditionalFormatting>
  <conditionalFormatting sqref="Q11">
    <cfRule type="containsText" dxfId="164" priority="111" operator="containsText" text="분권">
      <formula>NOT(ISERROR(SEARCH("분권",Q11)))</formula>
    </cfRule>
    <cfRule type="containsText" dxfId="163" priority="112" operator="containsText" text="특교">
      <formula>NOT(ISERROR(SEARCH("특교",Q11)))</formula>
    </cfRule>
    <cfRule type="containsText" dxfId="162" priority="113" operator="containsText" text="광특">
      <formula>NOT(ISERROR(SEARCH("광특",Q11)))</formula>
    </cfRule>
    <cfRule type="containsText" dxfId="161" priority="114" operator="containsText" text="기금">
      <formula>NOT(ISERROR(SEARCH("기금",Q11)))</formula>
    </cfRule>
    <cfRule type="containsText" dxfId="160" priority="115" operator="containsText" text="국비">
      <formula>NOT(ISERROR(SEARCH("국비",Q11)))</formula>
    </cfRule>
  </conditionalFormatting>
  <conditionalFormatting sqref="Q10">
    <cfRule type="containsText" dxfId="159" priority="106" operator="containsText" text="분권">
      <formula>NOT(ISERROR(SEARCH("분권",Q10)))</formula>
    </cfRule>
    <cfRule type="containsText" dxfId="158" priority="107" operator="containsText" text="특교">
      <formula>NOT(ISERROR(SEARCH("특교",Q10)))</formula>
    </cfRule>
    <cfRule type="containsText" dxfId="157" priority="108" operator="containsText" text="광특">
      <formula>NOT(ISERROR(SEARCH("광특",Q10)))</formula>
    </cfRule>
    <cfRule type="containsText" dxfId="156" priority="109" operator="containsText" text="기금">
      <formula>NOT(ISERROR(SEARCH("기금",Q10)))</formula>
    </cfRule>
    <cfRule type="containsText" dxfId="155" priority="110" operator="containsText" text="국비">
      <formula>NOT(ISERROR(SEARCH("국비",Q10)))</formula>
    </cfRule>
  </conditionalFormatting>
  <conditionalFormatting sqref="Q12:Q13">
    <cfRule type="containsText" dxfId="154" priority="101" operator="containsText" text="분권">
      <formula>NOT(ISERROR(SEARCH("분권",Q12)))</formula>
    </cfRule>
    <cfRule type="containsText" dxfId="153" priority="102" operator="containsText" text="특교">
      <formula>NOT(ISERROR(SEARCH("특교",Q12)))</formula>
    </cfRule>
    <cfRule type="containsText" dxfId="152" priority="103" operator="containsText" text="광특">
      <formula>NOT(ISERROR(SEARCH("광특",Q12)))</formula>
    </cfRule>
    <cfRule type="containsText" dxfId="151" priority="104" operator="containsText" text="기금">
      <formula>NOT(ISERROR(SEARCH("기금",Q12)))</formula>
    </cfRule>
    <cfRule type="containsText" dxfId="150" priority="105" operator="containsText" text="국비">
      <formula>NOT(ISERROR(SEARCH("국비",Q12)))</formula>
    </cfRule>
  </conditionalFormatting>
  <conditionalFormatting sqref="Q14">
    <cfRule type="containsText" dxfId="149" priority="96" operator="containsText" text="분권">
      <formula>NOT(ISERROR(SEARCH("분권",Q14)))</formula>
    </cfRule>
    <cfRule type="containsText" dxfId="148" priority="97" operator="containsText" text="특교">
      <formula>NOT(ISERROR(SEARCH("특교",Q14)))</formula>
    </cfRule>
    <cfRule type="containsText" dxfId="147" priority="98" operator="containsText" text="광특">
      <formula>NOT(ISERROR(SEARCH("광특",Q14)))</formula>
    </cfRule>
    <cfRule type="containsText" dxfId="146" priority="99" operator="containsText" text="기금">
      <formula>NOT(ISERROR(SEARCH("기금",Q14)))</formula>
    </cfRule>
    <cfRule type="containsText" dxfId="145" priority="100" operator="containsText" text="국비">
      <formula>NOT(ISERROR(SEARCH("국비",Q14)))</formula>
    </cfRule>
  </conditionalFormatting>
  <conditionalFormatting sqref="Q26">
    <cfRule type="containsText" dxfId="144" priority="91" operator="containsText" text="분권">
      <formula>NOT(ISERROR(SEARCH("분권",Q26)))</formula>
    </cfRule>
    <cfRule type="containsText" dxfId="143" priority="92" operator="containsText" text="특교">
      <formula>NOT(ISERROR(SEARCH("특교",Q26)))</formula>
    </cfRule>
    <cfRule type="containsText" dxfId="142" priority="93" operator="containsText" text="광특">
      <formula>NOT(ISERROR(SEARCH("광특",Q26)))</formula>
    </cfRule>
    <cfRule type="containsText" dxfId="141" priority="94" operator="containsText" text="기금">
      <formula>NOT(ISERROR(SEARCH("기금",Q26)))</formula>
    </cfRule>
    <cfRule type="containsText" dxfId="140" priority="95" operator="containsText" text="국비">
      <formula>NOT(ISERROR(SEARCH("국비",Q26)))</formula>
    </cfRule>
  </conditionalFormatting>
  <conditionalFormatting sqref="Q27">
    <cfRule type="containsText" dxfId="139" priority="86" operator="containsText" text="분권">
      <formula>NOT(ISERROR(SEARCH("분권",Q27)))</formula>
    </cfRule>
    <cfRule type="containsText" dxfId="138" priority="87" operator="containsText" text="특교">
      <formula>NOT(ISERROR(SEARCH("특교",Q27)))</formula>
    </cfRule>
    <cfRule type="containsText" dxfId="137" priority="88" operator="containsText" text="광특">
      <formula>NOT(ISERROR(SEARCH("광특",Q27)))</formula>
    </cfRule>
    <cfRule type="containsText" dxfId="136" priority="89" operator="containsText" text="기금">
      <formula>NOT(ISERROR(SEARCH("기금",Q27)))</formula>
    </cfRule>
    <cfRule type="containsText" dxfId="135" priority="90" operator="containsText" text="국비">
      <formula>NOT(ISERROR(SEARCH("국비",Q27)))</formula>
    </cfRule>
  </conditionalFormatting>
  <conditionalFormatting sqref="Q28">
    <cfRule type="containsText" dxfId="134" priority="81" operator="containsText" text="분권">
      <formula>NOT(ISERROR(SEARCH("분권",Q28)))</formula>
    </cfRule>
    <cfRule type="containsText" dxfId="133" priority="82" operator="containsText" text="특교">
      <formula>NOT(ISERROR(SEARCH("특교",Q28)))</formula>
    </cfRule>
    <cfRule type="containsText" dxfId="132" priority="83" operator="containsText" text="광특">
      <formula>NOT(ISERROR(SEARCH("광특",Q28)))</formula>
    </cfRule>
    <cfRule type="containsText" dxfId="131" priority="84" operator="containsText" text="기금">
      <formula>NOT(ISERROR(SEARCH("기금",Q28)))</formula>
    </cfRule>
    <cfRule type="containsText" dxfId="130" priority="85" operator="containsText" text="국비">
      <formula>NOT(ISERROR(SEARCH("국비",Q28)))</formula>
    </cfRule>
  </conditionalFormatting>
  <conditionalFormatting sqref="Q30">
    <cfRule type="containsText" dxfId="129" priority="76" operator="containsText" text="분권">
      <formula>NOT(ISERROR(SEARCH("분권",Q30)))</formula>
    </cfRule>
    <cfRule type="containsText" dxfId="128" priority="77" operator="containsText" text="특교">
      <formula>NOT(ISERROR(SEARCH("특교",Q30)))</formula>
    </cfRule>
    <cfRule type="containsText" dxfId="127" priority="78" operator="containsText" text="광특">
      <formula>NOT(ISERROR(SEARCH("광특",Q30)))</formula>
    </cfRule>
    <cfRule type="containsText" dxfId="126" priority="79" operator="containsText" text="기금">
      <formula>NOT(ISERROR(SEARCH("기금",Q30)))</formula>
    </cfRule>
    <cfRule type="containsText" dxfId="125" priority="80" operator="containsText" text="국비">
      <formula>NOT(ISERROR(SEARCH("국비",Q30)))</formula>
    </cfRule>
  </conditionalFormatting>
  <conditionalFormatting sqref="Q21 Q23">
    <cfRule type="containsText" dxfId="124" priority="71" operator="containsText" text="분권">
      <formula>NOT(ISERROR(SEARCH("분권",Q21)))</formula>
    </cfRule>
    <cfRule type="containsText" dxfId="123" priority="72" operator="containsText" text="특교">
      <formula>NOT(ISERROR(SEARCH("특교",Q21)))</formula>
    </cfRule>
    <cfRule type="containsText" dxfId="122" priority="73" operator="containsText" text="광특">
      <formula>NOT(ISERROR(SEARCH("광특",Q21)))</formula>
    </cfRule>
    <cfRule type="containsText" dxfId="121" priority="74" operator="containsText" text="기금">
      <formula>NOT(ISERROR(SEARCH("기금",Q21)))</formula>
    </cfRule>
    <cfRule type="containsText" dxfId="120" priority="75" operator="containsText" text="국비">
      <formula>NOT(ISERROR(SEARCH("국비",Q21)))</formula>
    </cfRule>
  </conditionalFormatting>
  <conditionalFormatting sqref="Q65">
    <cfRule type="containsText" dxfId="119" priority="66" operator="containsText" text="분권">
      <formula>NOT(ISERROR(SEARCH("분권",Q65)))</formula>
    </cfRule>
    <cfRule type="containsText" dxfId="118" priority="67" operator="containsText" text="특교">
      <formula>NOT(ISERROR(SEARCH("특교",Q65)))</formula>
    </cfRule>
    <cfRule type="containsText" dxfId="117" priority="68" operator="containsText" text="광특">
      <formula>NOT(ISERROR(SEARCH("광특",Q65)))</formula>
    </cfRule>
    <cfRule type="containsText" dxfId="116" priority="69" operator="containsText" text="기금">
      <formula>NOT(ISERROR(SEARCH("기금",Q65)))</formula>
    </cfRule>
    <cfRule type="containsText" dxfId="115" priority="70" operator="containsText" text="국비">
      <formula>NOT(ISERROR(SEARCH("국비",Q65)))</formula>
    </cfRule>
  </conditionalFormatting>
  <conditionalFormatting sqref="Q98">
    <cfRule type="containsText" dxfId="114" priority="61" operator="containsText" text="분권">
      <formula>NOT(ISERROR(SEARCH("분권",Q98)))</formula>
    </cfRule>
    <cfRule type="containsText" dxfId="113" priority="62" operator="containsText" text="특교">
      <formula>NOT(ISERROR(SEARCH("특교",Q98)))</formula>
    </cfRule>
    <cfRule type="containsText" dxfId="112" priority="63" operator="containsText" text="광특">
      <formula>NOT(ISERROR(SEARCH("광특",Q98)))</formula>
    </cfRule>
    <cfRule type="containsText" dxfId="111" priority="64" operator="containsText" text="기금">
      <formula>NOT(ISERROR(SEARCH("기금",Q98)))</formula>
    </cfRule>
    <cfRule type="containsText" dxfId="110" priority="65" operator="containsText" text="국비">
      <formula>NOT(ISERROR(SEARCH("국비",Q98)))</formula>
    </cfRule>
  </conditionalFormatting>
  <conditionalFormatting sqref="Q99">
    <cfRule type="containsText" dxfId="109" priority="56" operator="containsText" text="분권">
      <formula>NOT(ISERROR(SEARCH("분권",Q99)))</formula>
    </cfRule>
    <cfRule type="containsText" dxfId="108" priority="57" operator="containsText" text="특교">
      <formula>NOT(ISERROR(SEARCH("특교",Q99)))</formula>
    </cfRule>
    <cfRule type="containsText" dxfId="107" priority="58" operator="containsText" text="광특">
      <formula>NOT(ISERROR(SEARCH("광특",Q99)))</formula>
    </cfRule>
    <cfRule type="containsText" dxfId="106" priority="59" operator="containsText" text="기금">
      <formula>NOT(ISERROR(SEARCH("기금",Q99)))</formula>
    </cfRule>
    <cfRule type="containsText" dxfId="105" priority="60" operator="containsText" text="국비">
      <formula>NOT(ISERROR(SEARCH("국비",Q99)))</formula>
    </cfRule>
  </conditionalFormatting>
  <conditionalFormatting sqref="Q100">
    <cfRule type="containsText" dxfId="104" priority="51" operator="containsText" text="분권">
      <formula>NOT(ISERROR(SEARCH("분권",Q100)))</formula>
    </cfRule>
    <cfRule type="containsText" dxfId="103" priority="52" operator="containsText" text="특교">
      <formula>NOT(ISERROR(SEARCH("특교",Q100)))</formula>
    </cfRule>
    <cfRule type="containsText" dxfId="102" priority="53" operator="containsText" text="광특">
      <formula>NOT(ISERROR(SEARCH("광특",Q100)))</formula>
    </cfRule>
    <cfRule type="containsText" dxfId="101" priority="54" operator="containsText" text="기금">
      <formula>NOT(ISERROR(SEARCH("기금",Q100)))</formula>
    </cfRule>
    <cfRule type="containsText" dxfId="100" priority="55" operator="containsText" text="국비">
      <formula>NOT(ISERROR(SEARCH("국비",Q100)))</formula>
    </cfRule>
  </conditionalFormatting>
  <conditionalFormatting sqref="Q22">
    <cfRule type="containsText" dxfId="99" priority="46" operator="containsText" text="분권">
      <formula>NOT(ISERROR(SEARCH("분권",Q22)))</formula>
    </cfRule>
    <cfRule type="containsText" dxfId="98" priority="47" operator="containsText" text="특교">
      <formula>NOT(ISERROR(SEARCH("특교",Q22)))</formula>
    </cfRule>
    <cfRule type="containsText" dxfId="97" priority="48" operator="containsText" text="광특">
      <formula>NOT(ISERROR(SEARCH("광특",Q22)))</formula>
    </cfRule>
    <cfRule type="containsText" dxfId="96" priority="49" operator="containsText" text="기금">
      <formula>NOT(ISERROR(SEARCH("기금",Q22)))</formula>
    </cfRule>
    <cfRule type="containsText" dxfId="95" priority="50" operator="containsText" text="국비">
      <formula>NOT(ISERROR(SEARCH("국비",Q22)))</formula>
    </cfRule>
  </conditionalFormatting>
  <conditionalFormatting sqref="Q20">
    <cfRule type="containsText" dxfId="94" priority="41" operator="containsText" text="분권">
      <formula>NOT(ISERROR(SEARCH("분권",Q20)))</formula>
    </cfRule>
    <cfRule type="containsText" dxfId="93" priority="42" operator="containsText" text="특교">
      <formula>NOT(ISERROR(SEARCH("특교",Q20)))</formula>
    </cfRule>
    <cfRule type="containsText" dxfId="92" priority="43" operator="containsText" text="광특">
      <formula>NOT(ISERROR(SEARCH("광특",Q20)))</formula>
    </cfRule>
    <cfRule type="containsText" dxfId="91" priority="44" operator="containsText" text="기금">
      <formula>NOT(ISERROR(SEARCH("기금",Q20)))</formula>
    </cfRule>
    <cfRule type="containsText" dxfId="90" priority="45" operator="containsText" text="국비">
      <formula>NOT(ISERROR(SEARCH("국비",Q20)))</formula>
    </cfRule>
  </conditionalFormatting>
  <conditionalFormatting sqref="Q97">
    <cfRule type="containsText" dxfId="89" priority="36" operator="containsText" text="분권">
      <formula>NOT(ISERROR(SEARCH("분권",Q97)))</formula>
    </cfRule>
    <cfRule type="containsText" dxfId="88" priority="37" operator="containsText" text="특교">
      <formula>NOT(ISERROR(SEARCH("특교",Q97)))</formula>
    </cfRule>
    <cfRule type="containsText" dxfId="87" priority="38" operator="containsText" text="광특">
      <formula>NOT(ISERROR(SEARCH("광특",Q97)))</formula>
    </cfRule>
    <cfRule type="containsText" dxfId="86" priority="39" operator="containsText" text="기금">
      <formula>NOT(ISERROR(SEARCH("기금",Q97)))</formula>
    </cfRule>
    <cfRule type="containsText" dxfId="85" priority="40" operator="containsText" text="국비">
      <formula>NOT(ISERROR(SEARCH("국비",Q97)))</formula>
    </cfRule>
  </conditionalFormatting>
  <conditionalFormatting sqref="Q45">
    <cfRule type="containsText" dxfId="84" priority="6" operator="containsText" text="분권">
      <formula>NOT(ISERROR(SEARCH("분권",Q45)))</formula>
    </cfRule>
    <cfRule type="containsText" dxfId="83" priority="7" operator="containsText" text="특교">
      <formula>NOT(ISERROR(SEARCH("특교",Q45)))</formula>
    </cfRule>
    <cfRule type="containsText" dxfId="82" priority="8" operator="containsText" text="광특">
      <formula>NOT(ISERROR(SEARCH("광특",Q45)))</formula>
    </cfRule>
    <cfRule type="containsText" dxfId="81" priority="9" operator="containsText" text="기금">
      <formula>NOT(ISERROR(SEARCH("기금",Q45)))</formula>
    </cfRule>
    <cfRule type="containsText" dxfId="80" priority="10" operator="containsText" text="국비">
      <formula>NOT(ISERROR(SEARCH("국비",Q45)))</formula>
    </cfRule>
  </conditionalFormatting>
  <conditionalFormatting sqref="Q46">
    <cfRule type="containsText" dxfId="79" priority="1" operator="containsText" text="분권">
      <formula>NOT(ISERROR(SEARCH("분권",Q46)))</formula>
    </cfRule>
    <cfRule type="containsText" dxfId="78" priority="2" operator="containsText" text="특교">
      <formula>NOT(ISERROR(SEARCH("특교",Q46)))</formula>
    </cfRule>
    <cfRule type="containsText" dxfId="77" priority="3" operator="containsText" text="광특">
      <formula>NOT(ISERROR(SEARCH("광특",Q46)))</formula>
    </cfRule>
    <cfRule type="containsText" dxfId="76" priority="4" operator="containsText" text="기금">
      <formula>NOT(ISERROR(SEARCH("기금",Q46)))</formula>
    </cfRule>
    <cfRule type="containsText" dxfId="75" priority="5" operator="containsText" text="국비">
      <formula>NOT(ISERROR(SEARCH("국비",Q46)))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76" fitToHeight="0" orientation="landscape" r:id="rId1"/>
  <headerFooter alignWithMargins="0">
    <oddFooter>&amp;C&amp;P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1" operator="containsText" text="분권" id="{DC2A8FD5-D993-411E-A8EB-0DB66393199F}">
            <xm:f>NOT(ISERROR(SEARCH("분권",'국비변경(일반 세출)(삭제)'!Q121)))</xm:f>
            <x14:dxf>
              <font>
                <color rgb="FF9C0006"/>
              </font>
            </x14:dxf>
          </x14:cfRule>
          <x14:cfRule type="containsText" priority="32" operator="containsText" text="특교" id="{CE85FBE0-C6AC-4954-B3B9-D711C39A669B}">
            <xm:f>NOT(ISERROR(SEARCH("특교",'국비변경(일반 세출)(삭제)'!Q121)))</xm:f>
            <x14:dxf>
              <font>
                <color rgb="FF9C0006"/>
              </font>
            </x14:dxf>
          </x14:cfRule>
          <x14:cfRule type="containsText" priority="33" operator="containsText" text="광특" id="{07163882-D197-4C48-BBF4-8B06CB8BFABC}">
            <xm:f>NOT(ISERROR(SEARCH("광특",'국비변경(일반 세출)(삭제)'!Q121)))</xm:f>
            <x14:dxf>
              <font>
                <color rgb="FF9C0006"/>
              </font>
            </x14:dxf>
          </x14:cfRule>
          <x14:cfRule type="containsText" priority="34" operator="containsText" text="기금" id="{A220BB2A-F8A0-4B72-82F6-469A73A02FE0}">
            <xm:f>NOT(ISERROR(SEARCH("기금",'국비변경(일반 세출)(삭제)'!Q121)))</xm:f>
            <x14:dxf>
              <font>
                <color rgb="FF9C0006"/>
              </font>
            </x14:dxf>
          </x14:cfRule>
          <x14:cfRule type="containsText" priority="35" operator="containsText" text="국비" id="{299040FE-B02D-4513-B586-57BB3C7D3D42}">
            <xm:f>NOT(ISERROR(SEARCH("국비",'국비변경(일반 세출)(삭제)'!Q121)))</xm:f>
            <x14:dxf>
              <font>
                <color rgb="FF9C0006"/>
              </font>
            </x14:dxf>
          </x14:cfRule>
          <xm:sqref>Q122:Q123</xm:sqref>
        </x14:conditionalFormatting>
        <x14:conditionalFormatting xmlns:xm="http://schemas.microsoft.com/office/excel/2006/main">
          <x14:cfRule type="containsText" priority="26" operator="containsText" text="분권" id="{1B288554-AEDB-4E0E-9FAF-5F9C06C20DFA}">
            <xm:f>NOT(ISERROR(SEARCH("분권",'\Users\Administrator\AppData\Local\Microsoft\Windows\Temporary Internet Files\Content.IE5\HWUAJZAF\[140923_21시_2014년 제1회 추가경정예산안 계수조정 총괄 내역 (상임위 완)_최종수정.xlsx]일반 세출'!#REF!)))</xm:f>
            <x14:dxf>
              <font>
                <color rgb="FF9C0006"/>
              </font>
            </x14:dxf>
          </x14:cfRule>
          <x14:cfRule type="containsText" priority="27" operator="containsText" text="특교" id="{37DB65F3-0E31-4AC4-872A-6FAB427878B0}">
            <xm:f>NOT(ISERROR(SEARCH("특교",'\Users\Administrator\AppData\Local\Microsoft\Windows\Temporary Internet Files\Content.IE5\HWUAJZAF\[140923_21시_2014년 제1회 추가경정예산안 계수조정 총괄 내역 (상임위 완)_최종수정.xlsx]일반 세출'!#REF!)))</xm:f>
            <x14:dxf>
              <font>
                <color rgb="FF9C0006"/>
              </font>
            </x14:dxf>
          </x14:cfRule>
          <x14:cfRule type="containsText" priority="28" operator="containsText" text="광특" id="{81863BEC-D6B5-4F2E-A55C-042A7F78C39D}">
            <xm:f>NOT(ISERROR(SEARCH("광특",'\Users\Administrator\AppData\Local\Microsoft\Windows\Temporary Internet Files\Content.IE5\HWUAJZAF\[140923_21시_2014년 제1회 추가경정예산안 계수조정 총괄 내역 (상임위 완)_최종수정.xlsx]일반 세출'!#REF!)))</xm:f>
            <x14:dxf>
              <font>
                <color rgb="FF9C0006"/>
              </font>
            </x14:dxf>
          </x14:cfRule>
          <x14:cfRule type="containsText" priority="29" operator="containsText" text="기금" id="{168A21A9-1691-47B5-932D-35101F6EF4EB}">
            <xm:f>NOT(ISERROR(SEARCH("기금",'\Users\Administrator\AppData\Local\Microsoft\Windows\Temporary Internet Files\Content.IE5\HWUAJZAF\[140923_21시_2014년 제1회 추가경정예산안 계수조정 총괄 내역 (상임위 완)_최종수정.xlsx]일반 세출'!#REF!)))</xm:f>
            <x14:dxf>
              <font>
                <color rgb="FF9C0006"/>
              </font>
            </x14:dxf>
          </x14:cfRule>
          <x14:cfRule type="containsText" priority="30" operator="containsText" text="국비" id="{602BF8BF-7C79-486C-AD67-4E256823723D}">
            <xm:f>NOT(ISERROR(SEARCH("국비",'\Users\Administrator\AppData\Local\Microsoft\Windows\Temporary Internet Files\Content.IE5\HWUAJZAF\[140923_21시_2014년 제1회 추가경정예산안 계수조정 총괄 내역 (상임위 완)_최종수정.xlsx]일반 세출'!#REF!)))</xm:f>
            <x14:dxf>
              <font>
                <color rgb="FF9C0006"/>
              </font>
            </x14:dxf>
          </x14:cfRule>
          <xm:sqref>Q88</xm:sqref>
        </x14:conditionalFormatting>
        <x14:conditionalFormatting xmlns:xm="http://schemas.microsoft.com/office/excel/2006/main">
          <x14:cfRule type="containsText" priority="21" operator="containsText" text="분권" id="{C14923FF-F5E6-494C-B824-E026FB9AEE6F}">
            <xm:f>NOT(ISERROR(SEARCH("분권",'\Users\Administrator\AppData\Local\Microsoft\Windows\Temporary Internet Files\Content.IE5\HWUAJZAF\[140923_21시_2014년 제1회 추가경정예산안 계수조정 총괄 내역 (상임위 완)_최종수정.xlsx]일반 세출'!#REF!)))</xm:f>
            <x14:dxf>
              <font>
                <color rgb="FF9C0006"/>
              </font>
            </x14:dxf>
          </x14:cfRule>
          <x14:cfRule type="containsText" priority="22" operator="containsText" text="특교" id="{B3FD0C34-3D40-4D95-963B-E548CDD83DEA}">
            <xm:f>NOT(ISERROR(SEARCH("특교",'\Users\Administrator\AppData\Local\Microsoft\Windows\Temporary Internet Files\Content.IE5\HWUAJZAF\[140923_21시_2014년 제1회 추가경정예산안 계수조정 총괄 내역 (상임위 완)_최종수정.xlsx]일반 세출'!#REF!)))</xm:f>
            <x14:dxf>
              <font>
                <color rgb="FF9C0006"/>
              </font>
            </x14:dxf>
          </x14:cfRule>
          <x14:cfRule type="containsText" priority="23" operator="containsText" text="광특" id="{BDAD1A3A-CF3A-4ED6-BBBB-0164F124DA8E}">
            <xm:f>NOT(ISERROR(SEARCH("광특",'\Users\Administrator\AppData\Local\Microsoft\Windows\Temporary Internet Files\Content.IE5\HWUAJZAF\[140923_21시_2014년 제1회 추가경정예산안 계수조정 총괄 내역 (상임위 완)_최종수정.xlsx]일반 세출'!#REF!)))</xm:f>
            <x14:dxf>
              <font>
                <color rgb="FF9C0006"/>
              </font>
            </x14:dxf>
          </x14:cfRule>
          <x14:cfRule type="containsText" priority="24" operator="containsText" text="기금" id="{D4043617-6661-474F-B8DD-723E42B6EF16}">
            <xm:f>NOT(ISERROR(SEARCH("기금",'\Users\Administrator\AppData\Local\Microsoft\Windows\Temporary Internet Files\Content.IE5\HWUAJZAF\[140923_21시_2014년 제1회 추가경정예산안 계수조정 총괄 내역 (상임위 완)_최종수정.xlsx]일반 세출'!#REF!)))</xm:f>
            <x14:dxf>
              <font>
                <color rgb="FF9C0006"/>
              </font>
            </x14:dxf>
          </x14:cfRule>
          <x14:cfRule type="containsText" priority="25" operator="containsText" text="국비" id="{523B8050-564F-4431-BC43-9DFEBA2F2C9B}">
            <xm:f>NOT(ISERROR(SEARCH("국비",'\Users\Administrator\AppData\Local\Microsoft\Windows\Temporary Internet Files\Content.IE5\HWUAJZAF\[140923_21시_2014년 제1회 추가경정예산안 계수조정 총괄 내역 (상임위 완)_최종수정.xlsx]일반 세출'!#REF!)))</xm:f>
            <x14:dxf>
              <font>
                <color rgb="FF9C0006"/>
              </font>
            </x14:dxf>
          </x14:cfRule>
          <xm:sqref>Q92</xm:sqref>
        </x14:conditionalFormatting>
        <x14:conditionalFormatting xmlns:xm="http://schemas.microsoft.com/office/excel/2006/main">
          <x14:cfRule type="containsText" priority="16" operator="containsText" text="분권" id="{64B60B3D-80CC-4B95-A6CD-D9BFF6F9C560}">
            <xm:f>NOT(ISERROR(SEARCH("분권",'국비변경(일반 세출)(삭제)'!Q120)))</xm:f>
            <x14:dxf>
              <font>
                <color rgb="FF9C0006"/>
              </font>
            </x14:dxf>
          </x14:cfRule>
          <x14:cfRule type="containsText" priority="17" operator="containsText" text="특교" id="{E6D22BFB-6405-4F41-9969-763E36ACE493}">
            <xm:f>NOT(ISERROR(SEARCH("특교",'국비변경(일반 세출)(삭제)'!Q120)))</xm:f>
            <x14:dxf>
              <font>
                <color rgb="FF9C0006"/>
              </font>
            </x14:dxf>
          </x14:cfRule>
          <x14:cfRule type="containsText" priority="18" operator="containsText" text="광특" id="{5304BAE7-7FB8-4059-BCC1-E260E150C5F3}">
            <xm:f>NOT(ISERROR(SEARCH("광특",'국비변경(일반 세출)(삭제)'!Q120)))</xm:f>
            <x14:dxf>
              <font>
                <color rgb="FF9C0006"/>
              </font>
            </x14:dxf>
          </x14:cfRule>
          <x14:cfRule type="containsText" priority="19" operator="containsText" text="기금" id="{41D7267C-3794-419D-A260-70D6127115B8}">
            <xm:f>NOT(ISERROR(SEARCH("기금",'국비변경(일반 세출)(삭제)'!Q120)))</xm:f>
            <x14:dxf>
              <font>
                <color rgb="FF9C0006"/>
              </font>
            </x14:dxf>
          </x14:cfRule>
          <x14:cfRule type="containsText" priority="20" operator="containsText" text="국비" id="{5B334972-6366-41C6-8844-C4A2EBBD2AF9}">
            <xm:f>NOT(ISERROR(SEARCH("국비",'국비변경(일반 세출)(삭제)'!Q120)))</xm:f>
            <x14:dxf>
              <font>
                <color rgb="FF9C0006"/>
              </font>
            </x14:dxf>
          </x14:cfRule>
          <xm:sqref>Q115</xm:sqref>
        </x14:conditionalFormatting>
        <x14:conditionalFormatting xmlns:xm="http://schemas.microsoft.com/office/excel/2006/main">
          <x14:cfRule type="containsText" priority="11" operator="containsText" text="분권" id="{510A213B-BAB7-45C2-888C-B5612BE21D01}">
            <xm:f>NOT(ISERROR(SEARCH("분권",'국비변경(일반 세출)(삭제)'!Q126)))</xm:f>
            <x14:dxf>
              <font>
                <color rgb="FF9C0006"/>
              </font>
            </x14:dxf>
          </x14:cfRule>
          <x14:cfRule type="containsText" priority="12" operator="containsText" text="특교" id="{2A2B7B7B-5685-4D40-824A-C1F0BCD6B006}">
            <xm:f>NOT(ISERROR(SEARCH("특교",'국비변경(일반 세출)(삭제)'!Q126)))</xm:f>
            <x14:dxf>
              <font>
                <color rgb="FF9C0006"/>
              </font>
            </x14:dxf>
          </x14:cfRule>
          <x14:cfRule type="containsText" priority="13" operator="containsText" text="광특" id="{D9C35A63-8285-479B-B729-FC7964DFD5B2}">
            <xm:f>NOT(ISERROR(SEARCH("광특",'국비변경(일반 세출)(삭제)'!Q126)))</xm:f>
            <x14:dxf>
              <font>
                <color rgb="FF9C0006"/>
              </font>
            </x14:dxf>
          </x14:cfRule>
          <x14:cfRule type="containsText" priority="14" operator="containsText" text="기금" id="{4FC3C1D9-C121-4EEB-90B7-713E72F93752}">
            <xm:f>NOT(ISERROR(SEARCH("기금",'국비변경(일반 세출)(삭제)'!Q126)))</xm:f>
            <x14:dxf>
              <font>
                <color rgb="FF9C0006"/>
              </font>
            </x14:dxf>
          </x14:cfRule>
          <x14:cfRule type="containsText" priority="15" operator="containsText" text="국비" id="{CE4984B2-BF75-4458-977C-CE1294B8F9AE}">
            <xm:f>NOT(ISERROR(SEARCH("국비",'국비변경(일반 세출)(삭제)'!Q126)))</xm:f>
            <x14:dxf>
              <font>
                <color rgb="FF9C0006"/>
              </font>
            </x14:dxf>
          </x14:cfRule>
          <xm:sqref>Q126:Q127</xm:sqref>
        </x14:conditionalFormatting>
        <x14:conditionalFormatting xmlns:xm="http://schemas.microsoft.com/office/excel/2006/main">
          <x14:cfRule type="containsText" priority="121" operator="containsText" text="분권" id="{200B876C-53AF-4BDE-B042-18B35AA752F2}">
            <xm:f>NOT(ISERROR(SEARCH("분권",'국비변경(일반 세출)(삭제)'!Q77)))</xm:f>
            <x14:dxf>
              <font>
                <color rgb="FF9C0006"/>
              </font>
            </x14:dxf>
          </x14:cfRule>
          <x14:cfRule type="containsText" priority="122" operator="containsText" text="특교" id="{171B5515-44E1-4F48-A8EE-A1340A3F4E79}">
            <xm:f>NOT(ISERROR(SEARCH("특교",'국비변경(일반 세출)(삭제)'!Q77)))</xm:f>
            <x14:dxf>
              <font>
                <color rgb="FF9C0006"/>
              </font>
            </x14:dxf>
          </x14:cfRule>
          <x14:cfRule type="containsText" priority="123" operator="containsText" text="광특" id="{98BC693F-6FF3-4DF1-98F2-716D7383AC16}">
            <xm:f>NOT(ISERROR(SEARCH("광특",'국비변경(일반 세출)(삭제)'!Q77)))</xm:f>
            <x14:dxf>
              <font>
                <color rgb="FF9C0006"/>
              </font>
            </x14:dxf>
          </x14:cfRule>
          <x14:cfRule type="containsText" priority="124" operator="containsText" text="기금" id="{054A8612-7FF8-4989-A1D8-60715B66C86C}">
            <xm:f>NOT(ISERROR(SEARCH("기금",'국비변경(일반 세출)(삭제)'!Q77)))</xm:f>
            <x14:dxf>
              <font>
                <color rgb="FF9C0006"/>
              </font>
            </x14:dxf>
          </x14:cfRule>
          <x14:cfRule type="containsText" priority="125" operator="containsText" text="국비" id="{EEE44BA7-42F0-4406-9917-A54B36BB3D79}">
            <xm:f>NOT(ISERROR(SEARCH("국비",'국비변경(일반 세출)(삭제)'!Q77)))</xm:f>
            <x14:dxf>
              <font>
                <color rgb="FF9C0006"/>
              </font>
            </x14:dxf>
          </x14:cfRule>
          <xm:sqref>Q75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view="pageBreakPreview" zoomScale="80" zoomScaleNormal="100" zoomScaleSheetLayoutView="80" workbookViewId="0">
      <selection sqref="A1:K1"/>
    </sheetView>
  </sheetViews>
  <sheetFormatPr defaultRowHeight="16.5"/>
  <cols>
    <col min="3" max="3" width="7.875" hidden="1" customWidth="1"/>
    <col min="4" max="4" width="15.125" customWidth="1"/>
    <col min="5" max="5" width="32.625" customWidth="1"/>
    <col min="6" max="6" width="11.875" hidden="1" customWidth="1"/>
    <col min="7" max="7" width="14.75" customWidth="1"/>
    <col min="8" max="10" width="11.875" customWidth="1"/>
    <col min="11" max="11" width="11.125" customWidth="1"/>
    <col min="14" max="15" width="0" hidden="1" customWidth="1"/>
  </cols>
  <sheetData>
    <row r="1" spans="1:11" ht="30.75" customHeight="1">
      <c r="A1" s="356" t="s">
        <v>158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</row>
    <row r="2" spans="1:11">
      <c r="A2" s="126" t="s">
        <v>156</v>
      </c>
      <c r="B2" s="126"/>
      <c r="C2" s="127"/>
      <c r="D2" s="128"/>
      <c r="E2" s="128"/>
      <c r="F2" s="128"/>
      <c r="G2" s="128"/>
      <c r="H2" s="128"/>
      <c r="I2" s="128"/>
      <c r="J2" s="128"/>
      <c r="K2" s="128"/>
    </row>
    <row r="3" spans="1:11">
      <c r="A3" s="128"/>
      <c r="B3" s="128"/>
      <c r="C3" s="127"/>
      <c r="D3" s="128"/>
      <c r="E3" s="128"/>
      <c r="F3" s="128"/>
      <c r="G3" s="128"/>
      <c r="H3" s="128">
        <f>G3-E3</f>
        <v>0</v>
      </c>
      <c r="I3" s="128"/>
      <c r="J3" s="128"/>
      <c r="K3" s="129" t="s">
        <v>100</v>
      </c>
    </row>
    <row r="4" spans="1:11">
      <c r="A4" s="345" t="s">
        <v>101</v>
      </c>
      <c r="B4" s="345"/>
      <c r="C4" s="346" t="s">
        <v>102</v>
      </c>
      <c r="D4" s="345" t="s">
        <v>103</v>
      </c>
      <c r="E4" s="345" t="s">
        <v>104</v>
      </c>
      <c r="F4" s="357" t="s">
        <v>105</v>
      </c>
      <c r="G4" s="357" t="s">
        <v>537</v>
      </c>
      <c r="H4" s="357" t="s">
        <v>539</v>
      </c>
      <c r="I4" s="357" t="s">
        <v>155</v>
      </c>
      <c r="J4" s="357" t="s">
        <v>478</v>
      </c>
      <c r="K4" s="357" t="s">
        <v>538</v>
      </c>
    </row>
    <row r="5" spans="1:11" ht="24" customHeight="1">
      <c r="A5" s="345"/>
      <c r="B5" s="345"/>
      <c r="C5" s="346"/>
      <c r="D5" s="345"/>
      <c r="E5" s="345"/>
      <c r="F5" s="355"/>
      <c r="G5" s="355"/>
      <c r="H5" s="355"/>
      <c r="I5" s="358"/>
      <c r="J5" s="358"/>
      <c r="K5" s="358"/>
    </row>
    <row r="6" spans="1:11">
      <c r="A6" s="130"/>
      <c r="B6" s="131" t="s">
        <v>107</v>
      </c>
      <c r="C6" s="132"/>
      <c r="D6" s="132"/>
      <c r="E6" s="132"/>
      <c r="F6" s="132"/>
      <c r="G6" s="132"/>
      <c r="H6" s="132"/>
      <c r="I6" s="132"/>
      <c r="J6" s="132"/>
      <c r="K6" s="132"/>
    </row>
    <row r="7" spans="1:11" ht="21.75" customHeight="1">
      <c r="A7" s="1" t="s">
        <v>108</v>
      </c>
      <c r="B7" s="75"/>
      <c r="C7" s="75"/>
      <c r="D7" s="75"/>
      <c r="E7" s="75"/>
      <c r="F7" s="75">
        <f>SUM(F8:F9)/2</f>
        <v>50000</v>
      </c>
      <c r="G7" s="75">
        <f t="shared" ref="G7:I7" si="0">SUM(G8:G9)/2</f>
        <v>35000</v>
      </c>
      <c r="H7" s="75">
        <f t="shared" si="0"/>
        <v>0</v>
      </c>
      <c r="I7" s="148">
        <f t="shared" si="0"/>
        <v>15000</v>
      </c>
      <c r="J7" s="148">
        <v>0</v>
      </c>
      <c r="K7" s="75"/>
    </row>
    <row r="8" spans="1:11" ht="41.25" customHeight="1">
      <c r="A8" s="133"/>
      <c r="B8" s="78" t="s">
        <v>109</v>
      </c>
      <c r="C8" s="80"/>
      <c r="D8" s="79"/>
      <c r="E8" s="80" t="s">
        <v>110</v>
      </c>
      <c r="F8" s="80">
        <v>50000</v>
      </c>
      <c r="G8" s="80">
        <v>35000</v>
      </c>
      <c r="H8" s="80"/>
      <c r="I8" s="149">
        <v>15000</v>
      </c>
      <c r="J8" s="149">
        <v>0</v>
      </c>
      <c r="K8" s="134"/>
    </row>
    <row r="9" spans="1:11" ht="20.25" customHeight="1">
      <c r="A9" s="133"/>
      <c r="B9" s="133"/>
      <c r="C9" s="135"/>
      <c r="D9" s="132" t="s">
        <v>111</v>
      </c>
      <c r="E9" s="136" t="s">
        <v>112</v>
      </c>
      <c r="F9" s="137">
        <v>50000</v>
      </c>
      <c r="G9" s="137">
        <v>35000</v>
      </c>
      <c r="H9" s="138"/>
      <c r="I9" s="150">
        <v>15000</v>
      </c>
      <c r="J9" s="150">
        <v>0</v>
      </c>
      <c r="K9" s="139"/>
    </row>
    <row r="10" spans="1:11" ht="31.5" customHeight="1">
      <c r="A10" s="128"/>
      <c r="B10" s="128"/>
      <c r="C10" s="127"/>
      <c r="D10" s="128"/>
      <c r="E10" s="128"/>
      <c r="F10" s="128"/>
      <c r="G10" s="128"/>
      <c r="H10" s="128"/>
      <c r="I10" s="128"/>
      <c r="J10" s="128"/>
      <c r="K10" s="128"/>
    </row>
    <row r="11" spans="1:11">
      <c r="A11" s="126" t="s">
        <v>157</v>
      </c>
      <c r="B11" s="126"/>
      <c r="C11" s="127"/>
      <c r="D11" s="128"/>
      <c r="E11" s="128"/>
      <c r="F11" s="128"/>
      <c r="G11" s="128"/>
      <c r="H11" s="128"/>
      <c r="I11" s="128"/>
      <c r="J11" s="128"/>
      <c r="K11" s="128"/>
    </row>
    <row r="12" spans="1:11">
      <c r="A12" s="128"/>
      <c r="B12" s="128"/>
      <c r="C12" s="127"/>
      <c r="D12" s="128"/>
      <c r="E12" s="128"/>
      <c r="F12" s="128"/>
      <c r="G12" s="128"/>
      <c r="H12" s="128"/>
      <c r="I12" s="128"/>
      <c r="J12" s="128"/>
      <c r="K12" s="128"/>
    </row>
    <row r="13" spans="1:11" ht="16.5" customHeight="1">
      <c r="A13" s="345" t="s">
        <v>101</v>
      </c>
      <c r="B13" s="345"/>
      <c r="C13" s="346" t="s">
        <v>102</v>
      </c>
      <c r="D13" s="345" t="s">
        <v>103</v>
      </c>
      <c r="E13" s="345" t="s">
        <v>104</v>
      </c>
      <c r="F13" s="357" t="s">
        <v>105</v>
      </c>
      <c r="G13" s="357" t="s">
        <v>554</v>
      </c>
      <c r="H13" s="357" t="s">
        <v>106</v>
      </c>
      <c r="I13" s="357" t="s">
        <v>155</v>
      </c>
      <c r="J13" s="357" t="s">
        <v>478</v>
      </c>
      <c r="K13" s="357" t="s">
        <v>538</v>
      </c>
    </row>
    <row r="14" spans="1:11" ht="21" customHeight="1">
      <c r="A14" s="345"/>
      <c r="B14" s="345"/>
      <c r="C14" s="346"/>
      <c r="D14" s="345"/>
      <c r="E14" s="345"/>
      <c r="F14" s="355"/>
      <c r="G14" s="355"/>
      <c r="H14" s="355"/>
      <c r="I14" s="358"/>
      <c r="J14" s="358"/>
      <c r="K14" s="358"/>
    </row>
    <row r="15" spans="1:11">
      <c r="A15" s="130"/>
      <c r="B15" s="131" t="s">
        <v>107</v>
      </c>
      <c r="C15" s="132"/>
      <c r="D15" s="132"/>
      <c r="E15" s="132"/>
      <c r="F15" s="132"/>
      <c r="G15" s="132"/>
      <c r="H15" s="132"/>
      <c r="I15" s="132"/>
      <c r="J15" s="132"/>
      <c r="K15" s="132"/>
    </row>
    <row r="16" spans="1:11" ht="21.75" customHeight="1">
      <c r="A16" s="1" t="s">
        <v>108</v>
      </c>
      <c r="B16" s="75"/>
      <c r="C16" s="75"/>
      <c r="D16" s="75"/>
      <c r="E16" s="75"/>
      <c r="F16" s="75">
        <f>SUM(F17:F18)/2</f>
        <v>250591</v>
      </c>
      <c r="G16" s="75">
        <f t="shared" ref="G16:I16" si="1">SUM(G17:G18)/2</f>
        <v>235591</v>
      </c>
      <c r="H16" s="75">
        <f t="shared" si="1"/>
        <v>0</v>
      </c>
      <c r="I16" s="148">
        <f t="shared" si="1"/>
        <v>15000</v>
      </c>
      <c r="J16" s="148">
        <v>0</v>
      </c>
      <c r="K16" s="75"/>
    </row>
    <row r="17" spans="1:11" ht="43.5" customHeight="1">
      <c r="A17" s="133"/>
      <c r="B17" s="78" t="s">
        <v>109</v>
      </c>
      <c r="C17" s="80"/>
      <c r="D17" s="79"/>
      <c r="E17" s="80" t="s">
        <v>110</v>
      </c>
      <c r="F17" s="80">
        <v>250591</v>
      </c>
      <c r="G17" s="80">
        <v>235591</v>
      </c>
      <c r="H17" s="80"/>
      <c r="I17" s="149">
        <f>F17-G17</f>
        <v>15000</v>
      </c>
      <c r="J17" s="149">
        <v>0</v>
      </c>
      <c r="K17" s="134"/>
    </row>
    <row r="18" spans="1:11" ht="27.75" customHeight="1">
      <c r="A18" s="133"/>
      <c r="B18" s="133"/>
      <c r="C18" s="135"/>
      <c r="D18" s="140" t="s">
        <v>111</v>
      </c>
      <c r="E18" s="140" t="s">
        <v>113</v>
      </c>
      <c r="F18" s="141">
        <v>250591</v>
      </c>
      <c r="G18" s="141">
        <v>235591</v>
      </c>
      <c r="H18" s="141"/>
      <c r="I18" s="146">
        <f>F18-G18</f>
        <v>15000</v>
      </c>
      <c r="J18" s="150">
        <v>0</v>
      </c>
      <c r="K18" s="142"/>
    </row>
  </sheetData>
  <mergeCells count="21">
    <mergeCell ref="H13:H14"/>
    <mergeCell ref="I13:I14"/>
    <mergeCell ref="K13:K14"/>
    <mergeCell ref="A13:B14"/>
    <mergeCell ref="C13:C14"/>
    <mergeCell ref="D13:D14"/>
    <mergeCell ref="E13:E14"/>
    <mergeCell ref="F13:F14"/>
    <mergeCell ref="G13:G14"/>
    <mergeCell ref="J13:J14"/>
    <mergeCell ref="A1:K1"/>
    <mergeCell ref="A4:B5"/>
    <mergeCell ref="C4:C5"/>
    <mergeCell ref="D4:D5"/>
    <mergeCell ref="E4:E5"/>
    <mergeCell ref="F4:F5"/>
    <mergeCell ref="G4:G5"/>
    <mergeCell ref="H4:H5"/>
    <mergeCell ref="I4:I5"/>
    <mergeCell ref="K4:K5"/>
    <mergeCell ref="J4:J5"/>
  </mergeCells>
  <phoneticPr fontId="2" type="noConversion"/>
  <printOptions horizontalCentered="1"/>
  <pageMargins left="0.55118110236220474" right="0.51181102362204722" top="0.98425196850393704" bottom="0.78740157480314965" header="0.51181102362204722" footer="0.51181102362204722"/>
  <pageSetup paperSize="9" scale="98" fitToHeight="0" orientation="landscape" r:id="rId1"/>
  <headerFooter alignWithMargins="0"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</sheetPr>
  <dimension ref="A1:Y18"/>
  <sheetViews>
    <sheetView showGridLines="0" view="pageBreakPreview" zoomScale="80" zoomScaleNormal="90" zoomScaleSheetLayoutView="80" workbookViewId="0">
      <pane ySplit="6" topLeftCell="A7" activePane="bottomLeft" state="frozen"/>
      <selection activeCell="R32" sqref="R32"/>
      <selection pane="bottomLeft" activeCell="R32" sqref="R32"/>
    </sheetView>
  </sheetViews>
  <sheetFormatPr defaultColWidth="8.75" defaultRowHeight="13.5"/>
  <cols>
    <col min="1" max="1" width="2.5" style="87" customWidth="1"/>
    <col min="2" max="2" width="4.25" style="68" customWidth="1"/>
    <col min="3" max="3" width="6.875" style="14" customWidth="1"/>
    <col min="4" max="4" width="12.75" style="87" customWidth="1"/>
    <col min="5" max="5" width="32" style="87" customWidth="1"/>
    <col min="6" max="6" width="12.375" style="87" hidden="1" customWidth="1"/>
    <col min="7" max="7" width="10.875" style="87" customWidth="1"/>
    <col min="8" max="8" width="12.375" style="87" customWidth="1"/>
    <col min="9" max="9" width="10.125" style="87" customWidth="1"/>
    <col min="10" max="10" width="10.75" style="87" customWidth="1"/>
    <col min="11" max="11" width="12.125" style="87" hidden="1" customWidth="1"/>
    <col min="12" max="13" width="10" style="87" customWidth="1"/>
    <col min="14" max="14" width="11.625" style="87" hidden="1" customWidth="1"/>
    <col min="15" max="15" width="9.25" style="87" hidden="1" customWidth="1"/>
    <col min="16" max="16" width="25.625" style="87" customWidth="1"/>
    <col min="17" max="17" width="5.375" style="14" customWidth="1"/>
    <col min="18" max="18" width="11.125" style="87" customWidth="1"/>
    <col min="19" max="19" width="11.25" style="87" customWidth="1"/>
    <col min="20" max="20" width="6" style="14" customWidth="1"/>
    <col min="21" max="21" width="3.375" style="87" customWidth="1"/>
    <col min="22" max="22" width="5.375" style="14" customWidth="1"/>
    <col min="23" max="23" width="11.125" style="87" customWidth="1"/>
    <col min="24" max="24" width="11.25" style="87" customWidth="1"/>
    <col min="25" max="25" width="6" style="14" customWidth="1"/>
    <col min="26" max="16384" width="8.75" style="87"/>
  </cols>
  <sheetData>
    <row r="1" spans="1:25" ht="29.25" customHeight="1">
      <c r="A1" s="344" t="s">
        <v>400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</row>
    <row r="2" spans="1:25" ht="22.5" customHeight="1">
      <c r="A2" s="15" t="s">
        <v>12</v>
      </c>
      <c r="B2" s="67"/>
      <c r="R2" s="191" t="s">
        <v>361</v>
      </c>
      <c r="S2" s="192"/>
      <c r="W2" s="191" t="s">
        <v>361</v>
      </c>
      <c r="X2" s="192"/>
    </row>
    <row r="3" spans="1:25" ht="16.5" customHeight="1">
      <c r="J3" s="87">
        <f>SUM(I6:J6)</f>
        <v>0</v>
      </c>
      <c r="M3" s="87">
        <f>SUM(L6:M6)</f>
        <v>81213</v>
      </c>
      <c r="P3" s="16" t="s">
        <v>15</v>
      </c>
      <c r="R3" s="192" t="str">
        <f>IF(R6='국비변경(일반 세출)(삭제)'!R6,"OK","@@")</f>
        <v>OK</v>
      </c>
      <c r="S3" s="87">
        <f>SUM(R6:S6)</f>
        <v>81213</v>
      </c>
      <c r="T3" s="192" t="str">
        <f>IF(COUNTIF(T6:T986,"@@")&gt;0,"@@","OK")</f>
        <v>OK</v>
      </c>
      <c r="W3" s="192" t="str">
        <f>IF(W6='국비변경(일반 세출)(삭제)'!W6,"OK","@@")</f>
        <v>OK</v>
      </c>
      <c r="X3" s="87">
        <f>SUM(W6:X6)</f>
        <v>0</v>
      </c>
      <c r="Y3" s="192" t="str">
        <f>IF(COUNTIF(Y6:Y986,"@@")&gt;0,"@@","OK")</f>
        <v>OK</v>
      </c>
    </row>
    <row r="4" spans="1:25" ht="27.75" customHeight="1">
      <c r="A4" s="345" t="s">
        <v>8</v>
      </c>
      <c r="B4" s="345"/>
      <c r="C4" s="346" t="s">
        <v>9</v>
      </c>
      <c r="D4" s="345" t="s">
        <v>7</v>
      </c>
      <c r="E4" s="345" t="s">
        <v>6</v>
      </c>
      <c r="F4" s="346" t="s">
        <v>69</v>
      </c>
      <c r="G4" s="346" t="s">
        <v>397</v>
      </c>
      <c r="H4" s="346" t="s">
        <v>398</v>
      </c>
      <c r="I4" s="347" t="s">
        <v>399</v>
      </c>
      <c r="J4" s="343"/>
      <c r="K4" s="346" t="s">
        <v>370</v>
      </c>
      <c r="L4" s="347" t="s">
        <v>402</v>
      </c>
      <c r="M4" s="343"/>
      <c r="N4" s="346" t="s">
        <v>371</v>
      </c>
      <c r="O4" s="348" t="s">
        <v>13</v>
      </c>
      <c r="P4" s="345" t="s">
        <v>10</v>
      </c>
      <c r="Q4" s="349" t="s">
        <v>11</v>
      </c>
      <c r="R4" s="351" t="s">
        <v>368</v>
      </c>
      <c r="S4" s="351"/>
      <c r="T4" s="351"/>
      <c r="V4" s="343" t="s">
        <v>11</v>
      </c>
      <c r="W4" s="342" t="s">
        <v>14</v>
      </c>
      <c r="X4" s="343"/>
      <c r="Y4" s="343"/>
    </row>
    <row r="5" spans="1:25" ht="14.25" customHeight="1">
      <c r="A5" s="345"/>
      <c r="B5" s="345"/>
      <c r="C5" s="346"/>
      <c r="D5" s="345"/>
      <c r="E5" s="345"/>
      <c r="F5" s="345"/>
      <c r="G5" s="345"/>
      <c r="H5" s="345"/>
      <c r="I5" s="208" t="s">
        <v>0</v>
      </c>
      <c r="J5" s="208" t="s">
        <v>1</v>
      </c>
      <c r="K5" s="345"/>
      <c r="L5" s="208" t="s">
        <v>0</v>
      </c>
      <c r="M5" s="208" t="s">
        <v>1</v>
      </c>
      <c r="N5" s="345"/>
      <c r="O5" s="348"/>
      <c r="P5" s="345"/>
      <c r="Q5" s="350"/>
      <c r="R5" s="168" t="s">
        <v>4</v>
      </c>
      <c r="S5" s="168" t="s">
        <v>2</v>
      </c>
      <c r="T5" s="168" t="s">
        <v>5</v>
      </c>
      <c r="V5" s="343"/>
      <c r="W5" s="168" t="s">
        <v>4</v>
      </c>
      <c r="X5" s="168" t="s">
        <v>2</v>
      </c>
      <c r="Y5" s="168" t="s">
        <v>5</v>
      </c>
    </row>
    <row r="6" spans="1:25" ht="42.75" customHeight="1">
      <c r="A6" s="17"/>
      <c r="B6" s="69" t="s">
        <v>3</v>
      </c>
      <c r="C6" s="19"/>
      <c r="D6" s="19"/>
      <c r="E6" s="19"/>
      <c r="F6" s="193">
        <f>SUM(F7:F142)/3</f>
        <v>2508987</v>
      </c>
      <c r="G6" s="193">
        <f>SUM(G7:G142)/3</f>
        <v>2670565</v>
      </c>
      <c r="H6" s="193">
        <f>SUM(H7:H142)/3</f>
        <v>190922</v>
      </c>
      <c r="I6" s="193">
        <f>SUM(I7:I18)/3</f>
        <v>0</v>
      </c>
      <c r="J6" s="193">
        <f>SUM(J7:J18)/3</f>
        <v>0</v>
      </c>
      <c r="K6" s="193">
        <f>SUM(K7:K18)/3</f>
        <v>2861487</v>
      </c>
      <c r="L6" s="193">
        <f>SUM(L7:L142)/3</f>
        <v>0</v>
      </c>
      <c r="M6" s="193">
        <f>SUM(M7:M142)/3</f>
        <v>81213</v>
      </c>
      <c r="N6" s="193">
        <f>SUM(N7:N142)/3</f>
        <v>2942700</v>
      </c>
      <c r="O6" s="2"/>
      <c r="P6" s="71"/>
      <c r="Q6" s="2"/>
      <c r="R6" s="193">
        <f>SUM(R7:R142)/3</f>
        <v>81213</v>
      </c>
      <c r="S6" s="193">
        <f>SUM(S7:S142)/3</f>
        <v>0</v>
      </c>
      <c r="T6" s="195" t="str">
        <f>IF((L6+M6)=(R6+S6),"OK","검토")</f>
        <v>OK</v>
      </c>
      <c r="V6" s="2"/>
      <c r="W6" s="193">
        <f>SUM(W7:W142)/3</f>
        <v>0</v>
      </c>
      <c r="X6" s="193">
        <f>SUM(X7:X142)/3</f>
        <v>0</v>
      </c>
      <c r="Y6" s="195" t="str">
        <f>IF((I6+J6)=(W6+X6),"OK","검토")</f>
        <v>OK</v>
      </c>
    </row>
    <row r="7" spans="1:25" ht="31.5" customHeight="1">
      <c r="A7" s="1" t="s">
        <v>114</v>
      </c>
      <c r="B7" s="75"/>
      <c r="C7" s="75"/>
      <c r="D7" s="75"/>
      <c r="E7" s="75"/>
      <c r="F7" s="76">
        <f t="shared" ref="F7" si="0">SUM(F8:F9)/2</f>
        <v>924743</v>
      </c>
      <c r="G7" s="76">
        <f>SUM(G8:G9)/2</f>
        <v>909307</v>
      </c>
      <c r="H7" s="76">
        <f t="shared" ref="H7:N7" si="1">SUM(H8:H9)/2</f>
        <v>15436</v>
      </c>
      <c r="I7" s="76">
        <f t="shared" si="1"/>
        <v>0</v>
      </c>
      <c r="J7" s="76">
        <f t="shared" si="1"/>
        <v>0</v>
      </c>
      <c r="K7" s="76">
        <f t="shared" si="1"/>
        <v>924743</v>
      </c>
      <c r="L7" s="76">
        <f t="shared" si="1"/>
        <v>0</v>
      </c>
      <c r="M7" s="76">
        <f t="shared" si="1"/>
        <v>1421</v>
      </c>
      <c r="N7" s="76">
        <f t="shared" si="1"/>
        <v>926164</v>
      </c>
      <c r="O7" s="76"/>
      <c r="P7" s="72"/>
      <c r="Q7" s="75"/>
      <c r="R7" s="76">
        <f>SUM(R8:R9)/2</f>
        <v>1421</v>
      </c>
      <c r="S7" s="76">
        <f>SUM(S8:S9)/2</f>
        <v>0</v>
      </c>
      <c r="T7" s="2" t="str">
        <f t="shared" ref="T7:T18" si="2">IF((L7+M7)=(R7+S7),"ok","검토")</f>
        <v>ok</v>
      </c>
      <c r="V7" s="75"/>
      <c r="W7" s="76">
        <f>SUM(W8:W9)/2</f>
        <v>0</v>
      </c>
      <c r="X7" s="76">
        <f>SUM(X8:X9)/2</f>
        <v>0</v>
      </c>
      <c r="Y7" s="2" t="str">
        <f t="shared" ref="Y7:Y18" si="3">IF((I7+J7)=(W7+X7),"ok","검토")</f>
        <v>ok</v>
      </c>
    </row>
    <row r="8" spans="1:25" ht="31.5" customHeight="1">
      <c r="A8" s="84"/>
      <c r="B8" s="78" t="s">
        <v>115</v>
      </c>
      <c r="C8" s="80"/>
      <c r="D8" s="79"/>
      <c r="E8" s="79"/>
      <c r="F8" s="81">
        <f t="shared" ref="F8:N8" si="4">SUM(F9:F9)</f>
        <v>924743</v>
      </c>
      <c r="G8" s="81">
        <f t="shared" si="4"/>
        <v>909307</v>
      </c>
      <c r="H8" s="81">
        <f t="shared" si="4"/>
        <v>15436</v>
      </c>
      <c r="I8" s="81">
        <f t="shared" si="4"/>
        <v>0</v>
      </c>
      <c r="J8" s="81">
        <f t="shared" si="4"/>
        <v>0</v>
      </c>
      <c r="K8" s="81">
        <f t="shared" si="4"/>
        <v>924743</v>
      </c>
      <c r="L8" s="81">
        <f t="shared" si="4"/>
        <v>0</v>
      </c>
      <c r="M8" s="81">
        <f t="shared" si="4"/>
        <v>1421</v>
      </c>
      <c r="N8" s="81">
        <f t="shared" si="4"/>
        <v>926164</v>
      </c>
      <c r="O8" s="81"/>
      <c r="P8" s="73"/>
      <c r="Q8" s="80"/>
      <c r="R8" s="81">
        <f>SUM(R9:R9)</f>
        <v>1421</v>
      </c>
      <c r="S8" s="81">
        <f>SUM(S9:S9)</f>
        <v>0</v>
      </c>
      <c r="T8" s="2" t="str">
        <f t="shared" si="2"/>
        <v>ok</v>
      </c>
      <c r="V8" s="80"/>
      <c r="W8" s="81">
        <f>SUM(W9:W9)</f>
        <v>0</v>
      </c>
      <c r="X8" s="81">
        <f>SUM(X9:X9)</f>
        <v>0</v>
      </c>
      <c r="Y8" s="2" t="str">
        <f t="shared" si="3"/>
        <v>ok</v>
      </c>
    </row>
    <row r="9" spans="1:25" ht="47.25" customHeight="1">
      <c r="A9" s="84"/>
      <c r="B9" s="211" t="s">
        <v>118</v>
      </c>
      <c r="C9" s="212">
        <v>328</v>
      </c>
      <c r="D9" s="209" t="s">
        <v>392</v>
      </c>
      <c r="E9" s="210" t="s">
        <v>393</v>
      </c>
      <c r="F9" s="213">
        <v>924743</v>
      </c>
      <c r="G9" s="213">
        <v>909307</v>
      </c>
      <c r="H9" s="215">
        <f>IF(SUMPRODUCT(COUNTIF(C9,{"*본예산*","*신규*"})),"-",F9-G9)</f>
        <v>15436</v>
      </c>
      <c r="I9" s="83"/>
      <c r="J9" s="83"/>
      <c r="K9" s="215">
        <f>IF(F9=0,G9+I9+J9,F9+I9+J9)</f>
        <v>924743</v>
      </c>
      <c r="L9" s="85"/>
      <c r="M9" s="85">
        <v>1421</v>
      </c>
      <c r="N9" s="215">
        <f>IF(F9=0,G9+L9+M9,F9+L9+M9)</f>
        <v>926164</v>
      </c>
      <c r="O9" s="82" t="str">
        <f>IF(I9-L9&lt;0,"동의필요","-")</f>
        <v>-</v>
      </c>
      <c r="P9" s="214" t="s">
        <v>395</v>
      </c>
      <c r="Q9" s="82" t="s">
        <v>76</v>
      </c>
      <c r="R9" s="85">
        <f>IF(Q9&lt;&gt;"도비",SUM(L9:M9),)</f>
        <v>1421</v>
      </c>
      <c r="S9" s="85">
        <f>IF(Q9="도비",SUM(L9:M9),SUM(L9:M9)-R9)</f>
        <v>0</v>
      </c>
      <c r="T9" s="2" t="str">
        <f t="shared" si="2"/>
        <v>ok</v>
      </c>
      <c r="V9" s="82" t="s">
        <v>76</v>
      </c>
      <c r="W9" s="85">
        <f>IF(V9&lt;&gt;"도비",SUM(I9:J9),)</f>
        <v>0</v>
      </c>
      <c r="X9" s="85">
        <f>IF(V9="도비",SUM(I9:J9),SUM(I9:J9)-W9)</f>
        <v>0</v>
      </c>
      <c r="Y9" s="2" t="str">
        <f t="shared" si="3"/>
        <v>ok</v>
      </c>
    </row>
    <row r="10" spans="1:25" ht="31.5" customHeight="1">
      <c r="A10" s="171" t="s">
        <v>182</v>
      </c>
      <c r="B10" s="172"/>
      <c r="C10" s="75"/>
      <c r="D10" s="75"/>
      <c r="E10" s="75"/>
      <c r="F10" s="76">
        <f t="shared" ref="F10:M10" si="5">SUM(F11:F12)/2</f>
        <v>201176</v>
      </c>
      <c r="G10" s="76">
        <f t="shared" si="5"/>
        <v>0</v>
      </c>
      <c r="H10" s="76">
        <f t="shared" si="5"/>
        <v>201176</v>
      </c>
      <c r="I10" s="76">
        <f t="shared" si="5"/>
        <v>0</v>
      </c>
      <c r="J10" s="76">
        <f t="shared" si="5"/>
        <v>0</v>
      </c>
      <c r="K10" s="76">
        <f t="shared" si="5"/>
        <v>201176</v>
      </c>
      <c r="L10" s="76">
        <f t="shared" si="5"/>
        <v>0</v>
      </c>
      <c r="M10" s="76">
        <f t="shared" si="5"/>
        <v>6179</v>
      </c>
      <c r="N10" s="76">
        <f>SUM(N11:N12)/2</f>
        <v>207355</v>
      </c>
      <c r="O10" s="76"/>
      <c r="P10" s="76"/>
      <c r="Q10" s="75"/>
      <c r="R10" s="76">
        <f>R11</f>
        <v>6179</v>
      </c>
      <c r="S10" s="76">
        <f>S11</f>
        <v>0</v>
      </c>
      <c r="T10" s="2" t="str">
        <f t="shared" si="2"/>
        <v>ok</v>
      </c>
      <c r="V10" s="75"/>
      <c r="W10" s="76">
        <f>W11</f>
        <v>0</v>
      </c>
      <c r="X10" s="76">
        <f>X11</f>
        <v>0</v>
      </c>
      <c r="Y10" s="2" t="str">
        <f t="shared" si="3"/>
        <v>ok</v>
      </c>
    </row>
    <row r="11" spans="1:25" ht="31.5" customHeight="1">
      <c r="A11" s="84"/>
      <c r="B11" s="173" t="s">
        <v>183</v>
      </c>
      <c r="C11" s="80"/>
      <c r="D11" s="79"/>
      <c r="E11" s="79"/>
      <c r="F11" s="81">
        <f t="shared" ref="F11:N11" si="6">SUM(F12:F12)</f>
        <v>201176</v>
      </c>
      <c r="G11" s="81">
        <f t="shared" si="6"/>
        <v>0</v>
      </c>
      <c r="H11" s="81">
        <f t="shared" si="6"/>
        <v>201176</v>
      </c>
      <c r="I11" s="81">
        <f t="shared" si="6"/>
        <v>0</v>
      </c>
      <c r="J11" s="81">
        <f t="shared" si="6"/>
        <v>0</v>
      </c>
      <c r="K11" s="81">
        <f t="shared" si="6"/>
        <v>201176</v>
      </c>
      <c r="L11" s="81">
        <f t="shared" si="6"/>
        <v>0</v>
      </c>
      <c r="M11" s="81">
        <f t="shared" si="6"/>
        <v>6179</v>
      </c>
      <c r="N11" s="81">
        <f t="shared" si="6"/>
        <v>207355</v>
      </c>
      <c r="O11" s="81"/>
      <c r="P11" s="151"/>
      <c r="Q11" s="80"/>
      <c r="R11" s="81">
        <f>SUM(R12:R12)</f>
        <v>6179</v>
      </c>
      <c r="S11" s="81">
        <f>SUM(S12:S12)</f>
        <v>0</v>
      </c>
      <c r="T11" s="2" t="str">
        <f t="shared" si="2"/>
        <v>ok</v>
      </c>
      <c r="V11" s="80"/>
      <c r="W11" s="81">
        <f>SUM(W12:W12)</f>
        <v>0</v>
      </c>
      <c r="X11" s="81">
        <f>SUM(X12:X12)</f>
        <v>0</v>
      </c>
      <c r="Y11" s="2" t="str">
        <f t="shared" si="3"/>
        <v>ok</v>
      </c>
    </row>
    <row r="12" spans="1:25" ht="39" customHeight="1">
      <c r="A12" s="84"/>
      <c r="B12" s="211" t="s">
        <v>467</v>
      </c>
      <c r="C12" s="235">
        <v>471</v>
      </c>
      <c r="D12" s="224" t="s">
        <v>468</v>
      </c>
      <c r="E12" s="74" t="s">
        <v>469</v>
      </c>
      <c r="F12" s="83">
        <v>201176</v>
      </c>
      <c r="G12" s="256"/>
      <c r="H12" s="215">
        <f>IF(SUMPRODUCT(COUNTIF(C12,{"*본예산*","*신규*"})),"-",F12-G12)</f>
        <v>201176</v>
      </c>
      <c r="I12" s="83"/>
      <c r="J12" s="83"/>
      <c r="K12" s="215">
        <f>IF(F12=0,G12+I12+J12,F12+I12+J12)</f>
        <v>201176</v>
      </c>
      <c r="L12" s="85"/>
      <c r="M12" s="257">
        <v>6179</v>
      </c>
      <c r="N12" s="215">
        <f>IF(F12=0,G12+L12+M12,F12+L12+M12)</f>
        <v>207355</v>
      </c>
      <c r="O12" s="82" t="str">
        <f t="shared" ref="O12" si="7">IF(I12-L12&lt;0,"동의필요","-")</f>
        <v>-</v>
      </c>
      <c r="P12" s="232" t="s">
        <v>470</v>
      </c>
      <c r="Q12" s="82" t="s">
        <v>471</v>
      </c>
      <c r="R12" s="85">
        <f>IF(Q12&lt;&gt;"도비",SUM(L12:M12),)</f>
        <v>6179</v>
      </c>
      <c r="S12" s="85">
        <f>IF(Q12="도비",SUM(L12:M12),SUM(L12:M12)-R12)</f>
        <v>0</v>
      </c>
      <c r="T12" s="2" t="str">
        <f t="shared" si="2"/>
        <v>ok</v>
      </c>
      <c r="V12" s="82" t="s">
        <v>137</v>
      </c>
      <c r="W12" s="85">
        <f>IF(V12&lt;&gt;"도비",SUM(I12:J12),)</f>
        <v>0</v>
      </c>
      <c r="X12" s="85">
        <f>IF(V12="도비",SUM(I12:J12),SUM(I12:J12)-W12)</f>
        <v>0</v>
      </c>
      <c r="Y12" s="2" t="str">
        <f t="shared" si="3"/>
        <v>ok</v>
      </c>
    </row>
    <row r="13" spans="1:25" ht="31.5" customHeight="1">
      <c r="A13" s="171" t="s">
        <v>20</v>
      </c>
      <c r="B13" s="172"/>
      <c r="C13" s="174"/>
      <c r="D13" s="174"/>
      <c r="E13" s="75"/>
      <c r="F13" s="76">
        <f t="shared" ref="F13:N13" si="8">SUM(F14:F18)/2</f>
        <v>1383068</v>
      </c>
      <c r="G13" s="76">
        <f t="shared" si="8"/>
        <v>1761258</v>
      </c>
      <c r="H13" s="76">
        <f t="shared" si="8"/>
        <v>-25690</v>
      </c>
      <c r="I13" s="76">
        <f t="shared" si="8"/>
        <v>0</v>
      </c>
      <c r="J13" s="76">
        <f t="shared" si="8"/>
        <v>0</v>
      </c>
      <c r="K13" s="76">
        <f t="shared" si="8"/>
        <v>1735568</v>
      </c>
      <c r="L13" s="76">
        <f t="shared" si="8"/>
        <v>0</v>
      </c>
      <c r="M13" s="76">
        <f t="shared" si="8"/>
        <v>73613</v>
      </c>
      <c r="N13" s="76">
        <f t="shared" si="8"/>
        <v>1809181</v>
      </c>
      <c r="O13" s="76"/>
      <c r="P13" s="152"/>
      <c r="Q13" s="75"/>
      <c r="R13" s="76">
        <f>R14</f>
        <v>73613</v>
      </c>
      <c r="S13" s="76">
        <f>S14</f>
        <v>0</v>
      </c>
      <c r="T13" s="2" t="str">
        <f t="shared" si="2"/>
        <v>ok</v>
      </c>
      <c r="V13" s="75"/>
      <c r="W13" s="76">
        <f t="shared" ref="W13:X13" si="9">W14</f>
        <v>0</v>
      </c>
      <c r="X13" s="76">
        <f t="shared" si="9"/>
        <v>0</v>
      </c>
      <c r="Y13" s="2" t="str">
        <f t="shared" si="3"/>
        <v>ok</v>
      </c>
    </row>
    <row r="14" spans="1:25" ht="31.5" customHeight="1">
      <c r="A14" s="84"/>
      <c r="B14" s="70" t="s">
        <v>198</v>
      </c>
      <c r="C14" s="80"/>
      <c r="D14" s="79"/>
      <c r="E14" s="79"/>
      <c r="F14" s="81">
        <f t="shared" ref="F14:N14" si="10">SUM(F15:F18)</f>
        <v>1383068</v>
      </c>
      <c r="G14" s="81">
        <f t="shared" si="10"/>
        <v>1761258</v>
      </c>
      <c r="H14" s="81">
        <f t="shared" si="10"/>
        <v>-25690</v>
      </c>
      <c r="I14" s="81">
        <f t="shared" si="10"/>
        <v>0</v>
      </c>
      <c r="J14" s="81">
        <f t="shared" si="10"/>
        <v>0</v>
      </c>
      <c r="K14" s="81">
        <f t="shared" si="10"/>
        <v>1735568</v>
      </c>
      <c r="L14" s="81">
        <f t="shared" si="10"/>
        <v>0</v>
      </c>
      <c r="M14" s="81">
        <f t="shared" si="10"/>
        <v>73613</v>
      </c>
      <c r="N14" s="81">
        <f t="shared" si="10"/>
        <v>1809181</v>
      </c>
      <c r="O14" s="81"/>
      <c r="P14" s="151"/>
      <c r="Q14" s="80"/>
      <c r="R14" s="81">
        <f>SUM(R15:R18)</f>
        <v>73613</v>
      </c>
      <c r="S14" s="81">
        <f>SUM(S15:S18)</f>
        <v>0</v>
      </c>
      <c r="T14" s="2" t="str">
        <f t="shared" si="2"/>
        <v>ok</v>
      </c>
      <c r="V14" s="80"/>
      <c r="W14" s="81">
        <f>SUM(W15:W18)</f>
        <v>0</v>
      </c>
      <c r="X14" s="81">
        <f>SUM(X15:X18)</f>
        <v>0</v>
      </c>
      <c r="Y14" s="2" t="str">
        <f t="shared" si="3"/>
        <v>ok</v>
      </c>
    </row>
    <row r="15" spans="1:25" ht="54" customHeight="1">
      <c r="A15" s="123"/>
      <c r="B15" s="162" t="s">
        <v>116</v>
      </c>
      <c r="C15" s="212">
        <v>743</v>
      </c>
      <c r="D15" s="209" t="s">
        <v>449</v>
      </c>
      <c r="E15" s="230" t="s">
        <v>443</v>
      </c>
      <c r="F15" s="83">
        <v>321500</v>
      </c>
      <c r="G15" s="83">
        <v>348758</v>
      </c>
      <c r="H15" s="215">
        <f>IF(SUMPRODUCT(COUNTIF(C15,{"*본예산*","*신규*"})),"-",F15-G15)</f>
        <v>-27258</v>
      </c>
      <c r="I15" s="83"/>
      <c r="J15" s="83"/>
      <c r="K15" s="215">
        <f t="shared" ref="K15:K18" si="11">IF(F15=0,G15+I15+J15,F15+I15+J15)</f>
        <v>321500</v>
      </c>
      <c r="L15" s="85"/>
      <c r="M15" s="85">
        <v>37104</v>
      </c>
      <c r="N15" s="215">
        <f t="shared" ref="N15:N18" si="12">IF(F15=0,G15+L15+M15,F15+L15+M15)</f>
        <v>358604</v>
      </c>
      <c r="O15" s="82"/>
      <c r="P15" s="232" t="s">
        <v>445</v>
      </c>
      <c r="Q15" s="169" t="s">
        <v>52</v>
      </c>
      <c r="R15" s="85">
        <f t="shared" ref="R15:R18" si="13">IF(Q15&lt;&gt;"도비",SUM(L15:M15),)</f>
        <v>37104</v>
      </c>
      <c r="S15" s="85">
        <f t="shared" ref="S15:S18" si="14">IF(Q15="도비",SUM(L15:M15),SUM(L15:M15)-R15)</f>
        <v>0</v>
      </c>
      <c r="T15" s="2" t="str">
        <f t="shared" si="2"/>
        <v>ok</v>
      </c>
      <c r="V15" s="82" t="s">
        <v>215</v>
      </c>
      <c r="W15" s="85">
        <f t="shared" ref="W15:W18" si="15">IF(V15&lt;&gt;"도비",SUM(I15:J15),)</f>
        <v>0</v>
      </c>
      <c r="X15" s="85">
        <f t="shared" ref="X15:X18" si="16">IF(V15="도비",SUM(I15:J15),SUM(I15:J15)-W15)</f>
        <v>0</v>
      </c>
      <c r="Y15" s="2" t="str">
        <f t="shared" si="3"/>
        <v>ok</v>
      </c>
    </row>
    <row r="16" spans="1:25" ht="36.75" customHeight="1">
      <c r="A16" s="123"/>
      <c r="B16" s="162" t="s">
        <v>384</v>
      </c>
      <c r="C16" s="212">
        <v>743</v>
      </c>
      <c r="D16" s="209" t="s">
        <v>385</v>
      </c>
      <c r="E16" s="74" t="s">
        <v>386</v>
      </c>
      <c r="F16" s="83">
        <v>1061568</v>
      </c>
      <c r="G16" s="83">
        <v>1060000</v>
      </c>
      <c r="H16" s="215">
        <f>IF(SUMPRODUCT(COUNTIF(C16,{"*본예산*","*신규*"})),"-",F16-G16)</f>
        <v>1568</v>
      </c>
      <c r="I16" s="83"/>
      <c r="J16" s="83"/>
      <c r="K16" s="215">
        <f t="shared" ref="K16" si="17">IF(F16=0,G16+I16+J16,F16+I16+J16)</f>
        <v>1061568</v>
      </c>
      <c r="L16" s="85"/>
      <c r="M16" s="85">
        <v>28000</v>
      </c>
      <c r="N16" s="215">
        <f t="shared" ref="N16" si="18">IF(F16=0,G16+L16+M16,F16+L16+M16)</f>
        <v>1089568</v>
      </c>
      <c r="O16" s="82"/>
      <c r="P16" s="147" t="s">
        <v>394</v>
      </c>
      <c r="Q16" s="169" t="s">
        <v>76</v>
      </c>
      <c r="R16" s="85">
        <f t="shared" ref="R16" si="19">IF(Q16&lt;&gt;"도비",SUM(L16:M16),)</f>
        <v>28000</v>
      </c>
      <c r="S16" s="85">
        <f t="shared" ref="S16" si="20">IF(Q16="도비",SUM(L16:M16),SUM(L16:M16)-R16)</f>
        <v>0</v>
      </c>
      <c r="T16" s="2" t="str">
        <f t="shared" ref="T16" si="21">IF((L16+M16)=(R16+S16),"ok","검토")</f>
        <v>ok</v>
      </c>
      <c r="V16" s="82" t="s">
        <v>76</v>
      </c>
      <c r="W16" s="85">
        <f t="shared" ref="W16" si="22">IF(V16&lt;&gt;"도비",SUM(I16:J16),)</f>
        <v>0</v>
      </c>
      <c r="X16" s="85">
        <f t="shared" ref="X16" si="23">IF(V16="도비",SUM(I16:J16),SUM(I16:J16)-W16)</f>
        <v>0</v>
      </c>
      <c r="Y16" s="2" t="str">
        <f t="shared" ref="Y16" si="24">IF((I16+J16)=(W16+X16),"ok","검토")</f>
        <v>ok</v>
      </c>
    </row>
    <row r="17" spans="1:25" ht="36.75" customHeight="1">
      <c r="A17" s="123"/>
      <c r="B17" s="162" t="s">
        <v>387</v>
      </c>
      <c r="C17" s="212" t="s">
        <v>388</v>
      </c>
      <c r="D17" s="209" t="s">
        <v>385</v>
      </c>
      <c r="E17" s="74" t="s">
        <v>389</v>
      </c>
      <c r="F17" s="83"/>
      <c r="G17" s="83">
        <v>205000</v>
      </c>
      <c r="H17" s="215" t="str">
        <f>IF(SUMPRODUCT(COUNTIF(C17,{"*본예산*","*신규*"})),"-",F17-G17)</f>
        <v>-</v>
      </c>
      <c r="I17" s="83"/>
      <c r="J17" s="83"/>
      <c r="K17" s="215">
        <f t="shared" si="11"/>
        <v>205000</v>
      </c>
      <c r="L17" s="85"/>
      <c r="M17" s="85">
        <v>2000</v>
      </c>
      <c r="N17" s="215">
        <f t="shared" si="12"/>
        <v>207000</v>
      </c>
      <c r="O17" s="82"/>
      <c r="P17" s="147" t="s">
        <v>394</v>
      </c>
      <c r="Q17" s="169" t="s">
        <v>76</v>
      </c>
      <c r="R17" s="85">
        <f t="shared" si="13"/>
        <v>2000</v>
      </c>
      <c r="S17" s="85">
        <f t="shared" si="14"/>
        <v>0</v>
      </c>
      <c r="T17" s="2" t="str">
        <f t="shared" si="2"/>
        <v>ok</v>
      </c>
      <c r="V17" s="82" t="s">
        <v>76</v>
      </c>
      <c r="W17" s="85">
        <f t="shared" si="15"/>
        <v>0</v>
      </c>
      <c r="X17" s="85">
        <f t="shared" si="16"/>
        <v>0</v>
      </c>
      <c r="Y17" s="2" t="str">
        <f t="shared" si="3"/>
        <v>ok</v>
      </c>
    </row>
    <row r="18" spans="1:25" ht="36.75" customHeight="1">
      <c r="A18" s="123"/>
      <c r="B18" s="162" t="s">
        <v>387</v>
      </c>
      <c r="C18" s="212" t="s">
        <v>388</v>
      </c>
      <c r="D18" s="209" t="s">
        <v>385</v>
      </c>
      <c r="E18" s="74" t="s">
        <v>390</v>
      </c>
      <c r="F18" s="83"/>
      <c r="G18" s="83">
        <v>147500</v>
      </c>
      <c r="H18" s="215" t="str">
        <f>IF(SUMPRODUCT(COUNTIF(C18,{"*본예산*","*신규*"})),"-",F18-G18)</f>
        <v>-</v>
      </c>
      <c r="I18" s="83"/>
      <c r="J18" s="83"/>
      <c r="K18" s="215">
        <f t="shared" si="11"/>
        <v>147500</v>
      </c>
      <c r="L18" s="85"/>
      <c r="M18" s="85">
        <v>6509</v>
      </c>
      <c r="N18" s="215">
        <f t="shared" si="12"/>
        <v>154009</v>
      </c>
      <c r="O18" s="82"/>
      <c r="P18" s="147" t="s">
        <v>394</v>
      </c>
      <c r="Q18" s="169" t="s">
        <v>214</v>
      </c>
      <c r="R18" s="85">
        <f t="shared" si="13"/>
        <v>6509</v>
      </c>
      <c r="S18" s="85">
        <f t="shared" si="14"/>
        <v>0</v>
      </c>
      <c r="T18" s="2" t="str">
        <f t="shared" si="2"/>
        <v>ok</v>
      </c>
      <c r="V18" s="82" t="s">
        <v>214</v>
      </c>
      <c r="W18" s="85">
        <f t="shared" si="15"/>
        <v>0</v>
      </c>
      <c r="X18" s="85">
        <f t="shared" si="16"/>
        <v>0</v>
      </c>
      <c r="Y18" s="2" t="str">
        <f t="shared" si="3"/>
        <v>ok</v>
      </c>
    </row>
  </sheetData>
  <autoFilter ref="A6:Y6"/>
  <mergeCells count="18"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  <mergeCell ref="V4:V5"/>
    <mergeCell ref="W4:Y4"/>
    <mergeCell ref="L4:M4"/>
    <mergeCell ref="N4:N5"/>
    <mergeCell ref="O4:O5"/>
    <mergeCell ref="P4:P5"/>
    <mergeCell ref="Q4:Q5"/>
    <mergeCell ref="R4:T4"/>
  </mergeCells>
  <phoneticPr fontId="2" type="noConversion"/>
  <conditionalFormatting sqref="Q6:Q11 Q17:Q86 V17:V86 Q13:Q15 V6:V15">
    <cfRule type="containsText" dxfId="44" priority="21" operator="containsText" text="분권">
      <formula>NOT(ISERROR(SEARCH("분권",Q6)))</formula>
    </cfRule>
    <cfRule type="containsText" dxfId="43" priority="22" operator="containsText" text="특교">
      <formula>NOT(ISERROR(SEARCH("특교",Q6)))</formula>
    </cfRule>
    <cfRule type="containsText" dxfId="42" priority="23" operator="containsText" text="광특">
      <formula>NOT(ISERROR(SEARCH("광특",Q6)))</formula>
    </cfRule>
    <cfRule type="containsText" dxfId="41" priority="24" operator="containsText" text="기금">
      <formula>NOT(ISERROR(SEARCH("기금",Q6)))</formula>
    </cfRule>
    <cfRule type="containsText" dxfId="40" priority="25" operator="containsText" text="국비">
      <formula>NOT(ISERROR(SEARCH("국비",Q6)))</formula>
    </cfRule>
  </conditionalFormatting>
  <conditionalFormatting sqref="V16 Q16">
    <cfRule type="containsText" dxfId="39" priority="11" operator="containsText" text="분권">
      <formula>NOT(ISERROR(SEARCH("분권",Q16)))</formula>
    </cfRule>
    <cfRule type="containsText" dxfId="38" priority="12" operator="containsText" text="특교">
      <formula>NOT(ISERROR(SEARCH("특교",Q16)))</formula>
    </cfRule>
    <cfRule type="containsText" dxfId="37" priority="13" operator="containsText" text="광특">
      <formula>NOT(ISERROR(SEARCH("광특",Q16)))</formula>
    </cfRule>
    <cfRule type="containsText" dxfId="36" priority="14" operator="containsText" text="기금">
      <formula>NOT(ISERROR(SEARCH("기금",Q16)))</formula>
    </cfRule>
    <cfRule type="containsText" dxfId="35" priority="15" operator="containsText" text="국비">
      <formula>NOT(ISERROR(SEARCH("국비",Q16)))</formula>
    </cfRule>
  </conditionalFormatting>
  <conditionalFormatting sqref="Q12">
    <cfRule type="containsText" dxfId="34" priority="1" operator="containsText" text="분권">
      <formula>NOT(ISERROR(SEARCH("분권",Q12)))</formula>
    </cfRule>
    <cfRule type="containsText" dxfId="33" priority="2" operator="containsText" text="특교">
      <formula>NOT(ISERROR(SEARCH("특교",Q12)))</formula>
    </cfRule>
    <cfRule type="containsText" dxfId="32" priority="3" operator="containsText" text="광특">
      <formula>NOT(ISERROR(SEARCH("광특",Q12)))</formula>
    </cfRule>
    <cfRule type="containsText" dxfId="31" priority="4" operator="containsText" text="기금">
      <formula>NOT(ISERROR(SEARCH("기금",Q12)))</formula>
    </cfRule>
    <cfRule type="containsText" dxfId="30" priority="5" operator="containsText" text="국비">
      <formula>NOT(ISERROR(SEARCH("국비",Q12)))</formula>
    </cfRule>
  </conditionalFormatting>
  <printOptions horizontalCentered="1"/>
  <pageMargins left="0.31496062992125984" right="0.23622047244094491" top="0.74803149606299213" bottom="0.74803149606299213" header="0.31496062992125984" footer="0.31496062992125984"/>
  <pageSetup paperSize="9" scale="88" orientation="landscape" cellComments="asDisplayed" r:id="rId1"/>
  <headerFooter>
    <oddFooter>&amp;C&amp;P/&amp;N</oddFooter>
  </headerFooter>
  <colBreaks count="1" manualBreakCount="1">
    <brk id="21" max="29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</sheetPr>
  <dimension ref="A1:Y26"/>
  <sheetViews>
    <sheetView showGridLines="0" view="pageBreakPreview" zoomScale="80" zoomScaleNormal="70" zoomScaleSheetLayoutView="80" workbookViewId="0">
      <pane ySplit="5" topLeftCell="A6" activePane="bottomLeft" state="frozen"/>
      <selection activeCell="P16" sqref="P16"/>
      <selection pane="bottomLeft" activeCell="R32" sqref="R32"/>
    </sheetView>
  </sheetViews>
  <sheetFormatPr defaultColWidth="8.75" defaultRowHeight="13.5"/>
  <cols>
    <col min="1" max="1" width="2.5" style="87" customWidth="1"/>
    <col min="2" max="2" width="4.25" style="87" customWidth="1"/>
    <col min="3" max="3" width="7.75" style="14" customWidth="1"/>
    <col min="4" max="4" width="13.625" style="87" customWidth="1"/>
    <col min="5" max="5" width="33.875" style="87" customWidth="1"/>
    <col min="6" max="6" width="11.75" style="87" hidden="1" customWidth="1"/>
    <col min="7" max="7" width="10.75" style="87" customWidth="1"/>
    <col min="8" max="8" width="11" style="87" customWidth="1"/>
    <col min="9" max="9" width="11.375" style="87" customWidth="1"/>
    <col min="10" max="10" width="10.75" style="87" customWidth="1"/>
    <col min="11" max="11" width="11.75" style="87" hidden="1" customWidth="1"/>
    <col min="12" max="12" width="11.375" style="87" customWidth="1"/>
    <col min="13" max="13" width="10.75" style="87" customWidth="1"/>
    <col min="14" max="14" width="12.75" style="87" hidden="1" customWidth="1"/>
    <col min="15" max="15" width="9.875" style="14" hidden="1" customWidth="1"/>
    <col min="16" max="16" width="27.625" style="87" customWidth="1"/>
    <col min="17" max="17" width="6.125" style="188" customWidth="1"/>
    <col min="18" max="18" width="11.625" style="87" customWidth="1"/>
    <col min="19" max="19" width="11.125" style="87" customWidth="1"/>
    <col min="20" max="20" width="6" style="14" customWidth="1"/>
    <col min="21" max="21" width="3" style="87" customWidth="1"/>
    <col min="22" max="22" width="6.125" style="188" customWidth="1"/>
    <col min="23" max="23" width="11.625" style="87" customWidth="1"/>
    <col min="24" max="24" width="11.125" style="87" customWidth="1"/>
    <col min="25" max="25" width="6" style="14" customWidth="1"/>
    <col min="26" max="16384" width="8.75" style="87"/>
  </cols>
  <sheetData>
    <row r="1" spans="1:25" ht="27" customHeight="1">
      <c r="A1" s="344" t="s">
        <v>401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</row>
    <row r="2" spans="1:25" ht="20.25">
      <c r="A2" s="15" t="s">
        <v>73</v>
      </c>
      <c r="B2" s="15"/>
      <c r="R2" s="191" t="s">
        <v>438</v>
      </c>
      <c r="S2" s="192"/>
      <c r="W2" s="191" t="s">
        <v>438</v>
      </c>
      <c r="X2" s="192"/>
    </row>
    <row r="3" spans="1:25" ht="15.75" customHeight="1">
      <c r="J3" s="87">
        <f>SUM(I6:J6)</f>
        <v>0</v>
      </c>
      <c r="L3" s="120"/>
      <c r="M3" s="87">
        <f>SUM(L6:M6)</f>
        <v>93808</v>
      </c>
      <c r="N3" s="119"/>
      <c r="O3" s="197"/>
      <c r="P3" s="16" t="s">
        <v>72</v>
      </c>
      <c r="R3" s="192" t="s">
        <v>441</v>
      </c>
      <c r="S3" s="87">
        <f>SUM(R6:S6)</f>
        <v>93808</v>
      </c>
      <c r="T3" s="192" t="str">
        <f>IF(COUNTIF(T6:T918,"@@")&gt;0,"@@","OK")</f>
        <v>OK</v>
      </c>
      <c r="W3" s="192" t="s">
        <v>441</v>
      </c>
      <c r="X3" s="87">
        <f>SUM(W6:X6)</f>
        <v>0</v>
      </c>
      <c r="Y3" s="192" t="str">
        <f>IF(COUNTIF(Y6:Y918,"@@")&gt;0,"@@","OK")</f>
        <v>OK</v>
      </c>
    </row>
    <row r="4" spans="1:25" ht="27" customHeight="1">
      <c r="A4" s="345" t="s">
        <v>373</v>
      </c>
      <c r="B4" s="345"/>
      <c r="C4" s="346" t="s">
        <v>374</v>
      </c>
      <c r="D4" s="345" t="s">
        <v>375</v>
      </c>
      <c r="E4" s="345" t="s">
        <v>376</v>
      </c>
      <c r="F4" s="346" t="s">
        <v>377</v>
      </c>
      <c r="G4" s="346" t="s">
        <v>397</v>
      </c>
      <c r="H4" s="346" t="s">
        <v>398</v>
      </c>
      <c r="I4" s="347" t="s">
        <v>399</v>
      </c>
      <c r="J4" s="343"/>
      <c r="K4" s="346" t="s">
        <v>369</v>
      </c>
      <c r="L4" s="347" t="s">
        <v>402</v>
      </c>
      <c r="M4" s="343"/>
      <c r="N4" s="346" t="s">
        <v>372</v>
      </c>
      <c r="O4" s="348" t="s">
        <v>378</v>
      </c>
      <c r="P4" s="345" t="s">
        <v>10</v>
      </c>
      <c r="Q4" s="354" t="s">
        <v>81</v>
      </c>
      <c r="R4" s="351" t="s">
        <v>368</v>
      </c>
      <c r="S4" s="351"/>
      <c r="T4" s="351"/>
      <c r="V4" s="354" t="s">
        <v>81</v>
      </c>
      <c r="W4" s="342" t="s">
        <v>14</v>
      </c>
      <c r="X4" s="343"/>
      <c r="Y4" s="343"/>
    </row>
    <row r="5" spans="1:25" ht="15.75" customHeight="1">
      <c r="A5" s="345"/>
      <c r="B5" s="345"/>
      <c r="C5" s="346"/>
      <c r="D5" s="345"/>
      <c r="E5" s="345"/>
      <c r="F5" s="345"/>
      <c r="G5" s="345"/>
      <c r="H5" s="345"/>
      <c r="I5" s="208" t="s">
        <v>0</v>
      </c>
      <c r="J5" s="208" t="s">
        <v>1</v>
      </c>
      <c r="K5" s="345"/>
      <c r="L5" s="208" t="s">
        <v>0</v>
      </c>
      <c r="M5" s="208" t="s">
        <v>1</v>
      </c>
      <c r="N5" s="345"/>
      <c r="O5" s="348"/>
      <c r="P5" s="345"/>
      <c r="Q5" s="355"/>
      <c r="R5" s="168" t="s">
        <v>82</v>
      </c>
      <c r="S5" s="168" t="s">
        <v>2</v>
      </c>
      <c r="T5" s="168" t="s">
        <v>5</v>
      </c>
      <c r="V5" s="355"/>
      <c r="W5" s="168" t="s">
        <v>82</v>
      </c>
      <c r="X5" s="168" t="s">
        <v>2</v>
      </c>
      <c r="Y5" s="168" t="s">
        <v>5</v>
      </c>
    </row>
    <row r="6" spans="1:25" ht="15.75" customHeight="1">
      <c r="A6" s="17"/>
      <c r="B6" s="18" t="s">
        <v>409</v>
      </c>
      <c r="C6" s="19"/>
      <c r="D6" s="19"/>
      <c r="E6" s="19"/>
      <c r="F6" s="77">
        <f t="shared" ref="F6:N6" si="0">SUM(F7:F25)/3</f>
        <v>1017492</v>
      </c>
      <c r="G6" s="77">
        <f t="shared" si="0"/>
        <v>10136789</v>
      </c>
      <c r="H6" s="77">
        <f t="shared" si="0"/>
        <v>-25081</v>
      </c>
      <c r="I6" s="77">
        <f t="shared" si="0"/>
        <v>0</v>
      </c>
      <c r="J6" s="77">
        <f t="shared" si="0"/>
        <v>0</v>
      </c>
      <c r="K6" s="77">
        <f t="shared" si="0"/>
        <v>10111708</v>
      </c>
      <c r="L6" s="77">
        <f t="shared" si="0"/>
        <v>-126650</v>
      </c>
      <c r="M6" s="77">
        <f t="shared" si="0"/>
        <v>220458</v>
      </c>
      <c r="N6" s="77">
        <f t="shared" si="0"/>
        <v>10205516</v>
      </c>
      <c r="O6" s="2"/>
      <c r="P6" s="194"/>
      <c r="Q6" s="166"/>
      <c r="R6" s="201">
        <f>SUM(R7:R25)/3</f>
        <v>81213</v>
      </c>
      <c r="S6" s="200">
        <f>SUM(S7:S25)/3</f>
        <v>12595</v>
      </c>
      <c r="T6" s="195" t="str">
        <f>IF((L6+M6)=(R6+S6),"OK","검토")</f>
        <v>OK</v>
      </c>
      <c r="V6" s="166"/>
      <c r="W6" s="201">
        <f>SUM(W7:W25)/3</f>
        <v>0</v>
      </c>
      <c r="X6" s="200">
        <f>SUM(X7:X25)/3</f>
        <v>0</v>
      </c>
      <c r="Y6" s="195" t="str">
        <f>IF((I6+J6)=(W6+X6),"OK","검토")</f>
        <v>OK</v>
      </c>
    </row>
    <row r="7" spans="1:25" ht="15.75" customHeight="1">
      <c r="A7" s="1" t="s">
        <v>410</v>
      </c>
      <c r="B7" s="75"/>
      <c r="C7" s="75"/>
      <c r="D7" s="75"/>
      <c r="E7" s="75"/>
      <c r="F7" s="76">
        <f t="shared" ref="F7:N7" si="1">SUM(F8:F9)/2</f>
        <v>31210</v>
      </c>
      <c r="G7" s="76">
        <f t="shared" si="1"/>
        <v>30574</v>
      </c>
      <c r="H7" s="76">
        <f t="shared" si="1"/>
        <v>636</v>
      </c>
      <c r="I7" s="76">
        <f t="shared" si="1"/>
        <v>0</v>
      </c>
      <c r="J7" s="76">
        <f t="shared" si="1"/>
        <v>0</v>
      </c>
      <c r="K7" s="76">
        <f t="shared" si="1"/>
        <v>31210</v>
      </c>
      <c r="L7" s="76">
        <f t="shared" si="1"/>
        <v>0</v>
      </c>
      <c r="M7" s="76">
        <f t="shared" si="1"/>
        <v>1421</v>
      </c>
      <c r="N7" s="76">
        <f t="shared" si="1"/>
        <v>32631</v>
      </c>
      <c r="O7" s="75"/>
      <c r="P7" s="76"/>
      <c r="Q7" s="75"/>
      <c r="R7" s="196">
        <f>SUM(R8:R9)/2</f>
        <v>1421</v>
      </c>
      <c r="S7" s="196">
        <f>SUM(S8:S9)/2</f>
        <v>0</v>
      </c>
      <c r="T7" s="2" t="str">
        <f t="shared" ref="T7:T25" si="2">IF((L7+M7)=(R7+S7),"ok","검토")</f>
        <v>ok</v>
      </c>
      <c r="V7" s="75"/>
      <c r="W7" s="196">
        <f t="shared" ref="W7:X7" si="3">SUM(W8:W9)/2</f>
        <v>0</v>
      </c>
      <c r="X7" s="196">
        <f t="shared" si="3"/>
        <v>0</v>
      </c>
      <c r="Y7" s="2" t="str">
        <f t="shared" ref="Y7:Y25" si="4">IF((I7+J7)=(W7+X7),"ok","검토")</f>
        <v>ok</v>
      </c>
    </row>
    <row r="8" spans="1:25" ht="15.75" customHeight="1">
      <c r="A8" s="84"/>
      <c r="B8" s="78" t="s">
        <v>411</v>
      </c>
      <c r="C8" s="80"/>
      <c r="D8" s="79"/>
      <c r="E8" s="79"/>
      <c r="F8" s="81">
        <f t="shared" ref="F8:N8" si="5">SUM(F9:F9)</f>
        <v>31210</v>
      </c>
      <c r="G8" s="81">
        <f t="shared" si="5"/>
        <v>30574</v>
      </c>
      <c r="H8" s="81">
        <f t="shared" si="5"/>
        <v>636</v>
      </c>
      <c r="I8" s="81">
        <f t="shared" si="5"/>
        <v>0</v>
      </c>
      <c r="J8" s="81">
        <f t="shared" si="5"/>
        <v>0</v>
      </c>
      <c r="K8" s="81">
        <f t="shared" si="5"/>
        <v>31210</v>
      </c>
      <c r="L8" s="81">
        <f t="shared" si="5"/>
        <v>0</v>
      </c>
      <c r="M8" s="81">
        <f t="shared" si="5"/>
        <v>1421</v>
      </c>
      <c r="N8" s="81">
        <f t="shared" si="5"/>
        <v>32631</v>
      </c>
      <c r="O8" s="80"/>
      <c r="P8" s="81"/>
      <c r="Q8" s="80"/>
      <c r="R8" s="81">
        <f>SUM(R9)</f>
        <v>1421</v>
      </c>
      <c r="S8" s="81">
        <f>SUM(S9)</f>
        <v>0</v>
      </c>
      <c r="T8" s="2" t="str">
        <f t="shared" si="2"/>
        <v>ok</v>
      </c>
      <c r="V8" s="80"/>
      <c r="W8" s="81">
        <f>SUM(W9)</f>
        <v>0</v>
      </c>
      <c r="X8" s="81">
        <f>SUM(X9)</f>
        <v>0</v>
      </c>
      <c r="Y8" s="2" t="str">
        <f t="shared" si="4"/>
        <v>ok</v>
      </c>
    </row>
    <row r="9" spans="1:25" ht="31.5" customHeight="1">
      <c r="A9" s="84"/>
      <c r="B9" s="121" t="s">
        <v>412</v>
      </c>
      <c r="C9" s="122">
        <v>395</v>
      </c>
      <c r="D9" s="123" t="s">
        <v>413</v>
      </c>
      <c r="E9" s="210" t="s">
        <v>414</v>
      </c>
      <c r="F9" s="83">
        <v>31210</v>
      </c>
      <c r="G9" s="83">
        <v>30574</v>
      </c>
      <c r="H9" s="215">
        <f>IF(SUMPRODUCT(COUNTIF(C9,{"*본예산*","*신규*"})),"-",F9-G9)</f>
        <v>636</v>
      </c>
      <c r="I9" s="83"/>
      <c r="J9" s="83"/>
      <c r="K9" s="215">
        <f t="shared" ref="K9" si="6">IF(F9=0,G9+I9+J9,F9+I9+J9)</f>
        <v>31210</v>
      </c>
      <c r="L9" s="83"/>
      <c r="M9" s="83">
        <v>1421</v>
      </c>
      <c r="N9" s="215">
        <f t="shared" ref="N9" si="7">IF(F9=0,G9+L9+M9,F9+L9+M9)</f>
        <v>32631</v>
      </c>
      <c r="O9" s="198" t="str">
        <f>IF(I9-L9&lt;0,"동의필요","-")</f>
        <v>-</v>
      </c>
      <c r="P9" s="214" t="s">
        <v>415</v>
      </c>
      <c r="Q9" s="165" t="s">
        <v>416</v>
      </c>
      <c r="R9" s="83">
        <f>IF(Q9&lt;&gt;"도비",SUM(L9:M9),)</f>
        <v>1421</v>
      </c>
      <c r="S9" s="83">
        <f>IF(Q9="도비",SUM(L9:M9),SUM(L9:M9)-R9)</f>
        <v>0</v>
      </c>
      <c r="T9" s="2" t="str">
        <f t="shared" si="2"/>
        <v>ok</v>
      </c>
      <c r="V9" s="165" t="s">
        <v>416</v>
      </c>
      <c r="W9" s="83">
        <f>IF(V9&lt;&gt;"도비",SUM(I9:J9),)</f>
        <v>0</v>
      </c>
      <c r="X9" s="83">
        <f>IF(V9="도비",SUM(I9:J9),SUM(I9:J9)-W9)</f>
        <v>0</v>
      </c>
      <c r="Y9" s="2" t="str">
        <f t="shared" si="4"/>
        <v>ok</v>
      </c>
    </row>
    <row r="10" spans="1:25" ht="15.75" customHeight="1">
      <c r="A10" s="1" t="s">
        <v>417</v>
      </c>
      <c r="B10" s="75"/>
      <c r="C10" s="75"/>
      <c r="D10" s="75"/>
      <c r="E10" s="75"/>
      <c r="F10" s="76">
        <f t="shared" ref="F10:N10" si="8">SUM(F11:F12)/2</f>
        <v>12695</v>
      </c>
      <c r="G10" s="76">
        <f t="shared" si="8"/>
        <v>0</v>
      </c>
      <c r="H10" s="76">
        <f t="shared" si="8"/>
        <v>12695</v>
      </c>
      <c r="I10" s="76">
        <f t="shared" si="8"/>
        <v>0</v>
      </c>
      <c r="J10" s="76">
        <f t="shared" si="8"/>
        <v>0</v>
      </c>
      <c r="K10" s="76">
        <f t="shared" si="8"/>
        <v>12695</v>
      </c>
      <c r="L10" s="76">
        <f t="shared" si="8"/>
        <v>0</v>
      </c>
      <c r="M10" s="76">
        <f t="shared" si="8"/>
        <v>6179</v>
      </c>
      <c r="N10" s="76">
        <f t="shared" si="8"/>
        <v>18874</v>
      </c>
      <c r="O10" s="75"/>
      <c r="P10" s="76"/>
      <c r="Q10" s="76"/>
      <c r="R10" s="196">
        <f t="shared" ref="R10:S10" si="9">SUM(R11:R12)/2</f>
        <v>6179</v>
      </c>
      <c r="S10" s="196">
        <f t="shared" si="9"/>
        <v>0</v>
      </c>
      <c r="T10" s="2" t="str">
        <f t="shared" si="2"/>
        <v>ok</v>
      </c>
      <c r="V10" s="76"/>
      <c r="W10" s="196">
        <f t="shared" ref="W10:X10" si="10">SUM(W11:W12)/2</f>
        <v>0</v>
      </c>
      <c r="X10" s="196">
        <f t="shared" si="10"/>
        <v>0</v>
      </c>
      <c r="Y10" s="2" t="str">
        <f t="shared" si="4"/>
        <v>ok</v>
      </c>
    </row>
    <row r="11" spans="1:25" ht="15.75" customHeight="1">
      <c r="A11" s="84"/>
      <c r="B11" s="78" t="s">
        <v>418</v>
      </c>
      <c r="C11" s="80"/>
      <c r="D11" s="134"/>
      <c r="E11" s="181"/>
      <c r="F11" s="81">
        <f t="shared" ref="F11:N11" si="11">SUM(F12:F12)</f>
        <v>12695</v>
      </c>
      <c r="G11" s="81">
        <f t="shared" si="11"/>
        <v>0</v>
      </c>
      <c r="H11" s="81">
        <f t="shared" si="11"/>
        <v>12695</v>
      </c>
      <c r="I11" s="81">
        <f t="shared" si="11"/>
        <v>0</v>
      </c>
      <c r="J11" s="81">
        <f t="shared" si="11"/>
        <v>0</v>
      </c>
      <c r="K11" s="81">
        <f t="shared" si="11"/>
        <v>12695</v>
      </c>
      <c r="L11" s="81">
        <f t="shared" si="11"/>
        <v>0</v>
      </c>
      <c r="M11" s="81">
        <f t="shared" si="11"/>
        <v>6179</v>
      </c>
      <c r="N11" s="81">
        <f t="shared" si="11"/>
        <v>18874</v>
      </c>
      <c r="O11" s="80"/>
      <c r="P11" s="81"/>
      <c r="Q11" s="81"/>
      <c r="R11" s="81">
        <f>SUM(R12:R12)</f>
        <v>6179</v>
      </c>
      <c r="S11" s="81">
        <f>SUM(S12:S12)</f>
        <v>0</v>
      </c>
      <c r="T11" s="2" t="str">
        <f t="shared" si="2"/>
        <v>ok</v>
      </c>
      <c r="V11" s="81"/>
      <c r="W11" s="81">
        <f>SUM(W12:W12)</f>
        <v>0</v>
      </c>
      <c r="X11" s="81">
        <f>SUM(X12:X12)</f>
        <v>0</v>
      </c>
      <c r="Y11" s="2" t="str">
        <f t="shared" si="4"/>
        <v>ok</v>
      </c>
    </row>
    <row r="12" spans="1:25" ht="28.5" customHeight="1">
      <c r="A12" s="84"/>
      <c r="B12" s="227" t="s">
        <v>467</v>
      </c>
      <c r="C12" s="227">
        <v>477</v>
      </c>
      <c r="D12" s="228" t="s">
        <v>468</v>
      </c>
      <c r="E12" s="230" t="s">
        <v>472</v>
      </c>
      <c r="F12" s="83">
        <v>12695</v>
      </c>
      <c r="G12" s="256"/>
      <c r="H12" s="215">
        <f>IF(SUMPRODUCT(COUNTIF(C12,{"*본예산*","*신규*"})),"-",F12-G12)</f>
        <v>12695</v>
      </c>
      <c r="I12" s="83"/>
      <c r="J12" s="83"/>
      <c r="K12" s="215">
        <f t="shared" ref="K12" si="12">IF(F12=0,G12+I12+J12,F12+I12+J12)</f>
        <v>12695</v>
      </c>
      <c r="L12" s="83"/>
      <c r="M12" s="83">
        <v>6179</v>
      </c>
      <c r="N12" s="215">
        <f t="shared" ref="N12" si="13">IF(F12=0,G12+L12+M12,F12+L12+M12)</f>
        <v>18874</v>
      </c>
      <c r="O12" s="198" t="str">
        <f t="shared" ref="O12" si="14">IF(I12-L12&lt;0,"동의필요","-")</f>
        <v>-</v>
      </c>
      <c r="P12" s="147" t="s">
        <v>473</v>
      </c>
      <c r="Q12" s="165" t="s">
        <v>474</v>
      </c>
      <c r="R12" s="83">
        <f t="shared" ref="R12" si="15">IF(Q12&lt;&gt;"도비",SUM(L12:M12),)</f>
        <v>6179</v>
      </c>
      <c r="S12" s="83">
        <f t="shared" ref="S12" si="16">IF(Q12="도비",SUM(L12:M12),SUM(L12:M12)-R12)</f>
        <v>0</v>
      </c>
      <c r="T12" s="2" t="str">
        <f t="shared" si="2"/>
        <v>ok</v>
      </c>
      <c r="V12" s="165" t="s">
        <v>474</v>
      </c>
      <c r="W12" s="83">
        <f t="shared" ref="W12" si="17">IF(V12&lt;&gt;"도비",SUM(I12:J12),)</f>
        <v>0</v>
      </c>
      <c r="X12" s="83">
        <f t="shared" ref="X12" si="18">IF(V12="도비",SUM(I12:J12),SUM(I12:J12)-W12)</f>
        <v>0</v>
      </c>
      <c r="Y12" s="2" t="str">
        <f t="shared" si="4"/>
        <v>ok</v>
      </c>
    </row>
    <row r="13" spans="1:25" ht="15.75" customHeight="1">
      <c r="A13" s="1" t="s">
        <v>419</v>
      </c>
      <c r="B13" s="75"/>
      <c r="C13" s="75"/>
      <c r="D13" s="75"/>
      <c r="E13" s="75"/>
      <c r="F13" s="76">
        <f t="shared" ref="F13:N13" si="19">SUM(F14:F17)/2</f>
        <v>0</v>
      </c>
      <c r="G13" s="76">
        <f t="shared" si="19"/>
        <v>8798450</v>
      </c>
      <c r="H13" s="76">
        <f t="shared" si="19"/>
        <v>0</v>
      </c>
      <c r="I13" s="76">
        <f t="shared" si="19"/>
        <v>0</v>
      </c>
      <c r="J13" s="76">
        <f t="shared" si="19"/>
        <v>0</v>
      </c>
      <c r="K13" s="76">
        <f t="shared" si="19"/>
        <v>8798450</v>
      </c>
      <c r="L13" s="76">
        <f t="shared" si="19"/>
        <v>-126650</v>
      </c>
      <c r="M13" s="76">
        <f t="shared" si="19"/>
        <v>126650</v>
      </c>
      <c r="N13" s="76">
        <f t="shared" si="19"/>
        <v>8798450</v>
      </c>
      <c r="O13" s="75"/>
      <c r="P13" s="76"/>
      <c r="Q13" s="75"/>
      <c r="R13" s="76">
        <f>SUM(R14:R17)/2</f>
        <v>0</v>
      </c>
      <c r="S13" s="76">
        <f>SUM(S14:S17)/2</f>
        <v>0</v>
      </c>
      <c r="T13" s="2" t="str">
        <f t="shared" si="2"/>
        <v>ok</v>
      </c>
      <c r="V13" s="75"/>
      <c r="W13" s="76">
        <f>SUM(W14:W17)/2</f>
        <v>0</v>
      </c>
      <c r="X13" s="76">
        <f>SUM(X14:X17)/2</f>
        <v>0</v>
      </c>
      <c r="Y13" s="2" t="str">
        <f t="shared" si="4"/>
        <v>ok</v>
      </c>
    </row>
    <row r="14" spans="1:25" ht="15.75" customHeight="1">
      <c r="A14" s="84"/>
      <c r="B14" s="78" t="s">
        <v>420</v>
      </c>
      <c r="C14" s="80"/>
      <c r="D14" s="134"/>
      <c r="E14" s="181"/>
      <c r="F14" s="81">
        <f t="shared" ref="F14:N14" si="20">SUM(F15:F15)</f>
        <v>0</v>
      </c>
      <c r="G14" s="81">
        <f t="shared" si="20"/>
        <v>6158915</v>
      </c>
      <c r="H14" s="81">
        <f t="shared" si="20"/>
        <v>0</v>
      </c>
      <c r="I14" s="81">
        <f t="shared" si="20"/>
        <v>0</v>
      </c>
      <c r="J14" s="81">
        <f t="shared" si="20"/>
        <v>0</v>
      </c>
      <c r="K14" s="81">
        <f t="shared" si="20"/>
        <v>6158915</v>
      </c>
      <c r="L14" s="81">
        <f t="shared" si="20"/>
        <v>-126650</v>
      </c>
      <c r="M14" s="81">
        <f t="shared" si="20"/>
        <v>0</v>
      </c>
      <c r="N14" s="81">
        <f t="shared" si="20"/>
        <v>6032265</v>
      </c>
      <c r="O14" s="80"/>
      <c r="P14" s="81"/>
      <c r="Q14" s="80"/>
      <c r="R14" s="81">
        <f>SUM(R15:R15)</f>
        <v>-119000</v>
      </c>
      <c r="S14" s="81">
        <f>SUM(S15:S15)</f>
        <v>-7650</v>
      </c>
      <c r="T14" s="2" t="str">
        <f t="shared" si="2"/>
        <v>ok</v>
      </c>
      <c r="V14" s="80"/>
      <c r="W14" s="81">
        <f>SUM(W15:W15)</f>
        <v>0</v>
      </c>
      <c r="X14" s="81">
        <f>SUM(X15:X15)</f>
        <v>0</v>
      </c>
      <c r="Y14" s="2" t="str">
        <f t="shared" si="4"/>
        <v>ok</v>
      </c>
    </row>
    <row r="15" spans="1:25" ht="39" customHeight="1">
      <c r="A15" s="84"/>
      <c r="B15" s="122" t="s">
        <v>118</v>
      </c>
      <c r="C15" s="125" t="s">
        <v>403</v>
      </c>
      <c r="D15" s="124" t="s">
        <v>404</v>
      </c>
      <c r="E15" s="210" t="s">
        <v>405</v>
      </c>
      <c r="F15" s="83"/>
      <c r="G15" s="83">
        <v>6158915</v>
      </c>
      <c r="H15" s="215" t="str">
        <f>IF(SUMPRODUCT(COUNTIF(C15,{"*본예산*","*신규*"})),"-",F15-G15)</f>
        <v>-</v>
      </c>
      <c r="I15" s="83"/>
      <c r="J15" s="83"/>
      <c r="K15" s="215">
        <f t="shared" ref="K15" si="21">IF(F15=0,G15+I15+J15,F15+I15+J15)</f>
        <v>6158915</v>
      </c>
      <c r="L15" s="85">
        <v>-126650</v>
      </c>
      <c r="M15" s="83"/>
      <c r="N15" s="215">
        <f t="shared" ref="N15" si="22">IF(F15=0,G15+L15+M15,F15+L15+M15)</f>
        <v>6032265</v>
      </c>
      <c r="O15" s="198" t="str">
        <f t="shared" ref="O15" si="23">IF(I15-L15&lt;0,"동의필요","-")</f>
        <v>-</v>
      </c>
      <c r="P15" s="147" t="s">
        <v>421</v>
      </c>
      <c r="Q15" s="160" t="s">
        <v>416</v>
      </c>
      <c r="R15" s="203">
        <v>-119000</v>
      </c>
      <c r="S15" s="203">
        <f t="shared" ref="S15" si="24">IF(Q15="도비",SUM(L15:M15),SUM(L15:M15)-R15)</f>
        <v>-7650</v>
      </c>
      <c r="T15" s="2" t="str">
        <f t="shared" si="2"/>
        <v>ok</v>
      </c>
      <c r="V15" s="165" t="s">
        <v>17</v>
      </c>
      <c r="W15" s="83">
        <f t="shared" ref="W15" si="25">IF(V15&lt;&gt;"도비",SUM(I15:J15),)</f>
        <v>0</v>
      </c>
      <c r="X15" s="83">
        <f t="shared" ref="X15" si="26">IF(V15="도비",SUM(I15:J15),SUM(I15:J15)-W15)</f>
        <v>0</v>
      </c>
      <c r="Y15" s="2" t="str">
        <f t="shared" si="4"/>
        <v>ok</v>
      </c>
    </row>
    <row r="16" spans="1:25" ht="15.75" customHeight="1">
      <c r="A16" s="84"/>
      <c r="B16" s="78" t="s">
        <v>422</v>
      </c>
      <c r="C16" s="80"/>
      <c r="D16" s="134"/>
      <c r="E16" s="181"/>
      <c r="F16" s="81">
        <f t="shared" ref="F16:N16" si="27">SUM(F17:F17)</f>
        <v>0</v>
      </c>
      <c r="G16" s="81">
        <f t="shared" si="27"/>
        <v>2639535</v>
      </c>
      <c r="H16" s="81">
        <f t="shared" si="27"/>
        <v>0</v>
      </c>
      <c r="I16" s="81">
        <f t="shared" si="27"/>
        <v>0</v>
      </c>
      <c r="J16" s="81">
        <f t="shared" si="27"/>
        <v>0</v>
      </c>
      <c r="K16" s="81">
        <f t="shared" si="27"/>
        <v>2639535</v>
      </c>
      <c r="L16" s="81">
        <f t="shared" si="27"/>
        <v>0</v>
      </c>
      <c r="M16" s="81">
        <f t="shared" si="27"/>
        <v>126650</v>
      </c>
      <c r="N16" s="81">
        <f t="shared" si="27"/>
        <v>2766185</v>
      </c>
      <c r="O16" s="80"/>
      <c r="P16" s="81"/>
      <c r="Q16" s="217"/>
      <c r="R16" s="81">
        <f>SUM(R17:R17)</f>
        <v>119000</v>
      </c>
      <c r="S16" s="81">
        <f>SUM(S17:S17)</f>
        <v>7650</v>
      </c>
      <c r="T16" s="2" t="str">
        <f t="shared" si="2"/>
        <v>ok</v>
      </c>
      <c r="V16" s="80"/>
      <c r="W16" s="81">
        <f>SUM(W17:W17)</f>
        <v>0</v>
      </c>
      <c r="X16" s="81">
        <f>SUM(X17:X17)</f>
        <v>0</v>
      </c>
      <c r="Y16" s="2" t="str">
        <f t="shared" si="4"/>
        <v>ok</v>
      </c>
    </row>
    <row r="17" spans="1:25" ht="57.75" customHeight="1">
      <c r="A17" s="84"/>
      <c r="B17" s="122" t="s">
        <v>118</v>
      </c>
      <c r="C17" s="125" t="s">
        <v>406</v>
      </c>
      <c r="D17" s="124" t="s">
        <v>407</v>
      </c>
      <c r="E17" s="210" t="s">
        <v>408</v>
      </c>
      <c r="F17" s="83"/>
      <c r="G17" s="83">
        <v>2639535</v>
      </c>
      <c r="H17" s="215" t="str">
        <f>IF(SUMPRODUCT(COUNTIF(C17,{"*본예산*","*신규*"})),"-",F17-G17)</f>
        <v>-</v>
      </c>
      <c r="I17" s="83"/>
      <c r="J17" s="83"/>
      <c r="K17" s="215">
        <f t="shared" ref="K17" si="28">IF(F17=0,G17+I17+J17,F17+I17+J17)</f>
        <v>2639535</v>
      </c>
      <c r="L17" s="83"/>
      <c r="M17" s="83">
        <v>126650</v>
      </c>
      <c r="N17" s="215">
        <f t="shared" ref="N17" si="29">IF(F17=0,G17+L17+M17,F17+L17+M17)</f>
        <v>2766185</v>
      </c>
      <c r="O17" s="198" t="str">
        <f t="shared" ref="O17" si="30">IF(I17-L17&lt;0,"동의필요","-")</f>
        <v>-</v>
      </c>
      <c r="P17" s="147" t="s">
        <v>423</v>
      </c>
      <c r="Q17" s="218" t="s">
        <v>424</v>
      </c>
      <c r="R17" s="203">
        <v>119000</v>
      </c>
      <c r="S17" s="203">
        <f t="shared" ref="S17" si="31">IF(Q17="도비",SUM(L17:M17),SUM(L17:M17)-R17)</f>
        <v>7650</v>
      </c>
      <c r="T17" s="2" t="str">
        <f t="shared" si="2"/>
        <v>ok</v>
      </c>
      <c r="V17" s="153" t="s">
        <v>425</v>
      </c>
      <c r="W17" s="83">
        <f t="shared" ref="W17" si="32">IF(V17&lt;&gt;"도비",SUM(I17:J17),)</f>
        <v>0</v>
      </c>
      <c r="X17" s="83">
        <f t="shared" ref="X17" si="33">IF(V17="도비",SUM(I17:J17),SUM(I17:J17)-W17)</f>
        <v>0</v>
      </c>
      <c r="Y17" s="2" t="str">
        <f t="shared" si="4"/>
        <v>ok</v>
      </c>
    </row>
    <row r="18" spans="1:25" ht="15.75" customHeight="1">
      <c r="A18" s="1" t="s">
        <v>426</v>
      </c>
      <c r="B18" s="75"/>
      <c r="C18" s="75"/>
      <c r="D18" s="75"/>
      <c r="E18" s="75"/>
      <c r="F18" s="76">
        <f t="shared" ref="F18:N18" si="34">SUM(F19:F25)/2</f>
        <v>973587</v>
      </c>
      <c r="G18" s="76">
        <f t="shared" si="34"/>
        <v>1307765</v>
      </c>
      <c r="H18" s="76">
        <f t="shared" si="34"/>
        <v>-38412</v>
      </c>
      <c r="I18" s="76">
        <f t="shared" si="34"/>
        <v>0</v>
      </c>
      <c r="J18" s="76">
        <f t="shared" si="34"/>
        <v>0</v>
      </c>
      <c r="K18" s="76">
        <f t="shared" si="34"/>
        <v>1269353</v>
      </c>
      <c r="L18" s="76">
        <f t="shared" si="34"/>
        <v>0</v>
      </c>
      <c r="M18" s="76">
        <f t="shared" si="34"/>
        <v>86208</v>
      </c>
      <c r="N18" s="76">
        <f t="shared" si="34"/>
        <v>1355561</v>
      </c>
      <c r="O18" s="75"/>
      <c r="P18" s="76"/>
      <c r="Q18" s="75"/>
      <c r="R18" s="196">
        <f t="shared" ref="R18:S18" si="35">SUM(R19:R25)/2</f>
        <v>73613</v>
      </c>
      <c r="S18" s="196">
        <f t="shared" si="35"/>
        <v>12595</v>
      </c>
      <c r="T18" s="2" t="str">
        <f t="shared" si="2"/>
        <v>ok</v>
      </c>
      <c r="V18" s="75"/>
      <c r="W18" s="196">
        <f t="shared" ref="W18:X18" si="36">SUM(W19:W25)/2</f>
        <v>0</v>
      </c>
      <c r="X18" s="196">
        <f t="shared" si="36"/>
        <v>0</v>
      </c>
      <c r="Y18" s="2" t="str">
        <f t="shared" si="4"/>
        <v>ok</v>
      </c>
    </row>
    <row r="19" spans="1:25" ht="15.75" customHeight="1">
      <c r="A19" s="84"/>
      <c r="B19" s="78" t="s">
        <v>427</v>
      </c>
      <c r="C19" s="80"/>
      <c r="D19" s="134"/>
      <c r="E19" s="181"/>
      <c r="F19" s="81">
        <f t="shared" ref="F19:N19" si="37">SUM(F20:F22)</f>
        <v>258746</v>
      </c>
      <c r="G19" s="81">
        <f t="shared" si="37"/>
        <v>581333</v>
      </c>
      <c r="H19" s="81">
        <f t="shared" si="37"/>
        <v>-26821</v>
      </c>
      <c r="I19" s="81">
        <f t="shared" si="37"/>
        <v>0</v>
      </c>
      <c r="J19" s="81">
        <f t="shared" si="37"/>
        <v>0</v>
      </c>
      <c r="K19" s="81">
        <f t="shared" si="37"/>
        <v>554512</v>
      </c>
      <c r="L19" s="81">
        <f t="shared" si="37"/>
        <v>0</v>
      </c>
      <c r="M19" s="81">
        <f t="shared" si="37"/>
        <v>30371</v>
      </c>
      <c r="N19" s="81">
        <f t="shared" si="37"/>
        <v>584883</v>
      </c>
      <c r="O19" s="80"/>
      <c r="P19" s="81"/>
      <c r="Q19" s="80"/>
      <c r="R19" s="81">
        <f>SUM(R20:R22)</f>
        <v>26263</v>
      </c>
      <c r="S19" s="81">
        <f>SUM(S20:S22)</f>
        <v>4108</v>
      </c>
      <c r="T19" s="2" t="str">
        <f t="shared" si="2"/>
        <v>ok</v>
      </c>
      <c r="V19" s="80"/>
      <c r="W19" s="81">
        <f>SUM(W20:W22)</f>
        <v>0</v>
      </c>
      <c r="X19" s="81">
        <f>SUM(X20:X22)</f>
        <v>0</v>
      </c>
      <c r="Y19" s="2" t="str">
        <f t="shared" si="4"/>
        <v>ok</v>
      </c>
    </row>
    <row r="20" spans="1:25" ht="60.75" customHeight="1">
      <c r="A20" s="84"/>
      <c r="B20" s="235" t="s">
        <v>384</v>
      </c>
      <c r="C20" s="234">
        <v>752</v>
      </c>
      <c r="D20" s="224" t="s">
        <v>385</v>
      </c>
      <c r="E20" s="230" t="s">
        <v>444</v>
      </c>
      <c r="F20" s="83">
        <v>258746</v>
      </c>
      <c r="G20" s="83">
        <v>285567</v>
      </c>
      <c r="H20" s="215">
        <f>IF(SUMPRODUCT(COUNTIF(C20,{"*본예산*","*신규*"})),"-",F20-G20)</f>
        <v>-26821</v>
      </c>
      <c r="I20" s="83"/>
      <c r="J20" s="83"/>
      <c r="K20" s="215">
        <f t="shared" ref="K20:K22" si="38">IF(F20=0,G20+I20+J20,F20+I20+J20)</f>
        <v>258746</v>
      </c>
      <c r="L20" s="83"/>
      <c r="M20" s="83">
        <v>20037</v>
      </c>
      <c r="N20" s="215">
        <f t="shared" ref="N20:N22" si="39">IF(F20=0,G20+L20+M20,F20+L20+M20)</f>
        <v>278783</v>
      </c>
      <c r="O20" s="198" t="str">
        <f t="shared" ref="O20:O22" si="40">IF(I20-L20&lt;0,"동의필요","-")</f>
        <v>-</v>
      </c>
      <c r="P20" s="232" t="s">
        <v>445</v>
      </c>
      <c r="Q20" s="165" t="s">
        <v>359</v>
      </c>
      <c r="R20" s="203">
        <v>17754</v>
      </c>
      <c r="S20" s="203">
        <f t="shared" ref="S20:S22" si="41">IF(Q20="도비",SUM(L20:M20),SUM(L20:M20)-R20)</f>
        <v>2283</v>
      </c>
      <c r="T20" s="2" t="str">
        <f t="shared" si="2"/>
        <v>ok</v>
      </c>
      <c r="V20" s="160" t="s">
        <v>416</v>
      </c>
      <c r="W20" s="83">
        <f t="shared" ref="W20:W22" si="42">IF(V20&lt;&gt;"도비",SUM(I20:J20),)</f>
        <v>0</v>
      </c>
      <c r="X20" s="83">
        <f t="shared" ref="X20:X22" si="43">IF(V20="도비",SUM(I20:J20),SUM(I20:J20)-W20)</f>
        <v>0</v>
      </c>
      <c r="Y20" s="2" t="str">
        <f t="shared" si="4"/>
        <v>ok</v>
      </c>
    </row>
    <row r="21" spans="1:25" s="225" customFormat="1" ht="39.75" customHeight="1">
      <c r="A21" s="223"/>
      <c r="B21" s="226" t="s">
        <v>428</v>
      </c>
      <c r="C21" s="229" t="s">
        <v>429</v>
      </c>
      <c r="D21" s="228" t="s">
        <v>430</v>
      </c>
      <c r="E21" s="230" t="s">
        <v>431</v>
      </c>
      <c r="F21" s="187"/>
      <c r="G21" s="187">
        <v>170578</v>
      </c>
      <c r="H21" s="215" t="str">
        <f>IF(SUMPRODUCT(COUNTIF(C21,{"*본예산*","*신규*"})),"-",F21-G21)</f>
        <v>-</v>
      </c>
      <c r="I21" s="83"/>
      <c r="J21" s="83"/>
      <c r="K21" s="215">
        <f t="shared" ref="K21" si="44">IF(F21=0,G21+I21+J21,F21+I21+J21)</f>
        <v>170578</v>
      </c>
      <c r="L21" s="83"/>
      <c r="M21" s="83">
        <v>2429</v>
      </c>
      <c r="N21" s="215">
        <f t="shared" ref="N21" si="45">IF(F21=0,G21+L21+M21,F21+L21+M21)</f>
        <v>173007</v>
      </c>
      <c r="O21" s="198" t="str">
        <f t="shared" ref="O21" si="46">IF(I21-L21&lt;0,"동의필요","-")</f>
        <v>-</v>
      </c>
      <c r="P21" s="231" t="s">
        <v>432</v>
      </c>
      <c r="Q21" s="236" t="s">
        <v>416</v>
      </c>
      <c r="R21" s="203">
        <v>2000</v>
      </c>
      <c r="S21" s="203">
        <f t="shared" ref="S21" si="47">IF(Q21="도비",SUM(L21:M21),SUM(L21:M21)-R21)</f>
        <v>429</v>
      </c>
      <c r="T21" s="222" t="str">
        <f t="shared" ref="T21" si="48">IF((L21+M21)=(R21+S21),"ok","검토")</f>
        <v>ok</v>
      </c>
      <c r="V21" s="233" t="s">
        <v>416</v>
      </c>
      <c r="W21" s="83">
        <f t="shared" ref="W21" si="49">IF(V21&lt;&gt;"도비",SUM(I21:J21),)</f>
        <v>0</v>
      </c>
      <c r="X21" s="83">
        <f t="shared" ref="X21" si="50">IF(V21="도비",SUM(I21:J21),SUM(I21:J21)-W21)</f>
        <v>0</v>
      </c>
      <c r="Y21" s="222" t="str">
        <f t="shared" ref="Y21" si="51">IF((I21+J21)=(W21+X21),"ok","검토")</f>
        <v>ok</v>
      </c>
    </row>
    <row r="22" spans="1:25" ht="41.25" customHeight="1">
      <c r="A22" s="84"/>
      <c r="B22" s="121" t="s">
        <v>428</v>
      </c>
      <c r="C22" s="125" t="s">
        <v>429</v>
      </c>
      <c r="D22" s="124" t="s">
        <v>433</v>
      </c>
      <c r="E22" s="210" t="s">
        <v>439</v>
      </c>
      <c r="F22" s="83"/>
      <c r="G22" s="83">
        <v>125188</v>
      </c>
      <c r="H22" s="215" t="str">
        <f>IF(SUMPRODUCT(COUNTIF(C22,{"*본예산*","*신규*"})),"-",F22-G22)</f>
        <v>-</v>
      </c>
      <c r="I22" s="83"/>
      <c r="J22" s="83"/>
      <c r="K22" s="215">
        <f t="shared" si="38"/>
        <v>125188</v>
      </c>
      <c r="L22" s="83"/>
      <c r="M22" s="83">
        <v>7905</v>
      </c>
      <c r="N22" s="215">
        <f t="shared" si="39"/>
        <v>133093</v>
      </c>
      <c r="O22" s="198" t="str">
        <f t="shared" si="40"/>
        <v>-</v>
      </c>
      <c r="P22" s="145" t="s">
        <v>434</v>
      </c>
      <c r="Q22" s="165" t="s">
        <v>435</v>
      </c>
      <c r="R22" s="203">
        <v>6509</v>
      </c>
      <c r="S22" s="203">
        <f t="shared" si="41"/>
        <v>1396</v>
      </c>
      <c r="T22" s="2" t="str">
        <f t="shared" si="2"/>
        <v>ok</v>
      </c>
      <c r="V22" s="160" t="s">
        <v>435</v>
      </c>
      <c r="W22" s="83">
        <f t="shared" si="42"/>
        <v>0</v>
      </c>
      <c r="X22" s="83">
        <f t="shared" si="43"/>
        <v>0</v>
      </c>
      <c r="Y22" s="2" t="str">
        <f>IF((I22+J22)=(W22+X22),"ok","검토")</f>
        <v>ok</v>
      </c>
    </row>
    <row r="23" spans="1:25" ht="15.75" customHeight="1">
      <c r="A23" s="84"/>
      <c r="B23" s="78" t="s">
        <v>422</v>
      </c>
      <c r="C23" s="80"/>
      <c r="D23" s="79"/>
      <c r="E23" s="79"/>
      <c r="F23" s="81">
        <f>SUM(F24:F25)</f>
        <v>714841</v>
      </c>
      <c r="G23" s="81">
        <f t="shared" ref="G23:N23" si="52">SUM(G24:G25)</f>
        <v>726432</v>
      </c>
      <c r="H23" s="81">
        <f t="shared" si="52"/>
        <v>-11591</v>
      </c>
      <c r="I23" s="81">
        <f t="shared" si="52"/>
        <v>0</v>
      </c>
      <c r="J23" s="81">
        <f t="shared" si="52"/>
        <v>0</v>
      </c>
      <c r="K23" s="81">
        <f t="shared" si="52"/>
        <v>714841</v>
      </c>
      <c r="L23" s="81">
        <f t="shared" si="52"/>
        <v>0</v>
      </c>
      <c r="M23" s="81">
        <f t="shared" si="52"/>
        <v>55837</v>
      </c>
      <c r="N23" s="81">
        <f t="shared" si="52"/>
        <v>770678</v>
      </c>
      <c r="O23" s="80"/>
      <c r="P23" s="81"/>
      <c r="Q23" s="80"/>
      <c r="R23" s="81">
        <f t="shared" ref="R23" si="53">SUM(R24:R25)</f>
        <v>47350</v>
      </c>
      <c r="S23" s="81">
        <f t="shared" ref="S23" si="54">SUM(S24:S25)</f>
        <v>8487</v>
      </c>
      <c r="T23" s="2" t="str">
        <f t="shared" si="2"/>
        <v>ok</v>
      </c>
      <c r="V23" s="80"/>
      <c r="W23" s="81">
        <f t="shared" ref="W23" si="55">SUM(W24:W25)</f>
        <v>0</v>
      </c>
      <c r="X23" s="81">
        <f t="shared" ref="X23" si="56">SUM(X24:X25)</f>
        <v>0</v>
      </c>
      <c r="Y23" s="2" t="str">
        <f t="shared" si="4"/>
        <v>ok</v>
      </c>
    </row>
    <row r="24" spans="1:25" s="225" customFormat="1" ht="54" customHeight="1">
      <c r="A24" s="223"/>
      <c r="B24" s="226" t="s">
        <v>116</v>
      </c>
      <c r="C24" s="227">
        <v>789</v>
      </c>
      <c r="D24" s="228" t="s">
        <v>446</v>
      </c>
      <c r="E24" s="230" t="s">
        <v>447</v>
      </c>
      <c r="F24" s="83">
        <v>104089</v>
      </c>
      <c r="G24" s="83">
        <v>108032</v>
      </c>
      <c r="H24" s="215">
        <f>IF(SUMPRODUCT(COUNTIF(C24,{"*본예산*","*신규*"})),"-",F24-G24)</f>
        <v>-3943</v>
      </c>
      <c r="I24" s="83"/>
      <c r="J24" s="83"/>
      <c r="K24" s="215">
        <f t="shared" ref="K24" si="57">IF(F24=0,G24+I24+J24,F24+I24+J24)</f>
        <v>104089</v>
      </c>
      <c r="L24" s="83"/>
      <c r="M24" s="83">
        <v>21837</v>
      </c>
      <c r="N24" s="215">
        <f t="shared" ref="N24" si="58">IF(F24=0,G24+L24+M24,F24+L24+M24)</f>
        <v>125926</v>
      </c>
      <c r="O24" s="198" t="str">
        <f t="shared" ref="O24" si="59">IF(I24-L24&lt;0,"동의필요","-")</f>
        <v>-</v>
      </c>
      <c r="P24" s="231" t="s">
        <v>448</v>
      </c>
      <c r="Q24" s="236" t="s">
        <v>474</v>
      </c>
      <c r="R24" s="203">
        <v>19350</v>
      </c>
      <c r="S24" s="203">
        <f t="shared" ref="S24" si="60">IF(Q24="도비",SUM(L24:M24),SUM(L24:M24)-R24)</f>
        <v>2487</v>
      </c>
      <c r="T24" s="222" t="str">
        <f t="shared" ref="T24" si="61">IF((L24+M24)=(R24+S24),"ok","검토")</f>
        <v>ok</v>
      </c>
      <c r="V24" s="233" t="s">
        <v>416</v>
      </c>
      <c r="W24" s="83">
        <f t="shared" ref="W24" si="62">IF(V24&lt;&gt;"도비",SUM(I24:J24),)</f>
        <v>0</v>
      </c>
      <c r="X24" s="83">
        <f t="shared" ref="X24" si="63">IF(V24="도비",SUM(I24:J24),SUM(I24:J24)-W24)</f>
        <v>0</v>
      </c>
      <c r="Y24" s="222" t="str">
        <f t="shared" ref="Y24" si="64">IF((I24+J24)=(W24+X24),"ok","검토")</f>
        <v>ok</v>
      </c>
    </row>
    <row r="25" spans="1:25" ht="54" customHeight="1">
      <c r="A25" s="84"/>
      <c r="B25" s="121" t="s">
        <v>412</v>
      </c>
      <c r="C25" s="122">
        <v>790</v>
      </c>
      <c r="D25" s="124" t="s">
        <v>436</v>
      </c>
      <c r="E25" s="210" t="s">
        <v>437</v>
      </c>
      <c r="F25" s="83">
        <v>610752</v>
      </c>
      <c r="G25" s="83">
        <v>618400</v>
      </c>
      <c r="H25" s="215">
        <f>IF(SUMPRODUCT(COUNTIF(C25,{"*본예산*","*신규*"})),"-",F25-G25)</f>
        <v>-7648</v>
      </c>
      <c r="I25" s="83"/>
      <c r="J25" s="83"/>
      <c r="K25" s="215">
        <f t="shared" ref="K25" si="65">IF(F25=0,G25+I25+J25,F25+I25+J25)</f>
        <v>610752</v>
      </c>
      <c r="L25" s="83"/>
      <c r="M25" s="83">
        <v>34000</v>
      </c>
      <c r="N25" s="215">
        <f t="shared" ref="N25" si="66">IF(F25=0,G25+L25+M25,F25+L25+M25)</f>
        <v>644752</v>
      </c>
      <c r="O25" s="198" t="str">
        <f t="shared" ref="O25" si="67">IF(I25-L25&lt;0,"동의필요","-")</f>
        <v>-</v>
      </c>
      <c r="P25" s="143" t="s">
        <v>391</v>
      </c>
      <c r="Q25" s="165" t="s">
        <v>416</v>
      </c>
      <c r="R25" s="203">
        <v>28000</v>
      </c>
      <c r="S25" s="203">
        <f t="shared" ref="S25" si="68">IF(Q25="도비",SUM(L25:M25),SUM(L25:M25)-R25)</f>
        <v>6000</v>
      </c>
      <c r="T25" s="2" t="str">
        <f t="shared" si="2"/>
        <v>ok</v>
      </c>
      <c r="V25" s="160" t="s">
        <v>416</v>
      </c>
      <c r="W25" s="83">
        <f t="shared" ref="W25" si="69">IF(V25&lt;&gt;"도비",SUM(I25:J25),)</f>
        <v>0</v>
      </c>
      <c r="X25" s="83">
        <f t="shared" ref="X25" si="70">IF(V25="도비",SUM(I25:J25),SUM(I25:J25)-W25)</f>
        <v>0</v>
      </c>
      <c r="Y25" s="2" t="str">
        <f t="shared" si="4"/>
        <v>ok</v>
      </c>
    </row>
    <row r="26" spans="1:25" ht="24" customHeight="1"/>
  </sheetData>
  <mergeCells count="18"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  <mergeCell ref="V4:V5"/>
    <mergeCell ref="W4:Y4"/>
    <mergeCell ref="L4:M4"/>
    <mergeCell ref="N4:N5"/>
    <mergeCell ref="O4:O5"/>
    <mergeCell ref="P4:P5"/>
    <mergeCell ref="Q4:Q5"/>
    <mergeCell ref="R4:T4"/>
  </mergeCells>
  <phoneticPr fontId="2" type="noConversion"/>
  <conditionalFormatting sqref="Q26:Q323">
    <cfRule type="containsText" dxfId="29" priority="36" operator="containsText" text="분권">
      <formula>NOT(ISERROR(SEARCH("분권",Q26)))</formula>
    </cfRule>
    <cfRule type="containsText" dxfId="28" priority="37" operator="containsText" text="특교">
      <formula>NOT(ISERROR(SEARCH("특교",Q26)))</formula>
    </cfRule>
    <cfRule type="containsText" dxfId="27" priority="38" operator="containsText" text="광특">
      <formula>NOT(ISERROR(SEARCH("광특",Q26)))</formula>
    </cfRule>
    <cfRule type="containsText" dxfId="26" priority="39" operator="containsText" text="기금">
      <formula>NOT(ISERROR(SEARCH("기금",Q26)))</formula>
    </cfRule>
    <cfRule type="containsText" dxfId="25" priority="40" operator="containsText" text="국비">
      <formula>NOT(ISERROR(SEARCH("국비",Q26)))</formula>
    </cfRule>
  </conditionalFormatting>
  <conditionalFormatting sqref="Q6:Q12 Q18:Q20 Q22:Q23 Q25">
    <cfRule type="containsText" dxfId="24" priority="16" operator="containsText" text="분권">
      <formula>NOT(ISERROR(SEARCH("분권",Q6)))</formula>
    </cfRule>
    <cfRule type="containsText" dxfId="23" priority="17" operator="containsText" text="특교">
      <formula>NOT(ISERROR(SEARCH("특교",Q6)))</formula>
    </cfRule>
    <cfRule type="containsText" dxfId="22" priority="18" operator="containsText" text="광특">
      <formula>NOT(ISERROR(SEARCH("광특",Q6)))</formula>
    </cfRule>
    <cfRule type="containsText" dxfId="21" priority="19" operator="containsText" text="기금">
      <formula>NOT(ISERROR(SEARCH("기금",Q6)))</formula>
    </cfRule>
    <cfRule type="containsText" dxfId="20" priority="20" operator="containsText" text="국비">
      <formula>NOT(ISERROR(SEARCH("국비",Q6)))</formula>
    </cfRule>
  </conditionalFormatting>
  <conditionalFormatting sqref="Q21">
    <cfRule type="containsText" dxfId="19" priority="6" operator="containsText" text="분권">
      <formula>NOT(ISERROR(SEARCH("분권",Q21)))</formula>
    </cfRule>
    <cfRule type="containsText" dxfId="18" priority="7" operator="containsText" text="특교">
      <formula>NOT(ISERROR(SEARCH("특교",Q21)))</formula>
    </cfRule>
    <cfRule type="containsText" dxfId="17" priority="8" operator="containsText" text="광특">
      <formula>NOT(ISERROR(SEARCH("광특",Q21)))</formula>
    </cfRule>
    <cfRule type="containsText" dxfId="16" priority="9" operator="containsText" text="기금">
      <formula>NOT(ISERROR(SEARCH("기금",Q21)))</formula>
    </cfRule>
    <cfRule type="containsText" dxfId="15" priority="10" operator="containsText" text="국비">
      <formula>NOT(ISERROR(SEARCH("국비",Q21)))</formula>
    </cfRule>
  </conditionalFormatting>
  <conditionalFormatting sqref="Q24">
    <cfRule type="containsText" dxfId="14" priority="1" operator="containsText" text="분권">
      <formula>NOT(ISERROR(SEARCH("분권",Q24)))</formula>
    </cfRule>
    <cfRule type="containsText" dxfId="13" priority="2" operator="containsText" text="특교">
      <formula>NOT(ISERROR(SEARCH("특교",Q24)))</formula>
    </cfRule>
    <cfRule type="containsText" dxfId="12" priority="3" operator="containsText" text="광특">
      <formula>NOT(ISERROR(SEARCH("광특",Q24)))</formula>
    </cfRule>
    <cfRule type="containsText" dxfId="11" priority="4" operator="containsText" text="기금">
      <formula>NOT(ISERROR(SEARCH("기금",Q24)))</formula>
    </cfRule>
    <cfRule type="containsText" dxfId="10" priority="5" operator="containsText" text="국비">
      <formula>NOT(ISERROR(SEARCH("국비",Q24)))</formula>
    </cfRule>
  </conditionalFormatting>
  <pageMargins left="0.23622047244094491" right="0.15748031496062992" top="0.74803149606299213" bottom="0.74803149606299213" header="0.31496062992125984" footer="0.31496062992125984"/>
  <pageSetup paperSize="9" scale="84" fitToWidth="0" orientation="landscape" cellComments="asDisplayed" r:id="rId1"/>
  <headerFooter>
    <oddFooter>&amp;C&amp;P/&amp;N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text="분권" id="{C8BBFA58-396D-4EC5-8F05-D8056366156D}">
            <xm:f>NOT(ISERROR(SEARCH("분권",'\Users\Administrator\AppData\Local\Microsoft\Windows\Temporary Internet Files\Content.IE5\HWUAJZAF\[140923_21시_2014년 제1회 추가경정예산안 계수조정 총괄 내역 (상임위 완)_최종수정.xlsx]일반 세출'!#REF!)))</xm:f>
            <x14:dxf>
              <font>
                <color rgb="FF9C0006"/>
              </font>
            </x14:dxf>
          </x14:cfRule>
          <x14:cfRule type="containsText" priority="12" operator="containsText" text="특교" id="{8646626F-CB2F-4606-B832-97712CD0445B}">
            <xm:f>NOT(ISERROR(SEARCH("특교",'\Users\Administrator\AppData\Local\Microsoft\Windows\Temporary Internet Files\Content.IE5\HWUAJZAF\[140923_21시_2014년 제1회 추가경정예산안 계수조정 총괄 내역 (상임위 완)_최종수정.xlsx]일반 세출'!#REF!)))</xm:f>
            <x14:dxf>
              <font>
                <color rgb="FF9C0006"/>
              </font>
            </x14:dxf>
          </x14:cfRule>
          <x14:cfRule type="containsText" priority="13" operator="containsText" text="광특" id="{FCC92F4D-7EEF-442A-9D70-1B92FEB3B96C}">
            <xm:f>NOT(ISERROR(SEARCH("광특",'\Users\Administrator\AppData\Local\Microsoft\Windows\Temporary Internet Files\Content.IE5\HWUAJZAF\[140923_21시_2014년 제1회 추가경정예산안 계수조정 총괄 내역 (상임위 완)_최종수정.xlsx]일반 세출'!#REF!)))</xm:f>
            <x14:dxf>
              <font>
                <color rgb="FF9C0006"/>
              </font>
            </x14:dxf>
          </x14:cfRule>
          <x14:cfRule type="containsText" priority="14" operator="containsText" text="기금" id="{14D95446-919F-4002-A6FF-3E7D5DD3C0F6}">
            <xm:f>NOT(ISERROR(SEARCH("기금",'\Users\Administrator\AppData\Local\Microsoft\Windows\Temporary Internet Files\Content.IE5\HWUAJZAF\[140923_21시_2014년 제1회 추가경정예산안 계수조정 총괄 내역 (상임위 완)_최종수정.xlsx]일반 세출'!#REF!)))</xm:f>
            <x14:dxf>
              <font>
                <color rgb="FF9C0006"/>
              </font>
            </x14:dxf>
          </x14:cfRule>
          <x14:cfRule type="containsText" priority="15" operator="containsText" text="국비" id="{F4A4A96A-CC67-4A18-A1E5-D9414409E342}">
            <xm:f>NOT(ISERROR(SEARCH("국비",'\Users\Administrator\AppData\Local\Microsoft\Windows\Temporary Internet Files\Content.IE5\HWUAJZAF\[140923_21시_2014년 제1회 추가경정예산안 계수조정 총괄 내역 (상임위 완)_최종수정.xlsx]일반 세출'!#REF!)))</xm:f>
            <x14:dxf>
              <font>
                <color rgb="FF9C0006"/>
              </font>
            </x14:dxf>
          </x14:cfRule>
          <xm:sqref>Q13:Q15</xm:sqref>
        </x14:conditionalFormatting>
        <x14:conditionalFormatting xmlns:xm="http://schemas.microsoft.com/office/excel/2006/main">
          <x14:cfRule type="containsText" priority="21" operator="containsText" text="분권" id="{924ED71A-F3FB-4861-B23F-783CB0A7ECFA}">
            <xm:f>NOT(ISERROR(SEARCH("분권",'\Users\Administrator\AppData\Local\Microsoft\Windows\Temporary Internet Files\Content.IE5\HWUAJZAF\[140923_21시_2014년 제1회 추가경정예산안 계수조정 총괄 내역 (상임위 완)_최종수정.xlsx]일반 세출'!#REF!)))</xm:f>
            <x14:dxf>
              <font>
                <color rgb="FF9C0006"/>
              </font>
            </x14:dxf>
          </x14:cfRule>
          <x14:cfRule type="containsText" priority="22" operator="containsText" text="특교" id="{A65EE514-8E72-4F43-B320-718B2C81ECFB}">
            <xm:f>NOT(ISERROR(SEARCH("특교",'\Users\Administrator\AppData\Local\Microsoft\Windows\Temporary Internet Files\Content.IE5\HWUAJZAF\[140923_21시_2014년 제1회 추가경정예산안 계수조정 총괄 내역 (상임위 완)_최종수정.xlsx]일반 세출'!#REF!)))</xm:f>
            <x14:dxf>
              <font>
                <color rgb="FF9C0006"/>
              </font>
            </x14:dxf>
          </x14:cfRule>
          <x14:cfRule type="containsText" priority="23" operator="containsText" text="광특" id="{20F6AC35-851D-4E5A-A7A9-BE4AECE089C3}">
            <xm:f>NOT(ISERROR(SEARCH("광특",'\Users\Administrator\AppData\Local\Microsoft\Windows\Temporary Internet Files\Content.IE5\HWUAJZAF\[140923_21시_2014년 제1회 추가경정예산안 계수조정 총괄 내역 (상임위 완)_최종수정.xlsx]일반 세출'!#REF!)))</xm:f>
            <x14:dxf>
              <font>
                <color rgb="FF9C0006"/>
              </font>
            </x14:dxf>
          </x14:cfRule>
          <x14:cfRule type="containsText" priority="24" operator="containsText" text="기금" id="{E307919A-16BB-4654-B59F-578FFFDE8D68}">
            <xm:f>NOT(ISERROR(SEARCH("기금",'\Users\Administrator\AppData\Local\Microsoft\Windows\Temporary Internet Files\Content.IE5\HWUAJZAF\[140923_21시_2014년 제1회 추가경정예산안 계수조정 총괄 내역 (상임위 완)_최종수정.xlsx]일반 세출'!#REF!)))</xm:f>
            <x14:dxf>
              <font>
                <color rgb="FF9C0006"/>
              </font>
            </x14:dxf>
          </x14:cfRule>
          <x14:cfRule type="containsText" priority="25" operator="containsText" text="국비" id="{13DD811F-29CD-4516-A506-F3B69AD643ED}">
            <xm:f>NOT(ISERROR(SEARCH("국비",'\Users\Administrator\AppData\Local\Microsoft\Windows\Temporary Internet Files\Content.IE5\HWUAJZAF\[140923_21시_2014년 제1회 추가경정예산안 계수조정 총괄 내역 (상임위 완)_최종수정.xlsx]일반 세출'!#REF!)))</xm:f>
            <x14:dxf>
              <font>
                <color rgb="FF9C0006"/>
              </font>
            </x14:dxf>
          </x14:cfRule>
          <xm:sqref>Q16:Q17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>
      <selection activeCell="H2" sqref="H2"/>
    </sheetView>
  </sheetViews>
  <sheetFormatPr defaultRowHeight="13.5"/>
  <cols>
    <col min="1" max="1" width="8.875" style="4" customWidth="1"/>
    <col min="2" max="2" width="2" style="4" customWidth="1"/>
    <col min="3" max="12" width="8.875" style="4" customWidth="1"/>
    <col min="13" max="16384" width="9" style="4"/>
  </cols>
  <sheetData>
    <row r="1" spans="1:13" ht="27" customHeight="1"/>
    <row r="2" spans="1:13" ht="18.75">
      <c r="D2" s="5" t="s">
        <v>67</v>
      </c>
      <c r="E2" s="6"/>
      <c r="F2" s="6"/>
      <c r="G2" s="6"/>
      <c r="H2" s="6"/>
      <c r="I2" s="6"/>
      <c r="J2" s="6"/>
      <c r="K2" s="6"/>
    </row>
    <row r="3" spans="1:13" ht="45" customHeight="1">
      <c r="D3" s="7"/>
      <c r="E3" s="8"/>
      <c r="G3" s="9"/>
      <c r="H3" s="8"/>
      <c r="I3" s="8"/>
      <c r="J3" s="8"/>
      <c r="K3" s="8"/>
    </row>
    <row r="4" spans="1:13" ht="44.25" customHeight="1">
      <c r="A4" s="359" t="s">
        <v>65</v>
      </c>
      <c r="B4" s="359"/>
      <c r="C4" s="359"/>
      <c r="D4" s="359"/>
      <c r="E4" s="359"/>
      <c r="F4" s="359"/>
      <c r="G4" s="359"/>
      <c r="H4" s="359"/>
      <c r="I4" s="359"/>
      <c r="J4" s="359"/>
      <c r="K4" s="359"/>
      <c r="L4" s="359"/>
      <c r="M4" s="359"/>
    </row>
    <row r="5" spans="1:13" ht="46.5">
      <c r="D5" s="10"/>
      <c r="E5" s="11"/>
      <c r="F5" s="11"/>
      <c r="G5" s="11"/>
      <c r="H5" s="11"/>
      <c r="I5" s="11"/>
      <c r="J5" s="11"/>
      <c r="K5" s="11"/>
    </row>
    <row r="6" spans="1:13" ht="21" customHeight="1">
      <c r="D6" s="10"/>
      <c r="E6" s="11"/>
      <c r="F6" s="11"/>
      <c r="G6" s="11"/>
      <c r="H6" s="11"/>
      <c r="I6" s="11"/>
      <c r="J6" s="11"/>
      <c r="K6" s="11"/>
    </row>
    <row r="7" spans="1:13" ht="19.5">
      <c r="D7" s="12"/>
      <c r="E7" s="11"/>
      <c r="F7" s="11"/>
      <c r="G7" s="11"/>
      <c r="H7" s="11"/>
      <c r="I7" s="11"/>
      <c r="J7" s="11"/>
      <c r="K7" s="11"/>
    </row>
    <row r="8" spans="1:13">
      <c r="D8" s="11"/>
      <c r="E8" s="11"/>
      <c r="F8" s="11"/>
      <c r="G8" s="11"/>
      <c r="H8" s="11"/>
      <c r="I8" s="11"/>
      <c r="J8" s="11"/>
      <c r="K8" s="11"/>
    </row>
    <row r="9" spans="1:13">
      <c r="D9" s="11"/>
      <c r="E9" s="11"/>
      <c r="F9" s="11"/>
      <c r="G9" s="11"/>
      <c r="H9" s="11"/>
      <c r="I9" s="11"/>
      <c r="J9" s="11"/>
      <c r="K9" s="11"/>
    </row>
    <row r="10" spans="1:13">
      <c r="D10" s="11"/>
      <c r="E10" s="11"/>
      <c r="F10" s="11"/>
      <c r="G10" s="11"/>
      <c r="H10" s="11"/>
      <c r="I10" s="11"/>
      <c r="J10" s="11"/>
      <c r="K10" s="11"/>
    </row>
    <row r="11" spans="1:13">
      <c r="D11" s="11"/>
      <c r="E11" s="11"/>
      <c r="F11" s="11"/>
      <c r="G11" s="11"/>
      <c r="H11" s="11"/>
      <c r="I11" s="11"/>
      <c r="J11" s="11"/>
      <c r="K11" s="11"/>
    </row>
    <row r="12" spans="1:13">
      <c r="D12" s="11"/>
      <c r="E12" s="11"/>
      <c r="F12" s="11"/>
      <c r="G12" s="11"/>
      <c r="H12" s="11"/>
      <c r="I12" s="11"/>
      <c r="J12" s="11"/>
      <c r="K12" s="11"/>
    </row>
    <row r="13" spans="1:13">
      <c r="D13" s="11"/>
      <c r="E13" s="11"/>
      <c r="F13" s="11"/>
      <c r="G13" s="11"/>
      <c r="H13" s="11"/>
      <c r="I13" s="11"/>
      <c r="J13" s="11"/>
      <c r="K13" s="11"/>
    </row>
    <row r="14" spans="1:13">
      <c r="D14" s="11"/>
      <c r="E14" s="11"/>
      <c r="F14" s="11"/>
      <c r="G14" s="11"/>
      <c r="H14" s="11"/>
      <c r="I14" s="11"/>
      <c r="J14" s="11"/>
      <c r="K14" s="11"/>
    </row>
    <row r="15" spans="1:13">
      <c r="D15" s="11"/>
      <c r="E15" s="11"/>
      <c r="F15" s="11"/>
      <c r="G15" s="11"/>
      <c r="H15" s="11"/>
      <c r="I15" s="11"/>
      <c r="J15" s="11"/>
      <c r="K15" s="11"/>
    </row>
    <row r="16" spans="1:13" s="13" customFormat="1" ht="33.75">
      <c r="D16" s="290" t="s">
        <v>66</v>
      </c>
      <c r="E16" s="290"/>
      <c r="F16" s="290"/>
      <c r="G16" s="290"/>
      <c r="H16" s="290"/>
      <c r="I16" s="290"/>
      <c r="J16" s="290"/>
      <c r="K16" s="290"/>
    </row>
    <row r="17" spans="4:11">
      <c r="D17" s="11"/>
      <c r="E17" s="11"/>
      <c r="F17" s="11"/>
      <c r="G17" s="11"/>
      <c r="H17" s="11"/>
      <c r="I17" s="11"/>
      <c r="J17" s="11"/>
      <c r="K17" s="11"/>
    </row>
    <row r="18" spans="4:11" ht="46.5">
      <c r="D18" s="10"/>
      <c r="E18" s="11"/>
      <c r="F18" s="11"/>
      <c r="G18" s="11"/>
      <c r="H18" s="11"/>
      <c r="I18" s="11"/>
      <c r="J18" s="11"/>
      <c r="K18" s="11"/>
    </row>
    <row r="19" spans="4:11">
      <c r="D19" s="11"/>
      <c r="E19" s="11"/>
      <c r="F19" s="11"/>
      <c r="G19" s="11"/>
      <c r="H19" s="11"/>
      <c r="I19" s="11"/>
      <c r="J19" s="11"/>
      <c r="K19" s="11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16</vt:i4>
      </vt:variant>
    </vt:vector>
  </HeadingPairs>
  <TitlesOfParts>
    <vt:vector size="29" baseType="lpstr">
      <vt:lpstr>상임 표지</vt:lpstr>
      <vt:lpstr>예결 표지</vt:lpstr>
      <vt:lpstr>예결 표지(가로)</vt:lpstr>
      <vt:lpstr>총괄표</vt:lpstr>
      <vt:lpstr>총괄표(실국별)</vt:lpstr>
      <vt:lpstr>검증</vt:lpstr>
      <vt:lpstr>총괄표(가로)</vt:lpstr>
      <vt:lpstr>일반 세입</vt:lpstr>
      <vt:lpstr>일반 세출</vt:lpstr>
      <vt:lpstr>중소기업육성기금</vt:lpstr>
      <vt:lpstr>국비변경(일반 세입)(삭제)</vt:lpstr>
      <vt:lpstr>국비변경(일반 세출)(삭제)</vt:lpstr>
      <vt:lpstr>표지</vt:lpstr>
      <vt:lpstr>검증!Print_Area</vt:lpstr>
      <vt:lpstr>'국비변경(일반 세입)(삭제)'!Print_Area</vt:lpstr>
      <vt:lpstr>'국비변경(일반 세출)(삭제)'!Print_Area</vt:lpstr>
      <vt:lpstr>'상임 표지'!Print_Area</vt:lpstr>
      <vt:lpstr>'예결 표지'!Print_Area</vt:lpstr>
      <vt:lpstr>'예결 표지(가로)'!Print_Area</vt:lpstr>
      <vt:lpstr>'일반 세입'!Print_Area</vt:lpstr>
      <vt:lpstr>'일반 세출'!Print_Area</vt:lpstr>
      <vt:lpstr>총괄표!Print_Area</vt:lpstr>
      <vt:lpstr>'총괄표(가로)'!Print_Area</vt:lpstr>
      <vt:lpstr>'총괄표(실국별)'!Print_Area</vt:lpstr>
      <vt:lpstr>표지!Print_Area</vt:lpstr>
      <vt:lpstr>'국비변경(일반 세입)(삭제)'!Print_Titles</vt:lpstr>
      <vt:lpstr>'국비변경(일반 세출)(삭제)'!Print_Titles</vt:lpstr>
      <vt:lpstr>'일반 세입'!Print_Titles</vt:lpstr>
      <vt:lpstr>'일반 세출'!Print_Titles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Administrator</cp:lastModifiedBy>
  <cp:lastPrinted>2014-09-29T13:30:25Z</cp:lastPrinted>
  <dcterms:created xsi:type="dcterms:W3CDTF">2013-08-23T08:00:50Z</dcterms:created>
  <dcterms:modified xsi:type="dcterms:W3CDTF">2014-09-29T13:34:05Z</dcterms:modified>
</cp:coreProperties>
</file>