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425" yWindow="375" windowWidth="8430" windowHeight="8790" tabRatio="845" firstSheet="9" activeTab="16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15년기금" sheetId="74" r:id="rId15"/>
    <sheet name="2추위원회별" sheetId="66" r:id="rId16"/>
    <sheet name="2추일입" sheetId="67" r:id="rId17"/>
    <sheet name="2추일출" sheetId="6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14" hidden="1">'15년기금'!$A$6:$AD$15</definedName>
    <definedName name="_xlnm._FilterDatabase" localSheetId="10" hidden="1">'15년일입'!$B$6:$AE$22</definedName>
    <definedName name="_xlnm._FilterDatabase" localSheetId="11" hidden="1">'15년일출'!$B$6:$AE$111</definedName>
    <definedName name="_xlnm._FilterDatabase" localSheetId="16" hidden="1">'2추일입'!$A$6:$AF$23</definedName>
    <definedName name="_xlnm._FilterDatabase" localSheetId="17" hidden="1">'2추일출'!$A$6:$AF$35</definedName>
    <definedName name="_xlnm.Print_Area" localSheetId="1">'15년검증'!$A$1:$K$20</definedName>
    <definedName name="_xlnm.Print_Area" localSheetId="14">'15년기금'!$A$1:$O$15</definedName>
    <definedName name="_xlnm.Print_Area" localSheetId="9">'15년위원회별'!$A$1:$Z$46</definedName>
    <definedName name="_xlnm.Print_Area" localSheetId="10">'15년일입'!$B$1:$V$22</definedName>
    <definedName name="_xlnm.Print_Area" localSheetId="11">'15년일출'!$B$1:$V$111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6">'2추일입'!$A$1:$X$23</definedName>
    <definedName name="_xlnm.Print_Area" localSheetId="17">'2추일출'!$A$1:$W$35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4">'15년기금'!$4:$5</definedName>
    <definedName name="_xlnm.Print_Titles" localSheetId="10">'15년일입'!$4:$5</definedName>
    <definedName name="_xlnm.Print_Titles" localSheetId="11">'15년일출'!$4:$5</definedName>
    <definedName name="_xlnm.Print_Titles" localSheetId="16">'2추일입'!$4:$5</definedName>
    <definedName name="_xlnm.Print_Titles" localSheetId="17">'2추일출'!$4:$5</definedName>
  </definedNames>
  <calcPr calcId="145621"/>
</workbook>
</file>

<file path=xl/calcChain.xml><?xml version="1.0" encoding="utf-8"?>
<calcChain xmlns="http://schemas.openxmlformats.org/spreadsheetml/2006/main">
  <c r="I3" i="72" l="1"/>
  <c r="F29" i="66" l="1"/>
  <c r="W107" i="72" l="1"/>
  <c r="K107" i="72"/>
  <c r="B107" i="72"/>
  <c r="C107" i="72"/>
  <c r="B108" i="72"/>
  <c r="C108" i="72"/>
  <c r="V57" i="72"/>
  <c r="K57" i="72"/>
  <c r="N57" i="72"/>
  <c r="T57" i="72"/>
  <c r="Y57" i="72" s="1"/>
  <c r="B57" i="72"/>
  <c r="C57" i="72"/>
  <c r="B58" i="72"/>
  <c r="C58" i="72"/>
  <c r="B59" i="72"/>
  <c r="C59" i="72"/>
  <c r="U57" i="72" l="1"/>
  <c r="W57" i="72" s="1"/>
  <c r="AA57" i="72"/>
  <c r="Z57" i="72"/>
  <c r="AB57" i="72" s="1"/>
  <c r="K31" i="66"/>
  <c r="J31" i="66"/>
  <c r="I31" i="66"/>
  <c r="H31" i="66"/>
  <c r="G31" i="66"/>
  <c r="F31" i="66"/>
  <c r="E31" i="66"/>
  <c r="D31" i="66"/>
  <c r="K30" i="66"/>
  <c r="J30" i="66"/>
  <c r="I30" i="66"/>
  <c r="H30" i="66"/>
  <c r="G30" i="66"/>
  <c r="F30" i="66"/>
  <c r="E30" i="66"/>
  <c r="D30" i="66"/>
  <c r="H29" i="66"/>
  <c r="G29" i="66"/>
  <c r="E29" i="66"/>
  <c r="D29" i="66"/>
  <c r="A8" i="67" l="1"/>
  <c r="B8" i="67"/>
  <c r="A9" i="67"/>
  <c r="B9" i="67"/>
  <c r="A10" i="67"/>
  <c r="B10" i="67"/>
  <c r="A11" i="67"/>
  <c r="B11" i="67"/>
  <c r="A12" i="67"/>
  <c r="B12" i="67"/>
  <c r="A13" i="67"/>
  <c r="B13" i="67"/>
  <c r="A14" i="67"/>
  <c r="B14" i="67"/>
  <c r="A15" i="67"/>
  <c r="B15" i="67"/>
  <c r="A16" i="67"/>
  <c r="B16" i="67"/>
  <c r="A17" i="67"/>
  <c r="B17" i="67"/>
  <c r="A18" i="67"/>
  <c r="B18" i="67"/>
  <c r="A19" i="67"/>
  <c r="B19" i="67"/>
  <c r="A20" i="67"/>
  <c r="B20" i="67"/>
  <c r="A21" i="67"/>
  <c r="B21" i="67"/>
  <c r="A22" i="67"/>
  <c r="B22" i="67"/>
  <c r="A23" i="67"/>
  <c r="B23" i="67"/>
  <c r="X8" i="67"/>
  <c r="X9" i="67"/>
  <c r="X10" i="67"/>
  <c r="X12" i="67"/>
  <c r="X13" i="67"/>
  <c r="X14" i="67"/>
  <c r="X15" i="67"/>
  <c r="X16" i="67"/>
  <c r="X17" i="67"/>
  <c r="X18" i="67"/>
  <c r="X19" i="67"/>
  <c r="X20" i="67"/>
  <c r="X21" i="67"/>
  <c r="X22" i="67"/>
  <c r="X23" i="67"/>
  <c r="W41" i="72" l="1"/>
  <c r="W42" i="72"/>
  <c r="W43" i="72"/>
  <c r="W55" i="72"/>
  <c r="W96" i="72"/>
  <c r="W106" i="72"/>
  <c r="W108" i="72"/>
  <c r="W109" i="72"/>
  <c r="W110" i="72"/>
  <c r="K8" i="72"/>
  <c r="K9" i="72"/>
  <c r="K10" i="72"/>
  <c r="K11" i="72"/>
  <c r="K12" i="72"/>
  <c r="K13" i="72"/>
  <c r="K14" i="72"/>
  <c r="K15" i="72"/>
  <c r="K16" i="72"/>
  <c r="K17" i="72"/>
  <c r="K18" i="72"/>
  <c r="K19" i="72"/>
  <c r="K20" i="72"/>
  <c r="K21" i="72"/>
  <c r="K22" i="72"/>
  <c r="K23" i="72"/>
  <c r="K24" i="72"/>
  <c r="K25" i="72"/>
  <c r="K26" i="72"/>
  <c r="K27" i="72"/>
  <c r="K28" i="72"/>
  <c r="K29" i="72"/>
  <c r="K30" i="72"/>
  <c r="K31" i="72"/>
  <c r="K32" i="72"/>
  <c r="K33" i="72"/>
  <c r="K34" i="72"/>
  <c r="K35" i="72"/>
  <c r="K36" i="72"/>
  <c r="K37" i="72"/>
  <c r="K38" i="72"/>
  <c r="K39" i="72"/>
  <c r="K40" i="72"/>
  <c r="K41" i="72"/>
  <c r="K42" i="72"/>
  <c r="K43" i="72"/>
  <c r="K44" i="72"/>
  <c r="K45" i="72"/>
  <c r="K46" i="72"/>
  <c r="K47" i="72"/>
  <c r="K48" i="72"/>
  <c r="K49" i="72"/>
  <c r="K50" i="72"/>
  <c r="K51" i="72"/>
  <c r="K52" i="72"/>
  <c r="K53" i="72"/>
  <c r="K54" i="72"/>
  <c r="K55" i="72"/>
  <c r="K56" i="72"/>
  <c r="K58" i="72"/>
  <c r="K59" i="72"/>
  <c r="K60" i="72"/>
  <c r="K61" i="72"/>
  <c r="K62" i="72"/>
  <c r="K63" i="72"/>
  <c r="K64" i="72"/>
  <c r="K65" i="72"/>
  <c r="K66" i="72"/>
  <c r="K67" i="72"/>
  <c r="K68" i="72"/>
  <c r="K69" i="72"/>
  <c r="K70" i="72"/>
  <c r="K71" i="72"/>
  <c r="K72" i="72"/>
  <c r="K73" i="72"/>
  <c r="K74" i="72"/>
  <c r="K75" i="72"/>
  <c r="K76" i="72"/>
  <c r="K77" i="72"/>
  <c r="K78" i="72"/>
  <c r="K79" i="72"/>
  <c r="K80" i="72"/>
  <c r="K81" i="72"/>
  <c r="K82" i="72"/>
  <c r="K83" i="72"/>
  <c r="K84" i="72"/>
  <c r="K85" i="72"/>
  <c r="K86" i="72"/>
  <c r="K87" i="72"/>
  <c r="K88" i="72"/>
  <c r="K89" i="72"/>
  <c r="K90" i="72"/>
  <c r="K91" i="72"/>
  <c r="K92" i="72"/>
  <c r="K93" i="72"/>
  <c r="K94" i="72"/>
  <c r="K95" i="72"/>
  <c r="K96" i="72"/>
  <c r="K97" i="72"/>
  <c r="K98" i="72"/>
  <c r="K99" i="72"/>
  <c r="K100" i="72"/>
  <c r="K101" i="72"/>
  <c r="K102" i="72"/>
  <c r="K103" i="72"/>
  <c r="K104" i="72"/>
  <c r="K105" i="72"/>
  <c r="K106" i="72"/>
  <c r="K108" i="72"/>
  <c r="K109" i="72"/>
  <c r="K110" i="72"/>
  <c r="K111" i="72"/>
  <c r="B8" i="72"/>
  <c r="C8" i="72"/>
  <c r="B9" i="72"/>
  <c r="C9" i="72"/>
  <c r="B10" i="72"/>
  <c r="C10" i="72"/>
  <c r="B11" i="72"/>
  <c r="C11" i="72"/>
  <c r="B12" i="72"/>
  <c r="C12" i="72"/>
  <c r="B13" i="72"/>
  <c r="C13" i="72"/>
  <c r="B14" i="72"/>
  <c r="C14" i="72"/>
  <c r="B15" i="72"/>
  <c r="C15" i="72"/>
  <c r="B16" i="72"/>
  <c r="C16" i="72"/>
  <c r="B17" i="72"/>
  <c r="C17" i="72"/>
  <c r="B18" i="72"/>
  <c r="C18" i="72"/>
  <c r="B19" i="72"/>
  <c r="C19" i="72"/>
  <c r="B20" i="72"/>
  <c r="C20" i="72"/>
  <c r="B21" i="72"/>
  <c r="C21" i="72"/>
  <c r="B22" i="72"/>
  <c r="C22" i="72"/>
  <c r="B23" i="72"/>
  <c r="C23" i="72"/>
  <c r="B24" i="72"/>
  <c r="C24" i="72"/>
  <c r="B25" i="72"/>
  <c r="C25" i="72"/>
  <c r="B26" i="72"/>
  <c r="C26" i="72"/>
  <c r="B27" i="72"/>
  <c r="C27" i="72"/>
  <c r="B28" i="72"/>
  <c r="C28" i="72"/>
  <c r="B29" i="72"/>
  <c r="C29" i="72"/>
  <c r="B30" i="72"/>
  <c r="C30" i="72"/>
  <c r="B31" i="72"/>
  <c r="C31" i="72"/>
  <c r="B32" i="72"/>
  <c r="C32" i="72"/>
  <c r="B33" i="72"/>
  <c r="C33" i="72"/>
  <c r="B34" i="72"/>
  <c r="C34" i="72"/>
  <c r="B35" i="72"/>
  <c r="C35" i="72"/>
  <c r="B36" i="72"/>
  <c r="C36" i="72"/>
  <c r="B37" i="72"/>
  <c r="C37" i="72"/>
  <c r="B38" i="72"/>
  <c r="C38" i="72"/>
  <c r="B39" i="72"/>
  <c r="C39" i="72"/>
  <c r="B40" i="72"/>
  <c r="C40" i="72"/>
  <c r="B41" i="72"/>
  <c r="C41" i="72"/>
  <c r="B42" i="72"/>
  <c r="C42" i="72"/>
  <c r="B43" i="72"/>
  <c r="C43" i="72"/>
  <c r="B44" i="72"/>
  <c r="C44" i="72"/>
  <c r="B45" i="72"/>
  <c r="C45" i="72"/>
  <c r="B46" i="72"/>
  <c r="C46" i="72"/>
  <c r="B47" i="72"/>
  <c r="C47" i="72"/>
  <c r="B48" i="72"/>
  <c r="C48" i="72"/>
  <c r="B49" i="72"/>
  <c r="C49" i="72"/>
  <c r="B50" i="72"/>
  <c r="C50" i="72"/>
  <c r="B51" i="72"/>
  <c r="C51" i="72"/>
  <c r="B52" i="72"/>
  <c r="C52" i="72"/>
  <c r="B53" i="72"/>
  <c r="C53" i="72"/>
  <c r="B54" i="72"/>
  <c r="C54" i="72"/>
  <c r="B55" i="72"/>
  <c r="C55" i="72"/>
  <c r="B56" i="72"/>
  <c r="C56" i="72"/>
  <c r="B60" i="72"/>
  <c r="C60" i="72"/>
  <c r="B61" i="72"/>
  <c r="C61" i="72"/>
  <c r="B62" i="72"/>
  <c r="C62" i="72"/>
  <c r="B63" i="72"/>
  <c r="C63" i="72"/>
  <c r="B64" i="72"/>
  <c r="C64" i="72"/>
  <c r="B65" i="72"/>
  <c r="C65" i="72"/>
  <c r="B66" i="72"/>
  <c r="C66" i="72"/>
  <c r="B67" i="72"/>
  <c r="C67" i="72"/>
  <c r="B68" i="72"/>
  <c r="C68" i="72"/>
  <c r="B69" i="72"/>
  <c r="C69" i="72"/>
  <c r="B70" i="72"/>
  <c r="C70" i="72"/>
  <c r="B71" i="72"/>
  <c r="C71" i="72"/>
  <c r="B72" i="72"/>
  <c r="C72" i="72"/>
  <c r="B73" i="72"/>
  <c r="C73" i="72"/>
  <c r="B74" i="72"/>
  <c r="C74" i="72"/>
  <c r="B75" i="72"/>
  <c r="C75" i="72"/>
  <c r="B76" i="72"/>
  <c r="C76" i="72"/>
  <c r="B77" i="72"/>
  <c r="C77" i="72"/>
  <c r="B78" i="72"/>
  <c r="C78" i="72"/>
  <c r="B79" i="72"/>
  <c r="C79" i="72"/>
  <c r="B80" i="72"/>
  <c r="C80" i="72"/>
  <c r="B81" i="72"/>
  <c r="C81" i="72"/>
  <c r="B82" i="72"/>
  <c r="C82" i="72"/>
  <c r="B83" i="72"/>
  <c r="C83" i="72"/>
  <c r="B84" i="72"/>
  <c r="C84" i="72"/>
  <c r="B85" i="72"/>
  <c r="C85" i="72"/>
  <c r="B86" i="72"/>
  <c r="C86" i="72"/>
  <c r="B87" i="72"/>
  <c r="C87" i="72"/>
  <c r="B88" i="72"/>
  <c r="C88" i="72"/>
  <c r="B89" i="72"/>
  <c r="C89" i="72"/>
  <c r="B90" i="72"/>
  <c r="C90" i="72"/>
  <c r="B91" i="72"/>
  <c r="C91" i="72"/>
  <c r="B92" i="72"/>
  <c r="C92" i="72"/>
  <c r="B93" i="72"/>
  <c r="C93" i="72"/>
  <c r="B94" i="72"/>
  <c r="C94" i="72"/>
  <c r="B95" i="72"/>
  <c r="C95" i="72"/>
  <c r="B96" i="72"/>
  <c r="C96" i="72"/>
  <c r="B97" i="72"/>
  <c r="C97" i="72"/>
  <c r="B98" i="72"/>
  <c r="C98" i="72"/>
  <c r="B99" i="72"/>
  <c r="C99" i="72"/>
  <c r="B100" i="72"/>
  <c r="C100" i="72"/>
  <c r="B101" i="72"/>
  <c r="C101" i="72"/>
  <c r="B102" i="72"/>
  <c r="C102" i="72"/>
  <c r="B103" i="72"/>
  <c r="C103" i="72"/>
  <c r="B104" i="72"/>
  <c r="C104" i="72"/>
  <c r="B105" i="72"/>
  <c r="C105" i="72"/>
  <c r="B106" i="72"/>
  <c r="C106" i="72"/>
  <c r="B109" i="72"/>
  <c r="C109" i="72"/>
  <c r="B110" i="72"/>
  <c r="C110" i="72"/>
  <c r="B111" i="72"/>
  <c r="C111" i="72"/>
  <c r="O53" i="72"/>
  <c r="T53" i="72"/>
  <c r="U53" i="72" s="1"/>
  <c r="N53" i="72"/>
  <c r="AD53" i="72" a="1"/>
  <c r="AD53" i="72" s="1"/>
  <c r="T43" i="72"/>
  <c r="T22" i="72"/>
  <c r="V22" i="72" s="1"/>
  <c r="W22" i="72" s="1"/>
  <c r="O22" i="72"/>
  <c r="N102" i="72"/>
  <c r="T102" i="72"/>
  <c r="U102" i="72" s="1"/>
  <c r="O92" i="72"/>
  <c r="N92" i="72"/>
  <c r="T92" i="72"/>
  <c r="U92" i="72" s="1"/>
  <c r="T42" i="72"/>
  <c r="V53" i="72" l="1"/>
  <c r="W53" i="72" s="1"/>
  <c r="Y53" i="72"/>
  <c r="Y102" i="72"/>
  <c r="AA102" i="72" s="1"/>
  <c r="V102" i="72"/>
  <c r="W102" i="72" s="1"/>
  <c r="Y92" i="72"/>
  <c r="AA92" i="72" s="1"/>
  <c r="V92" i="72"/>
  <c r="W92" i="72" s="1"/>
  <c r="A8" i="61"/>
  <c r="B8" i="61"/>
  <c r="A9" i="61"/>
  <c r="B9" i="61"/>
  <c r="A10" i="61"/>
  <c r="B10" i="61"/>
  <c r="A11" i="61"/>
  <c r="B11" i="61"/>
  <c r="A12" i="61"/>
  <c r="B12" i="61"/>
  <c r="A13" i="61"/>
  <c r="B13" i="61"/>
  <c r="A14" i="61"/>
  <c r="B14" i="61"/>
  <c r="A15" i="61"/>
  <c r="B15" i="61"/>
  <c r="A16" i="61"/>
  <c r="B16" i="61"/>
  <c r="A17" i="61"/>
  <c r="B17" i="61"/>
  <c r="A18" i="61"/>
  <c r="B18" i="61"/>
  <c r="A19" i="61"/>
  <c r="B19" i="61"/>
  <c r="A20" i="61"/>
  <c r="B20" i="61"/>
  <c r="A21" i="61"/>
  <c r="B21" i="61"/>
  <c r="A22" i="61"/>
  <c r="B22" i="61"/>
  <c r="A23" i="61"/>
  <c r="B23" i="61"/>
  <c r="A24" i="61"/>
  <c r="B24" i="61"/>
  <c r="A25" i="61"/>
  <c r="B25" i="61"/>
  <c r="A26" i="61"/>
  <c r="B26" i="61"/>
  <c r="A27" i="61"/>
  <c r="B27" i="61"/>
  <c r="A28" i="61"/>
  <c r="B28" i="61"/>
  <c r="A29" i="61"/>
  <c r="B29" i="61"/>
  <c r="A30" i="61"/>
  <c r="B30" i="61"/>
  <c r="A31" i="61"/>
  <c r="B31" i="61"/>
  <c r="A32" i="61"/>
  <c r="B32" i="61"/>
  <c r="A33" i="61"/>
  <c r="B33" i="61"/>
  <c r="A34" i="61"/>
  <c r="B34" i="61"/>
  <c r="A35" i="61"/>
  <c r="B35" i="61"/>
  <c r="U20" i="71"/>
  <c r="U31" i="66" l="1"/>
  <c r="T12" i="66"/>
  <c r="R31" i="66"/>
  <c r="X23" i="66"/>
  <c r="S31" i="66"/>
  <c r="W31" i="66"/>
  <c r="V31" i="66"/>
  <c r="T31" i="66"/>
  <c r="X31" i="66"/>
  <c r="Y31" i="66"/>
  <c r="T33" i="66"/>
  <c r="R35" i="66"/>
  <c r="S36" i="66"/>
  <c r="R34" i="66"/>
  <c r="S35" i="66"/>
  <c r="T36" i="66"/>
  <c r="R33" i="66"/>
  <c r="S34" i="66"/>
  <c r="S33" i="66"/>
  <c r="T34" i="66"/>
  <c r="R36" i="66"/>
  <c r="T35" i="66"/>
  <c r="Z53" i="72"/>
  <c r="AA53" i="72"/>
  <c r="Z102" i="72"/>
  <c r="AB102" i="72" s="1"/>
  <c r="Z92" i="72"/>
  <c r="AB92" i="72" s="1"/>
  <c r="U20" i="61"/>
  <c r="W20" i="61" s="1"/>
  <c r="X20" i="61" s="1"/>
  <c r="P20" i="61"/>
  <c r="O20" i="61"/>
  <c r="L20" i="61"/>
  <c r="I20" i="61"/>
  <c r="AE20" i="61" a="1"/>
  <c r="AE20" i="61" s="1"/>
  <c r="J3" i="71"/>
  <c r="J3" i="72"/>
  <c r="S32" i="66" l="1"/>
  <c r="R32" i="66"/>
  <c r="T32" i="66"/>
  <c r="AB53" i="72"/>
  <c r="Z20" i="61"/>
  <c r="AA20" i="61" s="1"/>
  <c r="AB20" i="61" l="1"/>
  <c r="AC20" i="61" s="1"/>
  <c r="J6" i="72"/>
  <c r="I6" i="72"/>
  <c r="H6" i="72"/>
  <c r="K3" i="72" l="1"/>
  <c r="J6" i="61"/>
  <c r="J3" i="61"/>
  <c r="T93" i="72" l="1"/>
  <c r="U93" i="72" s="1"/>
  <c r="O93" i="72"/>
  <c r="N93" i="72"/>
  <c r="AD93" i="72" a="1"/>
  <c r="AD93" i="72" s="1"/>
  <c r="Y93" i="72" l="1"/>
  <c r="V93" i="72"/>
  <c r="W93" i="72" s="1"/>
  <c r="Z93" i="72" l="1"/>
  <c r="AA93" i="72" s="1"/>
  <c r="AB93" i="72" l="1"/>
  <c r="AD90" i="72" l="1" a="1"/>
  <c r="AD90" i="72" s="1"/>
  <c r="T90" i="72"/>
  <c r="U90" i="72" s="1"/>
  <c r="O90" i="72"/>
  <c r="N90" i="72"/>
  <c r="AD89" i="72" a="1"/>
  <c r="AD89" i="72" s="1"/>
  <c r="T89" i="72"/>
  <c r="V89" i="72" s="1"/>
  <c r="O89" i="72"/>
  <c r="N89" i="72"/>
  <c r="AD88" i="72" a="1"/>
  <c r="AD88" i="72" s="1"/>
  <c r="T88" i="72"/>
  <c r="V88" i="72" s="1"/>
  <c r="O88" i="72"/>
  <c r="N88" i="72"/>
  <c r="U88" i="72" l="1"/>
  <c r="W88" i="72" s="1"/>
  <c r="U89" i="72"/>
  <c r="W89" i="72" s="1"/>
  <c r="V90" i="72"/>
  <c r="W90" i="72" s="1"/>
  <c r="Y88" i="72"/>
  <c r="Y89" i="72"/>
  <c r="Y90" i="72"/>
  <c r="AA88" i="72" l="1"/>
  <c r="Z88" i="72"/>
  <c r="Z90" i="72"/>
  <c r="AA90" i="72"/>
  <c r="AA89" i="72"/>
  <c r="Z89" i="72"/>
  <c r="AB90" i="72" l="1"/>
  <c r="AB89" i="72"/>
  <c r="AB88" i="72"/>
  <c r="AD108" i="72" a="1"/>
  <c r="AD108" i="72" s="1"/>
  <c r="AB108" i="72"/>
  <c r="AD110" i="72" l="1" a="1"/>
  <c r="AD110" i="72" s="1"/>
  <c r="AB110" i="72"/>
  <c r="T105" i="72" l="1"/>
  <c r="U105" i="72" s="1"/>
  <c r="T104" i="72"/>
  <c r="V104" i="72" s="1"/>
  <c r="O104" i="72"/>
  <c r="N104" i="72"/>
  <c r="AD104" i="72" a="1"/>
  <c r="AD104" i="72" s="1"/>
  <c r="T103" i="72"/>
  <c r="U103" i="72" s="1"/>
  <c r="AD103" i="72" a="1"/>
  <c r="AD103" i="72" s="1"/>
  <c r="T101" i="72"/>
  <c r="V101" i="72" s="1"/>
  <c r="O101" i="72"/>
  <c r="N101" i="72"/>
  <c r="T100" i="72"/>
  <c r="Y100" i="72" s="1"/>
  <c r="Z100" i="72" s="1"/>
  <c r="O100" i="72"/>
  <c r="N100" i="72"/>
  <c r="AD100" i="72" a="1"/>
  <c r="AD100" i="72" s="1"/>
  <c r="U7" i="61"/>
  <c r="W7" i="61" s="1"/>
  <c r="P7" i="61"/>
  <c r="O7" i="61"/>
  <c r="L7" i="61"/>
  <c r="I7" i="61"/>
  <c r="B7" i="61"/>
  <c r="A7" i="61"/>
  <c r="T111" i="72"/>
  <c r="V111" i="72" s="1"/>
  <c r="W111" i="72" s="1"/>
  <c r="O111" i="72"/>
  <c r="N111" i="72"/>
  <c r="T7" i="72"/>
  <c r="O7" i="72"/>
  <c r="N7" i="72"/>
  <c r="K7" i="72"/>
  <c r="C7" i="72"/>
  <c r="B7" i="72"/>
  <c r="AE7" i="61" l="1" a="1"/>
  <c r="AE7" i="61" s="1"/>
  <c r="V30" i="66"/>
  <c r="U30" i="66"/>
  <c r="V29" i="66"/>
  <c r="X29" i="66"/>
  <c r="U29" i="66"/>
  <c r="S30" i="66"/>
  <c r="R30" i="66"/>
  <c r="S29" i="66"/>
  <c r="R29" i="66"/>
  <c r="X7" i="61"/>
  <c r="Z7" i="61"/>
  <c r="AA7" i="61" s="1"/>
  <c r="AD111" i="72" a="1"/>
  <c r="AD111" i="72" s="1"/>
  <c r="AD101" i="72" a="1"/>
  <c r="AD101" i="72" s="1"/>
  <c r="AD105" i="72" a="1"/>
  <c r="AD105" i="72" s="1"/>
  <c r="V100" i="72"/>
  <c r="W100" i="72" s="1"/>
  <c r="U101" i="72"/>
  <c r="W101" i="72" s="1"/>
  <c r="U104" i="72"/>
  <c r="W104" i="72" s="1"/>
  <c r="AA100" i="72"/>
  <c r="V103" i="72"/>
  <c r="W103" i="72" s="1"/>
  <c r="V105" i="72"/>
  <c r="W105" i="72" s="1"/>
  <c r="AD7" i="72" a="1"/>
  <c r="AD7" i="72" s="1"/>
  <c r="Y101" i="72"/>
  <c r="Y104" i="72"/>
  <c r="Y103" i="72"/>
  <c r="Y105" i="72"/>
  <c r="Y111" i="72"/>
  <c r="Z111" i="72" s="1"/>
  <c r="Y7" i="72"/>
  <c r="U7" i="72"/>
  <c r="T41" i="72"/>
  <c r="AB7" i="61" l="1"/>
  <c r="AC7" i="61" s="1"/>
  <c r="AB100" i="72"/>
  <c r="AA101" i="72"/>
  <c r="Z101" i="72"/>
  <c r="Z105" i="72"/>
  <c r="AA105" i="72"/>
  <c r="Z103" i="72"/>
  <c r="AA103" i="72"/>
  <c r="AA104" i="72"/>
  <c r="Z104" i="72"/>
  <c r="AA111" i="72"/>
  <c r="AB111" i="72" s="1"/>
  <c r="Z7" i="72"/>
  <c r="AA7" i="72" s="1"/>
  <c r="V7" i="72"/>
  <c r="AD41" i="72" a="1"/>
  <c r="AD41" i="72" s="1"/>
  <c r="AB104" i="72" l="1"/>
  <c r="AB105" i="72"/>
  <c r="AB103" i="72"/>
  <c r="AB101" i="72"/>
  <c r="W7" i="72"/>
  <c r="AB7" i="72"/>
  <c r="AC15" i="74" a="1"/>
  <c r="AC15" i="74" s="1"/>
  <c r="S15" i="74"/>
  <c r="X15" i="74" s="1"/>
  <c r="N15" i="74"/>
  <c r="M15" i="74"/>
  <c r="J15" i="74"/>
  <c r="B15" i="74"/>
  <c r="A15" i="74"/>
  <c r="AC14" i="74" a="1"/>
  <c r="AC14" i="74" s="1"/>
  <c r="S14" i="74"/>
  <c r="N14" i="74"/>
  <c r="M14" i="74"/>
  <c r="J14" i="74"/>
  <c r="B14" i="74"/>
  <c r="A14" i="74"/>
  <c r="AC13" i="74" a="1"/>
  <c r="AC13" i="74" s="1"/>
  <c r="S13" i="74"/>
  <c r="N13" i="74"/>
  <c r="M13" i="74"/>
  <c r="J13" i="74"/>
  <c r="B13" i="74"/>
  <c r="A13" i="74"/>
  <c r="AC12" i="74" a="1"/>
  <c r="AC12" i="74" s="1"/>
  <c r="S12" i="74"/>
  <c r="X12" i="74" s="1"/>
  <c r="N12" i="74"/>
  <c r="M12" i="74"/>
  <c r="J12" i="74"/>
  <c r="B12" i="74"/>
  <c r="A12" i="74"/>
  <c r="AC11" i="74" a="1"/>
  <c r="AC11" i="74" s="1"/>
  <c r="T11" i="74"/>
  <c r="U11" i="74" s="1"/>
  <c r="S11" i="74"/>
  <c r="X11" i="74" s="1"/>
  <c r="N11" i="74"/>
  <c r="M11" i="74"/>
  <c r="J11" i="74"/>
  <c r="B11" i="74"/>
  <c r="A11" i="74"/>
  <c r="AC10" i="74" a="1"/>
  <c r="AC10" i="74" s="1"/>
  <c r="T10" i="74"/>
  <c r="S10" i="74"/>
  <c r="N10" i="74"/>
  <c r="M10" i="74"/>
  <c r="J10" i="74"/>
  <c r="B10" i="74"/>
  <c r="A10" i="74"/>
  <c r="AC9" i="74" a="1"/>
  <c r="AC9" i="74" s="1"/>
  <c r="S9" i="74"/>
  <c r="N9" i="74"/>
  <c r="M9" i="74"/>
  <c r="J9" i="74"/>
  <c r="B9" i="74"/>
  <c r="A9" i="74"/>
  <c r="AC8" i="74" a="1"/>
  <c r="AC8" i="74" s="1"/>
  <c r="U8" i="74"/>
  <c r="T8" i="74"/>
  <c r="V8" i="74" s="1"/>
  <c r="S8" i="74"/>
  <c r="X8" i="74" s="1"/>
  <c r="N8" i="74"/>
  <c r="M8" i="74"/>
  <c r="J8" i="74"/>
  <c r="B8" i="74"/>
  <c r="A8" i="74"/>
  <c r="S7" i="74"/>
  <c r="X7" i="74" s="1"/>
  <c r="N7" i="74"/>
  <c r="M7" i="74"/>
  <c r="J7" i="74"/>
  <c r="B7" i="74"/>
  <c r="A7" i="74"/>
  <c r="L6" i="74"/>
  <c r="K6" i="74"/>
  <c r="J6" i="74"/>
  <c r="I6" i="74"/>
  <c r="H6" i="74"/>
  <c r="G6" i="74"/>
  <c r="L3" i="74"/>
  <c r="K3" i="74"/>
  <c r="I3" i="74"/>
  <c r="H3" i="74"/>
  <c r="AE12" i="67" a="1"/>
  <c r="AE12" i="67" s="1"/>
  <c r="Z12" i="67"/>
  <c r="AA12" i="67" s="1"/>
  <c r="V12" i="67"/>
  <c r="P12" i="67"/>
  <c r="O12" i="67"/>
  <c r="L12" i="67"/>
  <c r="I12" i="67"/>
  <c r="U10" i="74" l="1"/>
  <c r="V10" i="74" s="1"/>
  <c r="T12" i="74"/>
  <c r="V11" i="74"/>
  <c r="M6" i="74"/>
  <c r="U12" i="74"/>
  <c r="T14" i="74"/>
  <c r="U14" i="74" s="1"/>
  <c r="V14" i="74" s="1"/>
  <c r="T15" i="74"/>
  <c r="AC7" i="74" a="1"/>
  <c r="AC7" i="74" s="1"/>
  <c r="AC6" i="74" s="1"/>
  <c r="Y7" i="74"/>
  <c r="Y11" i="74"/>
  <c r="Z11" i="74" s="1"/>
  <c r="Y8" i="74"/>
  <c r="Z8" i="74" s="1"/>
  <c r="Y15" i="74"/>
  <c r="Y12" i="74"/>
  <c r="Z12" i="74" s="1"/>
  <c r="T7" i="74"/>
  <c r="X10" i="74"/>
  <c r="X14" i="74"/>
  <c r="X13" i="74"/>
  <c r="X9" i="74"/>
  <c r="T9" i="74"/>
  <c r="T13" i="74"/>
  <c r="U13" i="74" s="1"/>
  <c r="W12" i="67"/>
  <c r="AB12" i="67"/>
  <c r="AC12" i="67" s="1"/>
  <c r="V12" i="74" l="1"/>
  <c r="U15" i="74"/>
  <c r="V15" i="74" s="1"/>
  <c r="Y10" i="74"/>
  <c r="Z10" i="74" s="1"/>
  <c r="U9" i="74"/>
  <c r="V9" i="74" s="1"/>
  <c r="Z9" i="74"/>
  <c r="Y9" i="74"/>
  <c r="T6" i="74"/>
  <c r="U7" i="74"/>
  <c r="AA12" i="74"/>
  <c r="AA11" i="74"/>
  <c r="Y13" i="74"/>
  <c r="V13" i="74"/>
  <c r="Y14" i="74"/>
  <c r="Z15" i="74"/>
  <c r="AA15" i="74" s="1"/>
  <c r="AA8" i="74"/>
  <c r="Z7" i="74"/>
  <c r="AA7" i="74" l="1"/>
  <c r="AA9" i="74"/>
  <c r="AA10" i="74"/>
  <c r="U6" i="74"/>
  <c r="U3" i="74" s="1"/>
  <c r="AA14" i="74"/>
  <c r="Z14" i="74"/>
  <c r="Z13" i="74"/>
  <c r="AA13" i="74" s="1"/>
  <c r="V7" i="74"/>
  <c r="Y6" i="74"/>
  <c r="T3" i="74"/>
  <c r="V6" i="74" l="1"/>
  <c r="V3" i="74" s="1"/>
  <c r="Y3" i="74"/>
  <c r="Z6" i="74"/>
  <c r="Z3" i="74" s="1"/>
  <c r="AA6" i="74" l="1"/>
  <c r="AA3" i="74" s="1"/>
  <c r="T29" i="72" l="1"/>
  <c r="O29" i="72"/>
  <c r="N29" i="72"/>
  <c r="T28" i="72"/>
  <c r="Y28" i="72" s="1"/>
  <c r="O28" i="72"/>
  <c r="N28" i="72"/>
  <c r="T27" i="72"/>
  <c r="Y27" i="72" s="1"/>
  <c r="O27" i="72"/>
  <c r="N27" i="72"/>
  <c r="T26" i="72"/>
  <c r="O26" i="72"/>
  <c r="N26" i="72"/>
  <c r="T25" i="72"/>
  <c r="O25" i="72"/>
  <c r="N25" i="72"/>
  <c r="T24" i="72"/>
  <c r="Y24" i="72" s="1"/>
  <c r="O24" i="72"/>
  <c r="N24" i="72"/>
  <c r="T23" i="72"/>
  <c r="O23" i="72"/>
  <c r="N23" i="72"/>
  <c r="T21" i="72"/>
  <c r="O21" i="72"/>
  <c r="N21" i="72"/>
  <c r="T20" i="72"/>
  <c r="Y20" i="72" s="1"/>
  <c r="O20" i="72"/>
  <c r="N20" i="72"/>
  <c r="T19" i="72"/>
  <c r="Y19" i="72" s="1"/>
  <c r="O19" i="72"/>
  <c r="N19" i="72"/>
  <c r="T13" i="72"/>
  <c r="O13" i="72"/>
  <c r="N13" i="72"/>
  <c r="T12" i="72"/>
  <c r="Y12" i="72" s="1"/>
  <c r="O12" i="72"/>
  <c r="N12" i="72"/>
  <c r="T11" i="72"/>
  <c r="Y11" i="72" s="1"/>
  <c r="O11" i="72"/>
  <c r="N11" i="72"/>
  <c r="T10" i="72"/>
  <c r="O10" i="72"/>
  <c r="N10" i="72"/>
  <c r="T9" i="72"/>
  <c r="O9" i="72"/>
  <c r="N9" i="72"/>
  <c r="T8" i="72"/>
  <c r="Y8" i="72" s="1"/>
  <c r="O8" i="72"/>
  <c r="N8" i="72"/>
  <c r="T30" i="72"/>
  <c r="Y30" i="72" s="1"/>
  <c r="O30" i="72"/>
  <c r="N30" i="72"/>
  <c r="T18" i="72"/>
  <c r="Y18" i="72" s="1"/>
  <c r="O18" i="72"/>
  <c r="N18" i="72"/>
  <c r="T17" i="72"/>
  <c r="O17" i="72"/>
  <c r="N17" i="72"/>
  <c r="T16" i="72"/>
  <c r="O16" i="72"/>
  <c r="N16" i="72"/>
  <c r="T15" i="72"/>
  <c r="Y15" i="72" s="1"/>
  <c r="O15" i="72"/>
  <c r="N15" i="72"/>
  <c r="T14" i="72"/>
  <c r="O14" i="72"/>
  <c r="N14" i="72"/>
  <c r="Z22" i="67"/>
  <c r="AA22" i="67" s="1"/>
  <c r="V22" i="67"/>
  <c r="P22" i="67"/>
  <c r="O22" i="67"/>
  <c r="L22" i="67"/>
  <c r="I22" i="67"/>
  <c r="AE22" i="67" a="1"/>
  <c r="AE22" i="67" s="1"/>
  <c r="Z21" i="67"/>
  <c r="AA21" i="67" s="1"/>
  <c r="V21" i="67"/>
  <c r="W21" i="67" s="1"/>
  <c r="P21" i="67"/>
  <c r="O21" i="67"/>
  <c r="L21" i="67"/>
  <c r="I21" i="67"/>
  <c r="AE21" i="67" a="1"/>
  <c r="AE21" i="67" s="1"/>
  <c r="Z20" i="67"/>
  <c r="AA20" i="67" s="1"/>
  <c r="V20" i="67"/>
  <c r="W20" i="67" s="1"/>
  <c r="P20" i="67"/>
  <c r="O20" i="67"/>
  <c r="L20" i="67"/>
  <c r="I20" i="67"/>
  <c r="AE20" i="67" a="1"/>
  <c r="AE20" i="67" s="1"/>
  <c r="Z19" i="67"/>
  <c r="AA19" i="67" s="1"/>
  <c r="V19" i="67"/>
  <c r="P19" i="67"/>
  <c r="O19" i="67"/>
  <c r="L19" i="67"/>
  <c r="I19" i="67"/>
  <c r="AE19" i="67" a="1"/>
  <c r="AE19" i="67" s="1"/>
  <c r="Z18" i="67"/>
  <c r="AA18" i="67" s="1"/>
  <c r="V18" i="67"/>
  <c r="P18" i="67"/>
  <c r="O18" i="67"/>
  <c r="L18" i="67"/>
  <c r="I18" i="67"/>
  <c r="AE18" i="67" a="1"/>
  <c r="AE18" i="67" s="1"/>
  <c r="Z17" i="67"/>
  <c r="AA17" i="67" s="1"/>
  <c r="V17" i="67"/>
  <c r="P17" i="67"/>
  <c r="O17" i="67"/>
  <c r="L17" i="67"/>
  <c r="I17" i="67"/>
  <c r="AE17" i="67" a="1"/>
  <c r="AE17" i="67" s="1"/>
  <c r="Z16" i="67"/>
  <c r="AA16" i="67" s="1"/>
  <c r="V16" i="67"/>
  <c r="P16" i="67"/>
  <c r="O16" i="67"/>
  <c r="L16" i="67"/>
  <c r="I16" i="67"/>
  <c r="AE16" i="67" a="1"/>
  <c r="AE16" i="67" s="1"/>
  <c r="Z15" i="67"/>
  <c r="AA15" i="67" s="1"/>
  <c r="V15" i="67"/>
  <c r="P15" i="67"/>
  <c r="O15" i="67"/>
  <c r="L15" i="67"/>
  <c r="I15" i="67"/>
  <c r="AE15" i="67" a="1"/>
  <c r="AE15" i="67" s="1"/>
  <c r="Z14" i="67"/>
  <c r="AA14" i="67" s="1"/>
  <c r="V14" i="67"/>
  <c r="P14" i="67"/>
  <c r="O14" i="67"/>
  <c r="L14" i="67"/>
  <c r="I14" i="67"/>
  <c r="AE14" i="67" a="1"/>
  <c r="AE14" i="67" s="1"/>
  <c r="Z13" i="67"/>
  <c r="AA13" i="67" s="1"/>
  <c r="V13" i="67"/>
  <c r="W13" i="67" s="1"/>
  <c r="P13" i="67"/>
  <c r="O13" i="67"/>
  <c r="L13" i="67"/>
  <c r="I13" i="67"/>
  <c r="AE13" i="67" a="1"/>
  <c r="AE13" i="67" s="1"/>
  <c r="Z11" i="67"/>
  <c r="AA11" i="67" s="1"/>
  <c r="V11" i="67"/>
  <c r="P11" i="67"/>
  <c r="O11" i="67"/>
  <c r="L11" i="67"/>
  <c r="I11" i="67"/>
  <c r="AE11" i="67" a="1"/>
  <c r="AE11" i="67" s="1"/>
  <c r="Z9" i="67"/>
  <c r="AA9" i="67" s="1"/>
  <c r="V9" i="67"/>
  <c r="W9" i="67" s="1"/>
  <c r="P9" i="67"/>
  <c r="O9" i="67"/>
  <c r="L9" i="67"/>
  <c r="I9" i="67"/>
  <c r="AE9" i="67" a="1"/>
  <c r="AE9" i="67" s="1"/>
  <c r="Z8" i="67"/>
  <c r="V8" i="67"/>
  <c r="W8" i="67" s="1"/>
  <c r="P8" i="67"/>
  <c r="O8" i="67"/>
  <c r="L8" i="67"/>
  <c r="I8" i="67"/>
  <c r="AE8" i="67" a="1"/>
  <c r="AE8" i="67" s="1"/>
  <c r="Z10" i="67"/>
  <c r="AA10" i="67" s="1"/>
  <c r="V10" i="67"/>
  <c r="W10" i="67" s="1"/>
  <c r="P10" i="67"/>
  <c r="O10" i="67"/>
  <c r="L10" i="67"/>
  <c r="I10" i="67"/>
  <c r="AE10" i="67" a="1"/>
  <c r="AE10" i="67" s="1"/>
  <c r="Z23" i="67"/>
  <c r="AA23" i="67" s="1"/>
  <c r="W23" i="67"/>
  <c r="V23" i="67"/>
  <c r="P23" i="67"/>
  <c r="O23" i="67"/>
  <c r="L23" i="67"/>
  <c r="I23" i="67"/>
  <c r="U24" i="61"/>
  <c r="W24" i="61" s="1"/>
  <c r="X24" i="61" s="1"/>
  <c r="P24" i="61"/>
  <c r="O24" i="61"/>
  <c r="L24" i="61"/>
  <c r="I24" i="61"/>
  <c r="AE24" i="61" a="1"/>
  <c r="AE24" i="61" s="1"/>
  <c r="U23" i="61"/>
  <c r="W23" i="61" s="1"/>
  <c r="P23" i="61"/>
  <c r="O23" i="61"/>
  <c r="L23" i="61"/>
  <c r="I23" i="61"/>
  <c r="AE23" i="61" a="1"/>
  <c r="AE23" i="61" s="1"/>
  <c r="AE22" i="61" a="1"/>
  <c r="AE22" i="61" s="1"/>
  <c r="U22" i="61"/>
  <c r="Z22" i="61" s="1"/>
  <c r="AA22" i="61" s="1"/>
  <c r="P22" i="61"/>
  <c r="O22" i="61"/>
  <c r="I22" i="61"/>
  <c r="L22" i="61"/>
  <c r="U21" i="61"/>
  <c r="W21" i="61" s="1"/>
  <c r="P21" i="61"/>
  <c r="O21" i="61"/>
  <c r="L21" i="61"/>
  <c r="I21" i="61"/>
  <c r="U19" i="61"/>
  <c r="W19" i="61" s="1"/>
  <c r="X19" i="61" s="1"/>
  <c r="P19" i="61"/>
  <c r="O19" i="61"/>
  <c r="L19" i="61"/>
  <c r="I19" i="61"/>
  <c r="AE19" i="61" a="1"/>
  <c r="AE19" i="61" s="1"/>
  <c r="U18" i="61"/>
  <c r="Z18" i="61" s="1"/>
  <c r="AA18" i="61" s="1"/>
  <c r="P18" i="61"/>
  <c r="O18" i="61"/>
  <c r="L18" i="61"/>
  <c r="I18" i="61"/>
  <c r="AE18" i="61" a="1"/>
  <c r="AE18" i="61" s="1"/>
  <c r="U17" i="61"/>
  <c r="P17" i="61"/>
  <c r="O17" i="61"/>
  <c r="L17" i="61"/>
  <c r="I17" i="61"/>
  <c r="AE16" i="61" a="1"/>
  <c r="AE16" i="61" s="1"/>
  <c r="U16" i="61"/>
  <c r="W16" i="61" s="1"/>
  <c r="P16" i="61"/>
  <c r="O16" i="61"/>
  <c r="I16" i="61"/>
  <c r="L16" i="61"/>
  <c r="U15" i="61"/>
  <c r="P15" i="61"/>
  <c r="O15" i="61"/>
  <c r="L15" i="61"/>
  <c r="I15" i="61"/>
  <c r="AE15" i="61" a="1"/>
  <c r="AE15" i="61" s="1"/>
  <c r="U14" i="61"/>
  <c r="W14" i="61" s="1"/>
  <c r="X14" i="61" s="1"/>
  <c r="P14" i="61"/>
  <c r="O14" i="61"/>
  <c r="L14" i="61"/>
  <c r="I14" i="61"/>
  <c r="U13" i="61"/>
  <c r="W13" i="61" s="1"/>
  <c r="X13" i="61" s="1"/>
  <c r="P13" i="61"/>
  <c r="O13" i="61"/>
  <c r="L13" i="61"/>
  <c r="I13" i="61"/>
  <c r="U12" i="61"/>
  <c r="P12" i="61"/>
  <c r="O12" i="61"/>
  <c r="L12" i="61"/>
  <c r="I12" i="61"/>
  <c r="AE12" i="61" a="1"/>
  <c r="AE12" i="61" s="1"/>
  <c r="AE11" i="61" a="1"/>
  <c r="AE11" i="61" s="1"/>
  <c r="U11" i="61"/>
  <c r="P11" i="61"/>
  <c r="I11" i="61"/>
  <c r="O11" i="61"/>
  <c r="U10" i="61"/>
  <c r="W10" i="61" s="1"/>
  <c r="P10" i="61"/>
  <c r="O10" i="61"/>
  <c r="L10" i="61"/>
  <c r="I10" i="61"/>
  <c r="AE10" i="61" a="1"/>
  <c r="AE10" i="61" s="1"/>
  <c r="U9" i="61"/>
  <c r="Z9" i="61" s="1"/>
  <c r="P9" i="61"/>
  <c r="O9" i="61"/>
  <c r="L9" i="61"/>
  <c r="I9" i="61"/>
  <c r="U8" i="61"/>
  <c r="W8" i="61" s="1"/>
  <c r="P8" i="61"/>
  <c r="O8" i="61"/>
  <c r="L8" i="61"/>
  <c r="I8" i="61"/>
  <c r="T29" i="66" l="1"/>
  <c r="AD26" i="72" a="1"/>
  <c r="AD26" i="72" s="1"/>
  <c r="AD28" i="72" a="1"/>
  <c r="AD28" i="72" s="1"/>
  <c r="X8" i="61"/>
  <c r="AE14" i="61" a="1"/>
  <c r="AE14" i="61" s="1"/>
  <c r="AE17" i="61" a="1"/>
  <c r="AE17" i="61" s="1"/>
  <c r="AD25" i="72" a="1"/>
  <c r="AD25" i="72" s="1"/>
  <c r="AD27" i="72" a="1"/>
  <c r="AD27" i="72" s="1"/>
  <c r="AD29" i="72" a="1"/>
  <c r="AD29" i="72" s="1"/>
  <c r="AD18" i="72" a="1"/>
  <c r="AD18" i="72" s="1"/>
  <c r="AD8" i="72" a="1"/>
  <c r="AD8" i="72" s="1"/>
  <c r="AD12" i="72" a="1"/>
  <c r="AD12" i="72" s="1"/>
  <c r="AD19" i="72" a="1"/>
  <c r="AD19" i="72" s="1"/>
  <c r="AD21" i="72" a="1"/>
  <c r="AD21" i="72" s="1"/>
  <c r="AD24" i="72" a="1"/>
  <c r="AD24" i="72" s="1"/>
  <c r="AD17" i="72" a="1"/>
  <c r="AD17" i="72" s="1"/>
  <c r="AD9" i="72" a="1"/>
  <c r="AD9" i="72" s="1"/>
  <c r="AD11" i="72" a="1"/>
  <c r="AD11" i="72" s="1"/>
  <c r="AD13" i="72" a="1"/>
  <c r="AD13" i="72" s="1"/>
  <c r="AD20" i="72" a="1"/>
  <c r="AD20" i="72" s="1"/>
  <c r="AD23" i="72" a="1"/>
  <c r="AD23" i="72" s="1"/>
  <c r="AD16" i="72" a="1"/>
  <c r="AD16" i="72" s="1"/>
  <c r="AD10" i="72" a="1"/>
  <c r="AD10" i="72" s="1"/>
  <c r="AD15" i="72" a="1"/>
  <c r="AD15" i="72" s="1"/>
  <c r="AD30" i="72" a="1"/>
  <c r="AD30" i="72" s="1"/>
  <c r="V24" i="72"/>
  <c r="W24" i="72" s="1"/>
  <c r="V26" i="72"/>
  <c r="W26" i="72" s="1"/>
  <c r="V27" i="72"/>
  <c r="W27" i="72" s="1"/>
  <c r="V18" i="72"/>
  <c r="V19" i="72"/>
  <c r="AD14" i="72" a="1"/>
  <c r="AD14" i="72" s="1"/>
  <c r="Z27" i="72"/>
  <c r="Z20" i="72"/>
  <c r="AA20" i="72" s="1"/>
  <c r="Z24" i="72"/>
  <c r="AA24" i="72" s="1"/>
  <c r="Z19" i="72"/>
  <c r="Z28" i="72"/>
  <c r="V21" i="72"/>
  <c r="W21" i="72" s="1"/>
  <c r="V25" i="72"/>
  <c r="W25" i="72" s="1"/>
  <c r="W29" i="72"/>
  <c r="Y23" i="72"/>
  <c r="Y26" i="72"/>
  <c r="Y21" i="72"/>
  <c r="Y25" i="72"/>
  <c r="Y29" i="72"/>
  <c r="Z11" i="72"/>
  <c r="Z8" i="72"/>
  <c r="Z12" i="72"/>
  <c r="AA12" i="72" s="1"/>
  <c r="V9" i="72"/>
  <c r="W9" i="72" s="1"/>
  <c r="V13" i="72"/>
  <c r="W13" i="72" s="1"/>
  <c r="Y10" i="72"/>
  <c r="Y9" i="72"/>
  <c r="Y13" i="72"/>
  <c r="Z18" i="72"/>
  <c r="Z30" i="72"/>
  <c r="V16" i="72"/>
  <c r="W16" i="72" s="1"/>
  <c r="Y17" i="72"/>
  <c r="Y16" i="72"/>
  <c r="Z15" i="72"/>
  <c r="V14" i="72"/>
  <c r="W14" i="72" s="1"/>
  <c r="Y14" i="72"/>
  <c r="W22" i="67"/>
  <c r="AB22" i="67"/>
  <c r="AC22" i="67" s="1"/>
  <c r="AB21" i="67"/>
  <c r="AC21" i="67" s="1"/>
  <c r="AB20" i="67"/>
  <c r="AC20" i="67" s="1"/>
  <c r="AC19" i="67"/>
  <c r="W19" i="67"/>
  <c r="AB19" i="67"/>
  <c r="AC18" i="67"/>
  <c r="W18" i="67"/>
  <c r="AB18" i="67"/>
  <c r="W17" i="67"/>
  <c r="AB17" i="67"/>
  <c r="AC17" i="67" s="1"/>
  <c r="W16" i="67"/>
  <c r="AB16" i="67"/>
  <c r="AC16" i="67" s="1"/>
  <c r="AC15" i="67"/>
  <c r="W15" i="67"/>
  <c r="AB15" i="67"/>
  <c r="W14" i="67"/>
  <c r="AB14" i="67"/>
  <c r="AC14" i="67" s="1"/>
  <c r="AB13" i="67"/>
  <c r="AC13" i="67" s="1"/>
  <c r="AC11" i="67"/>
  <c r="AE23" i="67" a="1"/>
  <c r="AE23" i="67" s="1"/>
  <c r="W11" i="67"/>
  <c r="AB11" i="67"/>
  <c r="AB8" i="67"/>
  <c r="AA8" i="67"/>
  <c r="AB9" i="67"/>
  <c r="AC9" i="67" s="1"/>
  <c r="AB10" i="67"/>
  <c r="AC10" i="67" s="1"/>
  <c r="AB23" i="67"/>
  <c r="AC23" i="67" s="1"/>
  <c r="W18" i="61"/>
  <c r="X18" i="61" s="1"/>
  <c r="AE13" i="61" a="1"/>
  <c r="AE13" i="61" s="1"/>
  <c r="Z19" i="61"/>
  <c r="AA19" i="61" s="1"/>
  <c r="AB19" i="61" s="1"/>
  <c r="W9" i="61"/>
  <c r="X9" i="61" s="1"/>
  <c r="Z21" i="61"/>
  <c r="AA21" i="61" s="1"/>
  <c r="X23" i="61"/>
  <c r="Z24" i="61"/>
  <c r="AA24" i="61" s="1"/>
  <c r="W22" i="61"/>
  <c r="X22" i="61" s="1"/>
  <c r="AE21" i="61" a="1"/>
  <c r="AE21" i="61" s="1"/>
  <c r="X17" i="61"/>
  <c r="Z16" i="61"/>
  <c r="AA16" i="61" s="1"/>
  <c r="Z15" i="61"/>
  <c r="AA15" i="61" s="1"/>
  <c r="W15" i="61"/>
  <c r="X15" i="61" s="1"/>
  <c r="Z14" i="61"/>
  <c r="AA14" i="61" s="1"/>
  <c r="AB14" i="61" s="1"/>
  <c r="Z13" i="61"/>
  <c r="AA13" i="61" s="1"/>
  <c r="W12" i="61"/>
  <c r="X12" i="61" s="1"/>
  <c r="Z11" i="61"/>
  <c r="AA11" i="61" s="1"/>
  <c r="Z10" i="61"/>
  <c r="AA10" i="61" s="1"/>
  <c r="Z8" i="61"/>
  <c r="AA8" i="61" s="1"/>
  <c r="X21" i="61"/>
  <c r="X10" i="61"/>
  <c r="AB24" i="61"/>
  <c r="AC24" i="61" s="1"/>
  <c r="AB18" i="61"/>
  <c r="AC18" i="61" s="1"/>
  <c r="AB22" i="61"/>
  <c r="AC22" i="61" s="1"/>
  <c r="Z17" i="61"/>
  <c r="Z23" i="61"/>
  <c r="X16" i="61"/>
  <c r="AE8" i="61" a="1"/>
  <c r="AE8" i="61" s="1"/>
  <c r="AB15" i="61"/>
  <c r="AC15" i="61" s="1"/>
  <c r="AE9" i="61" a="1"/>
  <c r="AE9" i="61" s="1"/>
  <c r="Z12" i="61"/>
  <c r="AA9" i="61"/>
  <c r="L11" i="61"/>
  <c r="W29" i="66" s="1"/>
  <c r="U26" i="61"/>
  <c r="U25" i="61"/>
  <c r="X11" i="67" l="1"/>
  <c r="AB21" i="61"/>
  <c r="AC21" i="61" s="1"/>
  <c r="AB13" i="61"/>
  <c r="AC13" i="61" s="1"/>
  <c r="AB16" i="61"/>
  <c r="AC16" i="61" s="1"/>
  <c r="AB8" i="61"/>
  <c r="AC8" i="61" s="1"/>
  <c r="V10" i="72"/>
  <c r="W10" i="72" s="1"/>
  <c r="W18" i="72"/>
  <c r="V23" i="72"/>
  <c r="W23" i="72" s="1"/>
  <c r="V11" i="72"/>
  <c r="W11" i="72" s="1"/>
  <c r="W19" i="72"/>
  <c r="V17" i="72"/>
  <c r="W17" i="72" s="1"/>
  <c r="Z29" i="72"/>
  <c r="AA29" i="72" s="1"/>
  <c r="Z23" i="72"/>
  <c r="AA28" i="72"/>
  <c r="AB28" i="72" s="1"/>
  <c r="Z21" i="72"/>
  <c r="V28" i="72"/>
  <c r="W28" i="72" s="1"/>
  <c r="V20" i="72"/>
  <c r="W20" i="72" s="1"/>
  <c r="AB24" i="72"/>
  <c r="Z26" i="72"/>
  <c r="AA26" i="72" s="1"/>
  <c r="AA27" i="72"/>
  <c r="AB27" i="72" s="1"/>
  <c r="Z25" i="72"/>
  <c r="AA25" i="72" s="1"/>
  <c r="AA19" i="72"/>
  <c r="AB19" i="72" s="1"/>
  <c r="AB20" i="72"/>
  <c r="Z13" i="72"/>
  <c r="AA13" i="72" s="1"/>
  <c r="V12" i="72"/>
  <c r="W12" i="72" s="1"/>
  <c r="Z9" i="72"/>
  <c r="AA9" i="72" s="1"/>
  <c r="AA11" i="72"/>
  <c r="AB11" i="72" s="1"/>
  <c r="Z10" i="72"/>
  <c r="V8" i="72"/>
  <c r="AB12" i="72"/>
  <c r="AA8" i="72"/>
  <c r="AB8" i="72" s="1"/>
  <c r="Z16" i="72"/>
  <c r="AA16" i="72" s="1"/>
  <c r="Z17" i="72"/>
  <c r="AA18" i="72"/>
  <c r="AB18" i="72" s="1"/>
  <c r="AA30" i="72"/>
  <c r="AB30" i="72" s="1"/>
  <c r="V30" i="72"/>
  <c r="W30" i="72" s="1"/>
  <c r="V15" i="72"/>
  <c r="W15" i="72" s="1"/>
  <c r="AA15" i="72"/>
  <c r="AB15" i="72" s="1"/>
  <c r="Z14" i="72"/>
  <c r="AA14" i="72" s="1"/>
  <c r="AC8" i="67"/>
  <c r="AB11" i="61"/>
  <c r="AC11" i="61" s="1"/>
  <c r="AB10" i="61"/>
  <c r="AC10" i="61" s="1"/>
  <c r="AC19" i="61"/>
  <c r="AA23" i="61"/>
  <c r="AB23" i="61" s="1"/>
  <c r="AA17" i="61"/>
  <c r="AC14" i="61"/>
  <c r="AA12" i="61"/>
  <c r="AB9" i="61"/>
  <c r="AC9" i="61" s="1"/>
  <c r="AE29" i="61" a="1"/>
  <c r="AE29" i="61" s="1"/>
  <c r="U29" i="61"/>
  <c r="P29" i="61"/>
  <c r="K29" i="61"/>
  <c r="I29" i="61"/>
  <c r="H29" i="61"/>
  <c r="H6" i="61" s="1"/>
  <c r="G29" i="61"/>
  <c r="G6" i="61" s="1"/>
  <c r="W29" i="61" l="1"/>
  <c r="X29" i="61" s="1"/>
  <c r="K3" i="61"/>
  <c r="K6" i="61"/>
  <c r="L3" i="61" s="1"/>
  <c r="W8" i="72"/>
  <c r="AB29" i="72"/>
  <c r="AB25" i="72"/>
  <c r="AB26" i="72"/>
  <c r="AA21" i="72"/>
  <c r="AB21" i="72" s="1"/>
  <c r="AA23" i="72"/>
  <c r="AB23" i="72" s="1"/>
  <c r="AB9" i="72"/>
  <c r="AA10" i="72"/>
  <c r="AB10" i="72" s="1"/>
  <c r="AB13" i="72"/>
  <c r="AB16" i="72"/>
  <c r="AA17" i="72"/>
  <c r="AB17" i="72" s="1"/>
  <c r="AB14" i="72"/>
  <c r="AC23" i="61"/>
  <c r="AB17" i="61"/>
  <c r="AC17" i="61" s="1"/>
  <c r="AB12" i="61"/>
  <c r="AC12" i="61" s="1"/>
  <c r="L29" i="61"/>
  <c r="O29" i="61"/>
  <c r="Z29" i="61"/>
  <c r="AA29" i="61" l="1"/>
  <c r="AB29" i="61" s="1"/>
  <c r="AC29" i="61" l="1"/>
  <c r="L30" i="61" l="1"/>
  <c r="I25" i="61"/>
  <c r="T30" i="66" s="1"/>
  <c r="I26" i="61"/>
  <c r="I27" i="61"/>
  <c r="I28" i="61"/>
  <c r="I30" i="61"/>
  <c r="I31" i="61"/>
  <c r="I32" i="61"/>
  <c r="I33" i="61"/>
  <c r="I34" i="61"/>
  <c r="I35" i="61"/>
  <c r="T99" i="72" l="1"/>
  <c r="T98" i="72"/>
  <c r="T97" i="72"/>
  <c r="T96" i="72"/>
  <c r="T95" i="72"/>
  <c r="T94" i="72"/>
  <c r="T91" i="72"/>
  <c r="T87" i="72"/>
  <c r="T86" i="72"/>
  <c r="T85" i="72"/>
  <c r="T84" i="72"/>
  <c r="T83" i="72"/>
  <c r="T82" i="72"/>
  <c r="T81" i="72"/>
  <c r="T80" i="72"/>
  <c r="T79" i="72"/>
  <c r="T78" i="72"/>
  <c r="T77" i="72"/>
  <c r="T76" i="72"/>
  <c r="T75" i="72"/>
  <c r="T74" i="72"/>
  <c r="T73" i="72"/>
  <c r="T72" i="72"/>
  <c r="T71" i="72"/>
  <c r="T70" i="72"/>
  <c r="T69" i="72"/>
  <c r="T68" i="72"/>
  <c r="T67" i="72"/>
  <c r="T66" i="72"/>
  <c r="T65" i="72"/>
  <c r="T64" i="72"/>
  <c r="T63" i="72"/>
  <c r="T62" i="72"/>
  <c r="T61" i="72"/>
  <c r="T60" i="72"/>
  <c r="T59" i="72"/>
  <c r="T58" i="72"/>
  <c r="T56" i="72"/>
  <c r="T55" i="72"/>
  <c r="T54" i="72"/>
  <c r="T52" i="72"/>
  <c r="T51" i="72"/>
  <c r="T50" i="72"/>
  <c r="T49" i="72"/>
  <c r="T48" i="72"/>
  <c r="T47" i="72"/>
  <c r="T46" i="72"/>
  <c r="T45" i="72"/>
  <c r="T44" i="72"/>
  <c r="T40" i="72"/>
  <c r="T39" i="72"/>
  <c r="T38" i="72"/>
  <c r="T37" i="72"/>
  <c r="T36" i="72"/>
  <c r="T35" i="72"/>
  <c r="T34" i="72"/>
  <c r="T33" i="72"/>
  <c r="T32" i="72"/>
  <c r="T31" i="72"/>
  <c r="N99" i="72"/>
  <c r="N98" i="72"/>
  <c r="N97" i="72"/>
  <c r="N96" i="72"/>
  <c r="N95" i="72"/>
  <c r="N94" i="72"/>
  <c r="N91" i="72"/>
  <c r="N87" i="72"/>
  <c r="N86" i="72"/>
  <c r="N85" i="72"/>
  <c r="N84" i="72"/>
  <c r="N83" i="72"/>
  <c r="N82" i="72"/>
  <c r="N81" i="72"/>
  <c r="N80" i="72"/>
  <c r="N79" i="72"/>
  <c r="N78" i="72"/>
  <c r="N77" i="72"/>
  <c r="N76" i="72"/>
  <c r="N75" i="72"/>
  <c r="N74" i="72"/>
  <c r="N73" i="72"/>
  <c r="N72" i="72"/>
  <c r="N71" i="72"/>
  <c r="N70" i="72"/>
  <c r="N69" i="72"/>
  <c r="N68" i="72"/>
  <c r="N67" i="72"/>
  <c r="N66" i="72"/>
  <c r="N65" i="72"/>
  <c r="N64" i="72"/>
  <c r="N63" i="72"/>
  <c r="N62" i="72"/>
  <c r="N61" i="72"/>
  <c r="N60" i="72"/>
  <c r="N59" i="72"/>
  <c r="N58" i="72"/>
  <c r="N56" i="72"/>
  <c r="N55" i="72"/>
  <c r="N54" i="72"/>
  <c r="N52" i="72"/>
  <c r="N51" i="72"/>
  <c r="N50" i="72"/>
  <c r="N49" i="72"/>
  <c r="N48" i="72"/>
  <c r="N47" i="72"/>
  <c r="N46" i="72"/>
  <c r="N45" i="72"/>
  <c r="N44" i="72"/>
  <c r="N40" i="72"/>
  <c r="N39" i="72"/>
  <c r="N38" i="72"/>
  <c r="N37" i="72"/>
  <c r="N36" i="72"/>
  <c r="N35" i="72"/>
  <c r="N34" i="72"/>
  <c r="N33" i="72"/>
  <c r="N32" i="72"/>
  <c r="N31" i="72"/>
  <c r="N22" i="71"/>
  <c r="N21" i="71"/>
  <c r="N20" i="71"/>
  <c r="N19" i="71"/>
  <c r="N18" i="71"/>
  <c r="N17" i="71"/>
  <c r="N16" i="71"/>
  <c r="N15" i="71"/>
  <c r="N14" i="71"/>
  <c r="N13" i="71"/>
  <c r="N12" i="71"/>
  <c r="N11" i="71"/>
  <c r="N10" i="71"/>
  <c r="N9" i="71"/>
  <c r="N8" i="71"/>
  <c r="N7" i="71"/>
  <c r="K22" i="71"/>
  <c r="K21" i="71"/>
  <c r="K20" i="71"/>
  <c r="K19" i="71"/>
  <c r="K18" i="71"/>
  <c r="K17" i="71"/>
  <c r="K16" i="71"/>
  <c r="K15" i="71"/>
  <c r="K14" i="71"/>
  <c r="K13" i="71"/>
  <c r="K12" i="71"/>
  <c r="K11" i="71"/>
  <c r="K10" i="71"/>
  <c r="K9" i="71"/>
  <c r="K8" i="71"/>
  <c r="K7" i="71"/>
  <c r="K6" i="72" l="1"/>
  <c r="Z7" i="67"/>
  <c r="V7" i="67"/>
  <c r="Y22" i="71"/>
  <c r="U22" i="71"/>
  <c r="V22" i="71" s="1"/>
  <c r="Y21" i="71"/>
  <c r="U21" i="71"/>
  <c r="V21" i="71" s="1"/>
  <c r="Y20" i="71"/>
  <c r="Z20" i="71" s="1"/>
  <c r="Y19" i="71"/>
  <c r="U19" i="71"/>
  <c r="V19" i="71" s="1"/>
  <c r="W19" i="71" s="1"/>
  <c r="Y18" i="71"/>
  <c r="Z18" i="71" s="1"/>
  <c r="AA18" i="71" s="1"/>
  <c r="AB18" i="71" s="1"/>
  <c r="U18" i="71"/>
  <c r="V18" i="71" s="1"/>
  <c r="W18" i="71" s="1"/>
  <c r="Y17" i="71"/>
  <c r="Z17" i="71" s="1"/>
  <c r="U17" i="71"/>
  <c r="V17" i="71" s="1"/>
  <c r="Y16" i="71"/>
  <c r="Z16" i="71" s="1"/>
  <c r="U16" i="71"/>
  <c r="Y15" i="71"/>
  <c r="U15" i="71"/>
  <c r="V15" i="71" s="1"/>
  <c r="W15" i="71" s="1"/>
  <c r="Y14" i="71"/>
  <c r="Z14" i="71" s="1"/>
  <c r="AA14" i="71" s="1"/>
  <c r="AB14" i="71" s="1"/>
  <c r="U14" i="71"/>
  <c r="V14" i="71" s="1"/>
  <c r="W14" i="71" s="1"/>
  <c r="Y13" i="71"/>
  <c r="Z13" i="71" s="1"/>
  <c r="U13" i="71"/>
  <c r="Y12" i="71"/>
  <c r="U12" i="71"/>
  <c r="V12" i="71" s="1"/>
  <c r="W12" i="71" s="1"/>
  <c r="Y11" i="71"/>
  <c r="Z11" i="71" s="1"/>
  <c r="AA11" i="71" s="1"/>
  <c r="AB11" i="71" s="1"/>
  <c r="U11" i="71"/>
  <c r="V11" i="71" s="1"/>
  <c r="W11" i="71" s="1"/>
  <c r="Y10" i="71"/>
  <c r="Z10" i="71" s="1"/>
  <c r="U10" i="71"/>
  <c r="V10" i="71" s="1"/>
  <c r="Y9" i="71"/>
  <c r="Z9" i="71" s="1"/>
  <c r="U9" i="71"/>
  <c r="Y8" i="71"/>
  <c r="U8" i="71"/>
  <c r="V8" i="71" s="1"/>
  <c r="W8" i="71" s="1"/>
  <c r="Y7" i="71"/>
  <c r="Z7" i="71" s="1"/>
  <c r="AA7" i="71" s="1"/>
  <c r="AB7" i="71" s="1"/>
  <c r="U7" i="71"/>
  <c r="V7" i="71" s="1"/>
  <c r="W7" i="71" s="1"/>
  <c r="W7" i="67" l="1"/>
  <c r="J29" i="66"/>
  <c r="AA7" i="67"/>
  <c r="AB7" i="67" s="1"/>
  <c r="W10" i="71"/>
  <c r="W21" i="71"/>
  <c r="AA9" i="71"/>
  <c r="AB9" i="71" s="1"/>
  <c r="AA13" i="71"/>
  <c r="AA16" i="71"/>
  <c r="AB16" i="71" s="1"/>
  <c r="AA20" i="71"/>
  <c r="AB20" i="71" s="1"/>
  <c r="Z22" i="71"/>
  <c r="W17" i="71"/>
  <c r="AB13" i="71"/>
  <c r="AA10" i="71"/>
  <c r="AB10" i="71" s="1"/>
  <c r="AA17" i="71"/>
  <c r="AB17" i="71" s="1"/>
  <c r="Z8" i="71"/>
  <c r="AA8" i="71" s="1"/>
  <c r="V9" i="71"/>
  <c r="W9" i="71" s="1"/>
  <c r="Z12" i="71"/>
  <c r="AA12" i="71" s="1"/>
  <c r="V13" i="71"/>
  <c r="W13" i="71" s="1"/>
  <c r="Z15" i="71"/>
  <c r="V16" i="71"/>
  <c r="W16" i="71" s="1"/>
  <c r="Z19" i="71"/>
  <c r="V20" i="71"/>
  <c r="W20" i="71" s="1"/>
  <c r="W22" i="71"/>
  <c r="Z21" i="71"/>
  <c r="C175" i="64"/>
  <c r="B175" i="64"/>
  <c r="A175" i="64"/>
  <c r="X7" i="67" l="1"/>
  <c r="K29" i="66"/>
  <c r="AC7" i="67"/>
  <c r="AA22" i="71"/>
  <c r="AB22" i="71" s="1"/>
  <c r="AA21" i="71"/>
  <c r="AB21" i="71" s="1"/>
  <c r="AB8" i="71"/>
  <c r="AB12" i="71"/>
  <c r="AA19" i="71"/>
  <c r="AB19" i="71" s="1"/>
  <c r="AA15" i="71"/>
  <c r="AB15" i="71" s="1"/>
  <c r="B14" i="73"/>
  <c r="B13" i="73"/>
  <c r="B11" i="73"/>
  <c r="O99" i="72"/>
  <c r="O98" i="72"/>
  <c r="O97" i="72"/>
  <c r="O96" i="72"/>
  <c r="O95" i="72"/>
  <c r="O94" i="72"/>
  <c r="O91" i="72"/>
  <c r="O87" i="72"/>
  <c r="O86" i="72"/>
  <c r="O85" i="72"/>
  <c r="O84" i="72"/>
  <c r="O83" i="72"/>
  <c r="O82" i="72"/>
  <c r="O81" i="72"/>
  <c r="O80" i="72"/>
  <c r="O79" i="72"/>
  <c r="O78" i="72"/>
  <c r="O77" i="72"/>
  <c r="O76" i="72"/>
  <c r="O75" i="72"/>
  <c r="O74" i="72"/>
  <c r="O73" i="72"/>
  <c r="O72" i="72"/>
  <c r="O71" i="72"/>
  <c r="O70" i="72"/>
  <c r="O69" i="72"/>
  <c r="O68" i="72"/>
  <c r="O67" i="72"/>
  <c r="O66" i="72"/>
  <c r="O65" i="72"/>
  <c r="O64" i="72"/>
  <c r="O63" i="72"/>
  <c r="O62" i="72"/>
  <c r="O61" i="72"/>
  <c r="O60" i="72"/>
  <c r="O59" i="72"/>
  <c r="O58" i="72"/>
  <c r="O56" i="72"/>
  <c r="O55" i="72"/>
  <c r="O54" i="72"/>
  <c r="O52" i="72"/>
  <c r="O51" i="72"/>
  <c r="O50" i="72"/>
  <c r="O49" i="72"/>
  <c r="O48" i="72"/>
  <c r="O47" i="72"/>
  <c r="O46" i="72"/>
  <c r="O45" i="72"/>
  <c r="O44" i="72"/>
  <c r="O40" i="72"/>
  <c r="O39" i="72"/>
  <c r="O38" i="72"/>
  <c r="O37" i="72"/>
  <c r="O36" i="72"/>
  <c r="O35" i="72"/>
  <c r="O34" i="72"/>
  <c r="O33" i="72"/>
  <c r="AD33" i="72" a="1"/>
  <c r="AD33" i="72" s="1"/>
  <c r="O32" i="72"/>
  <c r="O31" i="72"/>
  <c r="M6" i="72"/>
  <c r="G25" i="68" s="1"/>
  <c r="G24" i="68" s="1"/>
  <c r="L6" i="72"/>
  <c r="F25" i="68" s="1"/>
  <c r="M3" i="72"/>
  <c r="L3" i="72"/>
  <c r="O22" i="71"/>
  <c r="C22" i="71"/>
  <c r="AD22" i="71" s="1" a="1"/>
  <c r="AD22" i="71" s="1"/>
  <c r="B22" i="71"/>
  <c r="O21" i="71"/>
  <c r="C21" i="71"/>
  <c r="B21" i="71"/>
  <c r="AD21" i="71" s="1" a="1"/>
  <c r="AD21" i="71" s="1"/>
  <c r="O20" i="71"/>
  <c r="C20" i="71"/>
  <c r="B20" i="71"/>
  <c r="O19" i="71"/>
  <c r="C19" i="71"/>
  <c r="B19" i="71"/>
  <c r="O18" i="71"/>
  <c r="C18" i="71"/>
  <c r="B18" i="71"/>
  <c r="O17" i="71"/>
  <c r="C17" i="71"/>
  <c r="B17" i="71"/>
  <c r="O16" i="71"/>
  <c r="C16" i="71"/>
  <c r="B16" i="71"/>
  <c r="O15" i="71"/>
  <c r="C15" i="71"/>
  <c r="B15" i="71"/>
  <c r="O14" i="71"/>
  <c r="C14" i="71"/>
  <c r="B14" i="71"/>
  <c r="O13" i="71"/>
  <c r="C13" i="71"/>
  <c r="B13" i="71"/>
  <c r="O12" i="71"/>
  <c r="C12" i="71"/>
  <c r="B12" i="71"/>
  <c r="O11" i="71"/>
  <c r="C11" i="71"/>
  <c r="B11" i="71"/>
  <c r="O10" i="71"/>
  <c r="C10" i="71"/>
  <c r="B10" i="71"/>
  <c r="O9" i="71"/>
  <c r="C9" i="71"/>
  <c r="B9" i="71"/>
  <c r="O8" i="71"/>
  <c r="C8" i="71"/>
  <c r="B8" i="71"/>
  <c r="O7" i="71"/>
  <c r="C7" i="71"/>
  <c r="B7" i="71"/>
  <c r="M6" i="71"/>
  <c r="E25" i="68" s="1"/>
  <c r="L6" i="71"/>
  <c r="D25" i="68" s="1"/>
  <c r="J6" i="71"/>
  <c r="I6" i="71"/>
  <c r="H6" i="71"/>
  <c r="M3" i="71"/>
  <c r="L3" i="71"/>
  <c r="I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P31" i="70" l="1"/>
  <c r="Q31" i="70"/>
  <c r="R31" i="70"/>
  <c r="R29" i="70"/>
  <c r="T31" i="70"/>
  <c r="U31" i="70"/>
  <c r="P29" i="70"/>
  <c r="Q29" i="70"/>
  <c r="P30" i="70"/>
  <c r="Q30" i="70"/>
  <c r="R30" i="70"/>
  <c r="S31" i="70"/>
  <c r="T30" i="70"/>
  <c r="S30" i="70"/>
  <c r="S29" i="70"/>
  <c r="K3" i="71"/>
  <c r="AD97" i="72" a="1"/>
  <c r="AD97" i="72" s="1"/>
  <c r="AD48" i="72" a="1"/>
  <c r="AD48" i="72" s="1"/>
  <c r="AD73" i="72" a="1"/>
  <c r="AD73" i="72" s="1"/>
  <c r="AD77" i="72" a="1"/>
  <c r="AD77" i="72" s="1"/>
  <c r="AD31" i="72" a="1"/>
  <c r="AD31" i="72" s="1"/>
  <c r="V31" i="72"/>
  <c r="W31" i="72" s="1"/>
  <c r="Y31" i="72"/>
  <c r="V33" i="72"/>
  <c r="W33" i="72" s="1"/>
  <c r="Y33" i="72"/>
  <c r="Y35" i="72"/>
  <c r="V35" i="72"/>
  <c r="W35" i="72" s="1"/>
  <c r="Y37" i="72"/>
  <c r="V37" i="72"/>
  <c r="W37" i="72" s="1"/>
  <c r="V39" i="72"/>
  <c r="W39" i="72" s="1"/>
  <c r="Y39" i="72"/>
  <c r="U45" i="72"/>
  <c r="Y45" i="72"/>
  <c r="Y47" i="72"/>
  <c r="U47" i="72"/>
  <c r="Y49" i="72"/>
  <c r="Z49" i="72" s="1"/>
  <c r="U49" i="72"/>
  <c r="Y51" i="72"/>
  <c r="U51" i="72"/>
  <c r="U54" i="72"/>
  <c r="Y54" i="72"/>
  <c r="Y56" i="72"/>
  <c r="U56" i="72"/>
  <c r="U59" i="72"/>
  <c r="Y59" i="72"/>
  <c r="Z59" i="72" s="1"/>
  <c r="Y61" i="72"/>
  <c r="U61" i="72"/>
  <c r="U63" i="72"/>
  <c r="Y63" i="72"/>
  <c r="U65" i="72"/>
  <c r="Y65" i="72"/>
  <c r="U67" i="72"/>
  <c r="Y67" i="72"/>
  <c r="Z67" i="72" s="1"/>
  <c r="U69" i="72"/>
  <c r="Y69" i="72"/>
  <c r="U71" i="72"/>
  <c r="Y71" i="72"/>
  <c r="Y73" i="72"/>
  <c r="U73" i="72"/>
  <c r="U75" i="72"/>
  <c r="Y75" i="72"/>
  <c r="Y77" i="72"/>
  <c r="U77" i="72"/>
  <c r="U79" i="72"/>
  <c r="Y79" i="72"/>
  <c r="Y81" i="72"/>
  <c r="U81" i="72"/>
  <c r="U83" i="72"/>
  <c r="Y83" i="72"/>
  <c r="Y85" i="72"/>
  <c r="U85" i="72"/>
  <c r="U86" i="72"/>
  <c r="Y86" i="72"/>
  <c r="Y94" i="72"/>
  <c r="U94" i="72"/>
  <c r="Y96" i="72"/>
  <c r="Y98" i="72"/>
  <c r="U98" i="72"/>
  <c r="V32" i="72"/>
  <c r="W32" i="72" s="1"/>
  <c r="Y32" i="72"/>
  <c r="Y34" i="72"/>
  <c r="Y36" i="72"/>
  <c r="V36" i="72"/>
  <c r="W36" i="72" s="1"/>
  <c r="Y38" i="72"/>
  <c r="V40" i="72"/>
  <c r="W40" i="72" s="1"/>
  <c r="Y40" i="72"/>
  <c r="Y44" i="72"/>
  <c r="U44" i="72"/>
  <c r="U46" i="72"/>
  <c r="Y46" i="72"/>
  <c r="U48" i="72"/>
  <c r="Y48" i="72"/>
  <c r="Y50" i="72"/>
  <c r="U50" i="72"/>
  <c r="Y52" i="72"/>
  <c r="U52" i="72"/>
  <c r="Y55" i="72"/>
  <c r="U58" i="72"/>
  <c r="Y58" i="72"/>
  <c r="U60" i="72"/>
  <c r="Y60" i="72"/>
  <c r="U62" i="72"/>
  <c r="Y62" i="72"/>
  <c r="U64" i="72"/>
  <c r="Y64" i="72"/>
  <c r="U66" i="72"/>
  <c r="Y66" i="72"/>
  <c r="U68" i="72"/>
  <c r="Y68" i="72"/>
  <c r="U70" i="72"/>
  <c r="Y70" i="72"/>
  <c r="U72" i="72"/>
  <c r="Y72" i="72"/>
  <c r="U74" i="72"/>
  <c r="Y74" i="72"/>
  <c r="U76" i="72"/>
  <c r="Y76" i="72"/>
  <c r="U78" i="72"/>
  <c r="Y78" i="72"/>
  <c r="U80" i="72"/>
  <c r="Y80" i="72"/>
  <c r="U82" i="72"/>
  <c r="Y82" i="72"/>
  <c r="U84" i="72"/>
  <c r="Y84" i="72"/>
  <c r="U87" i="72"/>
  <c r="Y87" i="72"/>
  <c r="Y91" i="72"/>
  <c r="U91" i="72"/>
  <c r="U95" i="72"/>
  <c r="Y95" i="72"/>
  <c r="Y97" i="72"/>
  <c r="U97" i="72"/>
  <c r="U99" i="72"/>
  <c r="Y99" i="72"/>
  <c r="J7" i="68"/>
  <c r="F24" i="68"/>
  <c r="N7" i="68" s="1"/>
  <c r="D14" i="73"/>
  <c r="E14" i="73" s="1"/>
  <c r="B7" i="73"/>
  <c r="K6" i="71"/>
  <c r="N6" i="71"/>
  <c r="AD20" i="71" a="1"/>
  <c r="AD20" i="71" s="1"/>
  <c r="AD8" i="71" a="1"/>
  <c r="AD8" i="71" s="1"/>
  <c r="AD9" i="71" a="1"/>
  <c r="AD9" i="71" s="1"/>
  <c r="AD13" i="71" a="1"/>
  <c r="AD13" i="71" s="1"/>
  <c r="AD14" i="71" a="1"/>
  <c r="AD14" i="71" s="1"/>
  <c r="AD11" i="71" a="1"/>
  <c r="AD11" i="71" s="1"/>
  <c r="AD17" i="71" a="1"/>
  <c r="AD17" i="71" s="1"/>
  <c r="AD49" i="72" a="1"/>
  <c r="AD49" i="72" s="1"/>
  <c r="AD78" i="72" a="1"/>
  <c r="AD78" i="72" s="1"/>
  <c r="AD80" i="72" a="1"/>
  <c r="AD80" i="72" s="1"/>
  <c r="AD91" i="72" a="1"/>
  <c r="AD91" i="72" s="1"/>
  <c r="AD95" i="72" a="1"/>
  <c r="AD95" i="72" s="1"/>
  <c r="AD98" i="72" a="1"/>
  <c r="AD98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D7" i="71" a="1"/>
  <c r="AD7" i="71" s="1"/>
  <c r="AD18" i="71" a="1"/>
  <c r="AD18" i="71" s="1"/>
  <c r="AD19" i="71" a="1"/>
  <c r="AD19" i="71" s="1"/>
  <c r="I46" i="70"/>
  <c r="AD34" i="72" a="1"/>
  <c r="AD34" i="72" s="1"/>
  <c r="AD39" i="72" a="1"/>
  <c r="AD39" i="72" s="1"/>
  <c r="AD54" i="72" a="1"/>
  <c r="AD54" i="72" s="1"/>
  <c r="AD56" i="72" a="1"/>
  <c r="AD56" i="72" s="1"/>
  <c r="AD61" i="72" a="1"/>
  <c r="AD61" i="72" s="1"/>
  <c r="AD67" i="72" a="1"/>
  <c r="AD67" i="72" s="1"/>
  <c r="AD71" i="72" a="1"/>
  <c r="AD71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V30" i="70"/>
  <c r="W29" i="70"/>
  <c r="Z27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V29" i="70"/>
  <c r="Y27" i="70"/>
  <c r="U27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X30" i="70"/>
  <c r="X27" i="70"/>
  <c r="T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T23" i="70"/>
  <c r="T22" i="70" s="1"/>
  <c r="M25" i="70"/>
  <c r="H29" i="70"/>
  <c r="M18" i="70"/>
  <c r="AD10" i="71" a="1"/>
  <c r="AD10" i="71" s="1"/>
  <c r="I29" i="70"/>
  <c r="AD12" i="71" a="1"/>
  <c r="AD12" i="71" s="1"/>
  <c r="AD15" i="71" a="1"/>
  <c r="AD15" i="71" s="1"/>
  <c r="AD16" i="71" a="1"/>
  <c r="AD16" i="71" s="1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D62" i="72" a="1"/>
  <c r="AD62" i="72" s="1"/>
  <c r="AD66" i="72" a="1"/>
  <c r="AD66" i="72" s="1"/>
  <c r="T25" i="70"/>
  <c r="AD96" i="72" a="1"/>
  <c r="AD96" i="72" s="1"/>
  <c r="T20" i="70"/>
  <c r="T9" i="70"/>
  <c r="U36" i="70"/>
  <c r="D11" i="73"/>
  <c r="E11" i="73" s="1"/>
  <c r="D13" i="73"/>
  <c r="E13" i="73" s="1"/>
  <c r="Y18" i="70"/>
  <c r="M13" i="70"/>
  <c r="N18" i="70"/>
  <c r="N26" i="70"/>
  <c r="I45" i="70"/>
  <c r="I13" i="70"/>
  <c r="H46" i="70"/>
  <c r="H18" i="70"/>
  <c r="H23" i="70"/>
  <c r="B10" i="73"/>
  <c r="B12" i="73"/>
  <c r="I23" i="70"/>
  <c r="N13" i="70"/>
  <c r="I26" i="70"/>
  <c r="H13" i="70"/>
  <c r="H45" i="70"/>
  <c r="AD45" i="72" a="1"/>
  <c r="AD45" i="72" s="1"/>
  <c r="AD51" i="72" a="1"/>
  <c r="AD51" i="72" s="1"/>
  <c r="AD58" i="72" a="1"/>
  <c r="AD58" i="72" s="1"/>
  <c r="AD63" i="72" a="1"/>
  <c r="AD63" i="72" s="1"/>
  <c r="AD69" i="72" a="1"/>
  <c r="AD69" i="72" s="1"/>
  <c r="AD74" i="72" a="1"/>
  <c r="AD74" i="72" s="1"/>
  <c r="AD87" i="72" a="1"/>
  <c r="AD87" i="72" s="1"/>
  <c r="N6" i="72"/>
  <c r="AD35" i="72" a="1"/>
  <c r="AD35" i="72" s="1"/>
  <c r="U14" i="70"/>
  <c r="AD47" i="72" a="1"/>
  <c r="AD47" i="72" s="1"/>
  <c r="AD52" i="72" a="1"/>
  <c r="AD52" i="72" s="1"/>
  <c r="AD59" i="72" a="1"/>
  <c r="AD59" i="72" s="1"/>
  <c r="AD65" i="72" a="1"/>
  <c r="AD65" i="72" s="1"/>
  <c r="AD70" i="72" a="1"/>
  <c r="AD70" i="72" s="1"/>
  <c r="AD75" i="72" a="1"/>
  <c r="AD75" i="72" s="1"/>
  <c r="AD82" i="72" a="1"/>
  <c r="AD82" i="72" s="1"/>
  <c r="AD83" i="72" a="1"/>
  <c r="AD83" i="72" s="1"/>
  <c r="AD84" i="72" a="1"/>
  <c r="AD84" i="72" s="1"/>
  <c r="AD85" i="72" a="1"/>
  <c r="AD85" i="72" s="1"/>
  <c r="Y35" i="70"/>
  <c r="U8" i="70"/>
  <c r="T13" i="70"/>
  <c r="AD37" i="72" a="1"/>
  <c r="AD37" i="72" s="1"/>
  <c r="AD38" i="72" a="1"/>
  <c r="AD38" i="72" s="1"/>
  <c r="AD44" i="72" a="1"/>
  <c r="AD44" i="72" s="1"/>
  <c r="AD32" i="72" a="1"/>
  <c r="AD32" i="72" s="1"/>
  <c r="AD36" i="72" a="1"/>
  <c r="AD36" i="72" s="1"/>
  <c r="AD40" i="72" a="1"/>
  <c r="AD40" i="72" s="1"/>
  <c r="AD46" i="72" a="1"/>
  <c r="AD46" i="72" s="1"/>
  <c r="AD50" i="72" a="1"/>
  <c r="AD50" i="72" s="1"/>
  <c r="AD55" i="72" a="1"/>
  <c r="AD55" i="72" s="1"/>
  <c r="AD60" i="72" a="1"/>
  <c r="AD60" i="72" s="1"/>
  <c r="AD64" i="72" a="1"/>
  <c r="AD64" i="72" s="1"/>
  <c r="AD68" i="72" a="1"/>
  <c r="AD68" i="72" s="1"/>
  <c r="AD72" i="72" a="1"/>
  <c r="AD72" i="72" s="1"/>
  <c r="AD76" i="72" a="1"/>
  <c r="AD76" i="72" s="1"/>
  <c r="AD79" i="72" a="1"/>
  <c r="AD79" i="72" s="1"/>
  <c r="AD86" i="72" a="1"/>
  <c r="AD86" i="72" s="1"/>
  <c r="AD94" i="72" a="1"/>
  <c r="AD94" i="72" s="1"/>
  <c r="Y14" i="70"/>
  <c r="H16" i="73"/>
  <c r="H20" i="73" s="1"/>
  <c r="U40" i="70"/>
  <c r="U25" i="70"/>
  <c r="AD99" i="72" a="1"/>
  <c r="AD99" i="72" s="1"/>
  <c r="T45" i="70"/>
  <c r="AD81" i="72" a="1"/>
  <c r="AD81" i="72" s="1"/>
  <c r="T34" i="70"/>
  <c r="T44" i="70"/>
  <c r="M23" i="70"/>
  <c r="I25" i="70"/>
  <c r="M29" i="70"/>
  <c r="H25" i="68"/>
  <c r="H24" i="68" s="1"/>
  <c r="V95" i="72" l="1"/>
  <c r="W95" i="72" s="1"/>
  <c r="V87" i="72"/>
  <c r="W87" i="72" s="1"/>
  <c r="V78" i="72"/>
  <c r="W78" i="72" s="1"/>
  <c r="V70" i="72"/>
  <c r="W70" i="72" s="1"/>
  <c r="V62" i="72"/>
  <c r="W62" i="72" s="1"/>
  <c r="V50" i="72"/>
  <c r="W50" i="72" s="1"/>
  <c r="V98" i="72"/>
  <c r="W98" i="72" s="1"/>
  <c r="V86" i="72"/>
  <c r="W86" i="72" s="1"/>
  <c r="V83" i="72"/>
  <c r="W83" i="72" s="1"/>
  <c r="V79" i="72"/>
  <c r="W79" i="72" s="1"/>
  <c r="V75" i="72"/>
  <c r="W75" i="72" s="1"/>
  <c r="V71" i="72"/>
  <c r="W71" i="72" s="1"/>
  <c r="V67" i="72"/>
  <c r="W67" i="72" s="1"/>
  <c r="V63" i="72"/>
  <c r="W63" i="72" s="1"/>
  <c r="V59" i="72"/>
  <c r="W59" i="72" s="1"/>
  <c r="V54" i="72"/>
  <c r="W54" i="72" s="1"/>
  <c r="V45" i="72"/>
  <c r="W45" i="72" s="1"/>
  <c r="V97" i="72"/>
  <c r="W97" i="72" s="1"/>
  <c r="V91" i="72"/>
  <c r="W91" i="72" s="1"/>
  <c r="V46" i="72"/>
  <c r="W46" i="72" s="1"/>
  <c r="V85" i="72"/>
  <c r="W85" i="72" s="1"/>
  <c r="V81" i="72"/>
  <c r="W81" i="72" s="1"/>
  <c r="V77" i="72"/>
  <c r="W77" i="72" s="1"/>
  <c r="V73" i="72"/>
  <c r="W73" i="72" s="1"/>
  <c r="V61" i="72"/>
  <c r="W61" i="72" s="1"/>
  <c r="V56" i="72"/>
  <c r="W56" i="72" s="1"/>
  <c r="V51" i="72"/>
  <c r="W51" i="72" s="1"/>
  <c r="V47" i="72"/>
  <c r="W47" i="72" s="1"/>
  <c r="V84" i="72"/>
  <c r="W84" i="72" s="1"/>
  <c r="V80" i="72"/>
  <c r="W80" i="72" s="1"/>
  <c r="V76" i="72"/>
  <c r="W76" i="72" s="1"/>
  <c r="V72" i="72"/>
  <c r="W72" i="72" s="1"/>
  <c r="V68" i="72"/>
  <c r="W68" i="72" s="1"/>
  <c r="V64" i="72"/>
  <c r="W64" i="72" s="1"/>
  <c r="V60" i="72"/>
  <c r="W60" i="72" s="1"/>
  <c r="V69" i="72"/>
  <c r="W69" i="72" s="1"/>
  <c r="V65" i="72"/>
  <c r="W65" i="72" s="1"/>
  <c r="V49" i="72"/>
  <c r="W49" i="72" s="1"/>
  <c r="T29" i="70"/>
  <c r="V99" i="72"/>
  <c r="W99" i="72" s="1"/>
  <c r="U6" i="72"/>
  <c r="H12" i="68"/>
  <c r="H26" i="69"/>
  <c r="Q24" i="70"/>
  <c r="H18" i="69"/>
  <c r="P24" i="70"/>
  <c r="H15" i="68"/>
  <c r="R24" i="70"/>
  <c r="S43" i="70"/>
  <c r="P28" i="70"/>
  <c r="S28" i="70"/>
  <c r="V82" i="72"/>
  <c r="W82" i="72" s="1"/>
  <c r="Z68" i="72"/>
  <c r="V58" i="72"/>
  <c r="W58" i="72" s="1"/>
  <c r="V48" i="72"/>
  <c r="W48" i="72" s="1"/>
  <c r="V34" i="72"/>
  <c r="W34" i="72" s="1"/>
  <c r="V74" i="72"/>
  <c r="W74" i="72" s="1"/>
  <c r="Z76" i="72"/>
  <c r="Z62" i="72"/>
  <c r="AA62" i="72" s="1"/>
  <c r="AB62" i="72" s="1"/>
  <c r="Z99" i="72"/>
  <c r="AA99" i="72" s="1"/>
  <c r="Z84" i="72"/>
  <c r="Z60" i="72"/>
  <c r="Z78" i="72"/>
  <c r="V66" i="72"/>
  <c r="W66" i="72" s="1"/>
  <c r="V52" i="72"/>
  <c r="W52" i="72" s="1"/>
  <c r="V44" i="72"/>
  <c r="W44" i="72" s="1"/>
  <c r="V38" i="72"/>
  <c r="W38" i="72" s="1"/>
  <c r="Z94" i="72"/>
  <c r="AA94" i="72" s="1"/>
  <c r="Z83" i="72"/>
  <c r="AA83" i="72" s="1"/>
  <c r="AB83" i="72" s="1"/>
  <c r="AA59" i="72"/>
  <c r="AB59" i="72" s="1"/>
  <c r="Z35" i="72"/>
  <c r="AA35" i="72" s="1"/>
  <c r="Z97" i="72"/>
  <c r="AA97" i="72" s="1"/>
  <c r="Z70" i="72"/>
  <c r="Z52" i="72"/>
  <c r="AA52" i="72" s="1"/>
  <c r="Z50" i="72"/>
  <c r="AA50" i="72" s="1"/>
  <c r="Z38" i="72"/>
  <c r="AA38" i="72" s="1"/>
  <c r="Z36" i="72"/>
  <c r="AA36" i="72" s="1"/>
  <c r="Z77" i="72"/>
  <c r="AA67" i="72"/>
  <c r="AB67" i="72" s="1"/>
  <c r="Z61" i="72"/>
  <c r="AA61" i="72" s="1"/>
  <c r="Z45" i="72"/>
  <c r="AA45" i="72" s="1"/>
  <c r="Z39" i="72"/>
  <c r="AA39" i="72" s="1"/>
  <c r="AB39" i="72" s="1"/>
  <c r="AA49" i="72"/>
  <c r="AB49" i="72" s="1"/>
  <c r="Z95" i="72"/>
  <c r="Z87" i="72"/>
  <c r="Z82" i="72"/>
  <c r="AA82" i="72" s="1"/>
  <c r="AB82" i="72" s="1"/>
  <c r="Z80" i="72"/>
  <c r="AA80" i="72" s="1"/>
  <c r="Z72" i="72"/>
  <c r="Z66" i="72"/>
  <c r="AA66" i="72" s="1"/>
  <c r="AB66" i="72" s="1"/>
  <c r="Z64" i="72"/>
  <c r="AA64" i="72" s="1"/>
  <c r="Z58" i="72"/>
  <c r="AA58" i="72" s="1"/>
  <c r="AB58" i="72" s="1"/>
  <c r="Z55" i="72"/>
  <c r="AA55" i="72" s="1"/>
  <c r="Z46" i="72"/>
  <c r="Z44" i="72"/>
  <c r="Z40" i="72"/>
  <c r="Z34" i="72"/>
  <c r="AA34" i="72" s="1"/>
  <c r="Z32" i="72"/>
  <c r="Z98" i="72"/>
  <c r="AA98" i="72" s="1"/>
  <c r="Z85" i="72"/>
  <c r="AA85" i="72" s="1"/>
  <c r="Z79" i="72"/>
  <c r="AA79" i="72" s="1"/>
  <c r="Z73" i="72"/>
  <c r="Z69" i="72"/>
  <c r="AA69" i="72" s="1"/>
  <c r="Z63" i="72"/>
  <c r="AA63" i="72" s="1"/>
  <c r="AB63" i="72" s="1"/>
  <c r="Z54" i="72"/>
  <c r="AA54" i="72" s="1"/>
  <c r="Z51" i="72"/>
  <c r="Z37" i="72"/>
  <c r="Z33" i="72"/>
  <c r="AA33" i="72" s="1"/>
  <c r="Z31" i="72"/>
  <c r="Z71" i="72"/>
  <c r="AA71" i="72" s="1"/>
  <c r="AB71" i="72" s="1"/>
  <c r="Z91" i="72"/>
  <c r="Z74" i="72"/>
  <c r="Z48" i="72"/>
  <c r="AA48" i="72" s="1"/>
  <c r="Z96" i="72"/>
  <c r="AA96" i="72" s="1"/>
  <c r="V94" i="72"/>
  <c r="W94" i="72" s="1"/>
  <c r="Z86" i="72"/>
  <c r="AA86" i="72" s="1"/>
  <c r="AB86" i="72" s="1"/>
  <c r="Z81" i="72"/>
  <c r="AA81" i="72" s="1"/>
  <c r="Z75" i="72"/>
  <c r="AA75" i="72" s="1"/>
  <c r="AB75" i="72" s="1"/>
  <c r="Z65" i="72"/>
  <c r="AA65" i="72" s="1"/>
  <c r="Z56" i="72"/>
  <c r="AA56" i="72" s="1"/>
  <c r="Z47" i="72"/>
  <c r="AA47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U26" i="70"/>
  <c r="U24" i="70" s="1"/>
  <c r="T26" i="70"/>
  <c r="T24" i="70" s="1"/>
  <c r="U45" i="70"/>
  <c r="U23" i="70"/>
  <c r="U22" i="70" s="1"/>
  <c r="Z9" i="70"/>
  <c r="Z8" i="70"/>
  <c r="U35" i="70"/>
  <c r="U44" i="70"/>
  <c r="Y23" i="70"/>
  <c r="Y22" i="70" s="1"/>
  <c r="D10" i="73"/>
  <c r="T16" i="70"/>
  <c r="T15" i="70" s="1"/>
  <c r="T36" i="70"/>
  <c r="T32" i="70" s="1"/>
  <c r="Y13" i="70"/>
  <c r="Y11" i="70" s="1"/>
  <c r="U9" i="70"/>
  <c r="U7" i="70" s="1"/>
  <c r="U16" i="70"/>
  <c r="U15" i="70" s="1"/>
  <c r="T8" i="70"/>
  <c r="T7" i="70" s="1"/>
  <c r="U34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H7" i="73"/>
  <c r="M45" i="70"/>
  <c r="I18" i="70"/>
  <c r="B8" i="73"/>
  <c r="B6" i="73" s="1"/>
  <c r="B9" i="73"/>
  <c r="N25" i="70"/>
  <c r="H8" i="73"/>
  <c r="Z23" i="70"/>
  <c r="Z22" i="70" s="1"/>
  <c r="AD6" i="72"/>
  <c r="Y26" i="70"/>
  <c r="Y25" i="70"/>
  <c r="Y19" i="70"/>
  <c r="Y20" i="70"/>
  <c r="Z36" i="70"/>
  <c r="U6" i="71"/>
  <c r="V6" i="71"/>
  <c r="N29" i="70"/>
  <c r="U30" i="70" l="1"/>
  <c r="U29" i="70"/>
  <c r="V6" i="72"/>
  <c r="V3" i="72" s="1"/>
  <c r="D7" i="73"/>
  <c r="AA31" i="72"/>
  <c r="U3" i="71"/>
  <c r="U3" i="72"/>
  <c r="H6" i="73"/>
  <c r="U43" i="70"/>
  <c r="AB47" i="72"/>
  <c r="AB56" i="72"/>
  <c r="AB81" i="72"/>
  <c r="AA37" i="72"/>
  <c r="AB37" i="72" s="1"/>
  <c r="AB54" i="72"/>
  <c r="AB79" i="72"/>
  <c r="AB85" i="72"/>
  <c r="AB34" i="72"/>
  <c r="AA44" i="72"/>
  <c r="AB64" i="72"/>
  <c r="AB80" i="72"/>
  <c r="AB38" i="72"/>
  <c r="AB50" i="72"/>
  <c r="AB94" i="72"/>
  <c r="AA60" i="72"/>
  <c r="AB60" i="72" s="1"/>
  <c r="AB99" i="72"/>
  <c r="AA68" i="72"/>
  <c r="AB68" i="72" s="1"/>
  <c r="AB96" i="72"/>
  <c r="AB48" i="72"/>
  <c r="AB69" i="72"/>
  <c r="AB98" i="72"/>
  <c r="AB35" i="72"/>
  <c r="AB55" i="72"/>
  <c r="AB65" i="72"/>
  <c r="AA74" i="72"/>
  <c r="AB74" i="72" s="1"/>
  <c r="AA91" i="72"/>
  <c r="AB91" i="72" s="1"/>
  <c r="AB33" i="72"/>
  <c r="AA51" i="72"/>
  <c r="AB51" i="72" s="1"/>
  <c r="AA73" i="72"/>
  <c r="AB73" i="72" s="1"/>
  <c r="AA32" i="72"/>
  <c r="AA40" i="72"/>
  <c r="AB40" i="72" s="1"/>
  <c r="AA46" i="72"/>
  <c r="AB46" i="72" s="1"/>
  <c r="AA72" i="72"/>
  <c r="AB72" i="72" s="1"/>
  <c r="AA87" i="72"/>
  <c r="AB87" i="72" s="1"/>
  <c r="AA95" i="72"/>
  <c r="AB95" i="72" s="1"/>
  <c r="AB45" i="72"/>
  <c r="AB61" i="72"/>
  <c r="AA77" i="72"/>
  <c r="AB77" i="72" s="1"/>
  <c r="AB36" i="72"/>
  <c r="AB52" i="72"/>
  <c r="AA70" i="72"/>
  <c r="AB70" i="72" s="1"/>
  <c r="AB97" i="72"/>
  <c r="AA78" i="72"/>
  <c r="AB78" i="72" s="1"/>
  <c r="AA84" i="72"/>
  <c r="AB84" i="72" s="1"/>
  <c r="AA76" i="72"/>
  <c r="AB76" i="72" s="1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24" i="70"/>
  <c r="Y40" i="70"/>
  <c r="Y37" i="70" s="1"/>
  <c r="Y45" i="70"/>
  <c r="Y43" i="70" s="1"/>
  <c r="Z34" i="70"/>
  <c r="Z44" i="70"/>
  <c r="J12" i="73"/>
  <c r="K12" i="73" s="1"/>
  <c r="U17" i="70"/>
  <c r="Y7" i="70"/>
  <c r="D8" i="73"/>
  <c r="Y30" i="70"/>
  <c r="Z26" i="70"/>
  <c r="Y34" i="70"/>
  <c r="Z18" i="70"/>
  <c r="Z35" i="70"/>
  <c r="Y16" i="70"/>
  <c r="Y15" i="70" s="1"/>
  <c r="K13" i="73"/>
  <c r="Z40" i="70"/>
  <c r="Z37" i="70" s="1"/>
  <c r="Y36" i="70"/>
  <c r="Y29" i="70"/>
  <c r="J10" i="73"/>
  <c r="Z16" i="70"/>
  <c r="Z15" i="70" s="1"/>
  <c r="Z19" i="70"/>
  <c r="E10" i="73"/>
  <c r="Z7" i="70"/>
  <c r="Z25" i="70"/>
  <c r="T28" i="70"/>
  <c r="T6" i="70" s="1"/>
  <c r="C9" i="73"/>
  <c r="C6" i="73"/>
  <c r="B5" i="73"/>
  <c r="Z6" i="71"/>
  <c r="H9" i="73"/>
  <c r="Z6" i="72"/>
  <c r="V3" i="71"/>
  <c r="W6" i="71"/>
  <c r="W3" i="71" s="1"/>
  <c r="J7" i="73" l="1"/>
  <c r="Z24" i="70"/>
  <c r="D6" i="73"/>
  <c r="D5" i="73" s="1"/>
  <c r="J9" i="73"/>
  <c r="K9" i="73" s="1"/>
  <c r="AB44" i="72"/>
  <c r="Z29" i="70"/>
  <c r="AB31" i="72"/>
  <c r="U28" i="70"/>
  <c r="U6" i="70" s="1"/>
  <c r="AB32" i="72"/>
  <c r="Z30" i="70"/>
  <c r="Z13" i="70"/>
  <c r="Z11" i="70" s="1"/>
  <c r="Y28" i="70"/>
  <c r="Z45" i="70"/>
  <c r="Z43" i="70" s="1"/>
  <c r="Y32" i="70"/>
  <c r="Z32" i="70"/>
  <c r="Z20" i="70"/>
  <c r="Z17" i="70" s="1"/>
  <c r="J8" i="73"/>
  <c r="J6" i="73" s="1"/>
  <c r="K10" i="73"/>
  <c r="I9" i="73"/>
  <c r="H5" i="73"/>
  <c r="C5" i="73"/>
  <c r="AA6" i="71"/>
  <c r="I6" i="73" s="1"/>
  <c r="Z28" i="70" l="1"/>
  <c r="Z6" i="70" s="1"/>
  <c r="Y6" i="70"/>
  <c r="J5" i="73"/>
  <c r="AA3" i="71"/>
  <c r="I5" i="73" s="1"/>
  <c r="AB6" i="71"/>
  <c r="AB3" i="71" s="1"/>
  <c r="E5" i="73" l="1"/>
  <c r="E6" i="73"/>
  <c r="W6" i="72"/>
  <c r="W3" i="72" s="1"/>
  <c r="AA6" i="72"/>
  <c r="H18" i="73"/>
  <c r="AA3" i="72" l="1"/>
  <c r="K5" i="73" s="1"/>
  <c r="K6" i="73"/>
  <c r="AB6" i="72"/>
  <c r="AB3" i="72" s="1"/>
  <c r="U35" i="61"/>
  <c r="U34" i="61"/>
  <c r="U33" i="61"/>
  <c r="U32" i="61"/>
  <c r="W32" i="61" s="1"/>
  <c r="U31" i="61"/>
  <c r="U30" i="61"/>
  <c r="U28" i="61"/>
  <c r="U27" i="61"/>
  <c r="Z25" i="61" l="1"/>
  <c r="W25" i="61"/>
  <c r="Z30" i="61"/>
  <c r="W30" i="61"/>
  <c r="X30" i="61" s="1"/>
  <c r="Z34" i="61"/>
  <c r="V34" i="61"/>
  <c r="Z26" i="61"/>
  <c r="W26" i="61"/>
  <c r="X26" i="61" s="1"/>
  <c r="W31" i="61"/>
  <c r="X31" i="61" s="1"/>
  <c r="Z31" i="61"/>
  <c r="Z35" i="61"/>
  <c r="W35" i="61"/>
  <c r="X35" i="61" s="1"/>
  <c r="Z27" i="61"/>
  <c r="W27" i="61"/>
  <c r="X27" i="61" s="1"/>
  <c r="Z32" i="61"/>
  <c r="AA32" i="61" s="1"/>
  <c r="X32" i="61"/>
  <c r="Z28" i="61"/>
  <c r="W28" i="61"/>
  <c r="X28" i="61" s="1"/>
  <c r="Z33" i="61"/>
  <c r="W33" i="61"/>
  <c r="X33" i="61" s="1"/>
  <c r="D11" i="56"/>
  <c r="D14" i="56"/>
  <c r="V6" i="61" l="1"/>
  <c r="X30" i="66"/>
  <c r="Y30" i="66"/>
  <c r="W34" i="61"/>
  <c r="X25" i="61"/>
  <c r="D13" i="56"/>
  <c r="AA35" i="61"/>
  <c r="AB35" i="61" s="1"/>
  <c r="AC35" i="61" s="1"/>
  <c r="X34" i="61"/>
  <c r="AA30" i="61"/>
  <c r="AB30" i="61" s="1"/>
  <c r="AC30" i="61" s="1"/>
  <c r="AA28" i="61"/>
  <c r="AB28" i="61" s="1"/>
  <c r="AC28" i="61" s="1"/>
  <c r="AA27" i="61"/>
  <c r="AB27" i="61" s="1"/>
  <c r="AC27" i="61" s="1"/>
  <c r="AA34" i="61"/>
  <c r="AB34" i="61" s="1"/>
  <c r="AC34" i="61" s="1"/>
  <c r="AA33" i="61"/>
  <c r="AB33" i="61" s="1"/>
  <c r="AA31" i="61"/>
  <c r="AB31" i="61" s="1"/>
  <c r="AC31" i="61" s="1"/>
  <c r="AA26" i="61"/>
  <c r="AB26" i="61" s="1"/>
  <c r="AC26" i="61" s="1"/>
  <c r="AB32" i="61"/>
  <c r="AC32" i="61" s="1"/>
  <c r="AA25" i="61"/>
  <c r="P7" i="67"/>
  <c r="O7" i="67"/>
  <c r="L7" i="67"/>
  <c r="I29" i="66" s="1"/>
  <c r="I7" i="67"/>
  <c r="B7" i="67"/>
  <c r="A7" i="67"/>
  <c r="N6" i="67"/>
  <c r="M6" i="67"/>
  <c r="K6" i="67"/>
  <c r="L3" i="67" s="1"/>
  <c r="J6" i="67"/>
  <c r="H6" i="67"/>
  <c r="G6" i="67"/>
  <c r="N3" i="67"/>
  <c r="M3" i="67"/>
  <c r="K3" i="67"/>
  <c r="J3" i="67"/>
  <c r="AB25" i="61" l="1"/>
  <c r="AC33" i="61"/>
  <c r="B12" i="56"/>
  <c r="B13" i="56"/>
  <c r="B14" i="56"/>
  <c r="B11" i="56"/>
  <c r="B7" i="56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E25" i="48"/>
  <c r="D25" i="48"/>
  <c r="L6" i="67"/>
  <c r="AE7" i="67" a="1"/>
  <c r="AE7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P30" i="66"/>
  <c r="L30" i="66"/>
  <c r="M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O30" i="66"/>
  <c r="L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N30" i="66"/>
  <c r="G28" i="66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M40" i="66"/>
  <c r="D36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F43" i="66" l="1"/>
  <c r="AC25" i="61"/>
  <c r="L11" i="66"/>
  <c r="E11" i="66"/>
  <c r="H11" i="56"/>
  <c r="H14" i="56"/>
  <c r="H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K13" i="66"/>
  <c r="K11" i="66" s="1"/>
  <c r="M11" i="70"/>
  <c r="M28" i="70"/>
  <c r="K25" i="66"/>
  <c r="V6" i="67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8" i="66"/>
  <c r="P45" i="66"/>
  <c r="O26" i="66"/>
  <c r="K45" i="66"/>
  <c r="O45" i="66"/>
  <c r="M6" i="66"/>
  <c r="H6" i="66"/>
  <c r="I6" i="66"/>
  <c r="D6" i="66"/>
  <c r="E6" i="66"/>
  <c r="F6" i="66"/>
  <c r="J6" i="66"/>
  <c r="K46" i="66"/>
  <c r="O13" i="66"/>
  <c r="O11" i="66" s="1"/>
  <c r="N22" i="70"/>
  <c r="O18" i="66"/>
  <c r="O17" i="66" s="1"/>
  <c r="O46" i="66"/>
  <c r="N28" i="70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O24" i="66"/>
  <c r="H7" i="56"/>
  <c r="H8" i="56"/>
  <c r="M43" i="70"/>
  <c r="M6" i="70" s="1"/>
  <c r="Z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AE31" i="61" a="1"/>
  <c r="AE31" i="61" s="1"/>
  <c r="AE28" i="61" a="1"/>
  <c r="AE28" i="61" s="1"/>
  <c r="AE35" i="61" l="1" a="1"/>
  <c r="AE35" i="61" s="1"/>
  <c r="O6" i="66"/>
  <c r="H6" i="56"/>
  <c r="AE32" i="61" a="1"/>
  <c r="AE32" i="61" s="1"/>
  <c r="AE25" i="61" a="1"/>
  <c r="AE25" i="61" s="1"/>
  <c r="AE34" i="61" a="1"/>
  <c r="AE34" i="61" s="1"/>
  <c r="AE26" i="61" a="1"/>
  <c r="AE26" i="61" s="1"/>
  <c r="AE27" i="61" a="1"/>
  <c r="AE27" i="61" s="1"/>
  <c r="AE33" i="61" a="1"/>
  <c r="AE33" i="61" s="1"/>
  <c r="AE30" i="61" a="1"/>
  <c r="AE30" i="61" s="1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AB42" i="66"/>
  <c r="X42" i="66"/>
  <c r="T42" i="66"/>
  <c r="AC41" i="66"/>
  <c r="Y41" i="66"/>
  <c r="U41" i="66"/>
  <c r="Z40" i="66"/>
  <c r="V40" i="66"/>
  <c r="R40" i="66"/>
  <c r="AA39" i="66"/>
  <c r="W39" i="66"/>
  <c r="S39" i="66"/>
  <c r="AB38" i="66"/>
  <c r="X38" i="66"/>
  <c r="T38" i="66"/>
  <c r="U36" i="66"/>
  <c r="Z35" i="66"/>
  <c r="V35" i="66"/>
  <c r="AA34" i="66"/>
  <c r="AB33" i="66"/>
  <c r="X33" i="66"/>
  <c r="AC31" i="66"/>
  <c r="Z30" i="66"/>
  <c r="AA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W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U35" i="66"/>
  <c r="Z34" i="66"/>
  <c r="V34" i="66"/>
  <c r="AA33" i="66"/>
  <c r="W33" i="66"/>
  <c r="AB31" i="66"/>
  <c r="Z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AB39" i="66"/>
  <c r="X39" i="66"/>
  <c r="T39" i="66"/>
  <c r="AC38" i="66"/>
  <c r="Y38" i="66"/>
  <c r="U38" i="66"/>
  <c r="Z36" i="66"/>
  <c r="V36" i="66"/>
  <c r="AA35" i="66"/>
  <c r="AC33" i="66"/>
  <c r="Y33" i="66"/>
  <c r="U33" i="66"/>
  <c r="AD31" i="66"/>
  <c r="Z31" i="66"/>
  <c r="AA30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AC10" i="66"/>
  <c r="S46" i="66"/>
  <c r="Z42" i="66"/>
  <c r="W41" i="66"/>
  <c r="T40" i="66"/>
  <c r="AD38" i="66"/>
  <c r="AA36" i="66"/>
  <c r="U34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AD27" i="66"/>
  <c r="R21" i="66"/>
  <c r="U18" i="66"/>
  <c r="AD12" i="66"/>
  <c r="AB10" i="66"/>
  <c r="T10" i="66"/>
  <c r="V8" i="66"/>
  <c r="V42" i="66"/>
  <c r="S41" i="66"/>
  <c r="AC39" i="66"/>
  <c r="Z38" i="66"/>
  <c r="AD33" i="66"/>
  <c r="AA31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AB40" i="66"/>
  <c r="W40" i="66"/>
  <c r="AB35" i="66"/>
  <c r="W35" i="66"/>
  <c r="AB20" i="66"/>
  <c r="W20" i="66"/>
  <c r="AB18" i="66"/>
  <c r="W18" i="66"/>
  <c r="P35" i="61"/>
  <c r="O35" i="61"/>
  <c r="L35" i="61"/>
  <c r="P34" i="61"/>
  <c r="O34" i="61"/>
  <c r="L34" i="61"/>
  <c r="P33" i="61"/>
  <c r="O33" i="61"/>
  <c r="L33" i="61"/>
  <c r="P32" i="61"/>
  <c r="O32" i="61"/>
  <c r="AB14" i="66" s="1"/>
  <c r="L32" i="61"/>
  <c r="W14" i="66" s="1"/>
  <c r="P31" i="61"/>
  <c r="O31" i="61"/>
  <c r="L31" i="61"/>
  <c r="P30" i="61"/>
  <c r="O30" i="61"/>
  <c r="P28" i="61"/>
  <c r="O28" i="61"/>
  <c r="L28" i="61"/>
  <c r="P27" i="61"/>
  <c r="O27" i="61"/>
  <c r="L27" i="61"/>
  <c r="N3" i="61"/>
  <c r="M3" i="61"/>
  <c r="AB44" i="66" l="1"/>
  <c r="I6" i="56"/>
  <c r="H5" i="56"/>
  <c r="I5" i="56" s="1"/>
  <c r="AE6" i="61"/>
  <c r="AB23" i="66"/>
  <c r="AB22" i="66" s="1"/>
  <c r="AB25" i="66"/>
  <c r="W44" i="66"/>
  <c r="AB36" i="66"/>
  <c r="AB16" i="66"/>
  <c r="AB15" i="66" s="1"/>
  <c r="AB13" i="66"/>
  <c r="AB11" i="66" s="1"/>
  <c r="AB19" i="66"/>
  <c r="AB17" i="66" s="1"/>
  <c r="AB34" i="66"/>
  <c r="AB45" i="66"/>
  <c r="AB46" i="66"/>
  <c r="W34" i="66"/>
  <c r="U11" i="66"/>
  <c r="W13" i="66"/>
  <c r="W11" i="66" s="1"/>
  <c r="W16" i="66"/>
  <c r="W15" i="66" s="1"/>
  <c r="W19" i="66"/>
  <c r="W17" i="66" s="1"/>
  <c r="W23" i="66"/>
  <c r="W22" i="66" s="1"/>
  <c r="W25" i="66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T7" i="66"/>
  <c r="S24" i="66"/>
  <c r="U32" i="66"/>
  <c r="V28" i="66"/>
  <c r="AA37" i="66"/>
  <c r="AB37" i="66"/>
  <c r="AA43" i="66"/>
  <c r="R11" i="66"/>
  <c r="T17" i="66"/>
  <c r="U37" i="66"/>
  <c r="T43" i="66"/>
  <c r="Z28" i="66"/>
  <c r="AA11" i="66"/>
  <c r="R24" i="66"/>
  <c r="AA28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AC20" i="66"/>
  <c r="H16" i="56"/>
  <c r="H20" i="56" s="1"/>
  <c r="P26" i="61"/>
  <c r="P25" i="61"/>
  <c r="O26" i="61"/>
  <c r="O25" i="61"/>
  <c r="AB29" i="66"/>
  <c r="L26" i="61"/>
  <c r="L25" i="61"/>
  <c r="M6" i="61"/>
  <c r="N6" i="61"/>
  <c r="G25" i="48" s="1"/>
  <c r="W30" i="66" l="1"/>
  <c r="W28" i="66" s="1"/>
  <c r="I6" i="61"/>
  <c r="L6" i="61"/>
  <c r="AB30" i="66"/>
  <c r="AB28" i="66" s="1"/>
  <c r="X40" i="66"/>
  <c r="X37" i="66" s="1"/>
  <c r="X14" i="66"/>
  <c r="X35" i="66"/>
  <c r="X36" i="66"/>
  <c r="J11" i="56"/>
  <c r="J13" i="56"/>
  <c r="J14" i="56"/>
  <c r="K14" i="56" s="1"/>
  <c r="AB32" i="66"/>
  <c r="AC44" i="66"/>
  <c r="AC30" i="66"/>
  <c r="F25" i="48"/>
  <c r="X13" i="66"/>
  <c r="W32" i="66"/>
  <c r="J10" i="56"/>
  <c r="D12" i="56"/>
  <c r="D10" i="56"/>
  <c r="D7" i="56"/>
  <c r="W43" i="66"/>
  <c r="AB43" i="66"/>
  <c r="X20" i="66"/>
  <c r="AD9" i="66"/>
  <c r="AC9" i="66"/>
  <c r="X45" i="66"/>
  <c r="Y8" i="66"/>
  <c r="X22" i="66"/>
  <c r="X19" i="66"/>
  <c r="X9" i="66"/>
  <c r="X16" i="66"/>
  <c r="X15" i="66" s="1"/>
  <c r="W9" i="66"/>
  <c r="AB9" i="66"/>
  <c r="AD30" i="66"/>
  <c r="AD14" i="66"/>
  <c r="AC14" i="66"/>
  <c r="AC19" i="66"/>
  <c r="Y44" i="66"/>
  <c r="X44" i="66"/>
  <c r="X26" i="66"/>
  <c r="AC25" i="66"/>
  <c r="AC23" i="66"/>
  <c r="AC22" i="66" s="1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Y13" i="66"/>
  <c r="Y18" i="66"/>
  <c r="AC35" i="66"/>
  <c r="X11" i="66" l="1"/>
  <c r="J12" i="56"/>
  <c r="K12" i="56" s="1"/>
  <c r="AC26" i="66"/>
  <c r="AC24" i="66" s="1"/>
  <c r="X32" i="66"/>
  <c r="AC40" i="66"/>
  <c r="AC37" i="66" s="1"/>
  <c r="K13" i="56"/>
  <c r="K11" i="56"/>
  <c r="D8" i="56"/>
  <c r="D6" i="56" s="1"/>
  <c r="AC34" i="66"/>
  <c r="K10" i="5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AD25" i="66"/>
  <c r="AD13" i="66"/>
  <c r="AD11" i="66" s="1"/>
  <c r="AD8" i="66"/>
  <c r="AD7" i="66" s="1"/>
  <c r="Y35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J9" i="56" l="1"/>
  <c r="K9" i="56" s="1"/>
  <c r="AC32" i="66"/>
  <c r="J7" i="56"/>
  <c r="Z3" i="71"/>
  <c r="J8" i="56"/>
  <c r="J6" i="56" s="1"/>
  <c r="X6" i="66"/>
  <c r="Y43" i="66"/>
  <c r="AD17" i="66"/>
  <c r="Y17" i="66"/>
  <c r="Y32" i="66"/>
  <c r="AD35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AD32" i="66"/>
  <c r="AD6" i="66" s="1"/>
  <c r="AC2" i="66" l="1"/>
  <c r="AB26" i="66"/>
  <c r="AB24" i="66" s="1"/>
  <c r="W26" i="66"/>
  <c r="W24" i="66" s="1"/>
  <c r="W8" i="66" l="1"/>
  <c r="W7" i="66" s="1"/>
  <c r="W6" i="66" s="1"/>
  <c r="O6" i="61"/>
  <c r="AB8" i="66"/>
  <c r="AB7" i="66" s="1"/>
  <c r="AB6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AB3" i="61" l="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W11" i="61"/>
  <c r="W6" i="61" l="1"/>
  <c r="W3" i="61" s="1"/>
  <c r="E5" i="56" s="1"/>
  <c r="Y29" i="66"/>
  <c r="Y28" i="66" s="1"/>
  <c r="Y6" i="66" s="1"/>
  <c r="X11" i="61"/>
  <c r="E6" i="56" l="1"/>
  <c r="X6" i="61"/>
  <c r="X3" i="6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F3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분권을 도비로?
</t>
        </r>
      </text>
    </comment>
  </commentList>
</comments>
</file>

<file path=xl/sharedStrings.xml><?xml version="1.0" encoding="utf-8"?>
<sst xmlns="http://schemas.openxmlformats.org/spreadsheetml/2006/main" count="2319" uniqueCount="935">
  <si>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</si>
  <si>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</si>
  <si>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</si>
  <si>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</si>
  <si>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</si>
  <si>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</si>
  <si>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</si>
  <si>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</si>
  <si>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</si>
  <si>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</si>
  <si>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</si>
  <si>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</si>
  <si>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</si>
  <si>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</si>
  <si>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</si>
  <si>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</si>
  <si>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</si>
  <si>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</si>
  <si>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</si>
  <si>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</si>
  <si>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</si>
  <si>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</si>
  <si>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</si>
  <si>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</si>
  <si>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</si>
  <si>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</si>
  <si>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</si>
  <si>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</si>
  <si>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</si>
  <si>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</si>
  <si>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</si>
  <si>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</si>
  <si>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</si>
  <si>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</si>
  <si>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</si>
  <si>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</si>
  <si>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</si>
  <si>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</si>
  <si>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</si>
  <si>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</si>
  <si>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</si>
  <si>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</si>
  <si>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</si>
  <si>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</si>
  <si>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</si>
  <si>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</si>
  <si>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</si>
  <si>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</si>
  <si>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</si>
  <si>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</si>
  <si>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</si>
  <si>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</si>
  <si>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</si>
  <si>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</si>
  <si>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</si>
  <si>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</si>
  <si>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</si>
  <si>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</si>
  <si>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</si>
  <si>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</si>
  <si>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</si>
  <si>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</si>
  <si>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</si>
  <si>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</si>
  <si>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</si>
  <si>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</si>
  <si>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</si>
  <si>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</si>
  <si>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</si>
  <si>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</si>
  <si>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</si>
  <si>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</si>
  <si>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</si>
  <si>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</si>
  <si>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</si>
  <si>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</si>
  <si>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</si>
  <si>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</si>
  <si>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</si>
  <si>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</si>
  <si>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</si>
  <si>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</si>
  <si>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</si>
  <si>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</si>
  <si>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</si>
  <si>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</si>
  <si>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</si>
  <si>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</si>
  <si>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</si>
  <si>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</si>
  <si>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</si>
  <si>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</si>
  <si>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</si>
  <si>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</si>
  <si>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</si>
  <si>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</si>
  <si>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</si>
  <si>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</si>
  <si>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</si>
  <si>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</si>
  <si>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</si>
  <si>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</si>
  <si>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</si>
  <si>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</si>
  <si>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</si>
  <si>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</si>
  <si>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</si>
  <si>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</si>
  <si>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</si>
  <si>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</si>
  <si>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</si>
  <si>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</si>
  <si>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</si>
  <si>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</si>
  <si>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</si>
  <si>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</si>
  <si>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</si>
  <si>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</si>
  <si>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</si>
  <si>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</si>
  <si>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</si>
  <si>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</si>
  <si>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</si>
  <si>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</si>
  <si>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</si>
  <si>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</si>
  <si>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</si>
  <si>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</si>
  <si>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</si>
  <si>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</si>
  <si>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</si>
  <si>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</si>
  <si>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</si>
  <si>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</si>
  <si>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</si>
  <si>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</si>
  <si>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</si>
  <si>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</si>
  <si>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</si>
  <si>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</si>
  <si>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</si>
  <si>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</si>
  <si>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</si>
  <si>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</si>
  <si>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</si>
  <si>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</si>
  <si>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</si>
  <si>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</si>
  <si>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</si>
  <si>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</si>
  <si>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</si>
  <si>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</si>
  <si>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</si>
  <si>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</si>
  <si>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</si>
  <si>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</si>
  <si>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</si>
  <si>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</si>
  <si>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</si>
  <si>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</si>
  <si>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</si>
  <si>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</si>
  <si>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</si>
  <si>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</si>
  <si>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</si>
  <si>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</si>
  <si>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</si>
  <si>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</si>
  <si>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</si>
  <si>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</si>
  <si>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</si>
  <si>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</si>
  <si>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</si>
  <si>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</si>
  <si>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</si>
  <si>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</si>
  <si>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</si>
  <si>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</si>
  <si>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</si>
  <si>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</si>
  <si>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</si>
  <si>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</si>
  <si>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</si>
  <si>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</si>
  <si>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</si>
  <si>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</si>
  <si>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</si>
  <si>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</si>
  <si>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</si>
  <si>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</si>
  <si>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</si>
  <si>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</si>
  <si>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</si>
  <si>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</si>
  <si>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</si>
  <si>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</si>
  <si>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</si>
  <si>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</si>
  <si>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</si>
  <si>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</si>
  <si>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</si>
  <si>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</si>
  <si>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</si>
  <si>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</si>
  <si>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</si>
  <si>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</si>
  <si>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</si>
  <si>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</si>
  <si>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</si>
  <si>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</si>
  <si>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</si>
  <si>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</si>
  <si>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</si>
  <si>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</si>
  <si>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</si>
  <si>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</si>
  <si>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</si>
  <si>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</si>
  <si>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</si>
  <si>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</si>
  <si>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</si>
  <si>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</si>
  <si>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</si>
  <si>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</si>
  <si>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</si>
  <si>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</si>
  <si>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</si>
  <si>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</si>
  <si>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</si>
  <si>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</si>
  <si>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</si>
  <si>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</si>
  <si>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</si>
  <si>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</si>
  <si>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</si>
  <si>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</si>
  <si>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</si>
  <si>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</si>
  <si>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</si>
  <si>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</si>
  <si>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</si>
  <si>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</si>
  <si>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</si>
  <si>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</si>
  <si>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</si>
  <si>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</si>
  <si>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</si>
  <si>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</si>
  <si>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</si>
  <si>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</si>
  <si>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</si>
  <si>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</si>
  <si>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</si>
  <si>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</si>
  <si>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</si>
  <si>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</si>
  <si>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</si>
  <si>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</si>
  <si>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</si>
  <si>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</si>
  <si>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</si>
  <si>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</si>
  <si>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</si>
  <si>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</si>
  <si>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</si>
  <si>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</si>
  <si>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</si>
  <si>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</si>
  <si>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</si>
  <si>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</si>
  <si>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</si>
  <si>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</si>
  <si>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</si>
  <si>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</si>
  <si>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</si>
  <si>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</si>
  <si>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</si>
  <si>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</si>
  <si>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</si>
  <si>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</si>
  <si>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</si>
  <si>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</si>
  <si>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</si>
  <si>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</si>
  <si>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</si>
  <si>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</si>
  <si>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</si>
  <si>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</si>
  <si>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</si>
  <si>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</si>
  <si>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</si>
  <si>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</si>
  <si>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</si>
  <si>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</si>
  <si>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</si>
  <si>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</si>
  <si>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</si>
  <si>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</si>
  <si>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</si>
  <si>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</si>
  <si>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</si>
  <si>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</si>
  <si>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</si>
  <si>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</si>
  <si>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</si>
  <si>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</si>
  <si>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</si>
  <si>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</si>
  <si>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</si>
  <si>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</si>
  <si>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</si>
  <si>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</si>
  <si>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</si>
  <si>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</si>
  <si>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</si>
  <si>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</si>
  <si>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</si>
  <si>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</si>
  <si>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</si>
  <si>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</si>
  <si>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</si>
  <si>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</si>
  <si>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</si>
  <si>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</si>
  <si>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</si>
  <si>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</si>
  <si>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</si>
  <si>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</si>
  <si>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</si>
  <si>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</si>
  <si>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</si>
  <si>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</si>
  <si>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</si>
  <si>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</si>
  <si>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</si>
  <si>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</si>
  <si>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</si>
  <si>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</si>
  <si>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</si>
  <si>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</si>
  <si>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</si>
  <si>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</si>
  <si>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</si>
  <si>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</si>
  <si>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</si>
  <si>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</si>
  <si>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</si>
  <si>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</si>
  <si>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</si>
  <si>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</si>
  <si>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</si>
  <si>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</si>
  <si>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</si>
  <si>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</si>
  <si>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</si>
  <si>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</si>
  <si>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</si>
  <si>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</si>
  <si>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</si>
  <si>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</si>
  <si>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</si>
  <si>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</si>
  <si>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</si>
  <si>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</si>
  <si>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</si>
  <si>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</si>
  <si>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</si>
  <si>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</si>
  <si>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</si>
  <si>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</si>
  <si>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</si>
  <si>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</si>
  <si>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</si>
  <si>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</si>
  <si>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</si>
  <si>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</si>
  <si>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</si>
  <si>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</si>
  <si>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</si>
  <si>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</si>
  <si>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</si>
  <si>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</si>
  <si>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</si>
  <si>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</si>
  <si>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</si>
  <si>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</si>
  <si>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</si>
  <si>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</si>
  <si>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</si>
  <si>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</si>
  <si>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</si>
  <si>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</si>
  <si>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</si>
  <si>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</si>
  <si>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</si>
  <si>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</si>
  <si>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</si>
  <si>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</si>
  <si>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</si>
  <si>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</si>
  <si>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</si>
  <si>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</si>
  <si>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</si>
  <si>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</si>
  <si>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</si>
  <si>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</si>
  <si>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</si>
  <si>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</si>
  <si>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</si>
  <si>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</si>
  <si>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</si>
  <si>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</si>
  <si>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</si>
  <si>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</si>
  <si>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</si>
  <si>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</si>
  <si>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</si>
  <si>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</si>
  <si>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</si>
  <si>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</si>
  <si>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</si>
  <si>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</si>
  <si>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</si>
  <si>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</si>
  <si>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</si>
  <si>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</si>
  <si>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</si>
  <si>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</si>
  <si>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</si>
  <si>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</si>
  <si>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</si>
  <si>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</si>
  <si>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</si>
  <si>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</si>
  <si>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</si>
  <si>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</si>
  <si>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</si>
  <si>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</si>
  <si>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</si>
  <si>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</si>
  <si>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</si>
  <si>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</si>
  <si>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</si>
  <si>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</si>
  <si>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</si>
  <si>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</si>
  <si>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</si>
  <si>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</si>
  <si>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</si>
  <si>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</si>
  <si>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</si>
  <si>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</si>
  <si>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</si>
  <si>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</si>
  <si>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</si>
  <si>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</si>
  <si>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</si>
  <si>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</si>
  <si>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</si>
  <si>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</si>
  <si>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</si>
  <si>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</si>
  <si>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</si>
  <si>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</si>
  <si>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</si>
  <si>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</si>
  <si>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</si>
  <si>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</si>
  <si>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</si>
  <si>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</si>
  <si>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</si>
  <si>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</si>
  <si>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</si>
  <si>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</si>
  <si>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</si>
  <si>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</si>
  <si>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</si>
  <si>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</si>
  <si>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</si>
  <si>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</si>
  <si>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</si>
  <si>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</si>
  <si>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</si>
  <si>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</si>
  <si>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</si>
  <si>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</si>
  <si>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</si>
  <si>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</si>
  <si>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</si>
  <si>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</si>
  <si>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</si>
  <si>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</si>
  <si>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</si>
  <si>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</si>
  <si>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</si>
  <si>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</si>
  <si>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</si>
  <si>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</si>
  <si>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</si>
  <si>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</si>
  <si>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</si>
  <si>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</si>
  <si>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</si>
  <si>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</si>
  <si>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</si>
  <si>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</si>
  <si>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</si>
  <si>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</si>
  <si>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</si>
  <si>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</si>
  <si>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</si>
  <si>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</si>
  <si>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</si>
  <si>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</si>
  <si>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</si>
  <si>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</si>
  <si>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</si>
  <si>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</si>
  <si>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</si>
  <si>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</si>
  <si>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</si>
  <si>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</si>
  <si>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</si>
  <si>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</si>
  <si>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</si>
  <si>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</si>
  <si>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</si>
  <si>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</si>
  <si>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</si>
  <si>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</si>
  <si>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</si>
  <si>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</si>
  <si>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</si>
  <si>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</si>
  <si>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</si>
  <si>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</si>
  <si>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</si>
  <si>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</si>
  <si>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</si>
  <si>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</si>
  <si>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</si>
  <si>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</si>
  <si>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</si>
  <si>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</si>
  <si>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</si>
  <si>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</si>
  <si>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</si>
  <si>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</si>
  <si>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</si>
  <si>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</si>
  <si>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</si>
  <si>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</si>
  <si>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</si>
  <si>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</si>
  <si>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</si>
  <si>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</si>
  <si>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</si>
  <si>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</si>
  <si>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</si>
  <si>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</si>
  <si>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</si>
  <si>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</si>
  <si>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</si>
  <si>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</si>
  <si>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</si>
  <si>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</si>
  <si>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</si>
  <si>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</si>
  <si>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</si>
  <si>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</si>
  <si>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</si>
  <si>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</si>
  <si>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</si>
  <si>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</si>
  <si>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</si>
  <si>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</si>
  <si>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</si>
  <si>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</si>
  <si>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</si>
  <si>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</si>
  <si>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</si>
  <si>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</si>
  <si>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</si>
  <si>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</si>
  <si>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</si>
  <si>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</si>
  <si>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</si>
  <si>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</si>
  <si>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</si>
  <si>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국비</t>
  </si>
  <si>
    <t>자동
입력</t>
    <phoneticPr fontId="2" type="noConversion"/>
  </si>
  <si>
    <t>사회복지담당관</t>
    <phoneticPr fontId="2" type="noConversion"/>
  </si>
  <si>
    <t>국가금연지원서비스 지역사회중심
금연서비스(기금/직접)</t>
  </si>
  <si>
    <t>정신요양시설 운영(국비/지원)
-정신요양시설 운영</t>
  </si>
  <si>
    <t>발달장애인 바리스타 일자리 시범사업(국비/지원)
-발달장애인 바리스타 일자리 시범사업</t>
    <phoneticPr fontId="6" type="noConversion"/>
  </si>
  <si>
    <t>보건위생담당관</t>
    <phoneticPr fontId="2" type="noConversion"/>
  </si>
  <si>
    <t>영유아 사전예방적 건강관리(기금/지원)
- 미숙아 및 선천성이상아 의료비 지원</t>
  </si>
  <si>
    <t>2회추경</t>
    <phoneticPr fontId="2" type="noConversion"/>
  </si>
  <si>
    <t>1회추경</t>
    <phoneticPr fontId="2" type="noConversion"/>
  </si>
  <si>
    <t>본예산</t>
    <phoneticPr fontId="2" type="noConversion"/>
  </si>
  <si>
    <t>사회복지담당관</t>
    <phoneticPr fontId="2" type="noConversion"/>
  </si>
  <si>
    <t>버스임차비 증액</t>
    <phoneticPr fontId="2" type="noConversion"/>
  </si>
  <si>
    <t>교육.상담사 추가양성 및 다양한 교육컨텐츠 개발.보급 필요</t>
    <phoneticPr fontId="2" type="noConversion"/>
  </si>
  <si>
    <t>한센복지협회 검진사업 등 한센사업 차질 우려</t>
  </si>
  <si>
    <t>예산부족으로 방역 관리 누수 발생 / 말라리아 환자발생 수 :
 228명('13.12월말)→282명('14.9월말)</t>
    <phoneticPr fontId="2" type="noConversion"/>
  </si>
  <si>
    <t>2회추경</t>
  </si>
  <si>
    <t>장애수당(차상위 등)(국비/지원)
-장애수당(차상위 등)</t>
    <phoneticPr fontId="2" type="noConversion"/>
  </si>
  <si>
    <t>생계급여(국비/지원)
-생계급여</t>
    <phoneticPr fontId="2" type="noConversion"/>
  </si>
  <si>
    <t>주거급여(국비/지원)
-주거급여</t>
    <phoneticPr fontId="2" type="noConversion"/>
  </si>
  <si>
    <t>기초연금(국비/지원)
-기초연금</t>
    <phoneticPr fontId="2" type="noConversion"/>
  </si>
  <si>
    <t>장애수당(기초)(국비/지원)
-장애수당(기초)</t>
    <phoneticPr fontId="2" type="noConversion"/>
  </si>
  <si>
    <t>장애인연금(국비/지원)
-장애인연금</t>
    <phoneticPr fontId="2" type="noConversion"/>
  </si>
  <si>
    <t>국비변경내시 장애인자립기반과 - 7973(2014.11.26.)</t>
    <phoneticPr fontId="2" type="noConversion"/>
  </si>
  <si>
    <t>장애인 사회활동지원(국비/지원)
-중증장애인활동보조</t>
  </si>
  <si>
    <t>장애인 사회활동지원(국비/지원)
-중증장애인활동보조</t>
    <phoneticPr fontId="2" type="noConversion"/>
  </si>
  <si>
    <t>암환자 의료비 지원(기금/지원)
-암환자 의료지 지원</t>
    <phoneticPr fontId="2" type="noConversion"/>
  </si>
  <si>
    <t>시각장애인 복지관 운영(분권/직접)
-경기도 시각장애인복지관 버스 구입</t>
    <phoneticPr fontId="2" type="noConversion"/>
  </si>
  <si>
    <t>시각장애인 복지관 운영(분권/직접)
-경기도 시각장애인복지관 운영</t>
    <phoneticPr fontId="2" type="noConversion"/>
  </si>
  <si>
    <t>1회추경</t>
  </si>
  <si>
    <t>영유아 사전예방적 건강관리(기금/지원)
-미숙아 및 선천성이상아 의료비</t>
    <phoneticPr fontId="2" type="noConversion"/>
  </si>
  <si>
    <t>국비 변경내시
※ 보건복지부 기초생활보장과-5891(2014.11.10)호</t>
  </si>
  <si>
    <t>국비 변경내시
보건복지부 기초연금과-1579(2014.11.13)호.</t>
  </si>
  <si>
    <t>남북부간 예산조정
양주시 복지지원과-6191(2014.11.11)호.</t>
  </si>
  <si>
    <t>국비 변경내시
※ 보건복지부 기초생활보장과-5891(2014.11.10)호</t>
    <phoneticPr fontId="2" type="noConversion"/>
  </si>
  <si>
    <t>국비 변경내시
보건복지부 장애인자립기반과-7865(2014.11.24)호.</t>
  </si>
  <si>
    <t>국비 변경내시
보건복지부 장애인서비스과-5548(2014.11.3)호.</t>
  </si>
  <si>
    <t>시각장애인복지관 종사자 인사교체 등에 따른 인건비 감소분 감액</t>
  </si>
  <si>
    <t>복지관 전용버스 변경(33인→45인승) 요청에 따라 중형버스 구입에서 대형버스 연간임차로 사업변경</t>
  </si>
  <si>
    <t>국비 변경내시
※ 보건복지부 질병정책과-6029
(2014.11.12.)호</t>
  </si>
  <si>
    <t>국비 변경내시
※ 보건복지부 출산정책과 -4714(2014.11.07.)호</t>
  </si>
  <si>
    <t>도비</t>
  </si>
  <si>
    <t>과징금 및 이행강제금
-응급환자이송업 과징금</t>
    <phoneticPr fontId="2" type="noConversion"/>
  </si>
  <si>
    <t>신규</t>
  </si>
  <si>
    <t>무한돌봄복지과</t>
    <phoneticPr fontId="2" type="noConversion"/>
  </si>
  <si>
    <t>국비 내시 변경
※ 보건복지부 기초생활보장과-5891호(2014.11.10)</t>
  </si>
  <si>
    <t>생계급여(국비/지원)
-기초생활보장 생계급여</t>
    <phoneticPr fontId="2" type="noConversion"/>
  </si>
  <si>
    <t>주거급여(국비/지원)
-기초생활보장 주거급여</t>
    <phoneticPr fontId="2" type="noConversion"/>
  </si>
  <si>
    <t>무한돌봄복지과</t>
    <phoneticPr fontId="2" type="noConversion"/>
  </si>
  <si>
    <t>무한돌봄복지과</t>
    <phoneticPr fontId="2" type="noConversion"/>
  </si>
  <si>
    <t>지역사회 복지사업(국비/직접)</t>
    <phoneticPr fontId="2" type="noConversion"/>
  </si>
  <si>
    <t>국비 내시 추가
※ 보건복지부 지역복지과-5410호(2014.11.15)</t>
  </si>
  <si>
    <t>노인복지과</t>
    <phoneticPr fontId="2" type="noConversion"/>
  </si>
  <si>
    <t>국비 내시 변경
※ 보건복지부 기초연금과-
    1579호(2014.11.13)</t>
  </si>
  <si>
    <t>노인생활시설 기능보강(국비/지원)
-노인생활시설 기능보강</t>
    <phoneticPr fontId="2" type="noConversion"/>
  </si>
  <si>
    <t>국비 내시 변경
※ 보건복지부 요양보험운영과-
    (공문 미시행)</t>
  </si>
  <si>
    <t>장애인복지과</t>
    <phoneticPr fontId="2" type="noConversion"/>
  </si>
  <si>
    <t>국비 내시 변경 및 남부청-북부청 예산조정
※ 보건복지부 장애인서비스과-5548호(2014.11.3)</t>
  </si>
  <si>
    <t>장애인연금(국비/지원)
-장애인연금</t>
  </si>
  <si>
    <t>국비 변경내시
※ 보건복지부 장애인자립기반과 - 7685호(2014.11.24.)</t>
  </si>
  <si>
    <t>국비 내시 변경
※ 보건복지부 장애인서비스과-5548호(2014.11.3)</t>
  </si>
  <si>
    <t>여성장애인 출산비용지원(국비/지원)
-여성장애인 출산비용지원</t>
    <phoneticPr fontId="2" type="noConversion"/>
  </si>
  <si>
    <t>국비 내시 변경
※ 보건복지부 장애인서비스과 - 5583호(2014.11.05.)</t>
  </si>
  <si>
    <t>여성장애인 교육사업(국비/직접)
-여성장애인 교육</t>
    <phoneticPr fontId="2" type="noConversion"/>
  </si>
  <si>
    <t>지역내 응급의료 협력강화 시범사업(기금/직접)
-야간휴일 응급수술 지원사업</t>
  </si>
  <si>
    <t>자동제세동기 보급지원(기금/지원)
-자동제세동기 보급지원</t>
  </si>
  <si>
    <t>국비 내시 변경(신규)
※ 보건복지부 응급의료과-5798호(2014.11.13.)
※세입명- 응급의료기관지원발전프로그램운영</t>
  </si>
  <si>
    <t>국비 내시 변경(신규)
※ 보건복지부 응급의료과-5923(2014.11.19)호
※세입명- 구조 및 응급처치교육</t>
  </si>
  <si>
    <t>신종감염병 환자 격리병상 확충유지(기금/직접)
- 국가지정격리병상 시설장비유지비 지원</t>
    <phoneticPr fontId="2" type="noConversion"/>
  </si>
  <si>
    <t>국비 내시 변경
※ 질병관리본부 공중보건위기대응과-1901(2014.11.07)호
※ 세입명-SARS 등 신종감염병 대책</t>
  </si>
  <si>
    <t>에이즈 및 성병예방(기금/지원)
-에이즈 및 성병예방</t>
    <phoneticPr fontId="2" type="noConversion"/>
  </si>
  <si>
    <t>국비 내시 변경
※ 질병관리본부 에이즈결핵관리과-4594호(2014.11.6.)
※ 세입명- 에이즈 및 성병예방</t>
  </si>
  <si>
    <t>국비 내시 변경
※ 보건복지부 출산정책과 -4714(2014.11.07.)호</t>
  </si>
  <si>
    <t>국비 내시 변경
※ 보건복지부 질병정책과-6029(2014.11.12.)호</t>
  </si>
  <si>
    <t>국고보조금
(생계급여)</t>
  </si>
  <si>
    <t>국비 내시 추가
※ 보건복지부 지역복지과-5410호(2014.11.5)</t>
  </si>
  <si>
    <t>노인복지과</t>
    <phoneticPr fontId="2" type="noConversion"/>
  </si>
  <si>
    <t>국고보조금
(기초연금)</t>
  </si>
  <si>
    <t>국고보조금
(노인생활시설 기능보강)</t>
  </si>
  <si>
    <t>국비 내시 변경
※ 보건복지부 요양보험운영과 (공문 미시행)</t>
  </si>
  <si>
    <t>국고보조금
(장애인연금)</t>
  </si>
  <si>
    <t>국비 변경내시
※ 보건복지부 장애인자립기반과 - 7685(2014.11.24.)</t>
  </si>
  <si>
    <t>국비 내시 변경
※ 보건복지부 장애인서비스과 - 5548호(2014.11.03.)</t>
  </si>
  <si>
    <t>보건정책과</t>
    <phoneticPr fontId="2" type="noConversion"/>
  </si>
  <si>
    <t>기금
(응급의료기관 지원발전 프로그램 운영(성립전))</t>
  </si>
  <si>
    <t>국비 내시 변경
※ 보건복지부 응급의료과-5798호(2014.11.13.)</t>
  </si>
  <si>
    <t>기금</t>
  </si>
  <si>
    <t>기금
(구조 및 응급처치 교육)</t>
  </si>
  <si>
    <t>국비 내시 변경
※ 보건복지부 응급의료과-5923호(2014.11.19)</t>
  </si>
  <si>
    <t>기금
(SARS 등 신종감염병 대책)</t>
  </si>
  <si>
    <t>국비 내시 변경
※ 질병관리본부 공중보건위기대응과-1901호(2014.11.07)</t>
  </si>
  <si>
    <t>국비 내시 변경
※ 질병관리본부 에이즈결핵관리과-4594호(2014.11.6.)</t>
  </si>
  <si>
    <t>건강증진과</t>
    <phoneticPr fontId="2" type="noConversion"/>
  </si>
  <si>
    <t>시·도비반환금 내역 변경
- 2013년 청소년산모 임신출산 의료비 지원(437,000원)
-2012년 암검진사업(10원)
-2012년 암환자 의료비 지원(112,740원)</t>
  </si>
  <si>
    <t>기금
(영유아 사전예방적 건강관리)</t>
  </si>
  <si>
    <t>국비 내시 변경
※ 보건복지부 출산정책과 -4714호(2014.11.07.)
※ 1회 추경 예산액</t>
  </si>
  <si>
    <t>국비 내시 변경
※ 보건복지부 질병정책과-6029호(2014.11.12.)
※ 1회 추경 예산액</t>
  </si>
  <si>
    <t>무한돌봄복지과</t>
    <phoneticPr fontId="2" type="noConversion"/>
  </si>
  <si>
    <t>국고보조금
(지역사회복지협의체 지역대회)</t>
  </si>
  <si>
    <t>국비 내시 추가(신규)
※ 보건복지부 지역복지과-4907호(2014.10.20)</t>
  </si>
  <si>
    <t>국고보조금
(노인 일자리 확충)</t>
  </si>
  <si>
    <t>국고보조금
(노인양로시설 운영)</t>
  </si>
  <si>
    <t>국고보조금
(농어촌의료서비스개선사업)</t>
  </si>
  <si>
    <t>국고보조금
(외국인근로자 등 의료지원사업)</t>
  </si>
  <si>
    <t>국고보조금
(감염병전문가교육)</t>
  </si>
  <si>
    <t xml:space="preserve">기금
(국가결핵예방) </t>
  </si>
  <si>
    <t>국고보조금
(정신요양시설 운영)</t>
  </si>
  <si>
    <t>기금
(지역사회건강조사)</t>
  </si>
  <si>
    <t>기금
(혁신형 건강플랫폼 구축지원)</t>
  </si>
  <si>
    <t>기금
(구강건강관리)</t>
  </si>
  <si>
    <t>기금
(주요만성질환 예방관리)</t>
  </si>
  <si>
    <t>기금
(지방의료원 등 정보화 지원 사업)</t>
  </si>
  <si>
    <t xml:space="preserve">국비 내시 변경
※ 보건복지부 노인지원과-4407호(2014.10.28.) 및 보건복지부 노인지원과 업무협조(2014.11.18) </t>
  </si>
  <si>
    <t>국비 내시 변경
※  보건복지부 요양보험운영과-5279호(2014.10.13)</t>
  </si>
  <si>
    <t xml:space="preserve">국비 내시 변경
※ 보건복지부 건강정책과-7090호(2014.11.21)  </t>
  </si>
  <si>
    <t xml:space="preserve">국비 내시 변경
※보건복지부 공공의료과-6233호(2014.11.09) </t>
  </si>
  <si>
    <t>국비 내시 변경
※질병관리본부 감염병관리과-3856호(2014.10.14.)</t>
  </si>
  <si>
    <t>국비 내시 변경
질병관리본부 에이즈결핵관리과-4768호(2014.11.18.)</t>
  </si>
  <si>
    <t>국비 내시 변경
※ 보건복지부 정신건강정책과-6384호(2014.11.14.)</t>
  </si>
  <si>
    <t>국비 내시액 착오 반영분 정정
※ 질병관리본부 만성질환관리과-3206호(2014.10.15.)</t>
  </si>
  <si>
    <t>국비 내시액 착오 반영분 정정
 ※ 보건복지부 보건의료정책과-       4803(2014.10.14.)호</t>
  </si>
  <si>
    <t>국비 내시 변경
※ 보건복지부 구강생활건강과-4643호(2014.10.28.)</t>
  </si>
  <si>
    <t>국비 내시액 착오 반영분 정정
※ 질병관리본부 만성질환관리과-3246(2014.10.17.)호</t>
  </si>
  <si>
    <t>국비 내시 변경
※ 보건복지부 공공의료과-6403호(2014.11.15.)</t>
  </si>
  <si>
    <t>지역사회복지협의체 지역대회(국비/직접)</t>
  </si>
  <si>
    <t>노인일자리 확충(국비/직접)
-일자리 전담인력 인건비</t>
  </si>
  <si>
    <t xml:space="preserve"> 노인일자리 확충(국비/지원)
-노인일자리 지원</t>
  </si>
  <si>
    <t xml:space="preserve"> 노인일자리 확충(국비/지원)
-수행기관 전담인력 인건비</t>
  </si>
  <si>
    <t xml:space="preserve"> 노인일자리 확충(국비/지원)
-시장형수행기관 인센티브지원</t>
  </si>
  <si>
    <t>장애인일반형일자리지원(국비/지원)
-장애인 일반형(舊 행정도우미)일자리 지원</t>
  </si>
  <si>
    <t>발달장애인 바리스타 일자리 시범사업
(국비/지원)</t>
  </si>
  <si>
    <t>독거노인응급안전돌보미(기금/지원)
- 독거노인 응급안전 돌보미 설치</t>
  </si>
  <si>
    <t>독거노인응급안전돌보미(기금/지원)
- 독거노인 응급안전 돌보미 운영</t>
  </si>
  <si>
    <t>농어촌의료서비스 개선(국비/지원)
-농어촌의료서비스개선사업</t>
  </si>
  <si>
    <t>감염병전문가 교육(국비/지원)
- 감염병전문가교육(지원)</t>
  </si>
  <si>
    <t>국가예방접종사업(자체/지원)
- 인플루엔자 무료예방접종</t>
  </si>
  <si>
    <t>국가결핵예방(기금/지원)
-국가결핵예방</t>
  </si>
  <si>
    <t>외국인근로자 등 소외계층 의료서비스 지원(국비/직접)
- 외국인근로자 등 소외계층 의료서비스 지원</t>
  </si>
  <si>
    <t>지역사회 건강조사(기금/지원)
-지역사회 건강조사</t>
  </si>
  <si>
    <t>지방의료원 등 정보화 지원(기금/직접)</t>
  </si>
  <si>
    <t>심뇌혈관질환 관리사업(기금/직접)
-심뇌혈관질환 예방관리사업</t>
  </si>
  <si>
    <t>고혈압 당뇨병 등록관리 사업(기금/지원)
-고혈압, 당뇨병 등록관리사업</t>
  </si>
  <si>
    <t>구강건강관리(구강보건센터 설치)(기금/지원)
-구강건강관리(구강보건센터 설치)</t>
  </si>
  <si>
    <t>혁신형 건강플랫폼 구축(기금/지원)
-혁신형 건강플랫폼 구축</t>
  </si>
  <si>
    <t xml:space="preserve">국비 내시 추가
※ 보건복지부 지역복지과-4907호(2014.10.20)
</t>
  </si>
  <si>
    <t xml:space="preserve">국비 내시 변경
※ 보건복지부 노인지원과-4407(2014.10.28.)호 및 업무협조(2014.11.18) </t>
  </si>
  <si>
    <t>국비 내시 변경
※ 보건복지부 장애인자립기반과-7290호(2014.11.04.)
-사업량 9명 증가</t>
  </si>
  <si>
    <t>국비 내시 변경
※ 보건복지부 장애인자립기반과-7290호(2014.11.04.)
-사업량 19명 증가</t>
  </si>
  <si>
    <t>국비 내시 변경
※ 보건복지부 장애인자립기반과-7652(‘14.11.14.)호
-보건복지부 사업 계획변경</t>
  </si>
  <si>
    <t>국비 내시 변경
 - 사업량 감소
   (3,310가구→2,913가구)
※ 보건복지부 노인정책과-
    6144(2014.10.15)호</t>
  </si>
  <si>
    <t xml:space="preserve">국비 내시 변경
※보건복지부 건강정책과-7090호(2014.11.21)  </t>
  </si>
  <si>
    <t>자체사업에서 국비(기금)지원사업으로 전환되어 감액 편성
※질병관리본부 예방접종관리과-3246호(2014.10.15)</t>
  </si>
  <si>
    <t>국비 내시 변경
※질병관리본부 에이즈결핵관리과-4768(2014.11.18.)호</t>
  </si>
  <si>
    <t xml:space="preserve">국비 내시 변경
※보건복지부 공공의료과-6233호(2014.11.09)  </t>
  </si>
  <si>
    <t>국비 내시 변경
※ 보건복지부 공공의료과-6638호(2014.11.24.)</t>
  </si>
  <si>
    <t>국비 변경 내시액 반영 및 
통계목 변경
 - 자치단체경상보조금 ⇒ 
   자치단체자본보조
※ 보건복지부 구강생활건강과
    -4643(2014.10.28.)호</t>
  </si>
  <si>
    <t>국비변경내시
※ 보건복지부 정신건강정책과-6384(2014.11.14.)호</t>
  </si>
  <si>
    <t>장애인 복지일자리 지원(국비/지원)
-장애인 복지일자리 지원</t>
    <phoneticPr fontId="2" type="noConversion"/>
  </si>
  <si>
    <t>국도비</t>
    <phoneticPr fontId="2" type="noConversion"/>
  </si>
  <si>
    <t>노인생활시설 지원(국비/지원)
-노인양로시설운영</t>
    <phoneticPr fontId="2" type="noConversion"/>
  </si>
  <si>
    <t>노인일자리 확충(국비/지원)
-노인일자리 지원</t>
    <phoneticPr fontId="6" type="noConversion"/>
  </si>
  <si>
    <t>노인일자리 확충(국비/지원)
-수행기관 전담인력 인건비</t>
    <phoneticPr fontId="6" type="noConversion"/>
  </si>
  <si>
    <t>독거노인응급안전돌보미(기금/지원)
-독거노인 응급안전 돌보미 설치</t>
    <phoneticPr fontId="6" type="noConversion"/>
  </si>
  <si>
    <t>독거노인응급안전돌보미(기금/지원)
-독거노인 응급안전 돌보미 운영</t>
    <phoneticPr fontId="6" type="noConversion"/>
  </si>
  <si>
    <t>장애인복지일자리 지원(국비/지원)
-장애인 복지일자리 지원</t>
    <phoneticPr fontId="6" type="noConversion"/>
  </si>
  <si>
    <t>장애인일반형일자리 지원(국비/지원)
-장애인 일반형일자리 지원</t>
    <phoneticPr fontId="6" type="noConversion"/>
  </si>
  <si>
    <t>국가결핵예방(기금/지원)
-국가결핵예방</t>
    <phoneticPr fontId="2" type="noConversion"/>
  </si>
  <si>
    <t>시각장애인 복지관 운영(자체/직접)
-경기도 시각장애인복지관 운영</t>
    <phoneticPr fontId="2" type="noConversion"/>
  </si>
  <si>
    <t>노인 성인식 개선사업(자체/직접)
-노인 성인식 개선사업</t>
    <phoneticPr fontId="2" type="noConversion"/>
  </si>
  <si>
    <t>국가예방접종사업(자체/지원)
-인플루엔자 무료예방접종</t>
    <phoneticPr fontId="2" type="noConversion"/>
  </si>
  <si>
    <t>국고보조금
(장애수당(차상위 등))</t>
  </si>
  <si>
    <t>국비 변경내시
※ 보건복지부 장애인자립기반과 - 7973(2014.11.26.)</t>
  </si>
  <si>
    <t>국고보조금
(주거급여)</t>
  </si>
  <si>
    <t>국고보조금
(지역복지사업 평가)</t>
  </si>
  <si>
    <t>국고보조금
(장애인사회활동지원)</t>
  </si>
  <si>
    <t>국고보조금
(여성장애인지원사업)</t>
  </si>
  <si>
    <t>시·도비반환금수입
(건강증진과 도비사용잔액)</t>
    <phoneticPr fontId="2" type="noConversion"/>
  </si>
  <si>
    <t>기금
(암환자 지원 사업)</t>
  </si>
  <si>
    <t xml:space="preserve">기금
(에이즈 및 성병예방) </t>
    <phoneticPr fontId="2" type="noConversion"/>
  </si>
  <si>
    <t>국비 변경내시(통보예정)
※ 보건복지부 장애인자립기반과 - 7973(2014.11.26.)호</t>
  </si>
  <si>
    <t>광역자활지원사업(자체/직접)
-광역자활사업 지원</t>
  </si>
  <si>
    <t>광역자활지원사업(자체/직접)
-사회적일자리 업무추진</t>
  </si>
  <si>
    <t>사회복지단체 활성화(자체/직접)
-치매노인 건강프로그램 지원</t>
  </si>
  <si>
    <t>개인 노인시설지원(자체/지원)
-개인운영 신고시설 지원</t>
  </si>
  <si>
    <t>장애인단체 육성 및 지원(자체/직접)
- 재가장애인 사회적응훈련</t>
  </si>
  <si>
    <t>장애인단체 육성 및 지원(자체/직접)
- 장애발생예방 및 인식개선센터 운영</t>
  </si>
  <si>
    <t>장애인단체 육성 및 지원(자체/직접)
- 장애인 후원 결연사업</t>
  </si>
  <si>
    <t>장애인단체 육성 및 지원(자체/직접)
- 재활프로그램 평가발표회</t>
  </si>
  <si>
    <t>장애인단체 육성 및 지원(자체/직접)
- 장애인 종합민원 상담센터 운영</t>
  </si>
  <si>
    <t>장애인단체 육성 및 지원(자체/직접)
- 심부름센터 지원본부 운영</t>
  </si>
  <si>
    <t>장애인단체 육성 및 지원(자체/직접)
- 시각장애인 점자교실 운영</t>
  </si>
  <si>
    <t>장애인단체 육성 및 지원(자체/직접)
- 점자 및 소리소식지 제작·운영지원</t>
  </si>
  <si>
    <t>장애인단체 육성 및 지원(자체/직접)
- 시각장애인 문화체험 교실</t>
  </si>
  <si>
    <t>장애인단체 육성 및 지원(자체/직접)
- 농아인 통신중계 서비스센터 운영</t>
  </si>
  <si>
    <t>장애인단체 육성 및 지원(자체/직접)
- 수화통역센터 지원본부 운영</t>
  </si>
  <si>
    <t>장애인단체 육성 및 지원(자체/직접)
- 청각·언어 장애인 수화교실 운영</t>
  </si>
  <si>
    <t>장애인단체 육성 및 지원(자체/직접)
- 청각·언어 장애인 직업재활센터 운영</t>
  </si>
  <si>
    <t>장애인단체 육성 및 지원(자체/직접)
- 장애인 문화예술활동 지원</t>
  </si>
  <si>
    <t>장애인단체 육성 및 지원(자체/직접)
- 장애인 가족지원센터 지원</t>
  </si>
  <si>
    <t>장애인단체 육성 및 지원(자체/직접)
- 교통사고 피해 상담센터 운영</t>
  </si>
  <si>
    <t>장애인단체 육성 및 지원(자체/직접)
- 신장장애인 지원센터 운영</t>
  </si>
  <si>
    <t>장애인단체 육성 및 지원(자체/직접)
- 장애인 보조견 훈련사업</t>
  </si>
  <si>
    <t>장애인단체 육성 및 지원(자체/직접)
- 사랑의 끈 연결고리 운영</t>
  </si>
  <si>
    <t>장애인단체 육성 및 지원(자체/직접)
- 장애인 방송영상 제작교육</t>
  </si>
  <si>
    <t>장애인단체 육성 및 지원(자체/직접)
- 장애인 보장구 수리지원</t>
  </si>
  <si>
    <t>장애인단체 육성 및 지원(자체/직접)
- 장애인 복지단체 역량강화 사업</t>
  </si>
  <si>
    <t>장애인단체 육성 및 지원(자체/직접)
- 시각장애인 교육재활사업</t>
  </si>
  <si>
    <t>장애인단체 육성 및 지원(자체/직접)
- 농아노인센터 운영</t>
  </si>
  <si>
    <t>장애인단체 육성 및 지원(자체/직접)
- 장애인시설종사자 심화교육</t>
  </si>
  <si>
    <t>장애인단체 육성 및 지원(자체/직접)
- 장애인 중고PC 무상출장 수리지원</t>
  </si>
  <si>
    <t>재활보조기구서비스센터 운영(자체/직접)
- 재활공힉서비스연구지원센터 운영</t>
  </si>
  <si>
    <t>장애인단체 육성 및 지원(자체/직접)
- 경기 농아 방송</t>
  </si>
  <si>
    <t>장애인복지시설 운영 지원(자체/직접)
- 시각장애인 점자도서관 기능보강</t>
  </si>
  <si>
    <t>장애인가족지원센터 운영 지원(자체/지원)
- 장애인가족지원센터 운영 지원</t>
  </si>
  <si>
    <t>안산정신건강트라우마센터(기금/지원)
-안산정신건강트라우마센터 운영</t>
  </si>
  <si>
    <t>경기도의료원 기능보강(자체/직접)
-안성병원 연구용역(PM)</t>
  </si>
  <si>
    <t>경기도의료원 기능보강(자체/직접)
-개인정보보호시스템구축</t>
  </si>
  <si>
    <t>이미용사업 지원(자체/직접)
-경기도지사배 미용예술경연대회</t>
  </si>
  <si>
    <t>무한돌보미 역량 강화와 사업 중복</t>
  </si>
  <si>
    <t>장애인단체지원사업 종사자 인건비
증액
※ 12년부터 인건비 동결</t>
  </si>
  <si>
    <t xml:space="preserve">통계목 변경
사회복지시설법정운영비보조(307-10) 
→ 사회복지사업보조(307-11)
</t>
  </si>
  <si>
    <t xml:space="preserve">통계목 변경
사회복지시설법정운영비보조(307-10)
 → 사회복지사업보조(307-11)
</t>
  </si>
  <si>
    <t>부기 사업 이동
경기도 노인일자리지원센터 운영(자체/직접) → 광역자활지원사업(자체/직접)</t>
  </si>
  <si>
    <t>치매노인 미술 치료 지원</t>
  </si>
  <si>
    <t>개인운영 신고 시설수 감소
(40개소→36개소)</t>
  </si>
  <si>
    <t xml:space="preserve">장애인단체지원사업의 종사자 
인건비 증액
※ 12년부터 인건비 동결
</t>
  </si>
  <si>
    <t xml:space="preserve">장애인단체지원사업의 종사자 인건비 증액
※ 12년부터 인건비 동결
</t>
  </si>
  <si>
    <t xml:space="preserve">인건비(종사자 2명 충원) 및 사업비 증액
</t>
  </si>
  <si>
    <t xml:space="preserve">농아인 및 단체의 수화를 방송 사업 추진 요청으로 신규 반영
</t>
  </si>
  <si>
    <t xml:space="preserve">노후 점자인쇄기 교체 비용 
신규 반영
</t>
  </si>
  <si>
    <t>시․군의 재정부담 해소 및 도비지원 필요에 신규반영</t>
  </si>
  <si>
    <t>결핵 환자 증가에 대처하기 위한 의료
기관 운영 및 무료 이동진료사업 추진 필요</t>
  </si>
  <si>
    <t>심야공공약국 시범운영 사업 신규 반영</t>
  </si>
  <si>
    <t>부가가치세 법령 개정에 따라 대학(산학협력단) 위탁시 발생하는 부가가치세 
부담액 반영</t>
  </si>
  <si>
    <t>안산정신건강트라우마센터 운영비
전액 국비 확보 추진중
※ 지방비 매칭시 추경에 반영</t>
  </si>
  <si>
    <t>용역 진행 상황에 따라 추경에 편성 
예정</t>
  </si>
  <si>
    <t>필요시 추경에 편성 예정</t>
  </si>
  <si>
    <t>내실있는 행사 추진을 위하여 지원액
증액</t>
  </si>
  <si>
    <t>무한돌봄센터 운영(자체/지원)
-무한돌봄센터 운영</t>
    <phoneticPr fontId="2" type="noConversion"/>
  </si>
  <si>
    <t>으뜸돌보미 역량강화(자체/직접)
-으뜸돌보미 역량강화</t>
    <phoneticPr fontId="2" type="noConversion"/>
  </si>
  <si>
    <t>나눔대축제 행사 지원(자체/직접)
-나눔대축제 행사 지원</t>
    <phoneticPr fontId="2" type="noConversion"/>
  </si>
  <si>
    <t>장애인 기능 경기대회(자체/직접)
-장애인 기능 경기대회</t>
    <phoneticPr fontId="2" type="noConversion"/>
  </si>
  <si>
    <t>중증장애인 맞춤형 일자리 제공(자체/직접)
-중증장애인 맞춤형 일자리 제공</t>
    <phoneticPr fontId="2" type="noConversion"/>
  </si>
  <si>
    <t>장사시설 설치(국비/지원)
-장사시설 설치</t>
    <phoneticPr fontId="2" type="noConversion"/>
  </si>
  <si>
    <t>경기도정신건강증진센터 위수탁 운영 
부가가치세(자체/직접) 
-위수탁 운영 부가가치세</t>
    <phoneticPr fontId="2" type="noConversion"/>
  </si>
  <si>
    <t>경기도자살예방센터 운영(자체/직접)
-자살예방센터 운영</t>
    <phoneticPr fontId="2" type="noConversion"/>
  </si>
  <si>
    <t>2015년도 경기도 기금운용계획 조정(안)</t>
    <phoneticPr fontId="6" type="noConversion"/>
  </si>
  <si>
    <t>□세출예산</t>
    <phoneticPr fontId="6" type="noConversion"/>
  </si>
  <si>
    <t>세입 = 세출</t>
    <phoneticPr fontId="2" type="noConversion"/>
  </si>
  <si>
    <t>(단위 : 천원)</t>
    <phoneticPr fontId="6" type="noConversion"/>
  </si>
  <si>
    <t>위원회명</t>
    <phoneticPr fontId="6" type="noConversion"/>
  </si>
  <si>
    <t>실국명</t>
    <phoneticPr fontId="6" type="noConversion"/>
  </si>
  <si>
    <t>부서명</t>
    <phoneticPr fontId="6" type="noConversion"/>
  </si>
  <si>
    <t>편성
구분</t>
    <phoneticPr fontId="2" type="noConversion"/>
  </si>
  <si>
    <t>예산안
페이지</t>
    <phoneticPr fontId="6" type="noConversion"/>
  </si>
  <si>
    <t>세부사업명 및 부기명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</si>
  <si>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</si>
  <si>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</si>
  <si>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</si>
  <si>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</si>
  <si>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</si>
  <si>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동의대상</t>
    <phoneticPr fontId="2" type="noConversion"/>
  </si>
  <si>
    <t>비고(부대의견)</t>
    <phoneticPr fontId="6" type="noConversion"/>
  </si>
  <si>
    <t>국도비
등
여부</t>
    <phoneticPr fontId="2" type="noConversion"/>
  </si>
  <si>
    <t>재원</t>
    <phoneticPr fontId="6" type="noConversion"/>
  </si>
  <si>
    <t>상임위 재원별 증감액</t>
    <phoneticPr fontId="6" type="noConversion"/>
  </si>
  <si>
    <t>예결위 재원별 증감액</t>
    <phoneticPr fontId="6" type="noConversion"/>
  </si>
  <si>
    <t>위원회
부서별 정렬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</si>
  <si>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</si>
  <si>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</si>
  <si>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</si>
  <si>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</si>
  <si>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검증</t>
    <phoneticPr fontId="2" type="noConversion"/>
  </si>
  <si>
    <t>C열 부서명
입력하면 자동
입력 됩니다</t>
    <phoneticPr fontId="2" type="noConversion"/>
  </si>
  <si>
    <t>선택입력</t>
    <phoneticPr fontId="2" type="noConversion"/>
  </si>
  <si>
    <t>예산안의 세부사업명 및
부기명과 동일하게 입력하세요</t>
    <phoneticPr fontId="2" type="noConversion"/>
  </si>
  <si>
    <t>자동
입력</t>
    <phoneticPr fontId="2" type="noConversion"/>
  </si>
  <si>
    <t>사회적일자리과</t>
    <phoneticPr fontId="2" type="noConversion"/>
  </si>
  <si>
    <t>기금운용
계획안113</t>
  </si>
  <si>
    <t>사회복지기금(자활지원사업)
-자활사업육성 및 지원</t>
  </si>
  <si>
    <t>14년, '15년 융자금 수정
  ('14말 융자잔액 재산정)
 - '14말 1,622백만원 → 2,022백만원
 - '15말 1,906백만원 → 2,204백만원</t>
  </si>
  <si>
    <t>보건연구부</t>
  </si>
  <si>
    <t>국고보조금
(식중독 및 예방관리)</t>
    <phoneticPr fontId="2" type="noConversion"/>
  </si>
  <si>
    <t>국비변경내시
※ 식의약처 식중독예방과 - 4223(2014.10.14)호</t>
  </si>
  <si>
    <t>수원농산물검사소</t>
    <phoneticPr fontId="2" type="noConversion"/>
  </si>
  <si>
    <t>방사능 정밀검사(자체/직접)
(자산및물품취득비)
-고순도게르마늄 감마핵종 분석기
-휴대용 핵종 판별장치
-항온항습기
-분쇄기
-전자저울</t>
    <phoneticPr fontId="2" type="noConversion"/>
  </si>
  <si>
    <t>감염병 담당자 교육 훈련비(자체/직접)</t>
  </si>
  <si>
    <t>-</t>
  </si>
  <si>
    <t>ok</t>
  </si>
  <si>
    <t>사회복지담당관</t>
    <phoneticPr fontId="2" type="noConversion"/>
  </si>
  <si>
    <t>도비</t>
    <phoneticPr fontId="2" type="noConversion"/>
  </si>
  <si>
    <t>추가</t>
    <phoneticPr fontId="2" type="noConversion"/>
  </si>
  <si>
    <t>장애인복지시설 운영 지원(자체/직접)
- 시각장애인 점자도서관 기능보강</t>
    <phoneticPr fontId="2" type="noConversion"/>
  </si>
  <si>
    <t xml:space="preserve">노후 점자인쇄기 교체 비용 
신규 반영
</t>
    <phoneticPr fontId="2" type="noConversion"/>
  </si>
  <si>
    <t>한센 민간단체 지원(자체/직접)
- 한센병 진료사업 지원</t>
  </si>
  <si>
    <t>말라리아 등 감염병예방(자체/지원)
- 말라리아 퇴치사업
- 감염병 예방용 방역약품 구입비 지원
- DMZ, 군부대 등 민간자율방역지원
- 공수병 예방사업</t>
  </si>
  <si>
    <t>사회복지담당관</t>
    <phoneticPr fontId="2" type="noConversion"/>
  </si>
  <si>
    <t>본예산</t>
    <phoneticPr fontId="2" type="noConversion"/>
  </si>
  <si>
    <t>장애인가족지원센터 운영 지원(자체/직접)
- 장애인가족지원센터 운영 지원</t>
    <phoneticPr fontId="2" type="noConversion"/>
  </si>
  <si>
    <t xml:space="preserve">장애인단체지원사업의 종사자 인건비 증액 및 광역센터기능 강화를 위한 사업비 증액
※ 12년부터 인건비 동결
</t>
    <phoneticPr fontId="2" type="noConversion"/>
  </si>
  <si>
    <t>도비</t>
    <phoneticPr fontId="2" type="noConversion"/>
  </si>
  <si>
    <t>신규</t>
    <phoneticPr fontId="2" type="noConversion"/>
  </si>
  <si>
    <t>추가</t>
  </si>
  <si>
    <t>보건정책과</t>
    <phoneticPr fontId="2" type="noConversion"/>
  </si>
  <si>
    <t>결핵협회 부속의원 운영 및 무료 이동 
결핵 진료사업 (자체/직접)
- 결핵협회 부속의원 운영 및 무료이동 
  결핵진료사업 지원
- 결핵협회 부속의원 장비지원</t>
    <phoneticPr fontId="2" type="noConversion"/>
  </si>
  <si>
    <t>보건정책과</t>
    <phoneticPr fontId="2" type="noConversion"/>
  </si>
  <si>
    <t>심야공공약국 운영 지원(자체/직접)
- 심야공공약국 운영 지원</t>
    <phoneticPr fontId="2" type="noConversion"/>
  </si>
  <si>
    <t>보건정책과</t>
    <phoneticPr fontId="2" type="noConversion"/>
  </si>
  <si>
    <t>보건소 결핵전담간호사 인건비 지원(자체/지원)
- 보건소 결핵전담간호사 인건비 지원</t>
    <phoneticPr fontId="2" type="noConversion"/>
  </si>
  <si>
    <t xml:space="preserve"> 보건소결핵관리사업 확대에 따른 결핵관리 전담간호사 필요</t>
    <phoneticPr fontId="2" type="noConversion"/>
  </si>
  <si>
    <t>경기도의료원 기능보강(자체/직접)
- 의정부병원 노후 의료장비 리스(MRI, CT)</t>
  </si>
  <si>
    <t xml:space="preserve">리스비용 지급시기 착오로 부족 예산추가 반영(2012년 ~ 2015년) </t>
  </si>
  <si>
    <t>식중독 예방 및 관리(국비/직접)
- 시험연구비, 자산취득비</t>
    <phoneticPr fontId="2" type="noConversion"/>
  </si>
  <si>
    <t>자동제세동기 장비보강 지원(기금/지원)
-자동제세동기 장비보강 지원</t>
  </si>
  <si>
    <t>재난심리 지원팀 운영 2명 및 사업비</t>
    <phoneticPr fontId="2" type="noConversion"/>
  </si>
  <si>
    <t>사회단체 활성화 지원(자체/직접)
-도 푸드뱅크 운영 지원</t>
    <phoneticPr fontId="2" type="noConversion"/>
  </si>
  <si>
    <t>직급수당 삭감</t>
    <phoneticPr fontId="2" type="noConversion"/>
  </si>
  <si>
    <t>군 정신건강증진사업(자체/지원)
-군 정신건강증진사업</t>
    <phoneticPr fontId="2" type="noConversion"/>
  </si>
  <si>
    <t>전액삭감</t>
    <phoneticPr fontId="2" type="noConversion"/>
  </si>
  <si>
    <t>중증외상센터 설립 지원(자체/직접)
-경기도 중증외상센터 건립 지원</t>
    <phoneticPr fontId="2" type="noConversion"/>
  </si>
  <si>
    <t>도비 70억원
지방채 40억원</t>
    <phoneticPr fontId="2" type="noConversion"/>
  </si>
  <si>
    <t>보훈단체 운영지원(자체/직접)
-보훈단체 공무용 차량 지원</t>
    <phoneticPr fontId="2" type="noConversion"/>
  </si>
  <si>
    <t>공무용차량 지원 삭감</t>
    <phoneticPr fontId="2" type="noConversion"/>
  </si>
  <si>
    <t>경기도 노인일자리지원센터 운영(자체/직접)
-사회적일자리 업무추진</t>
    <phoneticPr fontId="2" type="noConversion"/>
  </si>
  <si>
    <t>경기도노인일자리지원센터 운영(자체/직접)
-경기도 노인일자리지원센터 운영</t>
    <phoneticPr fontId="2" type="noConversion"/>
  </si>
  <si>
    <t>인건비 삭감</t>
    <phoneticPr fontId="2" type="noConversion"/>
  </si>
  <si>
    <t>경기도의료원 공공보건사업 지원(자체/직접)
-의료원본부 운영
-경기도의료원 경영개선 지원</t>
    <phoneticPr fontId="2" type="noConversion"/>
  </si>
  <si>
    <r>
      <rPr>
        <b/>
        <sz val="8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보건복지부 노인지원과-업무협력(2014.11.18)</t>
    </r>
    <phoneticPr fontId="6" type="noConversion"/>
  </si>
  <si>
    <r>
      <rPr>
        <b/>
        <sz val="8"/>
        <color theme="1"/>
        <rFont val="맑은 고딕"/>
        <family val="3"/>
        <charset val="129"/>
        <scheme val="minor"/>
      </rPr>
      <t>국비 변경내시</t>
    </r>
    <r>
      <rPr>
        <sz val="8"/>
        <color theme="1"/>
        <rFont val="맑은 고딕"/>
        <family val="3"/>
        <charset val="129"/>
        <scheme val="minor"/>
      </rPr>
      <t xml:space="preserve">
보건복지부-6144(2014.10.15)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</si>
  <si>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 변경내시</t>
    </r>
    <r>
      <rPr>
        <sz val="8"/>
        <rFont val="맑은 고딕"/>
        <family val="3"/>
        <charset val="129"/>
        <scheme val="minor"/>
      </rPr>
      <t xml:space="preserve">
보건복지부-7290(2014.11.4)
발달장애인 바리스타 일자리 사업 포함 추진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</si>
  <si>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 변경내시</t>
    </r>
    <r>
      <rPr>
        <sz val="8"/>
        <rFont val="맑은 고딕"/>
        <family val="3"/>
        <charset val="129"/>
        <scheme val="minor"/>
      </rPr>
      <t xml:space="preserve">
보건복지부-7290(2014.11.4)
일반형일자리 5명 추가 지원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</si>
  <si>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국비변경내시</t>
    </r>
    <r>
      <rPr>
        <sz val="8"/>
        <rFont val="맑은 고딕"/>
        <family val="3"/>
        <charset val="129"/>
        <scheme val="minor"/>
      </rPr>
      <t xml:space="preserve">
보건복지부-7652(11.14)
장애인복지일자리사업으로 통합</t>
    </r>
    <phoneticPr fontId="6" type="noConversion"/>
  </si>
  <si>
    <r>
      <rPr>
        <b/>
        <sz val="8"/>
        <rFont val="맑은 고딕"/>
        <family val="3"/>
        <charset val="129"/>
        <scheme val="minor"/>
      </rPr>
      <t>부기명 변경</t>
    </r>
    <r>
      <rPr>
        <sz val="8"/>
        <rFont val="맑은 고딕"/>
        <family val="3"/>
        <charset val="129"/>
        <scheme val="minor"/>
      </rPr>
      <t xml:space="preserve">
기금/직접→기금/지원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</si>
  <si>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국비변경내시</t>
    </r>
    <r>
      <rPr>
        <sz val="8"/>
        <rFont val="맑은 고딕"/>
        <family val="3"/>
        <charset val="129"/>
        <scheme val="minor"/>
      </rPr>
      <t xml:space="preserve">
※ 보건복지부 정신건강정책과-6384(2014.11.14.)호</t>
    </r>
    <phoneticPr fontId="6" type="noConversion"/>
  </si>
  <si>
    <r>
      <rPr>
        <b/>
        <sz val="8"/>
        <rFont val="맑은 고딕"/>
        <family val="3"/>
        <charset val="129"/>
        <scheme val="minor"/>
      </rPr>
      <t>국비가내시</t>
    </r>
    <r>
      <rPr>
        <sz val="8"/>
        <rFont val="맑은 고딕"/>
        <family val="3"/>
        <charset val="129"/>
        <scheme val="minor"/>
      </rPr>
      <t xml:space="preserve">
※ 질병관리본부 에이즈·결핵관리과-4768(2014.11.18.)호, 14년도 결핵전담간호사 미지급분(2명) 추가 등</t>
    </r>
    <phoneticPr fontId="6" type="noConversion"/>
  </si>
  <si>
    <r>
      <rPr>
        <b/>
        <sz val="8"/>
        <rFont val="맑은 고딕"/>
        <family val="3"/>
        <charset val="129"/>
        <scheme val="minor"/>
      </rPr>
      <t>자체사업에서 국비(기금)지원사업으로 전환되어 감액 편성</t>
    </r>
    <r>
      <rPr>
        <sz val="8"/>
        <rFont val="맑은 고딕"/>
        <family val="3"/>
        <charset val="129"/>
        <scheme val="minor"/>
      </rPr>
      <t xml:space="preserve">
※질병관리본부 예방접종관리과-3246호(2014.10.15)</t>
    </r>
    <phoneticPr fontId="6" type="noConversion"/>
  </si>
  <si>
    <t>지방비 부담율 37% 중 도비 10%부담 
-국비:도비:시군비=63:10:27
 -도비:323,350천원</t>
    <phoneticPr fontId="2" type="noConversion"/>
  </si>
  <si>
    <t>국고보조 변경내시 반영
※ 보건복지부 요양보험운영과-5279(2014.10.13)호</t>
    <phoneticPr fontId="2" type="noConversion"/>
  </si>
  <si>
    <t>양평군 기본형→확장형 개편으로 민간사례관리사 2명 추가 배치
 * 양평군 민간사례관리사(4명→6명) 
   증가로 27,000천원 증액</t>
    <phoneticPr fontId="2" type="noConversion"/>
  </si>
  <si>
    <t>o 행사 개최시 나눔국민운동본부 지원액(국비)으로 행사 개최
o 보건복지부에서 나눔대축제 전국 시.도 순회 개최 건의 수용시 내년도경기도 행사 미개최
   (경기도 개최시에만 예산 반영)</t>
    <phoneticPr fontId="2" type="noConversion"/>
  </si>
  <si>
    <t>장애인단체지원사업 종사자 인건비 증액
※ 12년부터 인건비 동결</t>
    <phoneticPr fontId="2" type="noConversion"/>
  </si>
  <si>
    <t>의료원 본부 운영비 143,000천원 중 130,000천원 감
의료원 경영개선 지원  35억원 중 20억원 감</t>
    <phoneticPr fontId="2" type="noConversion"/>
  </si>
  <si>
    <t>장애인자립생활지원센터 운영(자체/지원)
-중증장애인 자립생활지원센터 운영</t>
    <phoneticPr fontId="2" type="noConversion"/>
  </si>
  <si>
    <t>운영비 지원</t>
    <phoneticPr fontId="2" type="noConversion"/>
  </si>
  <si>
    <t>의료관광 경쟁력 제고 (자체/직접)
- 의료관광 경쟁력 제고
  (국내외 박람회 참가, 의료관광 팸투어)</t>
    <phoneticPr fontId="2" type="noConversion"/>
  </si>
  <si>
    <t>국내외 박람회 참가, 의료관광 팸투어 감액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</si>
</sst>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  <numFmt numFmtId="185" formatCode="#,##0\ ;[Red]&quot;△&quot;#,##0\ "/>
  </numFmts>
  <fonts count="10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</cellStyleXfs>
  <cellXfs count="397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5" fillId="0" borderId="10" xfId="0" applyNumberFormat="1" applyFont="1" applyBorder="1" applyAlignment="1">
      <alignment horizontal="center" vertical="center" shrinkToFit="1"/>
    </xf>
    <xf numFmtId="176" fontId="66" fillId="0" borderId="0" xfId="0" applyNumberFormat="1" applyFont="1">
      <alignment vertical="center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68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68" fillId="53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9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3" fontId="65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6" fillId="0" borderId="44" xfId="0" applyNumberFormat="1" applyFont="1" applyBorder="1">
      <alignment vertical="center"/>
    </xf>
    <xf numFmtId="176" fontId="3" fillId="0" borderId="47" xfId="0" applyNumberFormat="1" applyFont="1" applyBorder="1">
      <alignment vertical="center"/>
    </xf>
    <xf numFmtId="176" fontId="4" fillId="0" borderId="48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84" fontId="87" fillId="58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7" fillId="0" borderId="43" xfId="195" applyNumberFormat="1" applyFont="1" applyFill="1" applyBorder="1" applyAlignment="1" applyProtection="1">
      <alignment vertical="center" shrinkToFit="1"/>
      <protection hidden="1"/>
    </xf>
    <xf numFmtId="184" fontId="84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4" fontId="88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4" fontId="84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4" fontId="86" fillId="0" borderId="48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0" fillId="0" borderId="0" xfId="0" applyFont="1">
      <alignment vertical="center"/>
    </xf>
    <xf numFmtId="176" fontId="69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87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68" fillId="0" borderId="0" xfId="0" applyFont="1" applyAlignment="1">
      <alignment horizontal="center" vertical="center"/>
    </xf>
    <xf numFmtId="184" fontId="91" fillId="54" borderId="10" xfId="195" applyNumberFormat="1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184" fontId="91" fillId="56" borderId="10" xfId="195" applyNumberFormat="1" applyFont="1" applyFill="1" applyBorder="1" applyAlignment="1">
      <alignment horizontal="center" vertical="center" wrapText="1"/>
    </xf>
    <xf numFmtId="49" fontId="91" fillId="56" borderId="10" xfId="195" applyNumberFormat="1" applyFont="1" applyFill="1" applyBorder="1" applyAlignment="1">
      <alignment horizontal="center" vertical="center" wrapText="1"/>
    </xf>
    <xf numFmtId="0" fontId="92" fillId="0" borderId="10" xfId="0" applyFont="1" applyBorder="1">
      <alignment vertical="center"/>
    </xf>
    <xf numFmtId="49" fontId="92" fillId="0" borderId="10" xfId="0" applyNumberFormat="1" applyFont="1" applyBorder="1">
      <alignment vertical="center"/>
    </xf>
    <xf numFmtId="49" fontId="93" fillId="0" borderId="10" xfId="0" applyNumberFormat="1" applyFont="1" applyFill="1" applyBorder="1" applyAlignment="1">
      <alignment vertical="center" wrapText="1"/>
    </xf>
    <xf numFmtId="49" fontId="93" fillId="0" borderId="10" xfId="0" applyNumberFormat="1" applyFont="1" applyFill="1" applyBorder="1" applyAlignment="1">
      <alignment horizontal="left" vertical="center" wrapText="1"/>
    </xf>
    <xf numFmtId="49" fontId="92" fillId="0" borderId="10" xfId="196" applyNumberFormat="1" applyFont="1" applyFill="1" applyBorder="1" applyAlignment="1">
      <alignment horizontal="center" vertical="center"/>
    </xf>
    <xf numFmtId="0" fontId="92" fillId="0" borderId="10" xfId="0" applyFont="1" applyFill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0" fontId="92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6" fillId="0" borderId="43" xfId="0" applyNumberFormat="1" applyFont="1" applyBorder="1" applyAlignment="1" applyProtection="1">
      <alignment horizontal="center" vertical="center"/>
      <protection locked="0"/>
    </xf>
    <xf numFmtId="176" fontId="69" fillId="55" borderId="10" xfId="0" applyNumberFormat="1" applyFont="1" applyFill="1" applyBorder="1" applyAlignment="1">
      <alignment vertical="center"/>
    </xf>
    <xf numFmtId="0" fontId="92" fillId="54" borderId="10" xfId="0" applyFont="1" applyFill="1" applyBorder="1">
      <alignment vertical="center"/>
    </xf>
    <xf numFmtId="49" fontId="92" fillId="54" borderId="10" xfId="0" applyNumberFormat="1" applyFont="1" applyFill="1" applyBorder="1">
      <alignment vertical="center"/>
    </xf>
    <xf numFmtId="0" fontId="92" fillId="54" borderId="0" xfId="0" applyFont="1" applyFill="1">
      <alignment vertical="center"/>
    </xf>
    <xf numFmtId="49" fontId="93" fillId="54" borderId="10" xfId="0" applyNumberFormat="1" applyFont="1" applyFill="1" applyBorder="1" applyAlignment="1">
      <alignment vertical="center" wrapText="1"/>
    </xf>
    <xf numFmtId="49" fontId="93" fillId="54" borderId="10" xfId="0" applyNumberFormat="1" applyFont="1" applyFill="1" applyBorder="1" applyAlignment="1">
      <alignment horizontal="left" vertical="center" wrapText="1"/>
    </xf>
    <xf numFmtId="49" fontId="92" fillId="54" borderId="10" xfId="196" applyNumberFormat="1" applyFont="1" applyFill="1" applyBorder="1" applyAlignment="1">
      <alignment horizontal="center" vertical="center"/>
    </xf>
    <xf numFmtId="0" fontId="92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0" borderId="0" xfId="0" applyNumberFormat="1" applyFont="1">
      <alignment vertical="center"/>
    </xf>
    <xf numFmtId="176" fontId="4" fillId="0" borderId="44" xfId="0" applyNumberFormat="1" applyFont="1" applyBorder="1">
      <alignment vertical="center"/>
    </xf>
    <xf numFmtId="176" fontId="4" fillId="0" borderId="43" xfId="0" applyNumberFormat="1" applyFont="1" applyBorder="1" applyAlignment="1" applyProtection="1">
      <alignment horizontal="center" vertical="center"/>
      <protection locked="0"/>
    </xf>
    <xf numFmtId="176" fontId="96" fillId="25" borderId="43" xfId="1" applyNumberFormat="1" applyFont="1" applyFill="1" applyBorder="1" applyAlignment="1">
      <alignment horizontal="right" vertical="center" shrinkToFit="1"/>
    </xf>
    <xf numFmtId="176" fontId="4" fillId="25" borderId="54" xfId="1" applyNumberFormat="1" applyFont="1" applyFill="1" applyBorder="1" applyAlignment="1">
      <alignment horizontal="right" vertical="center" shrinkToFit="1"/>
    </xf>
    <xf numFmtId="176" fontId="4" fillId="0" borderId="54" xfId="1" applyNumberFormat="1" applyFont="1" applyBorder="1" applyAlignment="1" applyProtection="1">
      <alignment horizontal="right" vertical="center" shrinkToFit="1"/>
      <protection locked="0"/>
    </xf>
    <xf numFmtId="176" fontId="4" fillId="0" borderId="54" xfId="1" applyNumberFormat="1" applyFont="1" applyFill="1" applyBorder="1" applyAlignment="1">
      <alignment horizontal="center" vertical="center" shrinkToFit="1"/>
    </xf>
    <xf numFmtId="176" fontId="3" fillId="57" borderId="48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8" xfId="0" applyNumberFormat="1" applyFont="1" applyFill="1" applyBorder="1" applyAlignment="1" applyProtection="1">
      <alignment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4" fillId="25" borderId="48" xfId="1" applyNumberFormat="1" applyFont="1" applyFill="1" applyBorder="1" applyAlignment="1">
      <alignment horizontal="right" vertical="center" shrinkToFit="1"/>
    </xf>
    <xf numFmtId="176" fontId="4" fillId="0" borderId="48" xfId="1" applyNumberFormat="1" applyFont="1" applyFill="1" applyBorder="1" applyAlignment="1">
      <alignment horizontal="center" vertical="center" shrinkToFit="1"/>
    </xf>
    <xf numFmtId="0" fontId="66" fillId="57" borderId="43" xfId="0" applyFont="1" applyFill="1" applyBorder="1" applyAlignment="1">
      <alignment horizontal="center" vertical="center" wrapText="1"/>
    </xf>
    <xf numFmtId="0" fontId="66" fillId="57" borderId="43" xfId="0" applyFont="1" applyFill="1" applyBorder="1" applyAlignment="1">
      <alignment horizontal="left" vertical="center" wrapText="1"/>
    </xf>
    <xf numFmtId="185" fontId="66" fillId="0" borderId="43" xfId="0" applyNumberFormat="1" applyFont="1" applyFill="1" applyBorder="1" applyAlignment="1">
      <alignment horizontal="right" vertical="center"/>
    </xf>
    <xf numFmtId="41" fontId="66" fillId="0" borderId="43" xfId="0" applyNumberFormat="1" applyFont="1" applyFill="1" applyBorder="1" applyAlignment="1">
      <alignment horizontal="right" vertical="center"/>
    </xf>
    <xf numFmtId="0" fontId="66" fillId="57" borderId="43" xfId="0" applyFont="1" applyFill="1" applyBorder="1" applyAlignment="1">
      <alignment vertical="center" wrapText="1"/>
    </xf>
    <xf numFmtId="185" fontId="65" fillId="0" borderId="43" xfId="0" applyNumberFormat="1" applyFont="1" applyFill="1" applyBorder="1" applyAlignment="1">
      <alignment horizontal="right" vertical="center"/>
    </xf>
    <xf numFmtId="0" fontId="4" fillId="57" borderId="43" xfId="0" applyFont="1" applyFill="1" applyBorder="1" applyAlignment="1">
      <alignment vertical="center" wrapText="1"/>
    </xf>
    <xf numFmtId="176" fontId="4" fillId="57" borderId="48" xfId="0" applyNumberFormat="1" applyFont="1" applyFill="1" applyBorder="1" applyAlignment="1" applyProtection="1">
      <alignment vertical="center" wrapText="1"/>
      <protection locked="0"/>
    </xf>
    <xf numFmtId="176" fontId="4" fillId="57" borderId="48" xfId="0" applyNumberFormat="1" applyFont="1" applyFill="1" applyBorder="1" applyAlignment="1" applyProtection="1">
      <alignment horizontal="center" vertical="center" wrapText="1"/>
      <protection locked="0"/>
    </xf>
    <xf numFmtId="3" fontId="66" fillId="0" borderId="43" xfId="0" applyNumberFormat="1" applyFont="1" applyFill="1" applyBorder="1" applyAlignment="1">
      <alignment horizontal="right" vertical="center"/>
    </xf>
    <xf numFmtId="41" fontId="66" fillId="0" borderId="43" xfId="45" applyFont="1" applyFill="1" applyBorder="1" applyAlignment="1">
      <alignment vertical="center"/>
    </xf>
    <xf numFmtId="176" fontId="4" fillId="0" borderId="48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0" applyNumberFormat="1" applyFont="1" applyBorder="1" applyAlignment="1">
      <alignment vertical="center" wrapText="1"/>
    </xf>
    <xf numFmtId="176" fontId="66" fillId="57" borderId="43" xfId="0" applyNumberFormat="1" applyFont="1" applyFill="1" applyBorder="1" applyAlignment="1" applyProtection="1">
      <alignment vertical="center" wrapText="1"/>
      <protection locked="0"/>
    </xf>
    <xf numFmtId="176" fontId="66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25" borderId="43" xfId="1" applyNumberFormat="1" applyFont="1" applyFill="1" applyBorder="1" applyAlignment="1">
      <alignment horizontal="right" vertical="center" shrinkToFit="1"/>
    </xf>
    <xf numFmtId="176" fontId="66" fillId="0" borderId="43" xfId="1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Fill="1" applyBorder="1" applyAlignment="1">
      <alignment horizontal="center" vertical="center" shrinkToFit="1"/>
    </xf>
    <xf numFmtId="176" fontId="66" fillId="0" borderId="43" xfId="1" applyNumberFormat="1" applyFont="1" applyBorder="1" applyAlignment="1">
      <alignment horizontal="center" vertical="center" shrinkToFit="1"/>
    </xf>
    <xf numFmtId="176" fontId="96" fillId="57" borderId="43" xfId="0" applyNumberFormat="1" applyFont="1" applyFill="1" applyBorder="1" applyAlignment="1" applyProtection="1">
      <alignment vertical="center" wrapText="1"/>
      <protection locked="0"/>
    </xf>
    <xf numFmtId="176" fontId="8" fillId="53" borderId="10" xfId="0" applyNumberFormat="1" applyFont="1" applyFill="1" applyBorder="1" applyAlignment="1">
      <alignment horizontal="center" vertical="center"/>
    </xf>
    <xf numFmtId="176" fontId="97" fillId="57" borderId="43" xfId="0" applyNumberFormat="1" applyFont="1" applyFill="1" applyBorder="1" applyAlignment="1" applyProtection="1">
      <alignment vertical="center" wrapText="1"/>
      <protection locked="0"/>
    </xf>
    <xf numFmtId="176" fontId="98" fillId="57" borderId="43" xfId="0" applyNumberFormat="1" applyFont="1" applyFill="1" applyBorder="1" applyAlignment="1" applyProtection="1">
      <alignment vertical="center" wrapText="1"/>
      <protection locked="0"/>
    </xf>
    <xf numFmtId="176" fontId="8" fillId="53" borderId="10" xfId="0" applyNumberFormat="1" applyFont="1" applyFill="1" applyBorder="1" applyAlignment="1">
      <alignment horizontal="center" vertical="center"/>
    </xf>
    <xf numFmtId="176" fontId="98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0" applyNumberFormat="1" applyFont="1" applyBorder="1" applyAlignment="1">
      <alignment horizontal="center" vertical="center" shrinkToFit="1"/>
    </xf>
    <xf numFmtId="176" fontId="99" fillId="57" borderId="43" xfId="0" applyNumberFormat="1" applyFont="1" applyFill="1" applyBorder="1" applyAlignment="1" applyProtection="1">
      <alignment vertical="center" wrapText="1"/>
      <protection locked="0"/>
    </xf>
    <xf numFmtId="0" fontId="98" fillId="57" borderId="43" xfId="0" applyFont="1" applyFill="1" applyBorder="1" applyAlignment="1">
      <alignment horizontal="left" vertical="center" wrapText="1"/>
    </xf>
    <xf numFmtId="0" fontId="66" fillId="57" borderId="55" xfId="0" applyFont="1" applyFill="1" applyBorder="1" applyAlignment="1">
      <alignment horizontal="center" vertical="center" wrapText="1"/>
    </xf>
    <xf numFmtId="0" fontId="66" fillId="57" borderId="55" xfId="0" applyFont="1" applyFill="1" applyBorder="1" applyAlignment="1">
      <alignment horizontal="left" vertical="center" wrapText="1"/>
    </xf>
    <xf numFmtId="3" fontId="66" fillId="0" borderId="55" xfId="0" applyNumberFormat="1" applyFont="1" applyFill="1" applyBorder="1" applyAlignment="1">
      <alignment horizontal="right" vertical="center"/>
    </xf>
    <xf numFmtId="185" fontId="66" fillId="0" borderId="55" xfId="0" applyNumberFormat="1" applyFont="1" applyFill="1" applyBorder="1" applyAlignment="1">
      <alignment horizontal="right" vertical="center"/>
    </xf>
    <xf numFmtId="41" fontId="66" fillId="0" borderId="55" xfId="0" applyNumberFormat="1" applyFont="1" applyFill="1" applyBorder="1" applyAlignment="1">
      <alignment horizontal="right" vertical="center"/>
    </xf>
    <xf numFmtId="176" fontId="4" fillId="57" borderId="55" xfId="0" applyNumberFormat="1" applyFont="1" applyFill="1" applyBorder="1" applyAlignment="1" applyProtection="1">
      <alignment horizontal="center" vertical="center" wrapText="1"/>
      <protection locked="0"/>
    </xf>
    <xf numFmtId="176" fontId="4" fillId="25" borderId="55" xfId="1" applyNumberFormat="1" applyFont="1" applyFill="1" applyBorder="1" applyAlignment="1">
      <alignment horizontal="right" vertical="center" shrinkToFit="1"/>
    </xf>
    <xf numFmtId="176" fontId="4" fillId="0" borderId="55" xfId="1" applyNumberFormat="1" applyFont="1" applyBorder="1" applyAlignment="1" applyProtection="1">
      <alignment horizontal="right" vertical="center" shrinkToFit="1"/>
      <protection locked="0"/>
    </xf>
    <xf numFmtId="176" fontId="4" fillId="0" borderId="55" xfId="1" applyNumberFormat="1" applyFont="1" applyFill="1" applyBorder="1" applyAlignment="1">
      <alignment horizontal="center" vertical="center" shrinkToFit="1"/>
    </xf>
    <xf numFmtId="176" fontId="100" fillId="0" borderId="43" xfId="0" applyNumberFormat="1" applyFont="1" applyBorder="1" applyAlignment="1" applyProtection="1">
      <alignment horizontal="left" vertical="center" wrapText="1"/>
      <protection locked="0"/>
    </xf>
    <xf numFmtId="176" fontId="100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7" fillId="0" borderId="54" xfId="0" applyNumberFormat="1" applyFont="1" applyBorder="1" applyAlignment="1">
      <alignment horizontal="center" vertical="center" shrinkToFit="1"/>
    </xf>
    <xf numFmtId="176" fontId="4" fillId="0" borderId="54" xfId="0" applyNumberFormat="1" applyFont="1" applyFill="1" applyBorder="1" applyAlignment="1">
      <alignment horizontal="center" vertical="center" shrinkToFit="1"/>
    </xf>
    <xf numFmtId="176" fontId="3" fillId="0" borderId="54" xfId="0" applyNumberFormat="1" applyFont="1" applyBorder="1" applyAlignment="1" applyProtection="1">
      <alignment horizontal="center" vertical="center"/>
      <protection locked="0"/>
    </xf>
    <xf numFmtId="176" fontId="7" fillId="0" borderId="14" xfId="0" applyNumberFormat="1" applyFont="1" applyBorder="1" applyAlignment="1">
      <alignment horizontal="center" vertical="center" wrapText="1"/>
    </xf>
    <xf numFmtId="176" fontId="4" fillId="0" borderId="54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54" xfId="0" applyNumberFormat="1" applyFont="1" applyBorder="1" applyAlignment="1">
      <alignment horizontal="center" vertical="center" shrinkToFit="1"/>
    </xf>
    <xf numFmtId="176" fontId="4" fillId="0" borderId="54" xfId="1" applyNumberFormat="1" applyFont="1" applyBorder="1" applyAlignment="1">
      <alignment horizontal="center" vertical="center" shrinkToFit="1"/>
    </xf>
    <xf numFmtId="176" fontId="101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101" fillId="57" borderId="43" xfId="0" applyNumberFormat="1" applyFont="1" applyFill="1" applyBorder="1" applyAlignment="1" applyProtection="1">
      <alignment vertical="center" wrapText="1"/>
      <protection locked="0"/>
    </xf>
    <xf numFmtId="176" fontId="4" fillId="0" borderId="55" xfId="1" applyNumberFormat="1" applyFont="1" applyFill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55" xfId="0" applyNumberFormat="1" applyFont="1" applyBorder="1" applyAlignment="1" applyProtection="1">
      <alignment horizontal="center" vertical="center"/>
      <protection locked="0"/>
    </xf>
    <xf numFmtId="176" fontId="66" fillId="0" borderId="55" xfId="0" applyNumberFormat="1" applyFont="1" applyBorder="1" applyAlignment="1">
      <alignment horizontal="center" vertical="center" shrinkToFit="1"/>
    </xf>
    <xf numFmtId="176" fontId="4" fillId="0" borderId="55" xfId="0" applyNumberFormat="1" applyFont="1" applyFill="1" applyBorder="1" applyAlignment="1">
      <alignment horizontal="center" vertical="center" shrinkToFit="1"/>
    </xf>
    <xf numFmtId="176" fontId="4" fillId="0" borderId="55" xfId="1" applyNumberFormat="1" applyFont="1" applyBorder="1" applyAlignment="1">
      <alignment horizontal="center" vertical="center" shrinkToFit="1"/>
    </xf>
    <xf numFmtId="176" fontId="3" fillId="57" borderId="54" xfId="0" applyNumberFormat="1" applyFont="1" applyFill="1" applyBorder="1" applyAlignment="1" applyProtection="1">
      <alignment vertical="center" wrapText="1"/>
      <protection locked="0"/>
    </xf>
    <xf numFmtId="176" fontId="3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4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67" fillId="0" borderId="10" xfId="0" applyNumberFormat="1" applyFont="1" applyBorder="1">
      <alignment vertical="center"/>
    </xf>
    <xf numFmtId="176" fontId="66" fillId="57" borderId="54" xfId="0" applyNumberFormat="1" applyFont="1" applyFill="1" applyBorder="1" applyAlignment="1" applyProtection="1">
      <alignment vertical="center" wrapText="1"/>
      <protection locked="0"/>
    </xf>
    <xf numFmtId="176" fontId="66" fillId="57" borderId="54" xfId="0" applyNumberFormat="1" applyFont="1" applyFill="1" applyBorder="1" applyAlignment="1" applyProtection="1">
      <alignment horizontal="center" vertical="center" wrapText="1"/>
      <protection locked="0"/>
    </xf>
    <xf numFmtId="176" fontId="66" fillId="0" borderId="0" xfId="0" applyNumberFormat="1" applyFont="1" applyAlignment="1">
      <alignment horizontal="center" vertical="center"/>
    </xf>
    <xf numFmtId="176" fontId="65" fillId="0" borderId="54" xfId="0" applyNumberFormat="1" applyFont="1" applyBorder="1" applyAlignment="1">
      <alignment horizontal="center" vertical="center" shrinkToFit="1"/>
    </xf>
    <xf numFmtId="176" fontId="66" fillId="0" borderId="54" xfId="0" applyNumberFormat="1" applyFont="1" applyFill="1" applyBorder="1" applyAlignment="1">
      <alignment horizontal="center" vertical="center" shrinkToFit="1"/>
    </xf>
    <xf numFmtId="176" fontId="66" fillId="0" borderId="54" xfId="1" applyNumberFormat="1" applyFont="1" applyBorder="1" applyAlignment="1" applyProtection="1">
      <alignment horizontal="right" vertical="center" shrinkToFit="1"/>
      <protection locked="0"/>
    </xf>
    <xf numFmtId="176" fontId="66" fillId="0" borderId="47" xfId="0" applyNumberFormat="1" applyFont="1" applyBorder="1">
      <alignment vertical="center"/>
    </xf>
    <xf numFmtId="176" fontId="66" fillId="0" borderId="54" xfId="1" applyNumberFormat="1" applyFont="1" applyBorder="1" applyAlignment="1">
      <alignment horizontal="center" vertical="center" shrinkToFit="1"/>
    </xf>
    <xf numFmtId="176" fontId="7" fillId="0" borderId="0" xfId="0" applyNumberFormat="1" applyFont="1">
      <alignment vertical="center"/>
    </xf>
    <xf numFmtId="176" fontId="98" fillId="0" borderId="43" xfId="1" applyNumberFormat="1" applyFont="1" applyBorder="1" applyAlignment="1" applyProtection="1">
      <alignment horizontal="right" vertical="center" shrinkToFit="1"/>
      <protection locked="0"/>
    </xf>
    <xf numFmtId="41" fontId="98" fillId="0" borderId="43" xfId="0" applyNumberFormat="1" applyFont="1" applyFill="1" applyBorder="1" applyAlignment="1">
      <alignment horizontal="right" vertical="center"/>
    </xf>
    <xf numFmtId="176" fontId="98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98" fillId="0" borderId="43" xfId="1" applyNumberFormat="1" applyFont="1" applyFill="1" applyBorder="1" applyAlignment="1" applyProtection="1">
      <alignment horizontal="right" vertical="center" shrinkToFit="1"/>
      <protection locked="0"/>
    </xf>
    <xf numFmtId="3" fontId="102" fillId="0" borderId="55" xfId="0" applyNumberFormat="1" applyFont="1" applyFill="1" applyBorder="1" applyAlignment="1">
      <alignment horizontal="left" vertical="center" wrapText="1"/>
    </xf>
    <xf numFmtId="3" fontId="102" fillId="0" borderId="43" xfId="0" applyNumberFormat="1" applyFont="1" applyFill="1" applyBorder="1" applyAlignment="1">
      <alignment horizontal="left" vertical="center" wrapText="1"/>
    </xf>
    <xf numFmtId="3" fontId="103" fillId="0" borderId="43" xfId="0" applyNumberFormat="1" applyFont="1" applyFill="1" applyBorder="1" applyAlignment="1">
      <alignment horizontal="left" vertical="center" wrapText="1"/>
    </xf>
    <xf numFmtId="3" fontId="105" fillId="0" borderId="43" xfId="0" applyNumberFormat="1" applyFont="1" applyFill="1" applyBorder="1" applyAlignment="1">
      <alignment horizontal="left" vertical="center" wrapText="1"/>
    </xf>
    <xf numFmtId="176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103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102" fillId="0" borderId="43" xfId="0" applyNumberFormat="1" applyFont="1" applyBorder="1" applyAlignment="1" applyProtection="1">
      <alignment horizontal="left" vertical="center" wrapText="1"/>
      <protection locked="0"/>
    </xf>
    <xf numFmtId="176" fontId="103" fillId="0" borderId="43" xfId="0" applyNumberFormat="1" applyFont="1" applyBorder="1" applyAlignment="1" applyProtection="1">
      <alignment horizontal="left" vertical="center" wrapText="1"/>
      <protection locked="0"/>
    </xf>
    <xf numFmtId="176" fontId="105" fillId="0" borderId="43" xfId="0" applyNumberFormat="1" applyFont="1" applyBorder="1" applyAlignment="1" applyProtection="1">
      <alignment horizontal="left" vertical="center" wrapText="1"/>
      <protection locked="0"/>
    </xf>
    <xf numFmtId="176" fontId="102" fillId="0" borderId="43" xfId="0" applyNumberFormat="1" applyFont="1" applyFill="1" applyBorder="1" applyAlignment="1" applyProtection="1">
      <alignment vertical="center" wrapText="1"/>
      <protection locked="0"/>
    </xf>
    <xf numFmtId="176" fontId="102" fillId="0" borderId="43" xfId="0" applyNumberFormat="1" applyFont="1" applyBorder="1" applyAlignment="1" applyProtection="1">
      <alignment vertical="center" wrapText="1"/>
      <protection locked="0"/>
    </xf>
    <xf numFmtId="176" fontId="102" fillId="26" borderId="43" xfId="0" applyNumberFormat="1" applyFont="1" applyFill="1" applyBorder="1" applyAlignment="1" applyProtection="1">
      <alignment vertical="center" wrapText="1"/>
      <protection locked="0"/>
    </xf>
    <xf numFmtId="176" fontId="103" fillId="0" borderId="43" xfId="0" applyNumberFormat="1" applyFont="1" applyFill="1" applyBorder="1" applyAlignment="1" applyProtection="1">
      <alignment vertical="center" wrapText="1"/>
      <protection locked="0"/>
    </xf>
    <xf numFmtId="176" fontId="105" fillId="0" borderId="43" xfId="1" applyNumberFormat="1" applyFont="1" applyFill="1" applyBorder="1" applyAlignment="1" applyProtection="1">
      <alignment vertical="center" wrapText="1"/>
      <protection locked="0"/>
    </xf>
    <xf numFmtId="176" fontId="102" fillId="0" borderId="55" xfId="0" applyNumberFormat="1" applyFont="1" applyFill="1" applyBorder="1" applyAlignment="1" applyProtection="1">
      <alignment horizontal="left" vertical="center" wrapText="1"/>
      <protection locked="0"/>
    </xf>
    <xf numFmtId="176" fontId="105" fillId="0" borderId="43" xfId="0" applyNumberFormat="1" applyFont="1" applyBorder="1" applyAlignment="1" applyProtection="1">
      <alignment vertical="center" wrapText="1"/>
      <protection locked="0"/>
    </xf>
    <xf numFmtId="176" fontId="98" fillId="57" borderId="48" xfId="0" applyNumberFormat="1" applyFont="1" applyFill="1" applyBorder="1" applyAlignment="1" applyProtection="1">
      <alignment vertical="center" wrapText="1"/>
      <protection locked="0"/>
    </xf>
    <xf numFmtId="176" fontId="98" fillId="57" borderId="54" xfId="0" applyNumberFormat="1" applyFont="1" applyFill="1" applyBorder="1" applyAlignment="1" applyProtection="1">
      <alignment vertical="center" wrapText="1"/>
      <protection locked="0"/>
    </xf>
    <xf numFmtId="176" fontId="98" fillId="57" borderId="55" xfId="0" applyNumberFormat="1" applyFont="1" applyFill="1" applyBorder="1" applyAlignment="1" applyProtection="1">
      <alignment vertical="center" wrapText="1"/>
      <protection locked="0"/>
    </xf>
    <xf numFmtId="176" fontId="98" fillId="57" borderId="55" xfId="0" applyNumberFormat="1" applyFont="1" applyFill="1" applyBorder="1" applyAlignment="1" applyProtection="1">
      <alignment horizontal="center" vertical="center" wrapText="1"/>
      <protection locked="0"/>
    </xf>
    <xf numFmtId="176" fontId="66" fillId="0" borderId="55" xfId="1" applyNumberFormat="1" applyFont="1" applyBorder="1" applyAlignment="1" applyProtection="1">
      <alignment horizontal="right" vertical="center" shrinkToFit="1"/>
      <protection locked="0"/>
    </xf>
    <xf numFmtId="176" fontId="66" fillId="25" borderId="55" xfId="1" applyNumberFormat="1" applyFont="1" applyFill="1" applyBorder="1" applyAlignment="1">
      <alignment horizontal="right" vertical="center" shrinkToFit="1"/>
    </xf>
    <xf numFmtId="176" fontId="66" fillId="0" borderId="55" xfId="1" applyNumberFormat="1" applyFont="1" applyFill="1" applyBorder="1" applyAlignment="1">
      <alignment horizontal="center" vertical="center" shrinkToFit="1"/>
    </xf>
    <xf numFmtId="176" fontId="66" fillId="0" borderId="54" xfId="0" applyNumberFormat="1" applyFont="1" applyBorder="1" applyAlignment="1" applyProtection="1">
      <alignment horizontal="center" vertical="center"/>
      <protection locked="0"/>
    </xf>
    <xf numFmtId="176" fontId="67" fillId="0" borderId="43" xfId="0" applyNumberFormat="1" applyFont="1" applyBorder="1">
      <alignment vertical="center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69" fillId="55" borderId="14" xfId="1" applyNumberFormat="1" applyFont="1" applyFill="1" applyBorder="1" applyAlignment="1">
      <alignment horizontal="center" vertical="center"/>
    </xf>
    <xf numFmtId="176" fontId="69" fillId="55" borderId="16" xfId="1" applyNumberFormat="1" applyFont="1" applyFill="1" applyBorder="1" applyAlignment="1">
      <alignment horizontal="center" vertical="center"/>
    </xf>
    <xf numFmtId="176" fontId="69" fillId="55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1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1" borderId="11" xfId="0" applyNumberFormat="1" applyFont="1" applyFill="1" applyBorder="1" applyAlignment="1">
      <alignment horizontal="center" vertical="center"/>
    </xf>
    <xf numFmtId="176" fontId="68" fillId="51" borderId="12" xfId="0" applyNumberFormat="1" applyFont="1" applyFill="1" applyBorder="1" applyAlignment="1">
      <alignment horizontal="center" vertical="center"/>
    </xf>
    <xf numFmtId="176" fontId="94" fillId="51" borderId="14" xfId="0" applyNumberFormat="1" applyFont="1" applyFill="1" applyBorder="1" applyAlignment="1">
      <alignment horizontal="center" vertical="center"/>
    </xf>
    <xf numFmtId="176" fontId="94" fillId="51" borderId="16" xfId="0" applyNumberFormat="1" applyFont="1" applyFill="1" applyBorder="1" applyAlignment="1">
      <alignment horizontal="center" vertical="center"/>
    </xf>
    <xf numFmtId="176" fontId="94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4" fontId="84" fillId="58" borderId="45" xfId="195" applyNumberFormat="1" applyFont="1" applyFill="1" applyBorder="1" applyAlignment="1" applyProtection="1">
      <alignment horizontal="left" vertical="center" shrinkToFit="1"/>
      <protection hidden="1"/>
    </xf>
    <xf numFmtId="184" fontId="84" fillId="58" borderId="50" xfId="195" applyNumberFormat="1" applyFont="1" applyFill="1" applyBorder="1" applyAlignment="1" applyProtection="1">
      <alignment horizontal="left" vertical="center" shrinkToFit="1"/>
      <protection hidden="1"/>
    </xf>
    <xf numFmtId="184" fontId="88" fillId="58" borderId="45" xfId="195" applyNumberFormat="1" applyFont="1" applyFill="1" applyBorder="1" applyAlignment="1" applyProtection="1">
      <alignment horizontal="left" vertical="center" shrinkToFit="1"/>
      <protection hidden="1"/>
    </xf>
    <xf numFmtId="184" fontId="88" fillId="58" borderId="50" xfId="195" applyNumberFormat="1" applyFont="1" applyFill="1" applyBorder="1" applyAlignment="1" applyProtection="1">
      <alignment horizontal="left" vertical="center" shrinkToFit="1"/>
      <protection hidden="1"/>
    </xf>
    <xf numFmtId="176" fontId="72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4" fontId="84" fillId="0" borderId="49" xfId="195" applyNumberFormat="1" applyFont="1" applyFill="1" applyBorder="1" applyAlignment="1" applyProtection="1">
      <alignment horizontal="center" vertical="center" shrinkToFit="1"/>
      <protection hidden="1"/>
    </xf>
    <xf numFmtId="184" fontId="84" fillId="0" borderId="51" xfId="195" applyNumberFormat="1" applyFont="1" applyFill="1" applyBorder="1" applyAlignment="1" applyProtection="1">
      <alignment horizontal="center" vertical="center" shrinkToFit="1"/>
      <protection hidden="1"/>
    </xf>
    <xf numFmtId="184" fontId="83" fillId="0" borderId="0" xfId="195" quotePrefix="1" applyNumberFormat="1" applyFont="1" applyFill="1" applyBorder="1" applyAlignment="1" applyProtection="1">
      <alignment horizontal="center" vertical="center"/>
      <protection hidden="1"/>
    </xf>
    <xf numFmtId="184" fontId="84" fillId="59" borderId="21" xfId="195" applyNumberFormat="1" applyFont="1" applyFill="1" applyBorder="1" applyAlignment="1" applyProtection="1">
      <alignment horizontal="center" vertical="center"/>
      <protection hidden="1"/>
    </xf>
    <xf numFmtId="184" fontId="84" fillId="59" borderId="22" xfId="195" applyNumberFormat="1" applyFont="1" applyFill="1" applyBorder="1" applyAlignment="1" applyProtection="1">
      <alignment horizontal="center" vertical="center"/>
      <protection hidden="1"/>
    </xf>
    <xf numFmtId="184" fontId="84" fillId="59" borderId="25" xfId="195" applyNumberFormat="1" applyFont="1" applyFill="1" applyBorder="1" applyAlignment="1" applyProtection="1">
      <alignment horizontal="center" vertical="center"/>
      <protection hidden="1"/>
    </xf>
    <xf numFmtId="184" fontId="84" fillId="59" borderId="26" xfId="195" applyNumberFormat="1" applyFont="1" applyFill="1" applyBorder="1" applyAlignment="1" applyProtection="1">
      <alignment horizontal="center" vertical="center"/>
      <protection hidden="1"/>
    </xf>
    <xf numFmtId="184" fontId="84" fillId="59" borderId="52" xfId="195" applyNumberFormat="1" applyFont="1" applyFill="1" applyBorder="1" applyAlignment="1" applyProtection="1">
      <alignment horizontal="center" vertical="center"/>
      <protection hidden="1"/>
    </xf>
    <xf numFmtId="184" fontId="84" fillId="59" borderId="53" xfId="195" applyNumberFormat="1" applyFont="1" applyFill="1" applyBorder="1" applyAlignment="1" applyProtection="1">
      <alignment horizontal="center" vertical="center"/>
      <protection hidden="1"/>
    </xf>
    <xf numFmtId="184" fontId="89" fillId="54" borderId="10" xfId="195" applyNumberFormat="1" applyFont="1" applyFill="1" applyBorder="1" applyAlignment="1" applyProtection="1">
      <alignment horizontal="center" vertical="center"/>
      <protection hidden="1"/>
    </xf>
    <xf numFmtId="184" fontId="84" fillId="59" borderId="10" xfId="195" applyNumberFormat="1" applyFont="1" applyFill="1" applyBorder="1" applyAlignment="1" applyProtection="1">
      <alignment horizontal="center" vertical="center" wrapText="1"/>
      <protection hidden="1"/>
    </xf>
    <xf numFmtId="184" fontId="85" fillId="59" borderId="10" xfId="195" applyNumberFormat="1" applyFont="1" applyFill="1" applyBorder="1" applyAlignment="1" applyProtection="1">
      <alignment horizontal="center" vertical="center"/>
      <protection hidden="1"/>
    </xf>
    <xf numFmtId="176" fontId="72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21" xfId="0" applyNumberFormat="1" applyFont="1" applyFill="1" applyBorder="1" applyAlignment="1">
      <alignment horizontal="center" vertical="center"/>
    </xf>
    <xf numFmtId="176" fontId="5" fillId="2" borderId="52" xfId="0" applyNumberFormat="1" applyFont="1" applyFill="1" applyBorder="1" applyAlignment="1">
      <alignment horizontal="center" vertical="center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9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66CC"/>
      <color rgb="FF0000FF"/>
      <color rgb="FFFFFFCC"/>
      <color rgb="FFCCFFFF"/>
      <color rgb="FFCCECFF"/>
      <color rgb="FF99FF33"/>
      <color rgb="FF0000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4DTI63AD/141126_&#49345;&#51076;&#50948;%20&#48143;%20&#50696;&#44208;&#50948;%20&#44228;&#49688;&#51312;&#51221;%20&#49436;&#49885;(&#52572;&#51333;_&#51204;&#52404;)_&#48372;&#44148;&#51221;&#52293;&#44284;%2011.2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41127_&#49345;&#51076;&#50948;%20&#48143;%20&#50696;&#44208;&#50948;%20&#44228;&#49688;&#51312;&#51221;%20&#49436;&#49885;(&#48373;&#51648;&#50668;&#49457;&#49892;)_&#49688;&#51221;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141127_&#49345;&#51076;&#50948;%20&#48143;%20&#50696;&#44208;&#50948;%20&#44228;&#49688;&#51312;&#51221;%20&#49436;&#49885;(&#48373;&#51648;&#50668;&#49457;&#49892;)_&#49688;&#51221;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8120;&#50672;/AppData/Local/Microsoft/Windows/Temporary%20Internet%20Files/Content.IE5/3NFLQGXI/141126%20_&#49345;&#51076;&#50948;%20&#48143;%20&#50696;&#44208;&#50948;%20&#44228;&#49688;&#51312;&#51221;%20&#49436;&#49885;(&#52572;&#51333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JHEESQXN/141126_&#49345;&#51076;&#50948;%20&#48143;%20&#50696;&#44208;&#50948;%20&#44228;&#49688;&#51312;&#51221;%20&#49436;&#49885;(&#52572;&#51333;_&#51204;&#52404;)_&#48372;&#44148;&#48373;&#51648;&#44397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Microsoft/Windows/Temporary%20Internet%20Files/Content.IE5/7J6SE0QA/141123_&#49345;&#51076;&#50948;%20&#48143;%20&#50696;&#44208;&#50948;%20&#44228;&#49688;&#51312;&#51221;%20&#49436;&#49885;(&#52572;&#51333;)_&#51204;&#458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7">
          <cell r="B97" t="str">
            <v>복지여성실</v>
          </cell>
          <cell r="C97" t="str">
            <v>보건위생담당관</v>
          </cell>
          <cell r="D97" t="str">
            <v>본예산</v>
          </cell>
        </row>
        <row r="99">
          <cell r="B99" t="str">
            <v>복지여성실</v>
          </cell>
          <cell r="C99" t="str">
            <v>보건위생담당관</v>
          </cell>
          <cell r="D99" t="str">
            <v>본예산</v>
          </cell>
        </row>
        <row r="100">
          <cell r="B100" t="str">
            <v>복지여성실</v>
          </cell>
          <cell r="C100" t="str">
            <v>보건위생담당관</v>
          </cell>
          <cell r="D100" t="str">
            <v>본예산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6">
          <cell r="B116" t="str">
            <v/>
          </cell>
          <cell r="C116" t="str">
            <v/>
          </cell>
          <cell r="D116">
            <v>0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15">
          <cell r="B115" t="str">
            <v/>
          </cell>
        </row>
        <row r="118">
          <cell r="B118" t="str">
            <v/>
          </cell>
          <cell r="C118" t="str">
            <v/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금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T6">
            <v>-660986</v>
          </cell>
        </row>
      </sheetData>
      <sheetData sheetId="11"/>
      <sheetData sheetId="12"/>
      <sheetData sheetId="13"/>
      <sheetData sheetId="14"/>
      <sheetData sheetId="15"/>
      <sheetData sheetId="16">
        <row r="6">
          <cell r="AA6">
            <v>0</v>
          </cell>
        </row>
        <row r="12">
          <cell r="A12" t="str">
            <v>보건복지위원회</v>
          </cell>
          <cell r="B12" t="str">
            <v>보건복지국</v>
          </cell>
          <cell r="C12" t="str">
            <v>장애인복지과</v>
          </cell>
        </row>
      </sheetData>
      <sheetData sheetId="1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A6" t="str">
            <v>C열 부서명
입력하면 자동
입력 됩니다</v>
          </cell>
          <cell r="B6" t="str">
            <v>C열 부서명
입력하면 자동
입력 됩니다</v>
          </cell>
          <cell r="C6">
            <v>0</v>
          </cell>
        </row>
        <row r="11">
          <cell r="A11" t="str">
            <v>보건복지위원회</v>
          </cell>
          <cell r="B11" t="str">
            <v>복지여성실</v>
          </cell>
          <cell r="C11" t="str">
            <v>사회복지담당관</v>
          </cell>
        </row>
        <row r="16">
          <cell r="A16" t="str">
            <v/>
          </cell>
          <cell r="B16" t="str">
            <v/>
          </cell>
          <cell r="C1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ColWidth="9" defaultRowHeight="10.5"/>
  <cols>
    <col min="1" max="1" width="29" style="164" bestFit="1" customWidth="1"/>
    <col min="2" max="2" width="20.375" style="164" bestFit="1" customWidth="1"/>
    <col min="3" max="3" width="18.625" style="164" bestFit="1" customWidth="1"/>
    <col min="4" max="4" width="2.375" style="164" customWidth="1"/>
    <col min="5" max="5" width="18.625" style="164" bestFit="1" customWidth="1"/>
    <col min="6" max="6" width="29" style="164" bestFit="1" customWidth="1"/>
    <col min="7" max="7" width="20.375" style="164" bestFit="1" customWidth="1"/>
    <col min="8" max="8" width="8.5" style="173" bestFit="1" customWidth="1"/>
    <col min="9" max="9" width="8.5" style="174" bestFit="1" customWidth="1"/>
    <col min="10" max="16384" width="9" style="164"/>
  </cols>
  <sheetData>
    <row r="1" spans="1:15" ht="35.25" customHeight="1">
      <c r="A1" s="163" t="s">
        <v>526</v>
      </c>
      <c r="B1" s="163" t="s">
        <v>525</v>
      </c>
      <c r="C1" s="163" t="s">
        <v>524</v>
      </c>
      <c r="E1" s="165" t="s">
        <v>413</v>
      </c>
      <c r="F1" s="165" t="s">
        <v>527</v>
      </c>
      <c r="G1" s="165" t="s">
        <v>412</v>
      </c>
      <c r="H1" s="166" t="s">
        <v>146</v>
      </c>
      <c r="I1" s="165" t="s">
        <v>523</v>
      </c>
      <c r="K1" s="164" t="s">
        <v>546</v>
      </c>
      <c r="L1" s="164" t="s">
        <v>547</v>
      </c>
      <c r="N1" s="164" t="s">
        <v>569</v>
      </c>
      <c r="O1" s="164" t="s">
        <v>570</v>
      </c>
    </row>
    <row r="2" spans="1:15">
      <c r="A2" s="167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68" t="str">
        <f t="shared" ref="B2:B33" si="0">G2</f>
        <v>의회운영위원회</v>
      </c>
      <c r="C2" s="167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69" t="s">
        <v>62</v>
      </c>
      <c r="F2" s="170" t="s">
        <v>62</v>
      </c>
      <c r="G2" s="169" t="s">
        <v>18</v>
      </c>
      <c r="H2" s="171">
        <v>1</v>
      </c>
      <c r="I2" s="172" t="s">
        <v>148</v>
      </c>
      <c r="K2" s="164" t="s">
        <v>550</v>
      </c>
      <c r="L2" s="164" t="s">
        <v>550</v>
      </c>
      <c r="N2" s="164" t="s">
        <v>569</v>
      </c>
      <c r="O2" s="164" t="s">
        <v>570</v>
      </c>
    </row>
    <row r="3" spans="1:15">
      <c r="A3" s="167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68" t="str">
        <f t="shared" si="0"/>
        <v>의회운영위원회</v>
      </c>
      <c r="C3" s="167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69" t="s">
        <v>123</v>
      </c>
      <c r="F3" s="170" t="s">
        <v>285</v>
      </c>
      <c r="G3" s="169" t="s">
        <v>18</v>
      </c>
      <c r="H3" s="171">
        <v>2</v>
      </c>
      <c r="I3" s="172" t="s">
        <v>153</v>
      </c>
      <c r="K3" s="164" t="s">
        <v>60</v>
      </c>
      <c r="L3" s="164" t="s">
        <v>60</v>
      </c>
      <c r="N3" s="164" t="s">
        <v>568</v>
      </c>
      <c r="O3" s="164" t="s">
        <v>571</v>
      </c>
    </row>
    <row r="4" spans="1:15">
      <c r="A4" s="167" t="str">
        <f t="shared" si="1"/>
        <v>홍보담당관</v>
      </c>
      <c r="B4" s="168" t="str">
        <f t="shared" si="0"/>
        <v>의회운영위원회</v>
      </c>
      <c r="C4" s="167" t="str">
        <f t="shared" si="2"/>
        <v>대변인</v>
      </c>
      <c r="E4" s="169" t="s">
        <v>123</v>
      </c>
      <c r="F4" s="170" t="s">
        <v>287</v>
      </c>
      <c r="G4" s="169" t="s">
        <v>18</v>
      </c>
      <c r="H4" s="171">
        <v>3</v>
      </c>
      <c r="I4" s="172" t="s">
        <v>155</v>
      </c>
      <c r="K4" s="164" t="s">
        <v>543</v>
      </c>
      <c r="L4" s="164" t="s">
        <v>548</v>
      </c>
      <c r="O4" s="164" t="s">
        <v>569</v>
      </c>
    </row>
    <row r="5" spans="1:15">
      <c r="A5" s="167" t="str">
        <f t="shared" si="1"/>
        <v>소통담당관</v>
      </c>
      <c r="B5" s="168" t="str">
        <f t="shared" si="0"/>
        <v>의회운영위원회</v>
      </c>
      <c r="C5" s="167" t="str">
        <f t="shared" si="2"/>
        <v>대변인</v>
      </c>
      <c r="E5" s="169" t="s">
        <v>123</v>
      </c>
      <c r="F5" s="170" t="s">
        <v>289</v>
      </c>
      <c r="G5" s="169" t="s">
        <v>18</v>
      </c>
      <c r="H5" s="171">
        <v>4</v>
      </c>
      <c r="I5" s="172" t="s">
        <v>157</v>
      </c>
      <c r="K5" s="164" t="s">
        <v>544</v>
      </c>
      <c r="L5" s="164" t="s">
        <v>544</v>
      </c>
      <c r="O5" s="164" t="s">
        <v>568</v>
      </c>
    </row>
    <row r="6" spans="1:15">
      <c r="A6" s="167" t="str">
        <f t="shared" si="1"/>
        <v>대외협력담당관</v>
      </c>
      <c r="B6" s="168" t="str">
        <f t="shared" si="0"/>
        <v>의회운영위원회</v>
      </c>
      <c r="C6" s="167" t="str">
        <f t="shared" si="2"/>
        <v>대외협력담당관</v>
      </c>
      <c r="E6" s="169" t="s">
        <v>117</v>
      </c>
      <c r="F6" s="170" t="s">
        <v>117</v>
      </c>
      <c r="G6" s="169" t="s">
        <v>18</v>
      </c>
      <c r="H6" s="171">
        <v>5</v>
      </c>
      <c r="I6" s="172" t="s">
        <v>166</v>
      </c>
      <c r="K6" s="164" t="s">
        <v>549</v>
      </c>
      <c r="L6" s="164" t="s">
        <v>545</v>
      </c>
    </row>
    <row r="7" spans="1:15">
      <c r="A7" s="167" t="str">
        <f t="shared" si="1"/>
        <v>서울사무소</v>
      </c>
      <c r="B7" s="168" t="str">
        <f t="shared" si="0"/>
        <v>의회운영위원회</v>
      </c>
      <c r="C7" s="167" t="str">
        <f t="shared" si="2"/>
        <v>대외협력담당관</v>
      </c>
      <c r="E7" s="169" t="s">
        <v>117</v>
      </c>
      <c r="F7" s="170" t="s">
        <v>325</v>
      </c>
      <c r="G7" s="169" t="s">
        <v>18</v>
      </c>
      <c r="H7" s="171">
        <v>6</v>
      </c>
      <c r="I7" s="172" t="s">
        <v>168</v>
      </c>
      <c r="K7" s="164" t="s">
        <v>545</v>
      </c>
    </row>
    <row r="8" spans="1:15">
      <c r="A8" s="167" t="str">
        <f t="shared" si="1"/>
        <v>감사총괄담당관</v>
      </c>
      <c r="B8" s="168" t="str">
        <f t="shared" si="0"/>
        <v>기획재정위원회</v>
      </c>
      <c r="C8" s="167" t="str">
        <f t="shared" si="2"/>
        <v>감사관</v>
      </c>
      <c r="E8" s="169" t="s">
        <v>122</v>
      </c>
      <c r="F8" s="170" t="s">
        <v>147</v>
      </c>
      <c r="G8" s="169" t="s">
        <v>19</v>
      </c>
      <c r="H8" s="171">
        <v>7</v>
      </c>
      <c r="I8" s="172" t="s">
        <v>178</v>
      </c>
    </row>
    <row r="9" spans="1:15">
      <c r="A9" s="167" t="str">
        <f t="shared" si="1"/>
        <v>조사담당관</v>
      </c>
      <c r="B9" s="168" t="str">
        <f t="shared" si="0"/>
        <v>기획재정위원회</v>
      </c>
      <c r="C9" s="167" t="str">
        <f t="shared" si="2"/>
        <v>감사관</v>
      </c>
      <c r="E9" s="169" t="s">
        <v>122</v>
      </c>
      <c r="F9" s="170" t="s">
        <v>149</v>
      </c>
      <c r="G9" s="169" t="s">
        <v>19</v>
      </c>
      <c r="H9" s="171">
        <v>8</v>
      </c>
      <c r="I9" s="172" t="s">
        <v>180</v>
      </c>
    </row>
    <row r="10" spans="1:15">
      <c r="A10" s="167" t="str">
        <f t="shared" si="1"/>
        <v>감사담당관</v>
      </c>
      <c r="B10" s="168" t="str">
        <f t="shared" si="0"/>
        <v>기획재정위원회</v>
      </c>
      <c r="C10" s="167" t="str">
        <f t="shared" si="2"/>
        <v>감사관</v>
      </c>
      <c r="E10" s="169" t="s">
        <v>122</v>
      </c>
      <c r="F10" s="170" t="s">
        <v>150</v>
      </c>
      <c r="G10" s="169" t="s">
        <v>19</v>
      </c>
      <c r="H10" s="171">
        <v>9</v>
      </c>
      <c r="I10" s="172" t="s">
        <v>182</v>
      </c>
    </row>
    <row r="11" spans="1:15">
      <c r="A11" s="167" t="str">
        <f t="shared" si="1"/>
        <v>계약심사담당관</v>
      </c>
      <c r="B11" s="168" t="str">
        <f t="shared" si="0"/>
        <v>기획재정위원회</v>
      </c>
      <c r="C11" s="167" t="str">
        <f t="shared" si="2"/>
        <v>감사관</v>
      </c>
      <c r="E11" s="169" t="s">
        <v>122</v>
      </c>
      <c r="F11" s="170" t="s">
        <v>151</v>
      </c>
      <c r="G11" s="169" t="s">
        <v>19</v>
      </c>
      <c r="H11" s="171">
        <v>10</v>
      </c>
      <c r="I11" s="172" t="s">
        <v>184</v>
      </c>
    </row>
    <row r="12" spans="1:15">
      <c r="A12" s="167" t="str">
        <f t="shared" si="1"/>
        <v>기획담당관</v>
      </c>
      <c r="B12" s="168" t="str">
        <f t="shared" si="0"/>
        <v>기획재정위원회</v>
      </c>
      <c r="C12" s="167" t="str">
        <f t="shared" si="2"/>
        <v>기획조정실</v>
      </c>
      <c r="E12" s="169" t="s">
        <v>109</v>
      </c>
      <c r="F12" s="170" t="s">
        <v>152</v>
      </c>
      <c r="G12" s="169" t="s">
        <v>19</v>
      </c>
      <c r="H12" s="171">
        <v>11</v>
      </c>
      <c r="I12" s="172" t="s">
        <v>191</v>
      </c>
    </row>
    <row r="13" spans="1:15">
      <c r="A13" s="167" t="str">
        <f t="shared" si="1"/>
        <v>미래전략담당관</v>
      </c>
      <c r="B13" s="168" t="str">
        <f t="shared" si="0"/>
        <v>기획재정위원회</v>
      </c>
      <c r="C13" s="167" t="str">
        <f t="shared" si="2"/>
        <v>기획조정실</v>
      </c>
      <c r="E13" s="169" t="s">
        <v>109</v>
      </c>
      <c r="F13" s="170" t="s">
        <v>154</v>
      </c>
      <c r="G13" s="169" t="s">
        <v>19</v>
      </c>
      <c r="H13" s="171">
        <v>12</v>
      </c>
      <c r="I13" s="172" t="s">
        <v>193</v>
      </c>
    </row>
    <row r="14" spans="1:15">
      <c r="A14" s="167" t="str">
        <f t="shared" si="1"/>
        <v>예산담당관</v>
      </c>
      <c r="B14" s="168" t="str">
        <f t="shared" si="0"/>
        <v>기획재정위원회</v>
      </c>
      <c r="C14" s="167" t="str">
        <f t="shared" si="2"/>
        <v>기획조정실</v>
      </c>
      <c r="E14" s="169" t="s">
        <v>109</v>
      </c>
      <c r="F14" s="170" t="s">
        <v>156</v>
      </c>
      <c r="G14" s="169" t="s">
        <v>19</v>
      </c>
      <c r="H14" s="171">
        <v>13</v>
      </c>
      <c r="I14" s="172" t="s">
        <v>195</v>
      </c>
    </row>
    <row r="15" spans="1:15">
      <c r="A15" s="167" t="str">
        <f t="shared" si="1"/>
        <v>평가담당관</v>
      </c>
      <c r="B15" s="168" t="str">
        <f t="shared" si="0"/>
        <v>기획재정위원회</v>
      </c>
      <c r="C15" s="167" t="str">
        <f t="shared" si="2"/>
        <v>기획조정실</v>
      </c>
      <c r="E15" s="169" t="s">
        <v>109</v>
      </c>
      <c r="F15" s="170" t="s">
        <v>158</v>
      </c>
      <c r="G15" s="169" t="s">
        <v>19</v>
      </c>
      <c r="H15" s="171">
        <v>14</v>
      </c>
      <c r="I15" s="172" t="s">
        <v>436</v>
      </c>
    </row>
    <row r="16" spans="1:15">
      <c r="A16" s="167" t="str">
        <f t="shared" si="1"/>
        <v>법무담당관</v>
      </c>
      <c r="B16" s="168" t="str">
        <f t="shared" si="0"/>
        <v>기획재정위원회</v>
      </c>
      <c r="C16" s="167" t="str">
        <f t="shared" si="2"/>
        <v>기획조정실</v>
      </c>
      <c r="E16" s="169" t="s">
        <v>109</v>
      </c>
      <c r="F16" s="170" t="s">
        <v>159</v>
      </c>
      <c r="G16" s="169" t="s">
        <v>19</v>
      </c>
      <c r="H16" s="171">
        <v>15</v>
      </c>
      <c r="I16" s="172" t="s">
        <v>437</v>
      </c>
    </row>
    <row r="17" spans="1:9">
      <c r="A17" s="167" t="str">
        <f t="shared" si="1"/>
        <v>규제개혁추진단</v>
      </c>
      <c r="B17" s="168" t="str">
        <f t="shared" si="0"/>
        <v>기획재정위원회</v>
      </c>
      <c r="C17" s="167" t="str">
        <f t="shared" si="2"/>
        <v>기획조정실</v>
      </c>
      <c r="E17" s="169" t="s">
        <v>109</v>
      </c>
      <c r="F17" s="170" t="s">
        <v>160</v>
      </c>
      <c r="G17" s="169" t="s">
        <v>19</v>
      </c>
      <c r="H17" s="171">
        <v>16</v>
      </c>
      <c r="I17" s="172" t="s">
        <v>438</v>
      </c>
    </row>
    <row r="18" spans="1:9">
      <c r="A18" s="167" t="str">
        <f t="shared" si="1"/>
        <v>따복공동체지원단</v>
      </c>
      <c r="B18" s="168" t="str">
        <f t="shared" si="0"/>
        <v>기획재정위원회</v>
      </c>
      <c r="C18" s="167" t="str">
        <f t="shared" si="2"/>
        <v>기획조정실</v>
      </c>
      <c r="E18" s="169" t="s">
        <v>109</v>
      </c>
      <c r="F18" s="170" t="s">
        <v>161</v>
      </c>
      <c r="G18" s="169" t="s">
        <v>19</v>
      </c>
      <c r="H18" s="171">
        <v>17</v>
      </c>
      <c r="I18" s="172" t="s">
        <v>439</v>
      </c>
    </row>
    <row r="19" spans="1:9">
      <c r="A19" s="167" t="str">
        <f t="shared" si="1"/>
        <v>정보기획담당관</v>
      </c>
      <c r="B19" s="168" t="str">
        <f t="shared" si="0"/>
        <v>기획재정위원회</v>
      </c>
      <c r="C19" s="167" t="str">
        <f t="shared" si="2"/>
        <v>기획조정실</v>
      </c>
      <c r="E19" s="169" t="s">
        <v>109</v>
      </c>
      <c r="F19" s="170" t="s">
        <v>162</v>
      </c>
      <c r="G19" s="169" t="s">
        <v>19</v>
      </c>
      <c r="H19" s="171">
        <v>18</v>
      </c>
      <c r="I19" s="172" t="s">
        <v>440</v>
      </c>
    </row>
    <row r="20" spans="1:9">
      <c r="A20" s="167" t="str">
        <f t="shared" si="1"/>
        <v>정보통신보안담당관</v>
      </c>
      <c r="B20" s="168" t="str">
        <f t="shared" si="0"/>
        <v>기획재정위원회</v>
      </c>
      <c r="C20" s="167" t="str">
        <f t="shared" si="2"/>
        <v>기획조정실</v>
      </c>
      <c r="E20" s="169" t="s">
        <v>109</v>
      </c>
      <c r="F20" s="170" t="s">
        <v>163</v>
      </c>
      <c r="G20" s="169" t="s">
        <v>19</v>
      </c>
      <c r="H20" s="171">
        <v>19</v>
      </c>
      <c r="I20" s="172" t="s">
        <v>441</v>
      </c>
    </row>
    <row r="21" spans="1:9">
      <c r="A21" s="167" t="str">
        <f t="shared" si="1"/>
        <v>빅데이터담당관</v>
      </c>
      <c r="B21" s="168" t="str">
        <f t="shared" si="0"/>
        <v>기획재정위원회</v>
      </c>
      <c r="C21" s="167" t="str">
        <f t="shared" si="2"/>
        <v>기획조정실</v>
      </c>
      <c r="E21" s="169" t="s">
        <v>109</v>
      </c>
      <c r="F21" s="170" t="s">
        <v>164</v>
      </c>
      <c r="G21" s="169" t="s">
        <v>19</v>
      </c>
      <c r="H21" s="171">
        <v>20</v>
      </c>
      <c r="I21" s="172" t="s">
        <v>442</v>
      </c>
    </row>
    <row r="22" spans="1:9">
      <c r="A22" s="167" t="str">
        <f t="shared" si="1"/>
        <v>기획예산담당관</v>
      </c>
      <c r="B22" s="168" t="str">
        <f t="shared" si="0"/>
        <v>기획재정위원회</v>
      </c>
      <c r="C22" s="167" t="str">
        <f t="shared" si="2"/>
        <v>균형발전기획실</v>
      </c>
      <c r="E22" s="169" t="s">
        <v>327</v>
      </c>
      <c r="F22" s="170" t="s">
        <v>328</v>
      </c>
      <c r="G22" s="169" t="s">
        <v>19</v>
      </c>
      <c r="H22" s="171">
        <v>21</v>
      </c>
      <c r="I22" s="172" t="s">
        <v>197</v>
      </c>
    </row>
    <row r="23" spans="1:9">
      <c r="A23" s="167" t="str">
        <f t="shared" si="1"/>
        <v>균형발전담당관</v>
      </c>
      <c r="B23" s="168" t="str">
        <f t="shared" si="0"/>
        <v>기획재정위원회</v>
      </c>
      <c r="C23" s="167" t="str">
        <f t="shared" si="2"/>
        <v>균형발전기획실</v>
      </c>
      <c r="E23" s="169" t="s">
        <v>327</v>
      </c>
      <c r="F23" s="170" t="s">
        <v>330</v>
      </c>
      <c r="G23" s="169" t="s">
        <v>19</v>
      </c>
      <c r="H23" s="171">
        <v>22</v>
      </c>
      <c r="I23" s="172" t="s">
        <v>199</v>
      </c>
    </row>
    <row r="24" spans="1:9">
      <c r="A24" s="167" t="str">
        <f t="shared" si="1"/>
        <v>통일기반조성담당관</v>
      </c>
      <c r="B24" s="168" t="str">
        <f t="shared" si="0"/>
        <v>기획재정위원회</v>
      </c>
      <c r="C24" s="167" t="str">
        <f t="shared" si="2"/>
        <v>균형발전기획실</v>
      </c>
      <c r="E24" s="169" t="s">
        <v>327</v>
      </c>
      <c r="F24" s="170" t="s">
        <v>334</v>
      </c>
      <c r="G24" s="169" t="s">
        <v>19</v>
      </c>
      <c r="H24" s="171">
        <v>23</v>
      </c>
      <c r="I24" s="172" t="s">
        <v>201</v>
      </c>
    </row>
    <row r="25" spans="1:9">
      <c r="A25" s="167" t="str">
        <f t="shared" si="1"/>
        <v>DMZ정책담당관</v>
      </c>
      <c r="B25" s="168" t="str">
        <f t="shared" si="0"/>
        <v>기획재정위원회</v>
      </c>
      <c r="C25" s="167" t="str">
        <f t="shared" si="2"/>
        <v>균형발전기획실</v>
      </c>
      <c r="E25" s="169" t="s">
        <v>327</v>
      </c>
      <c r="F25" s="170" t="s">
        <v>336</v>
      </c>
      <c r="G25" s="169" t="s">
        <v>19</v>
      </c>
      <c r="H25" s="171">
        <v>24</v>
      </c>
      <c r="I25" s="172" t="s">
        <v>203</v>
      </c>
    </row>
    <row r="26" spans="1:9">
      <c r="A26" s="167" t="str">
        <f t="shared" si="1"/>
        <v>군관협력담당관</v>
      </c>
      <c r="B26" s="168" t="str">
        <f t="shared" si="0"/>
        <v>기획재정위원회</v>
      </c>
      <c r="C26" s="167" t="str">
        <f t="shared" si="2"/>
        <v>균형발전기획실</v>
      </c>
      <c r="E26" s="169" t="s">
        <v>327</v>
      </c>
      <c r="F26" s="170" t="s">
        <v>340</v>
      </c>
      <c r="G26" s="169" t="s">
        <v>19</v>
      </c>
      <c r="H26" s="171">
        <v>25</v>
      </c>
      <c r="I26" s="172" t="s">
        <v>205</v>
      </c>
    </row>
    <row r="27" spans="1:9">
      <c r="A27" s="167" t="str">
        <f t="shared" si="1"/>
        <v>경제정책과</v>
      </c>
      <c r="B27" s="168" t="str">
        <f t="shared" si="0"/>
        <v>경제과학기술위원회</v>
      </c>
      <c r="C27" s="167" t="str">
        <f t="shared" si="2"/>
        <v>경제실</v>
      </c>
      <c r="E27" s="169" t="s">
        <v>342</v>
      </c>
      <c r="F27" s="170" t="s">
        <v>343</v>
      </c>
      <c r="G27" s="169" t="s">
        <v>10</v>
      </c>
      <c r="H27" s="171">
        <v>26</v>
      </c>
      <c r="I27" s="172" t="s">
        <v>208</v>
      </c>
    </row>
    <row r="28" spans="1:9">
      <c r="A28" s="167" t="str">
        <f t="shared" si="1"/>
        <v>일자리정책과</v>
      </c>
      <c r="B28" s="168" t="str">
        <f t="shared" si="0"/>
        <v>경제과학기술위원회</v>
      </c>
      <c r="C28" s="167" t="str">
        <f t="shared" si="2"/>
        <v>경제실</v>
      </c>
      <c r="E28" s="169" t="s">
        <v>342</v>
      </c>
      <c r="F28" s="170" t="s">
        <v>345</v>
      </c>
      <c r="G28" s="169" t="s">
        <v>10</v>
      </c>
      <c r="H28" s="171">
        <v>27</v>
      </c>
      <c r="I28" s="172" t="s">
        <v>210</v>
      </c>
    </row>
    <row r="29" spans="1:9">
      <c r="A29" s="167" t="str">
        <f t="shared" si="1"/>
        <v>경기일자리센터</v>
      </c>
      <c r="B29" s="168" t="str">
        <f t="shared" si="0"/>
        <v>경제과학기술위원회</v>
      </c>
      <c r="C29" s="167" t="str">
        <f t="shared" si="2"/>
        <v>경제실</v>
      </c>
      <c r="E29" s="169" t="s">
        <v>342</v>
      </c>
      <c r="F29" s="170" t="s">
        <v>347</v>
      </c>
      <c r="G29" s="169" t="s">
        <v>10</v>
      </c>
      <c r="H29" s="171">
        <v>28</v>
      </c>
      <c r="I29" s="172" t="s">
        <v>212</v>
      </c>
    </row>
    <row r="30" spans="1:9">
      <c r="A30" s="167" t="str">
        <f t="shared" si="1"/>
        <v>사회적경제과</v>
      </c>
      <c r="B30" s="168" t="str">
        <f t="shared" si="0"/>
        <v>경제과학기술위원회</v>
      </c>
      <c r="C30" s="167" t="str">
        <f t="shared" si="2"/>
        <v>경제실</v>
      </c>
      <c r="E30" s="169" t="s">
        <v>342</v>
      </c>
      <c r="F30" s="170" t="s">
        <v>349</v>
      </c>
      <c r="G30" s="169" t="s">
        <v>10</v>
      </c>
      <c r="H30" s="171">
        <v>29</v>
      </c>
      <c r="I30" s="172" t="s">
        <v>213</v>
      </c>
    </row>
    <row r="31" spans="1:9">
      <c r="A31" s="167" t="str">
        <f t="shared" si="1"/>
        <v>기업지원과</v>
      </c>
      <c r="B31" s="168" t="str">
        <f t="shared" si="0"/>
        <v>경제과학기술위원회</v>
      </c>
      <c r="C31" s="167" t="str">
        <f t="shared" si="2"/>
        <v>경제실</v>
      </c>
      <c r="E31" s="169" t="s">
        <v>342</v>
      </c>
      <c r="F31" s="170" t="s">
        <v>351</v>
      </c>
      <c r="G31" s="169" t="s">
        <v>10</v>
      </c>
      <c r="H31" s="171">
        <v>30</v>
      </c>
      <c r="I31" s="172" t="s">
        <v>215</v>
      </c>
    </row>
    <row r="32" spans="1:9">
      <c r="A32" s="167" t="str">
        <f t="shared" si="1"/>
        <v>산업정책과</v>
      </c>
      <c r="B32" s="168" t="str">
        <f t="shared" si="0"/>
        <v>경제과학기술위원회</v>
      </c>
      <c r="C32" s="167" t="str">
        <f t="shared" si="2"/>
        <v>경제실</v>
      </c>
      <c r="E32" s="169" t="s">
        <v>342</v>
      </c>
      <c r="F32" s="170" t="s">
        <v>353</v>
      </c>
      <c r="G32" s="169" t="s">
        <v>10</v>
      </c>
      <c r="H32" s="171">
        <v>31</v>
      </c>
      <c r="I32" s="172" t="s">
        <v>217</v>
      </c>
    </row>
    <row r="33" spans="1:9">
      <c r="A33" s="167" t="str">
        <f t="shared" si="1"/>
        <v>특화산업과</v>
      </c>
      <c r="B33" s="168" t="str">
        <f t="shared" si="0"/>
        <v>경제과학기술위원회</v>
      </c>
      <c r="C33" s="167" t="str">
        <f t="shared" si="2"/>
        <v>경제실</v>
      </c>
      <c r="E33" s="169" t="s">
        <v>342</v>
      </c>
      <c r="F33" s="170" t="s">
        <v>355</v>
      </c>
      <c r="G33" s="169" t="s">
        <v>10</v>
      </c>
      <c r="H33" s="171">
        <v>32</v>
      </c>
      <c r="I33" s="172" t="s">
        <v>443</v>
      </c>
    </row>
    <row r="34" spans="1:9">
      <c r="A34" s="167" t="str">
        <f t="shared" si="1"/>
        <v>과학기술과</v>
      </c>
      <c r="B34" s="168" t="str">
        <f t="shared" ref="B34:B65" si="3">G34</f>
        <v>경제과학기술위원회</v>
      </c>
      <c r="C34" s="167" t="str">
        <f t="shared" si="2"/>
        <v>경제실</v>
      </c>
      <c r="E34" s="169" t="s">
        <v>342</v>
      </c>
      <c r="F34" s="170" t="s">
        <v>357</v>
      </c>
      <c r="G34" s="169" t="s">
        <v>10</v>
      </c>
      <c r="H34" s="171">
        <v>33</v>
      </c>
      <c r="I34" s="172" t="s">
        <v>444</v>
      </c>
    </row>
    <row r="35" spans="1:9">
      <c r="A35" s="167" t="str">
        <f t="shared" si="1"/>
        <v>외교정책과</v>
      </c>
      <c r="B35" s="168" t="str">
        <f t="shared" si="3"/>
        <v>경제과학기술위원회</v>
      </c>
      <c r="C35" s="167" t="str">
        <f t="shared" si="2"/>
        <v>경제실</v>
      </c>
      <c r="E35" s="169" t="s">
        <v>342</v>
      </c>
      <c r="F35" s="170" t="s">
        <v>358</v>
      </c>
      <c r="G35" s="169" t="s">
        <v>10</v>
      </c>
      <c r="H35" s="171">
        <v>34</v>
      </c>
      <c r="I35" s="172" t="s">
        <v>445</v>
      </c>
    </row>
    <row r="36" spans="1:9">
      <c r="A36" s="167" t="str">
        <f t="shared" si="1"/>
        <v>국제통상과</v>
      </c>
      <c r="B36" s="168" t="str">
        <f t="shared" si="3"/>
        <v>경제과학기술위원회</v>
      </c>
      <c r="C36" s="167" t="str">
        <f t="shared" si="2"/>
        <v>경제실</v>
      </c>
      <c r="E36" s="169" t="s">
        <v>342</v>
      </c>
      <c r="F36" s="170" t="s">
        <v>359</v>
      </c>
      <c r="G36" s="169" t="s">
        <v>10</v>
      </c>
      <c r="H36" s="171">
        <v>35</v>
      </c>
      <c r="I36" s="172" t="s">
        <v>446</v>
      </c>
    </row>
    <row r="37" spans="1:9">
      <c r="A37" s="167" t="str">
        <f t="shared" si="1"/>
        <v>투자진흥과</v>
      </c>
      <c r="B37" s="168" t="str">
        <f t="shared" si="3"/>
        <v>경제과학기술위원회</v>
      </c>
      <c r="C37" s="167" t="str">
        <f t="shared" si="2"/>
        <v>경제실</v>
      </c>
      <c r="E37" s="169" t="s">
        <v>342</v>
      </c>
      <c r="F37" s="170" t="s">
        <v>360</v>
      </c>
      <c r="G37" s="169" t="s">
        <v>10</v>
      </c>
      <c r="H37" s="171">
        <v>36</v>
      </c>
      <c r="I37" s="172" t="s">
        <v>447</v>
      </c>
    </row>
    <row r="38" spans="1:9">
      <c r="A38" s="167" t="str">
        <f t="shared" si="1"/>
        <v>기술학교</v>
      </c>
      <c r="B38" s="168" t="str">
        <f t="shared" si="3"/>
        <v>경제과학기술위원회</v>
      </c>
      <c r="C38" s="167" t="str">
        <f t="shared" si="2"/>
        <v>경제실</v>
      </c>
      <c r="E38" s="169" t="s">
        <v>342</v>
      </c>
      <c r="F38" s="170" t="s">
        <v>361</v>
      </c>
      <c r="G38" s="169" t="s">
        <v>10</v>
      </c>
      <c r="H38" s="171">
        <v>37</v>
      </c>
      <c r="I38" s="172" t="s">
        <v>448</v>
      </c>
    </row>
    <row r="39" spans="1:9">
      <c r="A39" s="167" t="str">
        <f t="shared" si="1"/>
        <v>총무과</v>
      </c>
      <c r="B39" s="168" t="str">
        <f t="shared" si="3"/>
        <v>안전행정위원회</v>
      </c>
      <c r="C39" s="167" t="str">
        <f t="shared" si="2"/>
        <v>자치행정국</v>
      </c>
      <c r="E39" s="169" t="s">
        <v>111</v>
      </c>
      <c r="F39" s="170" t="s">
        <v>177</v>
      </c>
      <c r="G39" s="169" t="s">
        <v>61</v>
      </c>
      <c r="H39" s="171">
        <v>38</v>
      </c>
      <c r="I39" s="172" t="s">
        <v>220</v>
      </c>
    </row>
    <row r="40" spans="1:9">
      <c r="A40" s="167" t="str">
        <f t="shared" si="1"/>
        <v>자치행정과</v>
      </c>
      <c r="B40" s="168" t="str">
        <f t="shared" si="3"/>
        <v>안전행정위원회</v>
      </c>
      <c r="C40" s="167" t="str">
        <f t="shared" si="2"/>
        <v>자치행정국</v>
      </c>
      <c r="E40" s="169" t="s">
        <v>111</v>
      </c>
      <c r="F40" s="170" t="s">
        <v>179</v>
      </c>
      <c r="G40" s="169" t="s">
        <v>61</v>
      </c>
      <c r="H40" s="171">
        <v>39</v>
      </c>
      <c r="I40" s="172" t="s">
        <v>222</v>
      </c>
    </row>
    <row r="41" spans="1:9">
      <c r="A41" s="167" t="str">
        <f t="shared" si="1"/>
        <v>인사과</v>
      </c>
      <c r="B41" s="168" t="str">
        <f t="shared" si="3"/>
        <v>안전행정위원회</v>
      </c>
      <c r="C41" s="167" t="str">
        <f t="shared" si="2"/>
        <v>자치행정국</v>
      </c>
      <c r="E41" s="169" t="s">
        <v>111</v>
      </c>
      <c r="F41" s="170" t="s">
        <v>181</v>
      </c>
      <c r="G41" s="169" t="s">
        <v>61</v>
      </c>
      <c r="H41" s="171">
        <v>40</v>
      </c>
      <c r="I41" s="172" t="s">
        <v>224</v>
      </c>
    </row>
    <row r="42" spans="1:9">
      <c r="A42" s="167" t="str">
        <f t="shared" si="1"/>
        <v>언제나민원실</v>
      </c>
      <c r="B42" s="168" t="str">
        <f t="shared" si="3"/>
        <v>안전행정위원회</v>
      </c>
      <c r="C42" s="167" t="str">
        <f t="shared" si="2"/>
        <v>자치행정국</v>
      </c>
      <c r="E42" s="169" t="s">
        <v>111</v>
      </c>
      <c r="F42" s="170" t="s">
        <v>183</v>
      </c>
      <c r="G42" s="169" t="s">
        <v>61</v>
      </c>
      <c r="H42" s="171">
        <v>41</v>
      </c>
      <c r="I42" s="172" t="s">
        <v>449</v>
      </c>
    </row>
    <row r="43" spans="1:9">
      <c r="A43" s="167" t="str">
        <f t="shared" si="1"/>
        <v>세정과</v>
      </c>
      <c r="B43" s="168" t="str">
        <f t="shared" si="3"/>
        <v>안전행정위원회</v>
      </c>
      <c r="C43" s="167" t="str">
        <f t="shared" si="2"/>
        <v>자치행정국</v>
      </c>
      <c r="E43" s="169" t="s">
        <v>111</v>
      </c>
      <c r="F43" s="170" t="s">
        <v>185</v>
      </c>
      <c r="G43" s="169" t="s">
        <v>61</v>
      </c>
      <c r="H43" s="171">
        <v>42</v>
      </c>
      <c r="I43" s="172" t="s">
        <v>450</v>
      </c>
    </row>
    <row r="44" spans="1:9">
      <c r="A44" s="167" t="str">
        <f t="shared" si="1"/>
        <v>세원관리과</v>
      </c>
      <c r="B44" s="168" t="str">
        <f t="shared" si="3"/>
        <v>안전행정위원회</v>
      </c>
      <c r="C44" s="167" t="str">
        <f t="shared" si="2"/>
        <v>자치행정국</v>
      </c>
      <c r="E44" s="169" t="s">
        <v>111</v>
      </c>
      <c r="F44" s="170" t="s">
        <v>186</v>
      </c>
      <c r="G44" s="169" t="s">
        <v>61</v>
      </c>
      <c r="H44" s="171">
        <v>43</v>
      </c>
      <c r="I44" s="172" t="s">
        <v>451</v>
      </c>
    </row>
    <row r="45" spans="1:9">
      <c r="A45" s="167" t="str">
        <f t="shared" si="1"/>
        <v>회계과</v>
      </c>
      <c r="B45" s="168" t="str">
        <f t="shared" si="3"/>
        <v>안전행정위원회</v>
      </c>
      <c r="C45" s="167" t="str">
        <f t="shared" si="2"/>
        <v>자치행정국</v>
      </c>
      <c r="E45" s="169" t="s">
        <v>111</v>
      </c>
      <c r="F45" s="170" t="s">
        <v>187</v>
      </c>
      <c r="G45" s="169" t="s">
        <v>61</v>
      </c>
      <c r="H45" s="171">
        <v>44</v>
      </c>
      <c r="I45" s="172" t="s">
        <v>452</v>
      </c>
    </row>
    <row r="46" spans="1:9">
      <c r="A46" s="167" t="str">
        <f t="shared" si="1"/>
        <v>특별사법경찰단</v>
      </c>
      <c r="B46" s="168" t="str">
        <f t="shared" si="3"/>
        <v>안전행정위원회</v>
      </c>
      <c r="C46" s="167" t="str">
        <f t="shared" si="2"/>
        <v>자치행정국</v>
      </c>
      <c r="E46" s="169" t="s">
        <v>111</v>
      </c>
      <c r="F46" s="170" t="s">
        <v>188</v>
      </c>
      <c r="G46" s="169" t="s">
        <v>61</v>
      </c>
      <c r="H46" s="171">
        <v>45</v>
      </c>
      <c r="I46" s="172" t="s">
        <v>453</v>
      </c>
    </row>
    <row r="47" spans="1:9">
      <c r="A47" s="167" t="str">
        <f t="shared" si="1"/>
        <v>소방행정과</v>
      </c>
      <c r="B47" s="168" t="str">
        <f t="shared" si="3"/>
        <v>안전행정위원회</v>
      </c>
      <c r="C47" s="167" t="str">
        <f t="shared" si="2"/>
        <v>재난안전본부</v>
      </c>
      <c r="E47" s="169" t="s">
        <v>225</v>
      </c>
      <c r="F47" s="170" t="s">
        <v>226</v>
      </c>
      <c r="G47" s="169" t="s">
        <v>61</v>
      </c>
      <c r="H47" s="171">
        <v>46</v>
      </c>
      <c r="I47" s="172" t="s">
        <v>227</v>
      </c>
    </row>
    <row r="48" spans="1:9">
      <c r="A48" s="167" t="str">
        <f t="shared" si="1"/>
        <v>재난안전과</v>
      </c>
      <c r="B48" s="168" t="str">
        <f t="shared" si="3"/>
        <v>안전행정위원회</v>
      </c>
      <c r="C48" s="167" t="str">
        <f t="shared" si="2"/>
        <v>재난안전본부</v>
      </c>
      <c r="E48" s="169" t="s">
        <v>225</v>
      </c>
      <c r="F48" s="170" t="s">
        <v>228</v>
      </c>
      <c r="G48" s="169" t="s">
        <v>61</v>
      </c>
      <c r="H48" s="171">
        <v>47</v>
      </c>
      <c r="I48" s="172" t="s">
        <v>229</v>
      </c>
    </row>
    <row r="49" spans="1:9">
      <c r="A49" s="167" t="str">
        <f t="shared" si="1"/>
        <v>재난대응과</v>
      </c>
      <c r="B49" s="168" t="str">
        <f t="shared" si="3"/>
        <v>안전행정위원회</v>
      </c>
      <c r="C49" s="167" t="str">
        <f t="shared" si="2"/>
        <v>재난안전본부</v>
      </c>
      <c r="E49" s="169" t="s">
        <v>225</v>
      </c>
      <c r="F49" s="170" t="s">
        <v>230</v>
      </c>
      <c r="G49" s="169" t="s">
        <v>61</v>
      </c>
      <c r="H49" s="171">
        <v>48</v>
      </c>
      <c r="I49" s="172" t="s">
        <v>231</v>
      </c>
    </row>
    <row r="50" spans="1:9">
      <c r="A50" s="167" t="str">
        <f t="shared" si="1"/>
        <v>재난종합지휘센터</v>
      </c>
      <c r="B50" s="168" t="str">
        <f t="shared" si="3"/>
        <v>안전행정위원회</v>
      </c>
      <c r="C50" s="167" t="str">
        <f t="shared" si="2"/>
        <v>재난안전본부</v>
      </c>
      <c r="E50" s="169" t="s">
        <v>225</v>
      </c>
      <c r="F50" s="170" t="s">
        <v>232</v>
      </c>
      <c r="G50" s="169" t="s">
        <v>61</v>
      </c>
      <c r="H50" s="171">
        <v>49</v>
      </c>
      <c r="I50" s="172" t="s">
        <v>233</v>
      </c>
    </row>
    <row r="51" spans="1:9">
      <c r="A51" s="167" t="str">
        <f t="shared" si="1"/>
        <v>안전교육훈련담당관</v>
      </c>
      <c r="B51" s="168" t="str">
        <f t="shared" si="3"/>
        <v>안전행정위원회</v>
      </c>
      <c r="C51" s="167" t="str">
        <f t="shared" si="2"/>
        <v>재난안전본부</v>
      </c>
      <c r="E51" s="169" t="s">
        <v>225</v>
      </c>
      <c r="F51" s="170" t="s">
        <v>234</v>
      </c>
      <c r="G51" s="169" t="s">
        <v>61</v>
      </c>
      <c r="H51" s="171">
        <v>50</v>
      </c>
      <c r="I51" s="172" t="s">
        <v>235</v>
      </c>
    </row>
    <row r="52" spans="1:9">
      <c r="A52" s="167" t="str">
        <f t="shared" si="1"/>
        <v>청문감사담당관</v>
      </c>
      <c r="B52" s="168" t="str">
        <f t="shared" si="3"/>
        <v>안전행정위원회</v>
      </c>
      <c r="C52" s="167" t="str">
        <f t="shared" si="2"/>
        <v>재난안전본부</v>
      </c>
      <c r="E52" s="169" t="s">
        <v>225</v>
      </c>
      <c r="F52" s="170" t="s">
        <v>236</v>
      </c>
      <c r="G52" s="169" t="s">
        <v>61</v>
      </c>
      <c r="H52" s="171">
        <v>51</v>
      </c>
      <c r="I52" s="172" t="s">
        <v>237</v>
      </c>
    </row>
    <row r="53" spans="1:9">
      <c r="A53" s="167" t="str">
        <f t="shared" si="1"/>
        <v>특수대응단</v>
      </c>
      <c r="B53" s="168" t="str">
        <f t="shared" si="3"/>
        <v>안전행정위원회</v>
      </c>
      <c r="C53" s="167" t="str">
        <f t="shared" si="2"/>
        <v>재난안전본부</v>
      </c>
      <c r="E53" s="169" t="s">
        <v>225</v>
      </c>
      <c r="F53" s="170" t="s">
        <v>238</v>
      </c>
      <c r="G53" s="169" t="s">
        <v>61</v>
      </c>
      <c r="H53" s="171">
        <v>52</v>
      </c>
      <c r="I53" s="172" t="s">
        <v>239</v>
      </c>
    </row>
    <row r="54" spans="1:9">
      <c r="A54" s="167" t="str">
        <f t="shared" si="1"/>
        <v>안전기획과</v>
      </c>
      <c r="B54" s="168" t="str">
        <f t="shared" si="3"/>
        <v>안전행정위원회</v>
      </c>
      <c r="C54" s="167" t="str">
        <f t="shared" si="2"/>
        <v>재난안전본부</v>
      </c>
      <c r="E54" s="169" t="s">
        <v>225</v>
      </c>
      <c r="F54" s="170" t="s">
        <v>240</v>
      </c>
      <c r="G54" s="169" t="s">
        <v>61</v>
      </c>
      <c r="H54" s="171">
        <v>53</v>
      </c>
      <c r="I54" s="172" t="s">
        <v>241</v>
      </c>
    </row>
    <row r="55" spans="1:9">
      <c r="A55" s="167" t="str">
        <f t="shared" si="1"/>
        <v>재난대책과</v>
      </c>
      <c r="B55" s="168" t="str">
        <f t="shared" si="3"/>
        <v>안전행정위원회</v>
      </c>
      <c r="C55" s="167" t="str">
        <f t="shared" si="2"/>
        <v>재난안전본부</v>
      </c>
      <c r="E55" s="169" t="s">
        <v>225</v>
      </c>
      <c r="F55" s="170" t="s">
        <v>242</v>
      </c>
      <c r="G55" s="169" t="s">
        <v>61</v>
      </c>
      <c r="H55" s="171">
        <v>54</v>
      </c>
      <c r="I55" s="172" t="s">
        <v>243</v>
      </c>
    </row>
    <row r="56" spans="1:9">
      <c r="A56" s="167" t="str">
        <f t="shared" si="1"/>
        <v>기동안전점검단</v>
      </c>
      <c r="B56" s="168" t="str">
        <f t="shared" si="3"/>
        <v>안전행정위원회</v>
      </c>
      <c r="C56" s="167" t="str">
        <f t="shared" si="2"/>
        <v>재난안전본부</v>
      </c>
      <c r="E56" s="169" t="s">
        <v>225</v>
      </c>
      <c r="F56" s="170" t="s">
        <v>244</v>
      </c>
      <c r="G56" s="169" t="s">
        <v>61</v>
      </c>
      <c r="H56" s="171">
        <v>55</v>
      </c>
      <c r="I56" s="172" t="s">
        <v>245</v>
      </c>
    </row>
    <row r="57" spans="1:9">
      <c r="A57" s="167" t="str">
        <f t="shared" si="1"/>
        <v>소방행정기획과</v>
      </c>
      <c r="B57" s="168" t="str">
        <f t="shared" si="3"/>
        <v>안전행정위원회</v>
      </c>
      <c r="C57" s="167" t="str">
        <f t="shared" si="2"/>
        <v>재난안전본부</v>
      </c>
      <c r="E57" s="169" t="s">
        <v>124</v>
      </c>
      <c r="F57" s="170" t="s">
        <v>246</v>
      </c>
      <c r="G57" s="169" t="s">
        <v>61</v>
      </c>
      <c r="H57" s="171">
        <v>56</v>
      </c>
      <c r="I57" s="172" t="s">
        <v>247</v>
      </c>
    </row>
    <row r="58" spans="1:9">
      <c r="A58" s="167" t="str">
        <f t="shared" si="1"/>
        <v>특수대응단(북부)</v>
      </c>
      <c r="B58" s="168" t="str">
        <f t="shared" si="3"/>
        <v>안전행정위원회</v>
      </c>
      <c r="C58" s="167" t="str">
        <f t="shared" si="2"/>
        <v>재난안전본부</v>
      </c>
      <c r="E58" s="169" t="s">
        <v>124</v>
      </c>
      <c r="F58" s="170" t="s">
        <v>238</v>
      </c>
      <c r="G58" s="169" t="s">
        <v>61</v>
      </c>
      <c r="H58" s="171">
        <v>57</v>
      </c>
      <c r="I58" s="172" t="s">
        <v>248</v>
      </c>
    </row>
    <row r="59" spans="1:9">
      <c r="A59" s="167" t="str">
        <f t="shared" si="1"/>
        <v>소방학교</v>
      </c>
      <c r="B59" s="168" t="str">
        <f t="shared" si="3"/>
        <v>안전행정위원회</v>
      </c>
      <c r="C59" s="167" t="str">
        <f t="shared" si="2"/>
        <v>재난안전본부</v>
      </c>
      <c r="E59" s="169" t="s">
        <v>129</v>
      </c>
      <c r="F59" s="170" t="s">
        <v>249</v>
      </c>
      <c r="G59" s="169" t="s">
        <v>61</v>
      </c>
      <c r="H59" s="171">
        <v>58</v>
      </c>
      <c r="I59" s="172" t="s">
        <v>284</v>
      </c>
    </row>
    <row r="60" spans="1:9">
      <c r="A60" s="167" t="str">
        <f t="shared" si="1"/>
        <v>수원소방서</v>
      </c>
      <c r="B60" s="168" t="str">
        <f t="shared" si="3"/>
        <v>안전행정위원회</v>
      </c>
      <c r="C60" s="167" t="str">
        <f t="shared" si="2"/>
        <v>재난안전본부</v>
      </c>
      <c r="E60" s="169" t="s">
        <v>130</v>
      </c>
      <c r="F60" s="170" t="s">
        <v>250</v>
      </c>
      <c r="G60" s="169" t="s">
        <v>61</v>
      </c>
      <c r="H60" s="171">
        <v>59</v>
      </c>
      <c r="I60" s="172" t="s">
        <v>286</v>
      </c>
    </row>
    <row r="61" spans="1:9">
      <c r="A61" s="167" t="str">
        <f t="shared" si="1"/>
        <v>성남소방서</v>
      </c>
      <c r="B61" s="168" t="str">
        <f t="shared" si="3"/>
        <v>안전행정위원회</v>
      </c>
      <c r="C61" s="167" t="str">
        <f t="shared" si="2"/>
        <v>재난안전본부</v>
      </c>
      <c r="E61" s="169" t="s">
        <v>130</v>
      </c>
      <c r="F61" s="170" t="s">
        <v>251</v>
      </c>
      <c r="G61" s="169" t="s">
        <v>61</v>
      </c>
      <c r="H61" s="171">
        <v>60</v>
      </c>
      <c r="I61" s="172" t="s">
        <v>288</v>
      </c>
    </row>
    <row r="62" spans="1:9">
      <c r="A62" s="167" t="str">
        <f t="shared" si="1"/>
        <v>분당소방서</v>
      </c>
      <c r="B62" s="168" t="str">
        <f t="shared" si="3"/>
        <v>안전행정위원회</v>
      </c>
      <c r="C62" s="167" t="str">
        <f t="shared" si="2"/>
        <v>재난안전본부</v>
      </c>
      <c r="E62" s="169" t="s">
        <v>130</v>
      </c>
      <c r="F62" s="170" t="s">
        <v>252</v>
      </c>
      <c r="G62" s="169" t="s">
        <v>61</v>
      </c>
      <c r="H62" s="171">
        <v>61</v>
      </c>
      <c r="I62" s="172" t="s">
        <v>290</v>
      </c>
    </row>
    <row r="63" spans="1:9">
      <c r="A63" s="167" t="str">
        <f t="shared" si="1"/>
        <v>부천소방서</v>
      </c>
      <c r="B63" s="168" t="str">
        <f t="shared" si="3"/>
        <v>안전행정위원회</v>
      </c>
      <c r="C63" s="167" t="str">
        <f t="shared" si="2"/>
        <v>재난안전본부</v>
      </c>
      <c r="E63" s="169" t="s">
        <v>130</v>
      </c>
      <c r="F63" s="170" t="s">
        <v>253</v>
      </c>
      <c r="G63" s="169" t="s">
        <v>61</v>
      </c>
      <c r="H63" s="171">
        <v>62</v>
      </c>
      <c r="I63" s="172" t="s">
        <v>454</v>
      </c>
    </row>
    <row r="64" spans="1:9">
      <c r="A64" s="167" t="str">
        <f t="shared" si="1"/>
        <v>안양소방서</v>
      </c>
      <c r="B64" s="168" t="str">
        <f t="shared" si="3"/>
        <v>안전행정위원회</v>
      </c>
      <c r="C64" s="167" t="str">
        <f t="shared" si="2"/>
        <v>재난안전본부</v>
      </c>
      <c r="E64" s="169" t="s">
        <v>130</v>
      </c>
      <c r="F64" s="170" t="s">
        <v>254</v>
      </c>
      <c r="G64" s="169" t="s">
        <v>61</v>
      </c>
      <c r="H64" s="171">
        <v>63</v>
      </c>
      <c r="I64" s="172" t="s">
        <v>455</v>
      </c>
    </row>
    <row r="65" spans="1:9">
      <c r="A65" s="167" t="str">
        <f t="shared" si="1"/>
        <v>안산소방서</v>
      </c>
      <c r="B65" s="168" t="str">
        <f t="shared" si="3"/>
        <v>안전행정위원회</v>
      </c>
      <c r="C65" s="167" t="str">
        <f t="shared" si="2"/>
        <v>재난안전본부</v>
      </c>
      <c r="E65" s="169" t="s">
        <v>130</v>
      </c>
      <c r="F65" s="170" t="s">
        <v>255</v>
      </c>
      <c r="G65" s="169" t="s">
        <v>61</v>
      </c>
      <c r="H65" s="171">
        <v>64</v>
      </c>
      <c r="I65" s="172" t="s">
        <v>456</v>
      </c>
    </row>
    <row r="66" spans="1:9">
      <c r="A66" s="167" t="str">
        <f t="shared" si="1"/>
        <v>용인소방서</v>
      </c>
      <c r="B66" s="168" t="str">
        <f t="shared" ref="B66:B97" si="4">G66</f>
        <v>안전행정위원회</v>
      </c>
      <c r="C66" s="167" t="str">
        <f t="shared" si="2"/>
        <v>재난안전본부</v>
      </c>
      <c r="E66" s="169" t="s">
        <v>130</v>
      </c>
      <c r="F66" s="170" t="s">
        <v>256</v>
      </c>
      <c r="G66" s="169" t="s">
        <v>61</v>
      </c>
      <c r="H66" s="171">
        <v>65</v>
      </c>
      <c r="I66" s="172" t="s">
        <v>457</v>
      </c>
    </row>
    <row r="67" spans="1:9">
      <c r="A67" s="167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68" t="str">
        <f t="shared" si="4"/>
        <v>안전행정위원회</v>
      </c>
      <c r="C67" s="167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69" t="s">
        <v>130</v>
      </c>
      <c r="F67" s="170" t="s">
        <v>257</v>
      </c>
      <c r="G67" s="169" t="s">
        <v>61</v>
      </c>
      <c r="H67" s="171">
        <v>66</v>
      </c>
      <c r="I67" s="172" t="s">
        <v>458</v>
      </c>
    </row>
    <row r="68" spans="1:9">
      <c r="A68" s="167" t="str">
        <f t="shared" si="5"/>
        <v>송탄소방서</v>
      </c>
      <c r="B68" s="168" t="str">
        <f t="shared" si="4"/>
        <v>안전행정위원회</v>
      </c>
      <c r="C68" s="167" t="str">
        <f t="shared" si="6"/>
        <v>재난안전본부</v>
      </c>
      <c r="E68" s="169" t="s">
        <v>130</v>
      </c>
      <c r="F68" s="170" t="s">
        <v>258</v>
      </c>
      <c r="G68" s="169" t="s">
        <v>61</v>
      </c>
      <c r="H68" s="171">
        <v>67</v>
      </c>
      <c r="I68" s="172" t="s">
        <v>459</v>
      </c>
    </row>
    <row r="69" spans="1:9">
      <c r="A69" s="167" t="str">
        <f t="shared" si="5"/>
        <v>광명소방서</v>
      </c>
      <c r="B69" s="168" t="str">
        <f t="shared" si="4"/>
        <v>안전행정위원회</v>
      </c>
      <c r="C69" s="167" t="str">
        <f t="shared" si="6"/>
        <v>재난안전본부</v>
      </c>
      <c r="E69" s="169" t="s">
        <v>130</v>
      </c>
      <c r="F69" s="170" t="s">
        <v>259</v>
      </c>
      <c r="G69" s="169" t="s">
        <v>61</v>
      </c>
      <c r="H69" s="171">
        <v>68</v>
      </c>
      <c r="I69" s="172" t="s">
        <v>460</v>
      </c>
    </row>
    <row r="70" spans="1:9">
      <c r="A70" s="167" t="str">
        <f t="shared" si="5"/>
        <v>시흥소방서</v>
      </c>
      <c r="B70" s="168" t="str">
        <f t="shared" si="4"/>
        <v>안전행정위원회</v>
      </c>
      <c r="C70" s="167" t="str">
        <f t="shared" si="6"/>
        <v>재난안전본부</v>
      </c>
      <c r="E70" s="169" t="s">
        <v>130</v>
      </c>
      <c r="F70" s="170" t="s">
        <v>260</v>
      </c>
      <c r="G70" s="169" t="s">
        <v>61</v>
      </c>
      <c r="H70" s="171">
        <v>69</v>
      </c>
      <c r="I70" s="172" t="s">
        <v>461</v>
      </c>
    </row>
    <row r="71" spans="1:9">
      <c r="A71" s="167" t="str">
        <f t="shared" si="5"/>
        <v>군포소방서</v>
      </c>
      <c r="B71" s="168" t="str">
        <f t="shared" si="4"/>
        <v>안전행정위원회</v>
      </c>
      <c r="C71" s="167" t="str">
        <f t="shared" si="6"/>
        <v>재난안전본부</v>
      </c>
      <c r="E71" s="169" t="s">
        <v>130</v>
      </c>
      <c r="F71" s="170" t="s">
        <v>261</v>
      </c>
      <c r="G71" s="169" t="s">
        <v>61</v>
      </c>
      <c r="H71" s="171">
        <v>70</v>
      </c>
      <c r="I71" s="172" t="s">
        <v>462</v>
      </c>
    </row>
    <row r="72" spans="1:9">
      <c r="A72" s="167" t="str">
        <f t="shared" si="5"/>
        <v>화성소방서</v>
      </c>
      <c r="B72" s="168" t="str">
        <f t="shared" si="4"/>
        <v>안전행정위원회</v>
      </c>
      <c r="C72" s="167" t="str">
        <f t="shared" si="6"/>
        <v>재난안전본부</v>
      </c>
      <c r="E72" s="169" t="s">
        <v>130</v>
      </c>
      <c r="F72" s="170" t="s">
        <v>262</v>
      </c>
      <c r="G72" s="169" t="s">
        <v>61</v>
      </c>
      <c r="H72" s="171">
        <v>71</v>
      </c>
      <c r="I72" s="172" t="s">
        <v>463</v>
      </c>
    </row>
    <row r="73" spans="1:9">
      <c r="A73" s="167" t="str">
        <f t="shared" si="5"/>
        <v>이천소방서</v>
      </c>
      <c r="B73" s="168" t="str">
        <f t="shared" si="4"/>
        <v>안전행정위원회</v>
      </c>
      <c r="C73" s="167" t="str">
        <f t="shared" si="6"/>
        <v>재난안전본부</v>
      </c>
      <c r="E73" s="169" t="s">
        <v>130</v>
      </c>
      <c r="F73" s="170" t="s">
        <v>263</v>
      </c>
      <c r="G73" s="169" t="s">
        <v>61</v>
      </c>
      <c r="H73" s="171">
        <v>72</v>
      </c>
      <c r="I73" s="172" t="s">
        <v>464</v>
      </c>
    </row>
    <row r="74" spans="1:9">
      <c r="A74" s="167" t="str">
        <f t="shared" si="5"/>
        <v>김포소방서</v>
      </c>
      <c r="B74" s="168" t="str">
        <f t="shared" si="4"/>
        <v>안전행정위원회</v>
      </c>
      <c r="C74" s="167" t="str">
        <f t="shared" si="6"/>
        <v>재난안전본부</v>
      </c>
      <c r="E74" s="169" t="s">
        <v>130</v>
      </c>
      <c r="F74" s="170" t="s">
        <v>264</v>
      </c>
      <c r="G74" s="169" t="s">
        <v>61</v>
      </c>
      <c r="H74" s="171">
        <v>73</v>
      </c>
      <c r="I74" s="172" t="s">
        <v>465</v>
      </c>
    </row>
    <row r="75" spans="1:9">
      <c r="A75" s="167" t="str">
        <f t="shared" si="5"/>
        <v>광주소방서</v>
      </c>
      <c r="B75" s="168" t="str">
        <f t="shared" si="4"/>
        <v>안전행정위원회</v>
      </c>
      <c r="C75" s="167" t="str">
        <f t="shared" si="6"/>
        <v>재난안전본부</v>
      </c>
      <c r="E75" s="169" t="s">
        <v>130</v>
      </c>
      <c r="F75" s="170" t="s">
        <v>265</v>
      </c>
      <c r="G75" s="169" t="s">
        <v>61</v>
      </c>
      <c r="H75" s="171">
        <v>74</v>
      </c>
      <c r="I75" s="172" t="s">
        <v>466</v>
      </c>
    </row>
    <row r="76" spans="1:9">
      <c r="A76" s="167" t="str">
        <f t="shared" si="5"/>
        <v>안성소방서</v>
      </c>
      <c r="B76" s="168" t="str">
        <f t="shared" si="4"/>
        <v>안전행정위원회</v>
      </c>
      <c r="C76" s="167" t="str">
        <f t="shared" si="6"/>
        <v>재난안전본부</v>
      </c>
      <c r="E76" s="169" t="s">
        <v>130</v>
      </c>
      <c r="F76" s="170" t="s">
        <v>266</v>
      </c>
      <c r="G76" s="169" t="s">
        <v>61</v>
      </c>
      <c r="H76" s="171">
        <v>75</v>
      </c>
      <c r="I76" s="172" t="s">
        <v>467</v>
      </c>
    </row>
    <row r="77" spans="1:9">
      <c r="A77" s="167" t="str">
        <f t="shared" si="5"/>
        <v>하남소방서</v>
      </c>
      <c r="B77" s="168" t="str">
        <f t="shared" si="4"/>
        <v>안전행정위원회</v>
      </c>
      <c r="C77" s="167" t="str">
        <f t="shared" si="6"/>
        <v>재난안전본부</v>
      </c>
      <c r="E77" s="169" t="s">
        <v>130</v>
      </c>
      <c r="F77" s="170" t="s">
        <v>267</v>
      </c>
      <c r="G77" s="169" t="s">
        <v>61</v>
      </c>
      <c r="H77" s="171">
        <v>76</v>
      </c>
      <c r="I77" s="172" t="s">
        <v>468</v>
      </c>
    </row>
    <row r="78" spans="1:9">
      <c r="A78" s="167" t="str">
        <f t="shared" si="5"/>
        <v>의왕소방서</v>
      </c>
      <c r="B78" s="168" t="str">
        <f t="shared" si="4"/>
        <v>안전행정위원회</v>
      </c>
      <c r="C78" s="167" t="str">
        <f t="shared" si="6"/>
        <v>재난안전본부</v>
      </c>
      <c r="E78" s="169" t="s">
        <v>130</v>
      </c>
      <c r="F78" s="170" t="s">
        <v>268</v>
      </c>
      <c r="G78" s="169" t="s">
        <v>61</v>
      </c>
      <c r="H78" s="171">
        <v>77</v>
      </c>
      <c r="I78" s="172" t="s">
        <v>469</v>
      </c>
    </row>
    <row r="79" spans="1:9">
      <c r="A79" s="167" t="str">
        <f t="shared" si="5"/>
        <v>오산소방서</v>
      </c>
      <c r="B79" s="168" t="str">
        <f t="shared" si="4"/>
        <v>안전행정위원회</v>
      </c>
      <c r="C79" s="167" t="str">
        <f t="shared" si="6"/>
        <v>재난안전본부</v>
      </c>
      <c r="E79" s="169" t="s">
        <v>130</v>
      </c>
      <c r="F79" s="170" t="s">
        <v>269</v>
      </c>
      <c r="G79" s="169" t="s">
        <v>61</v>
      </c>
      <c r="H79" s="171">
        <v>78</v>
      </c>
      <c r="I79" s="172" t="s">
        <v>470</v>
      </c>
    </row>
    <row r="80" spans="1:9">
      <c r="A80" s="167" t="str">
        <f t="shared" si="5"/>
        <v>여주소방서</v>
      </c>
      <c r="B80" s="168" t="str">
        <f t="shared" si="4"/>
        <v>안전행정위원회</v>
      </c>
      <c r="C80" s="167" t="str">
        <f t="shared" si="6"/>
        <v>재난안전본부</v>
      </c>
      <c r="E80" s="169" t="s">
        <v>130</v>
      </c>
      <c r="F80" s="170" t="s">
        <v>270</v>
      </c>
      <c r="G80" s="169" t="s">
        <v>61</v>
      </c>
      <c r="H80" s="171">
        <v>79</v>
      </c>
      <c r="I80" s="172" t="s">
        <v>471</v>
      </c>
    </row>
    <row r="81" spans="1:9">
      <c r="A81" s="167" t="str">
        <f t="shared" si="5"/>
        <v>양평소방서</v>
      </c>
      <c r="B81" s="168" t="str">
        <f t="shared" si="4"/>
        <v>안전행정위원회</v>
      </c>
      <c r="C81" s="167" t="str">
        <f t="shared" si="6"/>
        <v>재난안전본부</v>
      </c>
      <c r="E81" s="169" t="s">
        <v>130</v>
      </c>
      <c r="F81" s="170" t="s">
        <v>271</v>
      </c>
      <c r="G81" s="169" t="s">
        <v>61</v>
      </c>
      <c r="H81" s="171">
        <v>80</v>
      </c>
      <c r="I81" s="172" t="s">
        <v>472</v>
      </c>
    </row>
    <row r="82" spans="1:9">
      <c r="A82" s="167" t="str">
        <f t="shared" si="5"/>
        <v>과천소방서</v>
      </c>
      <c r="B82" s="168" t="str">
        <f t="shared" si="4"/>
        <v>안전행정위원회</v>
      </c>
      <c r="C82" s="167" t="str">
        <f t="shared" si="6"/>
        <v>재난안전본부</v>
      </c>
      <c r="E82" s="169" t="s">
        <v>130</v>
      </c>
      <c r="F82" s="170" t="s">
        <v>272</v>
      </c>
      <c r="G82" s="169" t="s">
        <v>61</v>
      </c>
      <c r="H82" s="171">
        <v>81</v>
      </c>
      <c r="I82" s="172" t="s">
        <v>473</v>
      </c>
    </row>
    <row r="83" spans="1:9">
      <c r="A83" s="167" t="str">
        <f t="shared" si="5"/>
        <v>고양소방서</v>
      </c>
      <c r="B83" s="168" t="str">
        <f t="shared" si="4"/>
        <v>안전행정위원회</v>
      </c>
      <c r="C83" s="167" t="str">
        <f t="shared" si="6"/>
        <v>재난안전본부</v>
      </c>
      <c r="E83" s="169" t="s">
        <v>130</v>
      </c>
      <c r="F83" s="170" t="s">
        <v>273</v>
      </c>
      <c r="G83" s="169" t="s">
        <v>61</v>
      </c>
      <c r="H83" s="171">
        <v>82</v>
      </c>
      <c r="I83" s="172" t="s">
        <v>474</v>
      </c>
    </row>
    <row r="84" spans="1:9">
      <c r="A84" s="167" t="str">
        <f t="shared" si="5"/>
        <v>일산소방서</v>
      </c>
      <c r="B84" s="168" t="str">
        <f t="shared" si="4"/>
        <v>안전행정위원회</v>
      </c>
      <c r="C84" s="167" t="str">
        <f t="shared" si="6"/>
        <v>재난안전본부</v>
      </c>
      <c r="E84" s="169" t="s">
        <v>130</v>
      </c>
      <c r="F84" s="170" t="s">
        <v>274</v>
      </c>
      <c r="G84" s="169" t="s">
        <v>61</v>
      </c>
      <c r="H84" s="171">
        <v>83</v>
      </c>
      <c r="I84" s="172" t="s">
        <v>475</v>
      </c>
    </row>
    <row r="85" spans="1:9">
      <c r="A85" s="167" t="str">
        <f t="shared" si="5"/>
        <v>의정부소방서</v>
      </c>
      <c r="B85" s="168" t="str">
        <f t="shared" si="4"/>
        <v>안전행정위원회</v>
      </c>
      <c r="C85" s="167" t="str">
        <f t="shared" si="6"/>
        <v>재난안전본부</v>
      </c>
      <c r="E85" s="169" t="s">
        <v>130</v>
      </c>
      <c r="F85" s="170" t="s">
        <v>275</v>
      </c>
      <c r="G85" s="169" t="s">
        <v>61</v>
      </c>
      <c r="H85" s="171">
        <v>84</v>
      </c>
      <c r="I85" s="172" t="s">
        <v>476</v>
      </c>
    </row>
    <row r="86" spans="1:9">
      <c r="A86" s="167" t="str">
        <f t="shared" si="5"/>
        <v>남양주소방서</v>
      </c>
      <c r="B86" s="168" t="str">
        <f t="shared" si="4"/>
        <v>안전행정위원회</v>
      </c>
      <c r="C86" s="167" t="str">
        <f t="shared" si="6"/>
        <v>재난안전본부</v>
      </c>
      <c r="E86" s="169" t="s">
        <v>130</v>
      </c>
      <c r="F86" s="170" t="s">
        <v>276</v>
      </c>
      <c r="G86" s="169" t="s">
        <v>61</v>
      </c>
      <c r="H86" s="171">
        <v>85</v>
      </c>
      <c r="I86" s="172" t="s">
        <v>477</v>
      </c>
    </row>
    <row r="87" spans="1:9">
      <c r="A87" s="167" t="str">
        <f t="shared" si="5"/>
        <v>파주소방서</v>
      </c>
      <c r="B87" s="168" t="str">
        <f t="shared" si="4"/>
        <v>안전행정위원회</v>
      </c>
      <c r="C87" s="167" t="str">
        <f t="shared" si="6"/>
        <v>재난안전본부</v>
      </c>
      <c r="E87" s="169" t="s">
        <v>130</v>
      </c>
      <c r="F87" s="170" t="s">
        <v>277</v>
      </c>
      <c r="G87" s="169" t="s">
        <v>61</v>
      </c>
      <c r="H87" s="171">
        <v>86</v>
      </c>
      <c r="I87" s="172" t="s">
        <v>478</v>
      </c>
    </row>
    <row r="88" spans="1:9">
      <c r="A88" s="167" t="str">
        <f t="shared" si="5"/>
        <v>구리소방서</v>
      </c>
      <c r="B88" s="168" t="str">
        <f t="shared" si="4"/>
        <v>안전행정위원회</v>
      </c>
      <c r="C88" s="167" t="str">
        <f t="shared" si="6"/>
        <v>재난안전본부</v>
      </c>
      <c r="E88" s="169" t="s">
        <v>130</v>
      </c>
      <c r="F88" s="170" t="s">
        <v>278</v>
      </c>
      <c r="G88" s="169" t="s">
        <v>61</v>
      </c>
      <c r="H88" s="171">
        <v>87</v>
      </c>
      <c r="I88" s="172" t="s">
        <v>479</v>
      </c>
    </row>
    <row r="89" spans="1:9">
      <c r="A89" s="167" t="str">
        <f t="shared" si="5"/>
        <v>포천소방서</v>
      </c>
      <c r="B89" s="168" t="str">
        <f t="shared" si="4"/>
        <v>안전행정위원회</v>
      </c>
      <c r="C89" s="167" t="str">
        <f t="shared" si="6"/>
        <v>재난안전본부</v>
      </c>
      <c r="E89" s="169" t="s">
        <v>130</v>
      </c>
      <c r="F89" s="170" t="s">
        <v>279</v>
      </c>
      <c r="G89" s="169" t="s">
        <v>61</v>
      </c>
      <c r="H89" s="171">
        <v>88</v>
      </c>
      <c r="I89" s="172" t="s">
        <v>480</v>
      </c>
    </row>
    <row r="90" spans="1:9">
      <c r="A90" s="167" t="str">
        <f t="shared" si="5"/>
        <v>양주소방서</v>
      </c>
      <c r="B90" s="168" t="str">
        <f t="shared" si="4"/>
        <v>안전행정위원회</v>
      </c>
      <c r="C90" s="167" t="str">
        <f t="shared" si="6"/>
        <v>재난안전본부</v>
      </c>
      <c r="E90" s="169" t="s">
        <v>130</v>
      </c>
      <c r="F90" s="170" t="s">
        <v>280</v>
      </c>
      <c r="G90" s="169" t="s">
        <v>61</v>
      </c>
      <c r="H90" s="171">
        <v>89</v>
      </c>
      <c r="I90" s="172" t="s">
        <v>481</v>
      </c>
    </row>
    <row r="91" spans="1:9">
      <c r="A91" s="167" t="str">
        <f t="shared" si="5"/>
        <v>동두천소방서</v>
      </c>
      <c r="B91" s="168" t="str">
        <f t="shared" si="4"/>
        <v>안전행정위원회</v>
      </c>
      <c r="C91" s="167" t="str">
        <f t="shared" si="6"/>
        <v>재난안전본부</v>
      </c>
      <c r="E91" s="169" t="s">
        <v>130</v>
      </c>
      <c r="F91" s="170" t="s">
        <v>281</v>
      </c>
      <c r="G91" s="169" t="s">
        <v>61</v>
      </c>
      <c r="H91" s="171">
        <v>90</v>
      </c>
      <c r="I91" s="172" t="s">
        <v>482</v>
      </c>
    </row>
    <row r="92" spans="1:9">
      <c r="A92" s="167" t="str">
        <f t="shared" si="5"/>
        <v>가평소방서</v>
      </c>
      <c r="B92" s="168" t="str">
        <f t="shared" si="4"/>
        <v>안전행정위원회</v>
      </c>
      <c r="C92" s="167" t="str">
        <f t="shared" si="6"/>
        <v>재난안전본부</v>
      </c>
      <c r="E92" s="169" t="s">
        <v>130</v>
      </c>
      <c r="F92" s="170" t="s">
        <v>282</v>
      </c>
      <c r="G92" s="169" t="s">
        <v>61</v>
      </c>
      <c r="H92" s="171">
        <v>91</v>
      </c>
      <c r="I92" s="172" t="s">
        <v>483</v>
      </c>
    </row>
    <row r="93" spans="1:9">
      <c r="A93" s="167" t="str">
        <f t="shared" si="5"/>
        <v>연천소방서</v>
      </c>
      <c r="B93" s="168" t="str">
        <f t="shared" si="4"/>
        <v>안전행정위원회</v>
      </c>
      <c r="C93" s="167" t="str">
        <f t="shared" si="6"/>
        <v>재난안전본부</v>
      </c>
      <c r="E93" s="169" t="s">
        <v>130</v>
      </c>
      <c r="F93" s="170" t="s">
        <v>283</v>
      </c>
      <c r="G93" s="169" t="s">
        <v>61</v>
      </c>
      <c r="H93" s="171">
        <v>92</v>
      </c>
      <c r="I93" s="172" t="s">
        <v>484</v>
      </c>
    </row>
    <row r="94" spans="1:9">
      <c r="A94" s="167" t="str">
        <f t="shared" si="5"/>
        <v>행정관리담당관</v>
      </c>
      <c r="B94" s="168" t="str">
        <f t="shared" si="4"/>
        <v>안전행정위원회</v>
      </c>
      <c r="C94" s="167" t="str">
        <f t="shared" si="6"/>
        <v>균형발전기획실</v>
      </c>
      <c r="E94" s="169" t="s">
        <v>327</v>
      </c>
      <c r="F94" s="170" t="s">
        <v>332</v>
      </c>
      <c r="G94" s="169" t="s">
        <v>61</v>
      </c>
      <c r="H94" s="171">
        <v>93</v>
      </c>
      <c r="I94" s="172" t="s">
        <v>292</v>
      </c>
    </row>
    <row r="95" spans="1:9">
      <c r="A95" s="167" t="str">
        <f t="shared" si="5"/>
        <v>비상기획담당관</v>
      </c>
      <c r="B95" s="168" t="str">
        <f t="shared" si="4"/>
        <v>안전행정위원회</v>
      </c>
      <c r="C95" s="167" t="str">
        <f t="shared" si="6"/>
        <v>균형발전기획실</v>
      </c>
      <c r="E95" s="169" t="s">
        <v>327</v>
      </c>
      <c r="F95" s="170" t="s">
        <v>338</v>
      </c>
      <c r="G95" s="169" t="s">
        <v>61</v>
      </c>
      <c r="H95" s="171">
        <v>94</v>
      </c>
      <c r="I95" s="172" t="s">
        <v>294</v>
      </c>
    </row>
    <row r="96" spans="1:9">
      <c r="A96" s="167" t="str">
        <f t="shared" si="5"/>
        <v>인재개발원</v>
      </c>
      <c r="B96" s="168" t="str">
        <f t="shared" si="4"/>
        <v>안전행정위원회</v>
      </c>
      <c r="C96" s="167" t="str">
        <f t="shared" si="6"/>
        <v>인재개발원</v>
      </c>
      <c r="E96" s="169" t="s">
        <v>126</v>
      </c>
      <c r="F96" s="170" t="s">
        <v>395</v>
      </c>
      <c r="G96" s="169" t="s">
        <v>61</v>
      </c>
      <c r="H96" s="171">
        <v>95</v>
      </c>
      <c r="I96" s="172" t="s">
        <v>300</v>
      </c>
    </row>
    <row r="97" spans="1:9">
      <c r="A97" s="167" t="str">
        <f t="shared" si="5"/>
        <v>문화정책과</v>
      </c>
      <c r="B97" s="168" t="str">
        <f t="shared" si="4"/>
        <v>문화체육관광위원회</v>
      </c>
      <c r="C97" s="167" t="str">
        <f t="shared" si="6"/>
        <v>문화체육관광국</v>
      </c>
      <c r="E97" s="169" t="s">
        <v>112</v>
      </c>
      <c r="F97" s="170" t="s">
        <v>196</v>
      </c>
      <c r="G97" s="169" t="s">
        <v>14</v>
      </c>
      <c r="H97" s="171">
        <v>96</v>
      </c>
      <c r="I97" s="172" t="s">
        <v>306</v>
      </c>
    </row>
    <row r="98" spans="1:9">
      <c r="A98" s="167" t="str">
        <f t="shared" si="5"/>
        <v>종무과</v>
      </c>
      <c r="B98" s="168" t="str">
        <f t="shared" ref="B98:B129" si="7">G98</f>
        <v>문화체육관광위원회</v>
      </c>
      <c r="C98" s="167" t="str">
        <f t="shared" si="6"/>
        <v>문화체육관광국</v>
      </c>
      <c r="E98" s="169" t="s">
        <v>112</v>
      </c>
      <c r="F98" s="170" t="s">
        <v>198</v>
      </c>
      <c r="G98" s="169" t="s">
        <v>14</v>
      </c>
      <c r="H98" s="171">
        <v>97</v>
      </c>
      <c r="I98" s="172" t="s">
        <v>308</v>
      </c>
    </row>
    <row r="99" spans="1:9">
      <c r="A99" s="167" t="str">
        <f t="shared" si="5"/>
        <v>체육과</v>
      </c>
      <c r="B99" s="168" t="str">
        <f t="shared" si="7"/>
        <v>문화체육관광위원회</v>
      </c>
      <c r="C99" s="167" t="str">
        <f t="shared" si="6"/>
        <v>문화체육관광국</v>
      </c>
      <c r="E99" s="169" t="s">
        <v>112</v>
      </c>
      <c r="F99" s="170" t="s">
        <v>200</v>
      </c>
      <c r="G99" s="169" t="s">
        <v>14</v>
      </c>
      <c r="H99" s="171">
        <v>98</v>
      </c>
      <c r="I99" s="172" t="s">
        <v>310</v>
      </c>
    </row>
    <row r="100" spans="1:9">
      <c r="A100" s="167" t="str">
        <f t="shared" si="5"/>
        <v>문화유산과</v>
      </c>
      <c r="B100" s="168" t="str">
        <f t="shared" si="7"/>
        <v>문화체육관광위원회</v>
      </c>
      <c r="C100" s="167" t="str">
        <f t="shared" si="6"/>
        <v>문화체육관광국</v>
      </c>
      <c r="E100" s="169" t="s">
        <v>112</v>
      </c>
      <c r="F100" s="170" t="s">
        <v>202</v>
      </c>
      <c r="G100" s="169" t="s">
        <v>14</v>
      </c>
      <c r="H100" s="171">
        <v>99</v>
      </c>
      <c r="I100" s="172" t="s">
        <v>312</v>
      </c>
    </row>
    <row r="101" spans="1:9">
      <c r="A101" s="167" t="str">
        <f t="shared" si="5"/>
        <v>콘텐츠산업과</v>
      </c>
      <c r="B101" s="168" t="str">
        <f t="shared" si="7"/>
        <v>문화체육관광위원회</v>
      </c>
      <c r="C101" s="167" t="str">
        <f t="shared" si="6"/>
        <v>문화체육관광국</v>
      </c>
      <c r="E101" s="169" t="s">
        <v>112</v>
      </c>
      <c r="F101" s="170" t="s">
        <v>204</v>
      </c>
      <c r="G101" s="169" t="s">
        <v>14</v>
      </c>
      <c r="H101" s="171">
        <v>100</v>
      </c>
      <c r="I101" s="172" t="s">
        <v>314</v>
      </c>
    </row>
    <row r="102" spans="1:9">
      <c r="A102" s="167" t="str">
        <f t="shared" si="5"/>
        <v>관광과</v>
      </c>
      <c r="B102" s="168" t="str">
        <f t="shared" si="7"/>
        <v>문화체육관광위원회</v>
      </c>
      <c r="C102" s="167" t="str">
        <f t="shared" si="6"/>
        <v>문화체육관광국</v>
      </c>
      <c r="E102" s="169" t="s">
        <v>112</v>
      </c>
      <c r="F102" s="170" t="s">
        <v>206</v>
      </c>
      <c r="G102" s="169" t="s">
        <v>14</v>
      </c>
      <c r="H102" s="171">
        <v>101</v>
      </c>
      <c r="I102" s="172" t="s">
        <v>316</v>
      </c>
    </row>
    <row r="103" spans="1:9">
      <c r="A103" s="167" t="str">
        <f t="shared" si="5"/>
        <v>농업정책과</v>
      </c>
      <c r="B103" s="168" t="str">
        <f t="shared" si="7"/>
        <v>농정해양위원회</v>
      </c>
      <c r="C103" s="167" t="str">
        <f t="shared" si="6"/>
        <v>농정해양국</v>
      </c>
      <c r="E103" s="169" t="s">
        <v>65</v>
      </c>
      <c r="F103" s="170" t="s">
        <v>207</v>
      </c>
      <c r="G103" s="169" t="s">
        <v>64</v>
      </c>
      <c r="H103" s="171">
        <v>102</v>
      </c>
      <c r="I103" s="172" t="s">
        <v>317</v>
      </c>
    </row>
    <row r="104" spans="1:9">
      <c r="A104" s="167" t="str">
        <f t="shared" si="5"/>
        <v>해양항만정책과</v>
      </c>
      <c r="B104" s="168" t="str">
        <f t="shared" si="7"/>
        <v>농정해양위원회</v>
      </c>
      <c r="C104" s="167" t="str">
        <f t="shared" si="6"/>
        <v>농정해양국</v>
      </c>
      <c r="E104" s="169" t="s">
        <v>65</v>
      </c>
      <c r="F104" s="170" t="s">
        <v>209</v>
      </c>
      <c r="G104" s="169" t="s">
        <v>64</v>
      </c>
      <c r="H104" s="171">
        <v>103</v>
      </c>
      <c r="I104" s="172" t="s">
        <v>318</v>
      </c>
    </row>
    <row r="105" spans="1:9">
      <c r="A105" s="167" t="str">
        <f t="shared" si="5"/>
        <v>농식품유통과</v>
      </c>
      <c r="B105" s="168" t="str">
        <f t="shared" si="7"/>
        <v>농정해양위원회</v>
      </c>
      <c r="C105" s="167" t="str">
        <f t="shared" si="6"/>
        <v>농정해양국</v>
      </c>
      <c r="E105" s="169" t="s">
        <v>65</v>
      </c>
      <c r="F105" s="170" t="s">
        <v>211</v>
      </c>
      <c r="G105" s="169" t="s">
        <v>64</v>
      </c>
      <c r="H105" s="171">
        <v>104</v>
      </c>
      <c r="I105" s="172" t="s">
        <v>320</v>
      </c>
    </row>
    <row r="106" spans="1:9">
      <c r="A106" s="167" t="str">
        <f t="shared" si="5"/>
        <v>친환경농업과</v>
      </c>
      <c r="B106" s="168" t="str">
        <f t="shared" si="7"/>
        <v>농정해양위원회</v>
      </c>
      <c r="C106" s="167" t="str">
        <f t="shared" si="6"/>
        <v>농정해양국</v>
      </c>
      <c r="E106" s="169" t="s">
        <v>65</v>
      </c>
      <c r="F106" s="170" t="s">
        <v>66</v>
      </c>
      <c r="G106" s="169" t="s">
        <v>64</v>
      </c>
      <c r="H106" s="171">
        <v>105</v>
      </c>
      <c r="I106" s="172" t="s">
        <v>322</v>
      </c>
    </row>
    <row r="107" spans="1:9">
      <c r="A107" s="167" t="str">
        <f t="shared" si="5"/>
        <v>수산과</v>
      </c>
      <c r="B107" s="168" t="str">
        <f t="shared" si="7"/>
        <v>농정해양위원회</v>
      </c>
      <c r="C107" s="167" t="str">
        <f t="shared" si="6"/>
        <v>농정해양국</v>
      </c>
      <c r="E107" s="169" t="s">
        <v>65</v>
      </c>
      <c r="F107" s="170" t="s">
        <v>214</v>
      </c>
      <c r="G107" s="169" t="s">
        <v>64</v>
      </c>
      <c r="H107" s="171">
        <v>106</v>
      </c>
      <c r="I107" s="172" t="s">
        <v>323</v>
      </c>
    </row>
    <row r="108" spans="1:9">
      <c r="A108" s="167" t="str">
        <f t="shared" si="5"/>
        <v>해양수산자원연구소</v>
      </c>
      <c r="B108" s="168" t="str">
        <f t="shared" si="7"/>
        <v>농정해양위원회</v>
      </c>
      <c r="C108" s="167" t="str">
        <f t="shared" si="6"/>
        <v>농정해양국</v>
      </c>
      <c r="E108" s="169" t="s">
        <v>65</v>
      </c>
      <c r="F108" s="170" t="s">
        <v>216</v>
      </c>
      <c r="G108" s="169" t="s">
        <v>64</v>
      </c>
      <c r="H108" s="171">
        <v>107</v>
      </c>
      <c r="I108" s="172" t="s">
        <v>485</v>
      </c>
    </row>
    <row r="109" spans="1:9">
      <c r="A109" s="167" t="str">
        <f t="shared" si="5"/>
        <v>축산정책과</v>
      </c>
      <c r="B109" s="168" t="str">
        <f t="shared" si="7"/>
        <v>농정해양위원회</v>
      </c>
      <c r="C109" s="167" t="str">
        <f t="shared" si="6"/>
        <v>축산산림국</v>
      </c>
      <c r="E109" s="169" t="s">
        <v>67</v>
      </c>
      <c r="F109" s="170" t="s">
        <v>362</v>
      </c>
      <c r="G109" s="169" t="s">
        <v>64</v>
      </c>
      <c r="H109" s="171">
        <v>108</v>
      </c>
      <c r="I109" s="172" t="s">
        <v>324</v>
      </c>
    </row>
    <row r="110" spans="1:9">
      <c r="A110" s="167" t="str">
        <f t="shared" si="5"/>
        <v>동물방역위생과</v>
      </c>
      <c r="B110" s="168" t="str">
        <f t="shared" si="7"/>
        <v>농정해양위원회</v>
      </c>
      <c r="C110" s="167" t="str">
        <f t="shared" si="6"/>
        <v>축산산림국</v>
      </c>
      <c r="E110" s="169" t="s">
        <v>67</v>
      </c>
      <c r="F110" s="170" t="s">
        <v>68</v>
      </c>
      <c r="G110" s="169" t="s">
        <v>64</v>
      </c>
      <c r="H110" s="171">
        <v>109</v>
      </c>
      <c r="I110" s="172" t="s">
        <v>326</v>
      </c>
    </row>
    <row r="111" spans="1:9">
      <c r="A111" s="167" t="str">
        <f t="shared" si="5"/>
        <v>산림과</v>
      </c>
      <c r="B111" s="168" t="str">
        <f t="shared" si="7"/>
        <v>농정해양위원회</v>
      </c>
      <c r="C111" s="167" t="str">
        <f t="shared" si="6"/>
        <v>축산산림국</v>
      </c>
      <c r="E111" s="169" t="s">
        <v>67</v>
      </c>
      <c r="F111" s="170" t="s">
        <v>365</v>
      </c>
      <c r="G111" s="169" t="s">
        <v>64</v>
      </c>
      <c r="H111" s="171">
        <v>110</v>
      </c>
      <c r="I111" s="172" t="s">
        <v>486</v>
      </c>
    </row>
    <row r="112" spans="1:9">
      <c r="A112" s="167" t="str">
        <f t="shared" si="5"/>
        <v>축산위생연구소</v>
      </c>
      <c r="B112" s="168" t="str">
        <f t="shared" si="7"/>
        <v>농정해양위원회</v>
      </c>
      <c r="C112" s="167" t="str">
        <f t="shared" si="6"/>
        <v>축산산림국</v>
      </c>
      <c r="E112" s="169" t="s">
        <v>67</v>
      </c>
      <c r="F112" s="170" t="s">
        <v>367</v>
      </c>
      <c r="G112" s="169" t="s">
        <v>64</v>
      </c>
      <c r="H112" s="171">
        <v>111</v>
      </c>
      <c r="I112" s="172" t="s">
        <v>487</v>
      </c>
    </row>
    <row r="113" spans="1:9">
      <c r="A113" s="167" t="str">
        <f t="shared" si="5"/>
        <v>북부축산위생연구소</v>
      </c>
      <c r="B113" s="168" t="str">
        <f t="shared" si="7"/>
        <v>농정해양위원회</v>
      </c>
      <c r="C113" s="167" t="str">
        <f t="shared" si="6"/>
        <v>축산산림국</v>
      </c>
      <c r="E113" s="169" t="s">
        <v>67</v>
      </c>
      <c r="F113" s="170" t="s">
        <v>368</v>
      </c>
      <c r="G113" s="169" t="s">
        <v>64</v>
      </c>
      <c r="H113" s="171">
        <v>112</v>
      </c>
      <c r="I113" s="172" t="s">
        <v>488</v>
      </c>
    </row>
    <row r="114" spans="1:9">
      <c r="A114" s="167" t="str">
        <f t="shared" si="5"/>
        <v>산림환경연구소</v>
      </c>
      <c r="B114" s="168" t="str">
        <f t="shared" si="7"/>
        <v>농정해양위원회</v>
      </c>
      <c r="C114" s="167" t="str">
        <f t="shared" si="6"/>
        <v>축산산림국</v>
      </c>
      <c r="E114" s="169" t="s">
        <v>67</v>
      </c>
      <c r="F114" s="170" t="s">
        <v>369</v>
      </c>
      <c r="G114" s="169" t="s">
        <v>64</v>
      </c>
      <c r="H114" s="171">
        <v>113</v>
      </c>
      <c r="I114" s="172" t="s">
        <v>489</v>
      </c>
    </row>
    <row r="115" spans="1:9">
      <c r="A115" s="167" t="str">
        <f t="shared" si="5"/>
        <v>농업기술원(총무과)</v>
      </c>
      <c r="B115" s="168" t="str">
        <f t="shared" si="7"/>
        <v>농정해양위원회</v>
      </c>
      <c r="C115" s="167" t="str">
        <f t="shared" si="6"/>
        <v>농업기술원</v>
      </c>
      <c r="E115" s="169" t="s">
        <v>125</v>
      </c>
      <c r="F115" s="170" t="s">
        <v>389</v>
      </c>
      <c r="G115" s="169" t="s">
        <v>64</v>
      </c>
      <c r="H115" s="171">
        <v>114</v>
      </c>
      <c r="I115" s="172" t="s">
        <v>329</v>
      </c>
    </row>
    <row r="116" spans="1:9">
      <c r="A116" s="167" t="str">
        <f t="shared" si="5"/>
        <v>작물연구과</v>
      </c>
      <c r="B116" s="168" t="str">
        <f t="shared" si="7"/>
        <v>농정해양위원회</v>
      </c>
      <c r="C116" s="167" t="str">
        <f t="shared" si="6"/>
        <v>농업기술원</v>
      </c>
      <c r="E116" s="169" t="s">
        <v>125</v>
      </c>
      <c r="F116" s="170" t="s">
        <v>418</v>
      </c>
      <c r="G116" s="169" t="s">
        <v>64</v>
      </c>
      <c r="H116" s="171">
        <v>115</v>
      </c>
      <c r="I116" s="172" t="s">
        <v>331</v>
      </c>
    </row>
    <row r="117" spans="1:9">
      <c r="A117" s="167" t="str">
        <f t="shared" si="5"/>
        <v>원예연구과</v>
      </c>
      <c r="B117" s="168" t="str">
        <f t="shared" si="7"/>
        <v>농정해양위원회</v>
      </c>
      <c r="C117" s="167" t="str">
        <f t="shared" si="6"/>
        <v>농업기술원</v>
      </c>
      <c r="E117" s="169" t="s">
        <v>125</v>
      </c>
      <c r="F117" s="170" t="s">
        <v>419</v>
      </c>
      <c r="G117" s="169" t="s">
        <v>64</v>
      </c>
      <c r="H117" s="171">
        <v>116</v>
      </c>
      <c r="I117" s="172" t="s">
        <v>333</v>
      </c>
    </row>
    <row r="118" spans="1:9">
      <c r="A118" s="167" t="str">
        <f t="shared" si="5"/>
        <v>환경농업연구과</v>
      </c>
      <c r="B118" s="168" t="str">
        <f t="shared" si="7"/>
        <v>농정해양위원회</v>
      </c>
      <c r="C118" s="167" t="str">
        <f t="shared" si="6"/>
        <v>농업기술원</v>
      </c>
      <c r="E118" s="169" t="s">
        <v>125</v>
      </c>
      <c r="F118" s="170" t="s">
        <v>420</v>
      </c>
      <c r="G118" s="169" t="s">
        <v>64</v>
      </c>
      <c r="H118" s="171">
        <v>117</v>
      </c>
      <c r="I118" s="172" t="s">
        <v>335</v>
      </c>
    </row>
    <row r="119" spans="1:9">
      <c r="A119" s="167" t="str">
        <f t="shared" si="5"/>
        <v>지원기획과</v>
      </c>
      <c r="B119" s="168" t="str">
        <f t="shared" si="7"/>
        <v>농정해양위원회</v>
      </c>
      <c r="C119" s="167" t="str">
        <f t="shared" si="6"/>
        <v>농업기술원</v>
      </c>
      <c r="E119" s="169" t="s">
        <v>125</v>
      </c>
      <c r="F119" s="170" t="s">
        <v>421</v>
      </c>
      <c r="G119" s="169" t="s">
        <v>64</v>
      </c>
      <c r="H119" s="171">
        <v>118</v>
      </c>
      <c r="I119" s="172" t="s">
        <v>337</v>
      </c>
    </row>
    <row r="120" spans="1:9">
      <c r="A120" s="167" t="str">
        <f t="shared" si="5"/>
        <v>기술보급과</v>
      </c>
      <c r="B120" s="168" t="str">
        <f t="shared" si="7"/>
        <v>농정해양위원회</v>
      </c>
      <c r="C120" s="167" t="str">
        <f t="shared" si="6"/>
        <v>농업기술원</v>
      </c>
      <c r="E120" s="169" t="s">
        <v>125</v>
      </c>
      <c r="F120" s="170" t="s">
        <v>422</v>
      </c>
      <c r="G120" s="169" t="s">
        <v>64</v>
      </c>
      <c r="H120" s="171">
        <v>119</v>
      </c>
      <c r="I120" s="172" t="s">
        <v>339</v>
      </c>
    </row>
    <row r="121" spans="1:9">
      <c r="A121" s="167" t="str">
        <f t="shared" si="5"/>
        <v>농촌자원과</v>
      </c>
      <c r="B121" s="168" t="str">
        <f t="shared" si="7"/>
        <v>농정해양위원회</v>
      </c>
      <c r="C121" s="167" t="str">
        <f t="shared" si="6"/>
        <v>농업기술원</v>
      </c>
      <c r="E121" s="169" t="s">
        <v>125</v>
      </c>
      <c r="F121" s="170" t="s">
        <v>423</v>
      </c>
      <c r="G121" s="169" t="s">
        <v>64</v>
      </c>
      <c r="H121" s="171">
        <v>120</v>
      </c>
      <c r="I121" s="172" t="s">
        <v>341</v>
      </c>
    </row>
    <row r="122" spans="1:9">
      <c r="A122" s="167" t="str">
        <f t="shared" si="5"/>
        <v>종자관리소</v>
      </c>
      <c r="B122" s="168" t="str">
        <f t="shared" si="7"/>
        <v>농정해양위원회</v>
      </c>
      <c r="C122" s="167" t="str">
        <f t="shared" si="6"/>
        <v>농업기술원</v>
      </c>
      <c r="E122" s="169" t="s">
        <v>125</v>
      </c>
      <c r="F122" s="170" t="s">
        <v>424</v>
      </c>
      <c r="G122" s="169" t="s">
        <v>64</v>
      </c>
      <c r="H122" s="171">
        <v>121</v>
      </c>
      <c r="I122" s="172" t="s">
        <v>490</v>
      </c>
    </row>
    <row r="123" spans="1:9">
      <c r="A123" s="167" t="str">
        <f t="shared" si="5"/>
        <v>버섯연구소</v>
      </c>
      <c r="B123" s="168" t="str">
        <f t="shared" si="7"/>
        <v>농정해양위원회</v>
      </c>
      <c r="C123" s="167" t="str">
        <f t="shared" si="6"/>
        <v>농업기술원</v>
      </c>
      <c r="E123" s="169" t="s">
        <v>125</v>
      </c>
      <c r="F123" s="170" t="s">
        <v>425</v>
      </c>
      <c r="G123" s="169" t="s">
        <v>64</v>
      </c>
      <c r="H123" s="171">
        <v>122</v>
      </c>
      <c r="I123" s="172" t="s">
        <v>491</v>
      </c>
    </row>
    <row r="124" spans="1:9">
      <c r="A124" s="167" t="str">
        <f t="shared" si="5"/>
        <v>소득자원연구소</v>
      </c>
      <c r="B124" s="168" t="str">
        <f t="shared" si="7"/>
        <v>농정해양위원회</v>
      </c>
      <c r="C124" s="167" t="str">
        <f t="shared" si="6"/>
        <v>농업기술원</v>
      </c>
      <c r="E124" s="169" t="s">
        <v>125</v>
      </c>
      <c r="F124" s="170" t="s">
        <v>426</v>
      </c>
      <c r="G124" s="169" t="s">
        <v>64</v>
      </c>
      <c r="H124" s="171">
        <v>123</v>
      </c>
      <c r="I124" s="172" t="s">
        <v>492</v>
      </c>
    </row>
    <row r="125" spans="1:9">
      <c r="A125" s="167" t="str">
        <f t="shared" si="5"/>
        <v>선인장다육식물연구소</v>
      </c>
      <c r="B125" s="168" t="str">
        <f t="shared" si="7"/>
        <v>농정해양위원회</v>
      </c>
      <c r="C125" s="167" t="str">
        <f t="shared" si="6"/>
        <v>농업기술원</v>
      </c>
      <c r="E125" s="169" t="s">
        <v>125</v>
      </c>
      <c r="F125" s="170" t="s">
        <v>427</v>
      </c>
      <c r="G125" s="169" t="s">
        <v>64</v>
      </c>
      <c r="H125" s="171">
        <v>124</v>
      </c>
      <c r="I125" s="172" t="s">
        <v>493</v>
      </c>
    </row>
    <row r="126" spans="1:9">
      <c r="A126" s="167" t="str">
        <f t="shared" si="5"/>
        <v>무한돌봄복지과</v>
      </c>
      <c r="B126" s="168" t="str">
        <f t="shared" si="7"/>
        <v>보건복지위원회</v>
      </c>
      <c r="C126" s="167" t="str">
        <f t="shared" si="6"/>
        <v>보건복지국</v>
      </c>
      <c r="E126" s="169" t="s">
        <v>113</v>
      </c>
      <c r="F126" s="170" t="s">
        <v>291</v>
      </c>
      <c r="G126" s="169" t="s">
        <v>414</v>
      </c>
      <c r="H126" s="171">
        <v>125</v>
      </c>
      <c r="I126" s="172" t="s">
        <v>344</v>
      </c>
    </row>
    <row r="127" spans="1:9">
      <c r="A127" s="167" t="str">
        <f t="shared" si="5"/>
        <v>사회적일자리과</v>
      </c>
      <c r="B127" s="168" t="str">
        <f t="shared" si="7"/>
        <v>보건복지위원회</v>
      </c>
      <c r="C127" s="167" t="str">
        <f t="shared" si="6"/>
        <v>보건복지국</v>
      </c>
      <c r="E127" s="169" t="s">
        <v>113</v>
      </c>
      <c r="F127" s="170" t="s">
        <v>293</v>
      </c>
      <c r="G127" s="169" t="s">
        <v>414</v>
      </c>
      <c r="H127" s="171">
        <v>126</v>
      </c>
      <c r="I127" s="172" t="s">
        <v>346</v>
      </c>
    </row>
    <row r="128" spans="1:9">
      <c r="A128" s="167" t="str">
        <f t="shared" si="5"/>
        <v>노인복지과</v>
      </c>
      <c r="B128" s="168" t="str">
        <f t="shared" si="7"/>
        <v>보건복지위원회</v>
      </c>
      <c r="C128" s="167" t="str">
        <f t="shared" si="6"/>
        <v>보건복지국</v>
      </c>
      <c r="E128" s="169" t="s">
        <v>113</v>
      </c>
      <c r="F128" s="170" t="s">
        <v>295</v>
      </c>
      <c r="G128" s="169" t="s">
        <v>414</v>
      </c>
      <c r="H128" s="171">
        <v>127</v>
      </c>
      <c r="I128" s="172" t="s">
        <v>348</v>
      </c>
    </row>
    <row r="129" spans="1:9">
      <c r="A129" s="167" t="str">
        <f t="shared" si="5"/>
        <v>장애인복지과</v>
      </c>
      <c r="B129" s="168" t="str">
        <f t="shared" si="7"/>
        <v>보건복지위원회</v>
      </c>
      <c r="C129" s="167" t="str">
        <f t="shared" si="6"/>
        <v>보건복지국</v>
      </c>
      <c r="E129" s="169" t="s">
        <v>113</v>
      </c>
      <c r="F129" s="170" t="s">
        <v>84</v>
      </c>
      <c r="G129" s="169" t="s">
        <v>414</v>
      </c>
      <c r="H129" s="171">
        <v>128</v>
      </c>
      <c r="I129" s="172" t="s">
        <v>350</v>
      </c>
    </row>
    <row r="130" spans="1:9">
      <c r="A130" s="167" t="str">
        <f t="shared" si="5"/>
        <v>보건정책과</v>
      </c>
      <c r="B130" s="168" t="str">
        <f t="shared" ref="B130:B161" si="8">G130</f>
        <v>보건복지위원회</v>
      </c>
      <c r="C130" s="167" t="str">
        <f t="shared" si="6"/>
        <v>보건복지국</v>
      </c>
      <c r="E130" s="169" t="s">
        <v>113</v>
      </c>
      <c r="F130" s="170" t="s">
        <v>296</v>
      </c>
      <c r="G130" s="169" t="s">
        <v>414</v>
      </c>
      <c r="H130" s="171">
        <v>129</v>
      </c>
      <c r="I130" s="172" t="s">
        <v>352</v>
      </c>
    </row>
    <row r="131" spans="1:9">
      <c r="A131" s="167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68" t="str">
        <f t="shared" si="8"/>
        <v>보건복지위원회</v>
      </c>
      <c r="C131" s="167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69" t="s">
        <v>113</v>
      </c>
      <c r="F131" s="170" t="s">
        <v>297</v>
      </c>
      <c r="G131" s="169" t="s">
        <v>414</v>
      </c>
      <c r="H131" s="171">
        <v>130</v>
      </c>
      <c r="I131" s="172" t="s">
        <v>354</v>
      </c>
    </row>
    <row r="132" spans="1:9">
      <c r="A132" s="167" t="str">
        <f t="shared" si="9"/>
        <v>식품안전과</v>
      </c>
      <c r="B132" s="168" t="str">
        <f t="shared" si="8"/>
        <v>보건복지위원회</v>
      </c>
      <c r="C132" s="167" t="str">
        <f t="shared" si="10"/>
        <v>보건복지국</v>
      </c>
      <c r="E132" s="169" t="s">
        <v>113</v>
      </c>
      <c r="F132" s="170" t="s">
        <v>298</v>
      </c>
      <c r="G132" s="169" t="s">
        <v>414</v>
      </c>
      <c r="H132" s="171">
        <v>131</v>
      </c>
      <c r="I132" s="172" t="s">
        <v>356</v>
      </c>
    </row>
    <row r="133" spans="1:9">
      <c r="A133" s="167" t="str">
        <f t="shared" si="9"/>
        <v>사회복지담당관</v>
      </c>
      <c r="B133" s="168" t="str">
        <f t="shared" si="8"/>
        <v>보건복지위원회</v>
      </c>
      <c r="C133" s="167" t="str">
        <f t="shared" si="10"/>
        <v>복지여성실</v>
      </c>
      <c r="E133" s="169" t="s">
        <v>70</v>
      </c>
      <c r="F133" s="170" t="s">
        <v>85</v>
      </c>
      <c r="G133" s="169" t="s">
        <v>414</v>
      </c>
      <c r="H133" s="171">
        <v>132</v>
      </c>
      <c r="I133" s="172" t="s">
        <v>363</v>
      </c>
    </row>
    <row r="134" spans="1:9">
      <c r="A134" s="167" t="str">
        <f t="shared" si="9"/>
        <v>보건위생담당관</v>
      </c>
      <c r="B134" s="168" t="str">
        <f t="shared" si="8"/>
        <v>보건복지위원회</v>
      </c>
      <c r="C134" s="167" t="str">
        <f t="shared" si="10"/>
        <v>복지여성실</v>
      </c>
      <c r="E134" s="169" t="s">
        <v>70</v>
      </c>
      <c r="F134" s="170" t="s">
        <v>321</v>
      </c>
      <c r="G134" s="169" t="s">
        <v>414</v>
      </c>
      <c r="H134" s="171">
        <v>133</v>
      </c>
      <c r="I134" s="172" t="s">
        <v>364</v>
      </c>
    </row>
    <row r="135" spans="1:9">
      <c r="A135" s="167" t="str">
        <f t="shared" si="9"/>
        <v>보건환경연구원(총무과)</v>
      </c>
      <c r="B135" s="168" t="str">
        <f t="shared" si="8"/>
        <v>보건복지위원회</v>
      </c>
      <c r="C135" s="167" t="str">
        <f t="shared" si="10"/>
        <v>보건환경연구원</v>
      </c>
      <c r="E135" s="169" t="s">
        <v>127</v>
      </c>
      <c r="F135" s="170" t="s">
        <v>398</v>
      </c>
      <c r="G135" s="169" t="s">
        <v>414</v>
      </c>
      <c r="H135" s="171">
        <v>134</v>
      </c>
      <c r="I135" s="172" t="s">
        <v>372</v>
      </c>
    </row>
    <row r="136" spans="1:9">
      <c r="A136" s="167" t="str">
        <f t="shared" si="9"/>
        <v>보건연구부</v>
      </c>
      <c r="B136" s="168" t="str">
        <f t="shared" si="8"/>
        <v>보건복지위원회</v>
      </c>
      <c r="C136" s="167" t="str">
        <f t="shared" si="10"/>
        <v>보건환경연구원</v>
      </c>
      <c r="E136" s="169" t="s">
        <v>127</v>
      </c>
      <c r="F136" s="170" t="s">
        <v>415</v>
      </c>
      <c r="G136" s="169" t="s">
        <v>414</v>
      </c>
      <c r="H136" s="171">
        <v>135</v>
      </c>
      <c r="I136" s="172" t="s">
        <v>374</v>
      </c>
    </row>
    <row r="137" spans="1:9">
      <c r="A137" s="192" t="str">
        <f t="shared" si="9"/>
        <v>북부지원</v>
      </c>
      <c r="B137" s="193" t="str">
        <f t="shared" si="8"/>
        <v>보건복지위원회</v>
      </c>
      <c r="C137" s="192" t="str">
        <f t="shared" si="10"/>
        <v>보건환경연구원</v>
      </c>
      <c r="D137" s="194"/>
      <c r="E137" s="195" t="s">
        <v>127</v>
      </c>
      <c r="F137" s="196" t="s">
        <v>416</v>
      </c>
      <c r="G137" s="195" t="s">
        <v>414</v>
      </c>
      <c r="H137" s="197">
        <v>136</v>
      </c>
      <c r="I137" s="198" t="s">
        <v>376</v>
      </c>
    </row>
    <row r="138" spans="1:9">
      <c r="A138" s="167" t="str">
        <f t="shared" si="9"/>
        <v>수원농산물검사소</v>
      </c>
      <c r="B138" s="168" t="str">
        <f t="shared" si="8"/>
        <v>보건복지위원회</v>
      </c>
      <c r="C138" s="167" t="str">
        <f t="shared" si="10"/>
        <v>보건환경연구원</v>
      </c>
      <c r="E138" s="169" t="s">
        <v>127</v>
      </c>
      <c r="F138" s="170" t="s">
        <v>417</v>
      </c>
      <c r="G138" s="169" t="s">
        <v>414</v>
      </c>
      <c r="H138" s="171">
        <v>137</v>
      </c>
      <c r="I138" s="172" t="s">
        <v>378</v>
      </c>
    </row>
    <row r="139" spans="1:9">
      <c r="A139" s="167" t="str">
        <f t="shared" si="9"/>
        <v>철도물류정책과</v>
      </c>
      <c r="B139" s="168" t="str">
        <f t="shared" si="8"/>
        <v>건설교통위원회</v>
      </c>
      <c r="C139" s="167" t="str">
        <f t="shared" si="10"/>
        <v>철도국</v>
      </c>
      <c r="E139" s="169" t="s">
        <v>218</v>
      </c>
      <c r="F139" s="170" t="s">
        <v>219</v>
      </c>
      <c r="G139" s="169" t="s">
        <v>11</v>
      </c>
      <c r="H139" s="171">
        <v>138</v>
      </c>
      <c r="I139" s="172" t="s">
        <v>382</v>
      </c>
    </row>
    <row r="140" spans="1:9">
      <c r="A140" s="167" t="str">
        <f t="shared" si="9"/>
        <v>광역도시철도과</v>
      </c>
      <c r="B140" s="168" t="str">
        <f t="shared" si="8"/>
        <v>건설교통위원회</v>
      </c>
      <c r="C140" s="167" t="str">
        <f t="shared" si="10"/>
        <v>철도국</v>
      </c>
      <c r="E140" s="169" t="s">
        <v>218</v>
      </c>
      <c r="F140" s="170" t="s">
        <v>221</v>
      </c>
      <c r="G140" s="169" t="s">
        <v>11</v>
      </c>
      <c r="H140" s="171">
        <v>139</v>
      </c>
      <c r="I140" s="172" t="s">
        <v>384</v>
      </c>
    </row>
    <row r="141" spans="1:9">
      <c r="A141" s="167" t="str">
        <f t="shared" si="9"/>
        <v>철도건설과</v>
      </c>
      <c r="B141" s="168" t="str">
        <f t="shared" si="8"/>
        <v>건설교통위원회</v>
      </c>
      <c r="C141" s="167" t="str">
        <f t="shared" si="10"/>
        <v>철도국</v>
      </c>
      <c r="E141" s="169" t="s">
        <v>218</v>
      </c>
      <c r="F141" s="170" t="s">
        <v>223</v>
      </c>
      <c r="G141" s="169" t="s">
        <v>11</v>
      </c>
      <c r="H141" s="171">
        <v>140</v>
      </c>
      <c r="I141" s="172" t="s">
        <v>386</v>
      </c>
    </row>
    <row r="142" spans="1:9">
      <c r="A142" s="167" t="str">
        <f t="shared" si="9"/>
        <v>교통정책과</v>
      </c>
      <c r="B142" s="168" t="str">
        <f t="shared" si="8"/>
        <v>건설교통위원회</v>
      </c>
      <c r="C142" s="167" t="str">
        <f t="shared" si="10"/>
        <v>교통국</v>
      </c>
      <c r="E142" s="169" t="s">
        <v>370</v>
      </c>
      <c r="F142" s="170" t="s">
        <v>371</v>
      </c>
      <c r="G142" s="169" t="s">
        <v>11</v>
      </c>
      <c r="H142" s="171">
        <v>141</v>
      </c>
      <c r="I142" s="172" t="s">
        <v>390</v>
      </c>
    </row>
    <row r="143" spans="1:9">
      <c r="A143" s="167" t="str">
        <f t="shared" si="9"/>
        <v>버스정책과</v>
      </c>
      <c r="B143" s="168" t="str">
        <f t="shared" si="8"/>
        <v>건설교통위원회</v>
      </c>
      <c r="C143" s="167" t="str">
        <f t="shared" si="10"/>
        <v>교통국</v>
      </c>
      <c r="E143" s="169" t="s">
        <v>370</v>
      </c>
      <c r="F143" s="170" t="s">
        <v>373</v>
      </c>
      <c r="G143" s="169" t="s">
        <v>11</v>
      </c>
      <c r="H143" s="171">
        <v>142</v>
      </c>
      <c r="I143" s="172" t="s">
        <v>391</v>
      </c>
    </row>
    <row r="144" spans="1:9">
      <c r="A144" s="167" t="str">
        <f t="shared" si="9"/>
        <v>굿모닝버스추진단</v>
      </c>
      <c r="B144" s="168" t="str">
        <f t="shared" si="8"/>
        <v>건설교통위원회</v>
      </c>
      <c r="C144" s="167" t="str">
        <f t="shared" si="10"/>
        <v>교통국</v>
      </c>
      <c r="E144" s="169" t="s">
        <v>370</v>
      </c>
      <c r="F144" s="170" t="s">
        <v>375</v>
      </c>
      <c r="G144" s="169" t="s">
        <v>11</v>
      </c>
      <c r="H144" s="171">
        <v>143</v>
      </c>
      <c r="I144" s="172" t="s">
        <v>392</v>
      </c>
    </row>
    <row r="145" spans="1:9">
      <c r="A145" s="167" t="str">
        <f t="shared" si="9"/>
        <v>택시정책과</v>
      </c>
      <c r="B145" s="168" t="str">
        <f t="shared" si="8"/>
        <v>건설교통위원회</v>
      </c>
      <c r="C145" s="167" t="str">
        <f t="shared" si="10"/>
        <v>교통국</v>
      </c>
      <c r="E145" s="169" t="s">
        <v>370</v>
      </c>
      <c r="F145" s="170" t="s">
        <v>377</v>
      </c>
      <c r="G145" s="169" t="s">
        <v>11</v>
      </c>
      <c r="H145" s="171">
        <v>144</v>
      </c>
      <c r="I145" s="172" t="s">
        <v>393</v>
      </c>
    </row>
    <row r="146" spans="1:9">
      <c r="A146" s="167" t="str">
        <f t="shared" si="9"/>
        <v>교통정보센터</v>
      </c>
      <c r="B146" s="168" t="str">
        <f t="shared" si="8"/>
        <v>건설교통위원회</v>
      </c>
      <c r="C146" s="167" t="str">
        <f t="shared" si="10"/>
        <v>교통국</v>
      </c>
      <c r="E146" s="169" t="s">
        <v>370</v>
      </c>
      <c r="F146" s="170" t="s">
        <v>379</v>
      </c>
      <c r="G146" s="169" t="s">
        <v>11</v>
      </c>
      <c r="H146" s="171">
        <v>145</v>
      </c>
      <c r="I146" s="172" t="s">
        <v>394</v>
      </c>
    </row>
    <row r="147" spans="1:9">
      <c r="A147" s="167" t="str">
        <f t="shared" si="9"/>
        <v>건설안전과</v>
      </c>
      <c r="B147" s="168" t="str">
        <f t="shared" si="8"/>
        <v>건설교통위원회</v>
      </c>
      <c r="C147" s="167" t="str">
        <f t="shared" si="10"/>
        <v>건설국</v>
      </c>
      <c r="E147" s="169" t="s">
        <v>380</v>
      </c>
      <c r="F147" s="170" t="s">
        <v>381</v>
      </c>
      <c r="G147" s="169" t="s">
        <v>11</v>
      </c>
      <c r="H147" s="171">
        <v>146</v>
      </c>
      <c r="I147" s="172" t="s">
        <v>396</v>
      </c>
    </row>
    <row r="148" spans="1:9">
      <c r="A148" s="167" t="str">
        <f t="shared" si="9"/>
        <v>도로정책과</v>
      </c>
      <c r="B148" s="168" t="str">
        <f t="shared" si="8"/>
        <v>건설교통위원회</v>
      </c>
      <c r="C148" s="167" t="str">
        <f t="shared" si="10"/>
        <v>건설국</v>
      </c>
      <c r="E148" s="169" t="s">
        <v>380</v>
      </c>
      <c r="F148" s="170" t="s">
        <v>383</v>
      </c>
      <c r="G148" s="169" t="s">
        <v>11</v>
      </c>
      <c r="H148" s="171">
        <v>147</v>
      </c>
      <c r="I148" s="172" t="s">
        <v>494</v>
      </c>
    </row>
    <row r="149" spans="1:9">
      <c r="A149" s="167" t="str">
        <f t="shared" si="9"/>
        <v>하천과</v>
      </c>
      <c r="B149" s="168" t="str">
        <f t="shared" si="8"/>
        <v>건설교통위원회</v>
      </c>
      <c r="C149" s="167" t="str">
        <f t="shared" si="10"/>
        <v>건설국</v>
      </c>
      <c r="E149" s="169" t="s">
        <v>380</v>
      </c>
      <c r="F149" s="170" t="s">
        <v>385</v>
      </c>
      <c r="G149" s="169" t="s">
        <v>11</v>
      </c>
      <c r="H149" s="171">
        <v>148</v>
      </c>
      <c r="I149" s="172" t="s">
        <v>495</v>
      </c>
    </row>
    <row r="150" spans="1:9">
      <c r="A150" s="167" t="str">
        <f t="shared" si="9"/>
        <v>건설기술과</v>
      </c>
      <c r="B150" s="168" t="str">
        <f t="shared" si="8"/>
        <v>건설교통위원회</v>
      </c>
      <c r="C150" s="167" t="str">
        <f t="shared" si="10"/>
        <v>건설국</v>
      </c>
      <c r="E150" s="169" t="s">
        <v>380</v>
      </c>
      <c r="F150" s="170" t="s">
        <v>387</v>
      </c>
      <c r="G150" s="169" t="s">
        <v>11</v>
      </c>
      <c r="H150" s="171">
        <v>149</v>
      </c>
      <c r="I150" s="172" t="s">
        <v>496</v>
      </c>
    </row>
    <row r="151" spans="1:9">
      <c r="A151" s="167" t="str">
        <f t="shared" si="9"/>
        <v>관리과</v>
      </c>
      <c r="B151" s="168" t="str">
        <f t="shared" si="8"/>
        <v>건설교통위원회</v>
      </c>
      <c r="C151" s="167" t="str">
        <f t="shared" si="10"/>
        <v>건설본부</v>
      </c>
      <c r="E151" s="169" t="s">
        <v>128</v>
      </c>
      <c r="F151" s="170" t="s">
        <v>428</v>
      </c>
      <c r="G151" s="169" t="s">
        <v>11</v>
      </c>
      <c r="H151" s="171">
        <v>150</v>
      </c>
      <c r="I151" s="172" t="s">
        <v>399</v>
      </c>
    </row>
    <row r="152" spans="1:9">
      <c r="A152" s="167" t="str">
        <f t="shared" si="9"/>
        <v>도로건설과</v>
      </c>
      <c r="B152" s="168" t="str">
        <f t="shared" si="8"/>
        <v>건설교통위원회</v>
      </c>
      <c r="C152" s="167" t="str">
        <f t="shared" si="10"/>
        <v>건설본부</v>
      </c>
      <c r="E152" s="169" t="s">
        <v>128</v>
      </c>
      <c r="F152" s="170" t="s">
        <v>429</v>
      </c>
      <c r="G152" s="169" t="s">
        <v>11</v>
      </c>
      <c r="H152" s="171">
        <v>151</v>
      </c>
      <c r="I152" s="172" t="s">
        <v>400</v>
      </c>
    </row>
    <row r="153" spans="1:9">
      <c r="A153" s="167" t="str">
        <f t="shared" si="9"/>
        <v>북부도로과</v>
      </c>
      <c r="B153" s="168" t="str">
        <f t="shared" si="8"/>
        <v>건설교통위원회</v>
      </c>
      <c r="C153" s="167" t="str">
        <f t="shared" si="10"/>
        <v>건설본부</v>
      </c>
      <c r="E153" s="169" t="s">
        <v>128</v>
      </c>
      <c r="F153" s="170" t="s">
        <v>430</v>
      </c>
      <c r="G153" s="169" t="s">
        <v>11</v>
      </c>
      <c r="H153" s="171">
        <v>152</v>
      </c>
      <c r="I153" s="172" t="s">
        <v>401</v>
      </c>
    </row>
    <row r="154" spans="1:9">
      <c r="A154" s="167" t="str">
        <f t="shared" si="9"/>
        <v>건축시설과</v>
      </c>
      <c r="B154" s="168" t="str">
        <f t="shared" si="8"/>
        <v>건설교통위원회</v>
      </c>
      <c r="C154" s="167" t="str">
        <f t="shared" si="10"/>
        <v>건설본부</v>
      </c>
      <c r="E154" s="169" t="s">
        <v>128</v>
      </c>
      <c r="F154" s="170" t="s">
        <v>431</v>
      </c>
      <c r="G154" s="169" t="s">
        <v>11</v>
      </c>
      <c r="H154" s="171">
        <v>153</v>
      </c>
      <c r="I154" s="172" t="s">
        <v>402</v>
      </c>
    </row>
    <row r="155" spans="1:9">
      <c r="A155" s="167" t="str">
        <f t="shared" si="9"/>
        <v>신청사건립추진단</v>
      </c>
      <c r="B155" s="168" t="str">
        <f t="shared" si="8"/>
        <v>건설교통위원회</v>
      </c>
      <c r="C155" s="167" t="str">
        <f t="shared" si="10"/>
        <v>건설본부</v>
      </c>
      <c r="E155" s="169" t="s">
        <v>128</v>
      </c>
      <c r="F155" s="170" t="s">
        <v>432</v>
      </c>
      <c r="G155" s="169" t="s">
        <v>11</v>
      </c>
      <c r="H155" s="171">
        <v>154</v>
      </c>
      <c r="I155" s="172" t="s">
        <v>403</v>
      </c>
    </row>
    <row r="156" spans="1:9">
      <c r="A156" s="167" t="str">
        <f t="shared" si="9"/>
        <v>지역정책과</v>
      </c>
      <c r="B156" s="168" t="str">
        <f t="shared" si="8"/>
        <v>도시환경위원회</v>
      </c>
      <c r="C156" s="167" t="str">
        <f t="shared" si="10"/>
        <v>도시주택실</v>
      </c>
      <c r="E156" s="169" t="s">
        <v>110</v>
      </c>
      <c r="F156" s="170" t="s">
        <v>165</v>
      </c>
      <c r="G156" s="169" t="s">
        <v>12</v>
      </c>
      <c r="H156" s="171">
        <v>155</v>
      </c>
      <c r="I156" s="172" t="s">
        <v>405</v>
      </c>
    </row>
    <row r="157" spans="1:9">
      <c r="A157" s="167" t="str">
        <f t="shared" si="9"/>
        <v>도시정책과</v>
      </c>
      <c r="B157" s="168" t="str">
        <f t="shared" si="8"/>
        <v>도시환경위원회</v>
      </c>
      <c r="C157" s="167" t="str">
        <f t="shared" si="10"/>
        <v>도시주택실</v>
      </c>
      <c r="E157" s="169" t="s">
        <v>110</v>
      </c>
      <c r="F157" s="170" t="s">
        <v>167</v>
      </c>
      <c r="G157" s="169" t="s">
        <v>12</v>
      </c>
      <c r="H157" s="171">
        <v>156</v>
      </c>
      <c r="I157" s="172" t="s">
        <v>497</v>
      </c>
    </row>
    <row r="158" spans="1:9">
      <c r="A158" s="167" t="str">
        <f t="shared" si="9"/>
        <v>도시주택과</v>
      </c>
      <c r="B158" s="168" t="str">
        <f t="shared" si="8"/>
        <v>도시환경위원회</v>
      </c>
      <c r="C158" s="167" t="str">
        <f t="shared" si="10"/>
        <v>도시주택실</v>
      </c>
      <c r="E158" s="169" t="s">
        <v>110</v>
      </c>
      <c r="F158" s="170" t="s">
        <v>169</v>
      </c>
      <c r="G158" s="169" t="s">
        <v>12</v>
      </c>
      <c r="H158" s="171">
        <v>157</v>
      </c>
      <c r="I158" s="172" t="s">
        <v>498</v>
      </c>
    </row>
    <row r="159" spans="1:9">
      <c r="A159" s="167" t="str">
        <f t="shared" si="9"/>
        <v>주택정책과</v>
      </c>
      <c r="B159" s="168" t="str">
        <f t="shared" si="8"/>
        <v>도시환경위원회</v>
      </c>
      <c r="C159" s="167" t="str">
        <f t="shared" si="10"/>
        <v>도시주택실</v>
      </c>
      <c r="E159" s="169" t="s">
        <v>110</v>
      </c>
      <c r="F159" s="170" t="s">
        <v>170</v>
      </c>
      <c r="G159" s="169" t="s">
        <v>12</v>
      </c>
      <c r="H159" s="171">
        <v>158</v>
      </c>
      <c r="I159" s="172" t="s">
        <v>499</v>
      </c>
    </row>
    <row r="160" spans="1:9">
      <c r="A160" s="167" t="str">
        <f t="shared" si="9"/>
        <v>건축디자인과</v>
      </c>
      <c r="B160" s="168" t="str">
        <f t="shared" si="8"/>
        <v>도시환경위원회</v>
      </c>
      <c r="C160" s="167" t="str">
        <f t="shared" si="10"/>
        <v>도시주택실</v>
      </c>
      <c r="E160" s="169" t="s">
        <v>110</v>
      </c>
      <c r="F160" s="170" t="s">
        <v>171</v>
      </c>
      <c r="G160" s="169" t="s">
        <v>12</v>
      </c>
      <c r="H160" s="171">
        <v>159</v>
      </c>
      <c r="I160" s="172" t="s">
        <v>500</v>
      </c>
    </row>
    <row r="161" spans="1:9">
      <c r="A161" s="167" t="str">
        <f t="shared" si="9"/>
        <v>공공택지과</v>
      </c>
      <c r="B161" s="168" t="str">
        <f t="shared" si="8"/>
        <v>도시환경위원회</v>
      </c>
      <c r="C161" s="167" t="str">
        <f t="shared" si="10"/>
        <v>도시주택실</v>
      </c>
      <c r="E161" s="169" t="s">
        <v>110</v>
      </c>
      <c r="F161" s="170" t="s">
        <v>172</v>
      </c>
      <c r="G161" s="169" t="s">
        <v>12</v>
      </c>
      <c r="H161" s="171">
        <v>160</v>
      </c>
      <c r="I161" s="172" t="s">
        <v>501</v>
      </c>
    </row>
    <row r="162" spans="1:9">
      <c r="A162" s="167" t="str">
        <f t="shared" si="9"/>
        <v>토지정보과</v>
      </c>
      <c r="B162" s="168" t="str">
        <f t="shared" ref="B162:B188" si="11">G162</f>
        <v>도시환경위원회</v>
      </c>
      <c r="C162" s="167" t="str">
        <f t="shared" si="10"/>
        <v>도시주택실</v>
      </c>
      <c r="E162" s="169" t="s">
        <v>110</v>
      </c>
      <c r="F162" s="170" t="s">
        <v>173</v>
      </c>
      <c r="G162" s="169" t="s">
        <v>12</v>
      </c>
      <c r="H162" s="171">
        <v>161</v>
      </c>
      <c r="I162" s="172" t="s">
        <v>502</v>
      </c>
    </row>
    <row r="163" spans="1:9">
      <c r="A163" s="167" t="str">
        <f t="shared" si="9"/>
        <v>도시개발과</v>
      </c>
      <c r="B163" s="168" t="str">
        <f t="shared" si="11"/>
        <v>도시환경위원회</v>
      </c>
      <c r="C163" s="167" t="str">
        <f t="shared" si="10"/>
        <v>도시주택실</v>
      </c>
      <c r="E163" s="169" t="s">
        <v>110</v>
      </c>
      <c r="F163" s="170" t="s">
        <v>174</v>
      </c>
      <c r="G163" s="169" t="s">
        <v>12</v>
      </c>
      <c r="H163" s="171">
        <v>162</v>
      </c>
      <c r="I163" s="172" t="s">
        <v>503</v>
      </c>
    </row>
    <row r="164" spans="1:9">
      <c r="A164" s="167" t="str">
        <f t="shared" si="9"/>
        <v>도시재생과</v>
      </c>
      <c r="B164" s="168" t="str">
        <f t="shared" si="11"/>
        <v>도시환경위원회</v>
      </c>
      <c r="C164" s="167" t="str">
        <f t="shared" si="10"/>
        <v>도시주택실</v>
      </c>
      <c r="E164" s="169" t="s">
        <v>110</v>
      </c>
      <c r="F164" s="170" t="s">
        <v>175</v>
      </c>
      <c r="G164" s="169" t="s">
        <v>12</v>
      </c>
      <c r="H164" s="171">
        <v>163</v>
      </c>
      <c r="I164" s="172" t="s">
        <v>504</v>
      </c>
    </row>
    <row r="165" spans="1:9">
      <c r="A165" s="167" t="str">
        <f t="shared" si="9"/>
        <v>도시계획상임기획단</v>
      </c>
      <c r="B165" s="168" t="str">
        <f t="shared" si="11"/>
        <v>도시환경위원회</v>
      </c>
      <c r="C165" s="167" t="str">
        <f t="shared" si="10"/>
        <v>도시주택실</v>
      </c>
      <c r="E165" s="169" t="s">
        <v>110</v>
      </c>
      <c r="F165" s="170" t="s">
        <v>176</v>
      </c>
      <c r="G165" s="169" t="s">
        <v>12</v>
      </c>
      <c r="H165" s="171">
        <v>164</v>
      </c>
      <c r="I165" s="172" t="s">
        <v>505</v>
      </c>
    </row>
    <row r="166" spans="1:9">
      <c r="A166" s="167" t="str">
        <f t="shared" si="9"/>
        <v>환경정책과</v>
      </c>
      <c r="B166" s="168" t="str">
        <f t="shared" si="11"/>
        <v>도시환경위원회</v>
      </c>
      <c r="C166" s="167" t="str">
        <f t="shared" si="10"/>
        <v>환경국</v>
      </c>
      <c r="E166" s="169" t="s">
        <v>114</v>
      </c>
      <c r="F166" s="170" t="s">
        <v>299</v>
      </c>
      <c r="G166" s="169" t="s">
        <v>12</v>
      </c>
      <c r="H166" s="171">
        <v>165</v>
      </c>
      <c r="I166" s="172" t="s">
        <v>407</v>
      </c>
    </row>
    <row r="167" spans="1:9">
      <c r="A167" s="167" t="str">
        <f t="shared" si="9"/>
        <v>기후대기과</v>
      </c>
      <c r="B167" s="168" t="str">
        <f t="shared" si="11"/>
        <v>도시환경위원회</v>
      </c>
      <c r="C167" s="167" t="str">
        <f t="shared" si="10"/>
        <v>환경국</v>
      </c>
      <c r="E167" s="169" t="s">
        <v>114</v>
      </c>
      <c r="F167" s="170" t="s">
        <v>301</v>
      </c>
      <c r="G167" s="169" t="s">
        <v>12</v>
      </c>
      <c r="H167" s="171">
        <v>166</v>
      </c>
      <c r="I167" s="172" t="s">
        <v>408</v>
      </c>
    </row>
    <row r="168" spans="1:9">
      <c r="A168" s="167" t="str">
        <f t="shared" si="9"/>
        <v>환경안전관리과</v>
      </c>
      <c r="B168" s="168" t="str">
        <f t="shared" si="11"/>
        <v>도시환경위원회</v>
      </c>
      <c r="C168" s="167" t="str">
        <f t="shared" si="10"/>
        <v>환경국</v>
      </c>
      <c r="E168" s="169" t="s">
        <v>114</v>
      </c>
      <c r="F168" s="170" t="s">
        <v>302</v>
      </c>
      <c r="G168" s="169" t="s">
        <v>12</v>
      </c>
      <c r="H168" s="171">
        <v>167</v>
      </c>
      <c r="I168" s="172" t="s">
        <v>409</v>
      </c>
    </row>
    <row r="169" spans="1:9">
      <c r="A169" s="167" t="str">
        <f t="shared" si="9"/>
        <v>자원순환과</v>
      </c>
      <c r="B169" s="168" t="str">
        <f t="shared" si="11"/>
        <v>도시환경위원회</v>
      </c>
      <c r="C169" s="167" t="str">
        <f t="shared" si="10"/>
        <v>환경국</v>
      </c>
      <c r="E169" s="169" t="s">
        <v>114</v>
      </c>
      <c r="F169" s="170" t="s">
        <v>303</v>
      </c>
      <c r="G169" s="169" t="s">
        <v>12</v>
      </c>
      <c r="H169" s="171">
        <v>168</v>
      </c>
      <c r="I169" s="172" t="s">
        <v>410</v>
      </c>
    </row>
    <row r="170" spans="1:9">
      <c r="A170" s="167" t="str">
        <f t="shared" si="9"/>
        <v>북부환경관리과</v>
      </c>
      <c r="B170" s="168" t="str">
        <f t="shared" si="11"/>
        <v>도시환경위원회</v>
      </c>
      <c r="C170" s="167" t="str">
        <f t="shared" si="10"/>
        <v>환경국</v>
      </c>
      <c r="E170" s="169" t="s">
        <v>114</v>
      </c>
      <c r="F170" s="170" t="s">
        <v>304</v>
      </c>
      <c r="G170" s="169" t="s">
        <v>12</v>
      </c>
      <c r="H170" s="171">
        <v>169</v>
      </c>
      <c r="I170" s="172" t="s">
        <v>411</v>
      </c>
    </row>
    <row r="171" spans="1:9">
      <c r="A171" s="167" t="str">
        <f t="shared" si="9"/>
        <v>공단환경관리사업소</v>
      </c>
      <c r="B171" s="168" t="str">
        <f t="shared" si="11"/>
        <v>도시환경위원회</v>
      </c>
      <c r="C171" s="167" t="str">
        <f t="shared" si="10"/>
        <v>환경국</v>
      </c>
      <c r="E171" s="169" t="s">
        <v>114</v>
      </c>
      <c r="F171" s="170" t="s">
        <v>305</v>
      </c>
      <c r="G171" s="169" t="s">
        <v>12</v>
      </c>
      <c r="H171" s="171">
        <v>170</v>
      </c>
      <c r="I171" s="172" t="s">
        <v>506</v>
      </c>
    </row>
    <row r="172" spans="1:9">
      <c r="A172" s="167" t="str">
        <f t="shared" si="9"/>
        <v>공원녹지과</v>
      </c>
      <c r="B172" s="168" t="str">
        <f t="shared" si="11"/>
        <v>도시환경위원회</v>
      </c>
      <c r="C172" s="167" t="str">
        <f t="shared" si="10"/>
        <v>축산산림국</v>
      </c>
      <c r="E172" s="169" t="s">
        <v>67</v>
      </c>
      <c r="F172" s="170" t="s">
        <v>366</v>
      </c>
      <c r="G172" s="169" t="s">
        <v>12</v>
      </c>
      <c r="H172" s="171">
        <v>171</v>
      </c>
      <c r="I172" s="172" t="s">
        <v>507</v>
      </c>
    </row>
    <row r="173" spans="1:9">
      <c r="A173" s="167" t="str">
        <f t="shared" si="9"/>
        <v>대기연구부</v>
      </c>
      <c r="B173" s="168" t="str">
        <f t="shared" si="11"/>
        <v>도시환경위원회</v>
      </c>
      <c r="C173" s="167" t="str">
        <f t="shared" si="10"/>
        <v>보건환경연구원</v>
      </c>
      <c r="E173" s="169" t="s">
        <v>127</v>
      </c>
      <c r="F173" s="170" t="s">
        <v>433</v>
      </c>
      <c r="G173" s="169" t="s">
        <v>12</v>
      </c>
      <c r="H173" s="171">
        <v>172</v>
      </c>
      <c r="I173" s="172" t="s">
        <v>508</v>
      </c>
    </row>
    <row r="174" spans="1:9">
      <c r="A174" s="167" t="str">
        <f t="shared" si="9"/>
        <v>수질연구부</v>
      </c>
      <c r="B174" s="168" t="str">
        <f t="shared" si="11"/>
        <v>도시환경위원회</v>
      </c>
      <c r="C174" s="167" t="str">
        <f t="shared" si="10"/>
        <v>보건환경연구원</v>
      </c>
      <c r="E174" s="169" t="s">
        <v>127</v>
      </c>
      <c r="F174" s="170" t="s">
        <v>434</v>
      </c>
      <c r="G174" s="169" t="s">
        <v>12</v>
      </c>
      <c r="H174" s="171">
        <v>173</v>
      </c>
      <c r="I174" s="172" t="s">
        <v>509</v>
      </c>
    </row>
    <row r="175" spans="1:9">
      <c r="A175" s="192" t="str">
        <f t="shared" si="9"/>
        <v>북부지원</v>
      </c>
      <c r="B175" s="193" t="str">
        <f t="shared" ref="B175" si="12">G175</f>
        <v>도시환경위원회</v>
      </c>
      <c r="C175" s="192" t="str">
        <f t="shared" si="10"/>
        <v>보건환경연구원</v>
      </c>
      <c r="D175" s="194"/>
      <c r="E175" s="195" t="s">
        <v>127</v>
      </c>
      <c r="F175" s="196" t="s">
        <v>416</v>
      </c>
      <c r="G175" s="195" t="s">
        <v>12</v>
      </c>
      <c r="H175" s="197" t="s">
        <v>578</v>
      </c>
      <c r="I175" s="198">
        <v>2903</v>
      </c>
    </row>
    <row r="176" spans="1:9">
      <c r="A176" s="167" t="str">
        <f t="shared" si="9"/>
        <v>수자원본부</v>
      </c>
      <c r="B176" s="168" t="str">
        <f t="shared" si="11"/>
        <v>도시환경위원회</v>
      </c>
      <c r="C176" s="167" t="str">
        <f t="shared" si="10"/>
        <v>수자원본부</v>
      </c>
      <c r="E176" s="169" t="s">
        <v>404</v>
      </c>
      <c r="F176" s="170" t="s">
        <v>404</v>
      </c>
      <c r="G176" s="169" t="s">
        <v>12</v>
      </c>
      <c r="H176" s="171">
        <v>174</v>
      </c>
      <c r="I176" s="172" t="s">
        <v>510</v>
      </c>
    </row>
    <row r="177" spans="1:9">
      <c r="A177" s="167" t="str">
        <f t="shared" si="9"/>
        <v>교육정책과</v>
      </c>
      <c r="B177" s="168" t="str">
        <f t="shared" si="11"/>
        <v>여성가족교육협력위원회</v>
      </c>
      <c r="C177" s="167" t="str">
        <f t="shared" si="10"/>
        <v>교육협력국</v>
      </c>
      <c r="E177" s="169" t="s">
        <v>189</v>
      </c>
      <c r="F177" s="170" t="s">
        <v>190</v>
      </c>
      <c r="G177" s="169" t="s">
        <v>435</v>
      </c>
      <c r="H177" s="171">
        <v>175</v>
      </c>
      <c r="I177" s="172" t="s">
        <v>511</v>
      </c>
    </row>
    <row r="178" spans="1:9">
      <c r="A178" s="167" t="str">
        <f t="shared" si="9"/>
        <v>교육협력과</v>
      </c>
      <c r="B178" s="168" t="str">
        <f t="shared" si="11"/>
        <v>여성가족교육협력위원회</v>
      </c>
      <c r="C178" s="167" t="str">
        <f t="shared" si="10"/>
        <v>교육협력국</v>
      </c>
      <c r="E178" s="169" t="s">
        <v>189</v>
      </c>
      <c r="F178" s="170" t="s">
        <v>192</v>
      </c>
      <c r="G178" s="169" t="s">
        <v>435</v>
      </c>
      <c r="H178" s="171">
        <v>176</v>
      </c>
      <c r="I178" s="172" t="s">
        <v>512</v>
      </c>
    </row>
    <row r="179" spans="1:9">
      <c r="A179" s="167" t="str">
        <f t="shared" si="9"/>
        <v>도서관정책과</v>
      </c>
      <c r="B179" s="168" t="str">
        <f t="shared" si="11"/>
        <v>여성가족교육협력위원회</v>
      </c>
      <c r="C179" s="167" t="str">
        <f t="shared" si="10"/>
        <v>교육협력국</v>
      </c>
      <c r="E179" s="169" t="s">
        <v>189</v>
      </c>
      <c r="F179" s="170" t="s">
        <v>194</v>
      </c>
      <c r="G179" s="169" t="s">
        <v>435</v>
      </c>
      <c r="H179" s="171">
        <v>177</v>
      </c>
      <c r="I179" s="172" t="s">
        <v>513</v>
      </c>
    </row>
    <row r="180" spans="1:9">
      <c r="A180" s="167" t="str">
        <f t="shared" si="9"/>
        <v>여성가족과</v>
      </c>
      <c r="B180" s="168" t="str">
        <f t="shared" si="11"/>
        <v>여성가족교육협력위원회</v>
      </c>
      <c r="C180" s="167" t="str">
        <f t="shared" si="10"/>
        <v>여성가족국</v>
      </c>
      <c r="E180" s="169" t="s">
        <v>115</v>
      </c>
      <c r="F180" s="170" t="s">
        <v>88</v>
      </c>
      <c r="G180" s="169" t="s">
        <v>435</v>
      </c>
      <c r="H180" s="171">
        <v>178</v>
      </c>
      <c r="I180" s="172" t="s">
        <v>514</v>
      </c>
    </row>
    <row r="181" spans="1:9">
      <c r="A181" s="167" t="str">
        <f t="shared" si="9"/>
        <v>보육정책과</v>
      </c>
      <c r="B181" s="168" t="str">
        <f t="shared" si="11"/>
        <v>여성가족교육협력위원회</v>
      </c>
      <c r="C181" s="167" t="str">
        <f t="shared" si="10"/>
        <v>여성가족국</v>
      </c>
      <c r="E181" s="169" t="s">
        <v>115</v>
      </c>
      <c r="F181" s="170" t="s">
        <v>307</v>
      </c>
      <c r="G181" s="169" t="s">
        <v>435</v>
      </c>
      <c r="H181" s="171">
        <v>179</v>
      </c>
      <c r="I181" s="172" t="s">
        <v>515</v>
      </c>
    </row>
    <row r="182" spans="1:9">
      <c r="A182" s="167" t="str">
        <f t="shared" si="9"/>
        <v>아동청소년과</v>
      </c>
      <c r="B182" s="168" t="str">
        <f t="shared" si="11"/>
        <v>여성가족교육협력위원회</v>
      </c>
      <c r="C182" s="167" t="str">
        <f t="shared" si="10"/>
        <v>여성가족국</v>
      </c>
      <c r="E182" s="169" t="s">
        <v>115</v>
      </c>
      <c r="F182" s="170" t="s">
        <v>309</v>
      </c>
      <c r="G182" s="169" t="s">
        <v>435</v>
      </c>
      <c r="H182" s="171">
        <v>180</v>
      </c>
      <c r="I182" s="172" t="s">
        <v>516</v>
      </c>
    </row>
    <row r="183" spans="1:9">
      <c r="A183" s="167" t="str">
        <f t="shared" si="9"/>
        <v>다문화가족과</v>
      </c>
      <c r="B183" s="168" t="str">
        <f t="shared" si="11"/>
        <v>여성가족교육협력위원회</v>
      </c>
      <c r="C183" s="167" t="str">
        <f t="shared" si="10"/>
        <v>여성가족국</v>
      </c>
      <c r="E183" s="169" t="s">
        <v>115</v>
      </c>
      <c r="F183" s="170" t="s">
        <v>311</v>
      </c>
      <c r="G183" s="169" t="s">
        <v>435</v>
      </c>
      <c r="H183" s="171">
        <v>181</v>
      </c>
      <c r="I183" s="172" t="s">
        <v>517</v>
      </c>
    </row>
    <row r="184" spans="1:9">
      <c r="A184" s="167" t="str">
        <f t="shared" si="9"/>
        <v>여성비전센터</v>
      </c>
      <c r="B184" s="168" t="str">
        <f t="shared" si="11"/>
        <v>여성가족교육협력위원회</v>
      </c>
      <c r="C184" s="167" t="str">
        <f t="shared" si="10"/>
        <v>여성가족국</v>
      </c>
      <c r="E184" s="169" t="s">
        <v>115</v>
      </c>
      <c r="F184" s="170" t="s">
        <v>313</v>
      </c>
      <c r="G184" s="169" t="s">
        <v>435</v>
      </c>
      <c r="H184" s="171">
        <v>182</v>
      </c>
      <c r="I184" s="172" t="s">
        <v>518</v>
      </c>
    </row>
    <row r="185" spans="1:9">
      <c r="A185" s="167" t="str">
        <f t="shared" si="9"/>
        <v>여성능력개발센터</v>
      </c>
      <c r="B185" s="168" t="str">
        <f t="shared" si="11"/>
        <v>여성가족교육협력위원회</v>
      </c>
      <c r="C185" s="167" t="str">
        <f t="shared" si="10"/>
        <v>여성가족국</v>
      </c>
      <c r="E185" s="169" t="s">
        <v>115</v>
      </c>
      <c r="F185" s="170" t="s">
        <v>315</v>
      </c>
      <c r="G185" s="169" t="s">
        <v>435</v>
      </c>
      <c r="H185" s="171">
        <v>183</v>
      </c>
      <c r="I185" s="172" t="s">
        <v>519</v>
      </c>
    </row>
    <row r="186" spans="1:9">
      <c r="A186" s="167" t="str">
        <f t="shared" si="9"/>
        <v>가족여성담당관</v>
      </c>
      <c r="B186" s="168" t="str">
        <f t="shared" si="11"/>
        <v>여성가족교육협력위원회</v>
      </c>
      <c r="C186" s="167" t="str">
        <f t="shared" si="10"/>
        <v>복지여성실</v>
      </c>
      <c r="E186" s="169" t="s">
        <v>70</v>
      </c>
      <c r="F186" s="170" t="s">
        <v>87</v>
      </c>
      <c r="G186" s="169" t="s">
        <v>435</v>
      </c>
      <c r="H186" s="171">
        <v>184</v>
      </c>
      <c r="I186" s="172" t="s">
        <v>520</v>
      </c>
    </row>
    <row r="187" spans="1:9">
      <c r="A187" s="167" t="str">
        <f t="shared" si="9"/>
        <v>보육청소년담당관</v>
      </c>
      <c r="B187" s="168" t="str">
        <f t="shared" si="11"/>
        <v>여성가족교육협력위원회</v>
      </c>
      <c r="C187" s="167" t="str">
        <f t="shared" si="10"/>
        <v>복지여성실</v>
      </c>
      <c r="E187" s="169" t="s">
        <v>70</v>
      </c>
      <c r="F187" s="170" t="s">
        <v>319</v>
      </c>
      <c r="G187" s="169" t="s">
        <v>435</v>
      </c>
      <c r="H187" s="171">
        <v>185</v>
      </c>
      <c r="I187" s="172" t="s">
        <v>521</v>
      </c>
    </row>
    <row r="188" spans="1:9">
      <c r="A188" s="167" t="str">
        <f t="shared" si="9"/>
        <v>북부여성비전센터</v>
      </c>
      <c r="B188" s="168" t="str">
        <f t="shared" si="11"/>
        <v>여성가족교육협력위원회</v>
      </c>
      <c r="C188" s="167" t="str">
        <f t="shared" si="10"/>
        <v>복지여성실</v>
      </c>
      <c r="E188" s="169" t="s">
        <v>70</v>
      </c>
      <c r="F188" s="169" t="s">
        <v>71</v>
      </c>
      <c r="G188" s="169" t="s">
        <v>435</v>
      </c>
      <c r="H188" s="171">
        <v>186</v>
      </c>
      <c r="I188" s="172" t="s">
        <v>522</v>
      </c>
    </row>
  </sheetData>
  <phoneticPr fontId="2" type="noConversion"/>
  <conditionalFormatting sqref="H1:I1 A1 C1">
    <cfRule type="containsText" dxfId="195" priority="5" operator="containsText" text="@@">
      <formula>NOT(ISERROR(SEARCH("@@",A1)))</formula>
    </cfRule>
  </conditionalFormatting>
  <conditionalFormatting sqref="B1">
    <cfRule type="containsText" dxfId="194" priority="4" operator="containsText" text="@@">
      <formula>NOT(ISERROR(SEARCH("@@",B1)))</formula>
    </cfRule>
  </conditionalFormatting>
  <conditionalFormatting sqref="F1">
    <cfRule type="containsText" dxfId="193" priority="3" operator="containsText" text="@@">
      <formula>NOT(ISERROR(SEARCH("@@",F1)))</formula>
    </cfRule>
  </conditionalFormatting>
  <conditionalFormatting sqref="E1">
    <cfRule type="containsText" dxfId="192" priority="2" operator="containsText" text="@@">
      <formula>NOT(ISERROR(SEARCH("@@",E1)))</formula>
    </cfRule>
  </conditionalFormatting>
  <conditionalFormatting sqref="G1">
    <cfRule type="containsText" dxfId="19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ColWidth="9"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317" t="s">
        <v>576</v>
      </c>
      <c r="B1" s="317"/>
      <c r="C1" s="317"/>
      <c r="D1" s="317"/>
      <c r="E1" s="317"/>
      <c r="F1" s="54"/>
      <c r="G1" s="318" t="s">
        <v>577</v>
      </c>
      <c r="H1" s="318"/>
      <c r="I1" s="319">
        <v>124682800</v>
      </c>
      <c r="J1" s="319"/>
      <c r="K1" s="319"/>
    </row>
    <row r="2" spans="1:11" s="47" customFormat="1" ht="22.5" customHeight="1">
      <c r="E2" s="48"/>
      <c r="K2" s="48" t="s">
        <v>78</v>
      </c>
    </row>
    <row r="3" spans="1:11" ht="27.95" customHeight="1">
      <c r="A3" s="320" t="s">
        <v>76</v>
      </c>
      <c r="B3" s="322" t="s">
        <v>89</v>
      </c>
      <c r="C3" s="323"/>
      <c r="D3" s="323"/>
      <c r="E3" s="324"/>
      <c r="F3" s="49"/>
      <c r="G3" s="320" t="s">
        <v>76</v>
      </c>
      <c r="H3" s="322" t="s">
        <v>90</v>
      </c>
      <c r="I3" s="323"/>
      <c r="J3" s="323"/>
      <c r="K3" s="324"/>
    </row>
    <row r="4" spans="1:11" ht="27.95" customHeight="1">
      <c r="A4" s="321"/>
      <c r="B4" s="35" t="s">
        <v>74</v>
      </c>
      <c r="C4" s="35" t="s">
        <v>77</v>
      </c>
      <c r="D4" s="35" t="s">
        <v>75</v>
      </c>
      <c r="E4" s="35" t="s">
        <v>77</v>
      </c>
      <c r="G4" s="321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-160654</v>
      </c>
      <c r="C5" s="36" t="str">
        <f>IF(B5='15년일입'!V3,"OK","@@")</f>
        <v>OK</v>
      </c>
      <c r="D5" s="41">
        <f>SUM(D6,D9)</f>
        <v>880554</v>
      </c>
      <c r="E5" s="36" t="str">
        <f>IF(D5='15년일출'!V3,"OK","@@")</f>
        <v>@@</v>
      </c>
      <c r="F5" s="31"/>
      <c r="G5" s="36" t="s">
        <v>94</v>
      </c>
      <c r="H5" s="41">
        <f>SUM(H6,H9)</f>
        <v>0</v>
      </c>
      <c r="I5" s="36" t="str">
        <f>IF(H5='15년일입'!AA3,"OK","@@")</f>
        <v>OK</v>
      </c>
      <c r="J5" s="41">
        <f>SUM(J6,J9)</f>
        <v>0</v>
      </c>
      <c r="K5" s="36" t="str">
        <f>IF(J5='15년일출'!AA3,"OK","@@")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IF(B6='15년일입'!V6,"OK","@@")</f>
        <v>OK</v>
      </c>
      <c r="D6" s="40">
        <f>SUM(D7:D8)</f>
        <v>-526044</v>
      </c>
      <c r="E6" s="32" t="str">
        <f>IF($D$6='15년일출'!$V$6,"OK","@@")</f>
        <v>@@</v>
      </c>
      <c r="G6" s="32" t="s">
        <v>93</v>
      </c>
      <c r="H6" s="40">
        <f>SUM(H7:H8)</f>
        <v>0</v>
      </c>
      <c r="I6" s="32" t="str">
        <f>IF(H6='15년일입'!AA6,"OK","@@")</f>
        <v>OK</v>
      </c>
      <c r="J6" s="40">
        <f>SUM(J7:J8)</f>
        <v>0</v>
      </c>
      <c r="K6" s="32" t="str">
        <f>IF($J6='15년일출'!$AA6,"OK","@@")</f>
        <v>OK</v>
      </c>
    </row>
    <row r="7" spans="1:11" s="44" customFormat="1" ht="27.95" customHeight="1">
      <c r="A7" s="50" t="s">
        <v>574</v>
      </c>
      <c r="B7" s="51">
        <f>SUMIFS('15년일입'!$V$7:$V$644,'15년일입'!$T$7:$T$644,"도비")</f>
        <v>0</v>
      </c>
      <c r="C7" s="50"/>
      <c r="D7" s="51">
        <f>SUMIFS('15년일출'!$V$31:$V$733,'15년일출'!$T$31:$T$733,"도비")</f>
        <v>-33320</v>
      </c>
      <c r="E7" s="50"/>
      <c r="G7" s="50" t="s">
        <v>92</v>
      </c>
      <c r="H7" s="51">
        <f>SUMIFS('15년일입'!$AA$7:$AA$644,'15년일입'!$Y$7:$Y$644,"도비")</f>
        <v>0</v>
      </c>
      <c r="I7" s="50"/>
      <c r="J7" s="51">
        <f>SUMIFS('15년일출'!$AA$31:$AA$733,'15년일출'!$Y$31:$Y$733,"도비")</f>
        <v>0</v>
      </c>
      <c r="K7" s="50"/>
    </row>
    <row r="8" spans="1:11" s="44" customFormat="1" ht="27.95" customHeight="1">
      <c r="A8" s="50" t="s">
        <v>91</v>
      </c>
      <c r="B8" s="51">
        <f>SUMIFS('15년일입'!$V$7:$V$644,'15년일입'!$T$7:$T$644,"국비")+SUMIFS('15년일입'!$V$7:$V$644,'15년일입'!$T$7:$T$644,"광특")+SUMIFS('15년일입'!$V$7:$V$644,'15년일입'!$T$7:$T$644,"기금")+SUMIFS('15년일입'!$V$7:$V$644,'15년일입'!$T$7:$T$644,"분권")+SUMIFS('15년일입'!$V$7:$V$644,'15년일입'!$T$7:$T$644,"특교")</f>
        <v>0</v>
      </c>
      <c r="C8" s="50"/>
      <c r="D8" s="51">
        <f>SUMIFS('15년일출'!$V$31:$V$733,'15년일출'!$T$31:$T$733,"국비")+SUMIFS('15년일출'!$V$31:$V$733,'15년일출'!$T$31:$T$733,"광특")+SUMIFS('15년일출'!$V$31:$V$733,'15년일출'!$T$31:$T$733,"기금")+SUMIFS('15년일출'!$V$31:$V$733,'15년일출'!$T$31:$T$733,"분권")+SUMIFS('15년일출'!$V$31:$V$733,'15년일출'!$T$31:$T$733,"특교")</f>
        <v>-492724</v>
      </c>
      <c r="E8" s="50"/>
      <c r="G8" s="50" t="s">
        <v>91</v>
      </c>
      <c r="H8" s="51">
        <f>SUMIFS('15년일입'!$AA$7:$AA$644,'15년일입'!$Y$7:$Y$644,"국비")+SUMIFS('15년일입'!$AA$7:$AA$644,'15년일입'!$Y$7:$Y$644,"광특")+SUMIFS('15년일입'!$AA$7:$AA$644,'15년일입'!$Y$7:$Y$644,"기금")+SUMIFS('15년일입'!$AA$7:$AA$644,'15년일입'!$Y$7:$Y$644,"분권")+SUMIFS('15년일입'!$AA$7:$AA$644,'15년일입'!$Y$7:$Y$644,"특교")</f>
        <v>0</v>
      </c>
      <c r="I8" s="50"/>
      <c r="J8" s="51">
        <f>SUMIFS('15년일출'!$AA$31:$AA$733,'15년일출'!$Y$31:$Y$733,"국비")+SUMIFS('15년일출'!$AA$31:$AA$733,'15년일출'!$Y$31:$Y$733,"광특")+SUMIFS('15년일출'!$AA$31:$AA$733,'15년일출'!$Y$31:$Y$733,"기금")+SUMIFS('15년일출'!$AA$31:$AA$733,'15년일출'!$Y$31:$Y$733,"분권")+SUMIFS('15년일출'!$AA$31:$AA$733,'15년일출'!$Y$31:$Y$733,"특교")</f>
        <v>0</v>
      </c>
      <c r="K8" s="50"/>
    </row>
    <row r="9" spans="1:11" ht="27.95" customHeight="1">
      <c r="A9" s="32" t="s">
        <v>86</v>
      </c>
      <c r="B9" s="40">
        <f>SUM(B10:B14)</f>
        <v>-160654</v>
      </c>
      <c r="C9" s="32" t="str">
        <f>IF(B9='15년일입'!U6,"OK","@@")</f>
        <v>OK</v>
      </c>
      <c r="D9" s="40">
        <f>SUM(D10:D14)</f>
        <v>1406598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IF(H9='15년일입'!Z6,"OK","@@")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SUMIFS('15년일입'!$U$7:$U$644,'15년일입'!$T$7:$T$644,'15년검증'!$A10)</f>
        <v>3529519</v>
      </c>
      <c r="C10" s="33"/>
      <c r="D10" s="43">
        <f>SUMIFS('15년일출'!$U$31:$U$733,'15년일출'!$T$31:$T$733,'15년검증'!$A10)</f>
        <v>1377710</v>
      </c>
      <c r="E10" s="33" t="str">
        <f t="shared" ref="E10:E14" si="0">IF(B10=D10,"OK","@@")</f>
        <v>@@</v>
      </c>
      <c r="G10" s="42" t="s">
        <v>60</v>
      </c>
      <c r="H10" s="43">
        <f>SUMIFS('15년일입'!$Z$7:$Z$644,'15년일입'!$Y$7:$Y$644,'15년검증'!$A10)</f>
        <v>0</v>
      </c>
      <c r="I10" s="33"/>
      <c r="J10" s="43">
        <f>SUMIFS('15년일출'!$Z$31:$Z$733,'15년일출'!$Y$31:$Y$733,'15년검증'!$A10)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SUMIFS('15년일입'!$U$7:$U$644,'15년일입'!$T$7:$T$644,'15년검증'!$A11)</f>
        <v>0</v>
      </c>
      <c r="C11" s="33"/>
      <c r="D11" s="43">
        <f>SUMIFS('15년일출'!$U$31:$U$733,'15년일출'!$T$31:$T$733,'15년검증'!$A11)</f>
        <v>0</v>
      </c>
      <c r="E11" s="33" t="str">
        <f t="shared" si="0"/>
        <v>OK</v>
      </c>
      <c r="G11" s="42" t="s">
        <v>82</v>
      </c>
      <c r="H11" s="43">
        <f>SUMIFS('15년일입'!$Z$7:$Z$644,'15년일입'!$Y$7:$Y$644,'15년검증'!$A11)</f>
        <v>0</v>
      </c>
      <c r="I11" s="33"/>
      <c r="J11" s="43">
        <f>SUMIFS('15년일출'!$Z$31:$Z$733,'15년일출'!$Y$31:$Y$733,'15년검증'!$A11)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SUMIFS('15년일입'!$U$7:$U$644,'15년일입'!$T$7:$T$644,'15년검증'!$A12)</f>
        <v>-3690173</v>
      </c>
      <c r="C12" s="33"/>
      <c r="D12" s="43">
        <f>SUMIFS('15년일출'!$U$31:$U$733,'15년일출'!$T$31:$T$733,'15년검증'!$A12)</f>
        <v>28888</v>
      </c>
      <c r="E12" s="33" t="str">
        <f t="shared" si="0"/>
        <v>@@</v>
      </c>
      <c r="G12" s="42" t="s">
        <v>73</v>
      </c>
      <c r="H12" s="43">
        <f>SUMIFS('15년일입'!$Z$7:$Z$644,'15년일입'!$Y$7:$Y$644,'15년검증'!$A12)</f>
        <v>0</v>
      </c>
      <c r="I12" s="33"/>
      <c r="J12" s="43">
        <f>SUMIFS('15년일출'!$Z$31:$Z$733,'15년일출'!$Y$31:$Y$733,'15년검증'!$A12)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SUMIFS('15년일입'!$U$7:$U$644,'15년일입'!$T$7:$T$644,'15년검증'!$A13)</f>
        <v>0</v>
      </c>
      <c r="C13" s="33"/>
      <c r="D13" s="43">
        <f>SUMIFS('15년일출'!$U$31:$U$733,'15년일출'!$T$31:$T$733,'15년검증'!$A13)</f>
        <v>0</v>
      </c>
      <c r="E13" s="33" t="str">
        <f t="shared" si="0"/>
        <v>OK</v>
      </c>
      <c r="G13" s="42" t="s">
        <v>83</v>
      </c>
      <c r="H13" s="43">
        <f>SUMIFS('15년일입'!$Z$7:$Z$644,'15년일입'!$Y$7:$Y$644,'15년검증'!$A13)</f>
        <v>0</v>
      </c>
      <c r="I13" s="33"/>
      <c r="J13" s="43">
        <f>SUMIFS('15년일출'!$Z$31:$Z$733,'15년일출'!$Y$31:$Y$733,'15년검증'!$A13)</f>
        <v>0</v>
      </c>
      <c r="K13" s="33" t="str">
        <f t="shared" si="1"/>
        <v>OK</v>
      </c>
    </row>
    <row r="14" spans="1:11" ht="27.95" customHeight="1">
      <c r="A14" s="42" t="s">
        <v>545</v>
      </c>
      <c r="B14" s="43">
        <f>SUMIFS('15년일입'!$U$7:$U$644,'15년일입'!$T$7:$T$644,'15년검증'!$A14)</f>
        <v>0</v>
      </c>
      <c r="C14" s="33"/>
      <c r="D14" s="43">
        <f>SUMIFS('15년일출'!$U$31:$U$733,'15년일출'!$T$31:$T$733,'15년검증'!$A14)</f>
        <v>0</v>
      </c>
      <c r="E14" s="33" t="str">
        <f t="shared" si="0"/>
        <v>OK</v>
      </c>
      <c r="G14" s="42" t="s">
        <v>545</v>
      </c>
      <c r="H14" s="43">
        <f>SUMIFS('15년일입'!$Z$7:$Z$644,'15년일입'!$Y$7:$Y$644,'15년검증'!$A14)</f>
        <v>0</v>
      </c>
      <c r="I14" s="33"/>
      <c r="J14" s="43">
        <f>SUMIFS('15년일출'!$Z$31:$Z$733,'15년일출'!$Y$31:$Y$733,'15년검증'!$A14)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3" t="s">
        <v>573</v>
      </c>
      <c r="H16" s="311" t="e">
        <f>INDEX('15년일출'!AA31:AA733,MATCH("*예비비*",'15년일출'!G31:G733,0))</f>
        <v>#N/A</v>
      </c>
      <c r="I16" s="312"/>
      <c r="J16" s="312"/>
      <c r="K16" s="313"/>
    </row>
    <row r="17" spans="1:11" ht="27.95" customHeight="1"/>
    <row r="18" spans="1:11" ht="27.95" customHeight="1">
      <c r="F18" s="45"/>
      <c r="H18" s="311">
        <f>H5-J5</f>
        <v>0</v>
      </c>
      <c r="I18" s="312"/>
      <c r="J18" s="312"/>
      <c r="K18" s="313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191" t="s">
        <v>575</v>
      </c>
      <c r="H20" s="314" t="e">
        <f>I1+H16</f>
        <v>#N/A</v>
      </c>
      <c r="I20" s="315"/>
      <c r="J20" s="315"/>
      <c r="K20" s="31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ColWidth="9"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317" t="s">
        <v>572</v>
      </c>
      <c r="B1" s="317"/>
      <c r="C1" s="317"/>
      <c r="D1" s="317"/>
      <c r="E1" s="317"/>
      <c r="F1" s="54"/>
      <c r="G1" s="318" t="s">
        <v>552</v>
      </c>
      <c r="H1" s="318"/>
      <c r="I1" s="319">
        <v>22466366</v>
      </c>
      <c r="J1" s="319"/>
      <c r="K1" s="319"/>
    </row>
    <row r="2" spans="1:11" s="47" customFormat="1" ht="22.5" customHeight="1">
      <c r="E2" s="48"/>
      <c r="K2" s="48" t="s">
        <v>78</v>
      </c>
    </row>
    <row r="3" spans="1:11" ht="27.95" customHeight="1">
      <c r="A3" s="320" t="s">
        <v>76</v>
      </c>
      <c r="B3" s="322" t="s">
        <v>89</v>
      </c>
      <c r="C3" s="323"/>
      <c r="D3" s="323"/>
      <c r="E3" s="324"/>
      <c r="F3" s="49"/>
      <c r="G3" s="320" t="s">
        <v>76</v>
      </c>
      <c r="H3" s="322" t="s">
        <v>90</v>
      </c>
      <c r="I3" s="323"/>
      <c r="J3" s="323"/>
      <c r="K3" s="324"/>
    </row>
    <row r="4" spans="1:11" ht="27.95" customHeight="1">
      <c r="A4" s="321"/>
      <c r="B4" s="35" t="s">
        <v>74</v>
      </c>
      <c r="C4" s="35" t="s">
        <v>77</v>
      </c>
      <c r="D4" s="35" t="s">
        <v>75</v>
      </c>
      <c r="E4" s="35" t="s">
        <v>77</v>
      </c>
      <c r="G4" s="321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-9078896</v>
      </c>
      <c r="C5" s="36" t="str">
        <f>IF(B5='2추일입'!W3,"OK","@@")</f>
        <v>OK</v>
      </c>
      <c r="D5" s="41">
        <f>SUM(D6,D9)</f>
        <v>-427993</v>
      </c>
      <c r="E5" s="36" t="str">
        <f>IF(D5='2추일출'!W3,"OK","@@")</f>
        <v>@@</v>
      </c>
      <c r="F5" s="31"/>
      <c r="G5" s="36" t="s">
        <v>94</v>
      </c>
      <c r="H5" s="41">
        <f>SUM(H6,H9)</f>
        <v>0</v>
      </c>
      <c r="I5" s="36" t="str">
        <f>IF(H5='2추일입'!AB3,"OK","@@")</f>
        <v>OK</v>
      </c>
      <c r="J5" s="41">
        <f>SUM(J6,J9)</f>
        <v>0</v>
      </c>
      <c r="K5" s="36" t="str">
        <f>IF(J5='2추일출'!AB3,"OK","@@")</f>
        <v>OK</v>
      </c>
    </row>
    <row r="6" spans="1:11" ht="27.95" customHeight="1">
      <c r="A6" s="32" t="s">
        <v>93</v>
      </c>
      <c r="B6" s="40">
        <f>SUM(B7:B8)</f>
        <v>4750</v>
      </c>
      <c r="C6" s="32" t="str">
        <f>IF(B6='2추일입'!W6,"OK","@@")</f>
        <v>OK</v>
      </c>
      <c r="D6" s="40">
        <f>SUM(D7:D8)</f>
        <v>-327335</v>
      </c>
      <c r="E6" s="32" t="str">
        <f>IF($D$6='2추일출'!$W$6,"OK","@@")</f>
        <v>@@</v>
      </c>
      <c r="G6" s="32" t="s">
        <v>93</v>
      </c>
      <c r="H6" s="40">
        <f>SUM(H7:H8)</f>
        <v>0</v>
      </c>
      <c r="I6" s="32" t="str">
        <f>IF(H6='2추일입'!AB6,"OK","@@")</f>
        <v>OK</v>
      </c>
      <c r="J6" s="40">
        <f>SUM(J7:J8)</f>
        <v>0</v>
      </c>
      <c r="K6" s="32" t="str">
        <f>IF($J6='2추일출'!$AB6,"OK","@@")</f>
        <v>OK</v>
      </c>
    </row>
    <row r="7" spans="1:11" s="44" customFormat="1" ht="27.95" customHeight="1">
      <c r="A7" s="50" t="s">
        <v>574</v>
      </c>
      <c r="B7" s="51">
        <f>SUMIFS('2추일입'!$W$7:$W$645,'2추일입'!$U$7:$U$645,"도비")</f>
        <v>4750</v>
      </c>
      <c r="C7" s="50"/>
      <c r="D7" s="51">
        <f>SUMIFS('2추일출'!$W$25:$W$657,'2추일출'!$U$25:$U$657,"도비")</f>
        <v>0</v>
      </c>
      <c r="E7" s="50"/>
      <c r="G7" s="50" t="s">
        <v>92</v>
      </c>
      <c r="H7" s="51">
        <f>SUMIFS('2추일입'!$AB$7:$AB$645,'2추일입'!$Z$7:$Z$645,"도비")</f>
        <v>0</v>
      </c>
      <c r="I7" s="50"/>
      <c r="J7" s="51">
        <f>SUMIFS('2추일출'!$AB$25:$AB$657,'2추일출'!$Z$25:$Z$657,"도비")</f>
        <v>0</v>
      </c>
      <c r="K7" s="50"/>
    </row>
    <row r="8" spans="1:11" s="44" customFormat="1" ht="27.95" customHeight="1">
      <c r="A8" s="50" t="s">
        <v>91</v>
      </c>
      <c r="B8" s="51">
        <f>SUMIFS('2추일입'!$W$7:$W$645,'2추일입'!$U$7:$U$645,"국비")+SUMIFS('2추일입'!$W$7:$W$645,'2추일입'!$U$7:$U$645,"광특")+SUMIFS('2추일입'!$W$7:$W$645,'2추일입'!$U$7:$U$645,"기금")+SUMIFS('2추일입'!$W$7:$W$645,'2추일입'!$U$7:$U$645,"분권")+SUMIFS('2추일입'!$W$7:$W$645,'2추일입'!$U$7:$U$645,"특교")</f>
        <v>0</v>
      </c>
      <c r="C8" s="50"/>
      <c r="D8" s="51">
        <f>SUMIFS('2추일출'!$W$25:$W$657,'2추일출'!$U$25:$U$657,"국비")+SUMIFS('2추일출'!$W$25:$W$657,'2추일출'!$U$25:$U$657,"광특")+SUMIFS('2추일출'!$W$25:$W$657,'2추일출'!$U$25:$U$657,"기금")+SUMIFS('2추일출'!$W$25:$W$657,'2추일출'!$U$25:$U$657,"분권")+SUMIFS('2추일출'!$W$25:$W$657,'2추일출'!$U$25:$U$657,"특교")</f>
        <v>-327335</v>
      </c>
      <c r="E8" s="50"/>
      <c r="G8" s="50" t="s">
        <v>91</v>
      </c>
      <c r="H8" s="51">
        <f>SUMIFS('2추일입'!$AB$7:$AB$645,'2추일입'!$Z$7:$Z$645,"국비")+SUMIFS('2추일입'!$AB$7:$AB$645,'2추일입'!$Z$7:$Z$645,"광특")+SUMIFS('2추일입'!$AB$7:$AB$645,'2추일입'!$Z$7:$Z$645,"기금")+SUMIFS('2추일입'!$AB$7:$AB$645,'2추일입'!$Z$7:$Z$645,"분권")+SUMIFS('2추일입'!$AB$7:$AB$645,'2추일입'!$Z$7:$Z$645,"특교")</f>
        <v>0</v>
      </c>
      <c r="I8" s="50"/>
      <c r="J8" s="51">
        <f>SUMIFS('2추일출'!$AB$25:$AB$657,'2추일출'!$Z$25:$Z$657,"국비")+SUMIFS('2추일출'!$AB$25:$AB$657,'2추일출'!$Z$25:$Z$657,"광특")+SUMIFS('2추일출'!$AB$25:$AB$657,'2추일출'!$Z$25:$Z$657,"기금")+SUMIFS('2추일출'!$AB$25:$AB$657,'2추일출'!$Z$25:$Z$657,"분권")+SUMIFS('2추일출'!$AB$25:$AB$657,'2추일출'!$Z$25:$Z$657,"특교")</f>
        <v>0</v>
      </c>
      <c r="K8" s="50"/>
    </row>
    <row r="9" spans="1:11" ht="27.95" customHeight="1">
      <c r="A9" s="32" t="s">
        <v>86</v>
      </c>
      <c r="B9" s="40">
        <f>SUM(B10:B14)</f>
        <v>-9083646</v>
      </c>
      <c r="C9" s="32" t="str">
        <f>IF(B9='2추일입'!V6,"OK","@@")</f>
        <v>OK</v>
      </c>
      <c r="D9" s="40">
        <f>SUM(D10:D14)</f>
        <v>-100658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IF(H9='2추일입'!AA6,"OK","@@")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SUMIFS('2추일입'!$V$7:$V$645,'2추일입'!$U$7:$U$645,'2추검증'!$A10)</f>
        <v>-10978269</v>
      </c>
      <c r="C10" s="33"/>
      <c r="D10" s="43">
        <f>SUMIFS('2추일출'!$V$25:$V$657,'2추일출'!$U$25:$U$657,'2추검증'!$A10)</f>
        <v>-521949</v>
      </c>
      <c r="E10" s="33" t="str">
        <f t="shared" ref="E10:E14" si="0">IF(B10=D10,"OK","@@")</f>
        <v>@@</v>
      </c>
      <c r="G10" s="42" t="s">
        <v>60</v>
      </c>
      <c r="H10" s="43">
        <f>SUMIFS('2추일입'!$AA$7:$AA$645,'2추일입'!$Z$7:$Z$645,'2추검증'!$A10)</f>
        <v>0</v>
      </c>
      <c r="I10" s="33"/>
      <c r="J10" s="43">
        <f>SUMIFS('2추일출'!$AA$25:$AA$657,'2추일출'!$Z$25:$Z$657,'2추검증'!$A10)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SUMIFS('2추일입'!$V$7:$V$645,'2추일입'!$U$7:$U$645,'2추검증'!$A11)</f>
        <v>0</v>
      </c>
      <c r="C11" s="33"/>
      <c r="D11" s="43">
        <f>SUMIFS('2추일출'!$V$25:$V$657,'2추일출'!$U$25:$U$657,'2추검증'!$A11)</f>
        <v>0</v>
      </c>
      <c r="E11" s="33" t="str">
        <f t="shared" si="0"/>
        <v>OK</v>
      </c>
      <c r="G11" s="42" t="s">
        <v>82</v>
      </c>
      <c r="H11" s="43">
        <f>SUMIFS('2추일입'!$AA$7:$AA$645,'2추일입'!$Z$7:$Z$645,'2추검증'!$A11)</f>
        <v>0</v>
      </c>
      <c r="I11" s="33"/>
      <c r="J11" s="43">
        <f>SUMIFS('2추일출'!$AA$25:$AA$657,'2추일출'!$Z$25:$Z$657,'2추검증'!$A11)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SUMIFS('2추일입'!$V$7:$V$645,'2추일입'!$U$7:$U$645,'2추검증'!$A12)</f>
        <v>1894623</v>
      </c>
      <c r="C12" s="33"/>
      <c r="D12" s="43">
        <f>SUMIFS('2추일출'!$V$25:$V$657,'2추일출'!$U$25:$U$657,'2추검증'!$A12)</f>
        <v>421291</v>
      </c>
      <c r="E12" s="33" t="str">
        <f t="shared" si="0"/>
        <v>@@</v>
      </c>
      <c r="G12" s="42" t="s">
        <v>73</v>
      </c>
      <c r="H12" s="43">
        <f>SUMIFS('2추일입'!$AA$7:$AA$645,'2추일입'!$Z$7:$Z$645,'2추검증'!$A12)</f>
        <v>0</v>
      </c>
      <c r="I12" s="33"/>
      <c r="J12" s="43">
        <f>SUMIFS('2추일출'!$AA$25:$AA$657,'2추일출'!$Z$25:$Z$657,'2추검증'!$A12)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SUMIFS('2추일입'!$V$7:$V$645,'2추일입'!$U$7:$U$645,'2추검증'!$A13)</f>
        <v>0</v>
      </c>
      <c r="C13" s="33"/>
      <c r="D13" s="43">
        <f>SUMIFS('2추일출'!$V$25:$V$657,'2추일출'!$U$25:$U$657,'2추검증'!$A13)</f>
        <v>0</v>
      </c>
      <c r="E13" s="33" t="str">
        <f t="shared" si="0"/>
        <v>OK</v>
      </c>
      <c r="G13" s="42" t="s">
        <v>83</v>
      </c>
      <c r="H13" s="43">
        <f>SUMIFS('2추일입'!$AA$7:$AA$645,'2추일입'!$Z$7:$Z$645,'2추검증'!$A13)</f>
        <v>0</v>
      </c>
      <c r="I13" s="33"/>
      <c r="J13" s="43">
        <f>SUMIFS('2추일출'!$AA$25:$AA$657,'2추일출'!$Z$25:$Z$657,'2추검증'!$A13)</f>
        <v>0</v>
      </c>
      <c r="K13" s="33" t="str">
        <f t="shared" si="1"/>
        <v>OK</v>
      </c>
    </row>
    <row r="14" spans="1:11" ht="27.95" customHeight="1">
      <c r="A14" s="42" t="s">
        <v>553</v>
      </c>
      <c r="B14" s="43">
        <f>SUMIFS('2추일입'!$V$7:$V$645,'2추일입'!$U$7:$U$645,'2추검증'!$A14)</f>
        <v>0</v>
      </c>
      <c r="C14" s="33"/>
      <c r="D14" s="43">
        <f>SUMIFS('2추일출'!$V$25:$V$657,'2추일출'!$U$25:$U$657,'2추검증'!$A14)</f>
        <v>0</v>
      </c>
      <c r="E14" s="33" t="str">
        <f t="shared" si="0"/>
        <v>OK</v>
      </c>
      <c r="G14" s="42" t="s">
        <v>545</v>
      </c>
      <c r="H14" s="43">
        <f>SUMIFS('2추일입'!$AA$7:$AA$645,'2추일입'!$Z$7:$Z$645,'2추검증'!$A14)</f>
        <v>0</v>
      </c>
      <c r="I14" s="33"/>
      <c r="J14" s="43">
        <f>SUMIFS('2추일출'!$AA$25:$AA$657,'2추일출'!$Z$25:$Z$657,'2추검증'!$A14)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3" t="s">
        <v>573</v>
      </c>
      <c r="H16" s="311" t="e">
        <f>INDEX('2추일출'!AB25:AB657,MATCH("*예비비*",'2추일출'!F25:F657,0))</f>
        <v>#N/A</v>
      </c>
      <c r="I16" s="312"/>
      <c r="J16" s="312"/>
      <c r="K16" s="313"/>
    </row>
    <row r="17" spans="1:11" ht="27.95" customHeight="1"/>
    <row r="18" spans="1:11" ht="27.95" customHeight="1">
      <c r="F18" s="45"/>
      <c r="H18" s="311">
        <f>H5-J5</f>
        <v>0</v>
      </c>
      <c r="I18" s="312"/>
      <c r="J18" s="312"/>
      <c r="K18" s="313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191" t="s">
        <v>575</v>
      </c>
      <c r="H20" s="314" t="e">
        <f>I1-H16</f>
        <v>#N/A</v>
      </c>
      <c r="I20" s="315"/>
      <c r="J20" s="315"/>
      <c r="K20" s="316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25" t="s">
        <v>58</v>
      </c>
      <c r="E16" s="325"/>
      <c r="F16" s="325"/>
      <c r="G16" s="325"/>
      <c r="H16" s="325"/>
      <c r="I16" s="325"/>
      <c r="J16" s="325"/>
      <c r="K16" s="32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26" t="s">
        <v>57</v>
      </c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25" t="s">
        <v>58</v>
      </c>
      <c r="E16" s="325"/>
      <c r="F16" s="325"/>
      <c r="G16" s="325"/>
      <c r="H16" s="325"/>
      <c r="I16" s="325"/>
      <c r="J16" s="325"/>
      <c r="K16" s="32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25" t="s">
        <v>58</v>
      </c>
      <c r="C33" s="325"/>
      <c r="D33" s="325"/>
      <c r="E33" s="325"/>
      <c r="F33" s="325"/>
      <c r="G33" s="325"/>
      <c r="H33" s="325"/>
      <c r="I33" s="325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25" t="s">
        <v>58</v>
      </c>
      <c r="C24" s="325"/>
      <c r="D24" s="325"/>
      <c r="E24" s="325"/>
      <c r="F24" s="325"/>
      <c r="G24" s="325"/>
      <c r="H24" s="325"/>
      <c r="I24" s="325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558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21</v>
      </c>
      <c r="C3" s="100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33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33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45" customHeight="1" thickBot="1">
      <c r="B7" s="111" t="s">
        <v>39</v>
      </c>
      <c r="C7" s="112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>
        <f>E25+D25</f>
        <v>0</v>
      </c>
      <c r="J7" s="115">
        <f>F25+G25</f>
        <v>0</v>
      </c>
      <c r="K7" s="116">
        <f>I7-J7</f>
        <v>0</v>
      </c>
      <c r="L7" s="117" t="s">
        <v>40</v>
      </c>
      <c r="M7" s="118">
        <f>D24+E24</f>
        <v>0</v>
      </c>
      <c r="N7" s="119">
        <f>F24+G24</f>
        <v>0</v>
      </c>
      <c r="O7" s="120">
        <v>0</v>
      </c>
      <c r="P7" s="120">
        <v>0</v>
      </c>
    </row>
    <row r="8" spans="2:16" ht="45" hidden="1" customHeight="1" thickBot="1">
      <c r="B8" s="121" t="s">
        <v>41</v>
      </c>
      <c r="C8" s="112">
        <v>0</v>
      </c>
      <c r="D8" s="20"/>
      <c r="E8" s="20"/>
      <c r="F8" s="20"/>
      <c r="G8" s="20"/>
      <c r="H8" s="113">
        <f>C8-F8+G8</f>
        <v>0</v>
      </c>
      <c r="I8" s="122">
        <f>D7+E7</f>
        <v>0</v>
      </c>
      <c r="J8" s="123">
        <f>F7+G7</f>
        <v>0</v>
      </c>
      <c r="K8" s="124">
        <f>I8-J8</f>
        <v>0</v>
      </c>
      <c r="L8" s="125"/>
      <c r="M8" s="126"/>
      <c r="N8" s="127"/>
      <c r="O8" s="128"/>
      <c r="P8" s="128"/>
    </row>
    <row r="9" spans="2:16" ht="45" customHeight="1">
      <c r="B9" s="129" t="s">
        <v>98</v>
      </c>
      <c r="C9" s="130"/>
      <c r="D9" s="20">
        <f>SUMIFS('15년일입'!$L$7:$L$644,'15년일입'!$B$7:$B$644,'15년총괄표'!$B9)</f>
        <v>0</v>
      </c>
      <c r="E9" s="20">
        <f>SUMIFS('15년일입'!$M$7:$M$644,'15년일입'!$B$7:$B$644,'15년총괄표'!$B9)</f>
        <v>0</v>
      </c>
      <c r="F9" s="20">
        <f>SUMIFS('15년일출'!$L$31:$L$733,'15년일출'!$B$31:$B$733,'15년총괄표'!$B9)</f>
        <v>0</v>
      </c>
      <c r="G9" s="20">
        <f>SUMIFS('15년일출'!$M$31:$M$733,'15년일출'!$B$31:$B$733,'15년총괄표'!$B9)</f>
        <v>0</v>
      </c>
      <c r="H9" s="113">
        <f>C9+F9+G9</f>
        <v>0</v>
      </c>
      <c r="I9" s="345" t="s">
        <v>42</v>
      </c>
      <c r="J9" s="346"/>
      <c r="K9" s="104"/>
      <c r="N9" s="131" t="s">
        <v>43</v>
      </c>
    </row>
    <row r="10" spans="2:16" ht="45" customHeight="1" thickBot="1">
      <c r="B10" s="129" t="s">
        <v>99</v>
      </c>
      <c r="C10" s="112"/>
      <c r="D10" s="20">
        <f>SUMIFS('15년일입'!$L$7:$L$644,'15년일입'!$B$7:$B$644,'15년총괄표'!$B10)</f>
        <v>0</v>
      </c>
      <c r="E10" s="20">
        <f>SUMIFS('15년일입'!$M$7:$M$644,'15년일입'!$B$7:$B$644,'15년총괄표'!$B10)</f>
        <v>0</v>
      </c>
      <c r="F10" s="20">
        <f>SUMIFS('15년일출'!$L$31:$L$733,'15년일출'!$B$31:$B$733,'15년총괄표'!$B10)</f>
        <v>0</v>
      </c>
      <c r="G10" s="20">
        <f>SUMIFS('15년일출'!$M$31:$M$733,'15년일출'!$B$31:$B$733,'15년총괄표'!$B10)</f>
        <v>0</v>
      </c>
      <c r="H10" s="113">
        <f t="shared" ref="H10:H18" si="1">C10+F10+G10</f>
        <v>0</v>
      </c>
      <c r="I10" s="132" t="e">
        <f>#REF!+#REF!</f>
        <v>#REF!</v>
      </c>
      <c r="J10" s="133" t="e">
        <f>#REF!+#REF!</f>
        <v>#REF!</v>
      </c>
      <c r="K10" s="104"/>
      <c r="N10" s="134">
        <f>M7-N7</f>
        <v>0</v>
      </c>
    </row>
    <row r="11" spans="2:16" ht="45" customHeight="1">
      <c r="B11" s="129" t="s">
        <v>100</v>
      </c>
      <c r="C11" s="112"/>
      <c r="D11" s="20">
        <f>SUMIFS('15년일입'!$L$7:$L$644,'15년일입'!$B$7:$B$644,'15년총괄표'!$B11)</f>
        <v>0</v>
      </c>
      <c r="E11" s="20">
        <f>SUMIFS('15년일입'!$M$7:$M$644,'15년일입'!$B$7:$B$644,'15년총괄표'!$B11)</f>
        <v>0</v>
      </c>
      <c r="F11" s="20">
        <f>SUMIFS('15년일출'!$L$31:$L$733,'15년일출'!$B$31:$B$733,'15년총괄표'!$B11)</f>
        <v>0</v>
      </c>
      <c r="G11" s="20">
        <f>SUMIFS('15년일출'!$M$31:$M$733,'15년일출'!$B$31:$B$733,'15년총괄표'!$B11)</f>
        <v>0</v>
      </c>
      <c r="H11" s="113">
        <f t="shared" si="1"/>
        <v>0</v>
      </c>
      <c r="J11" s="135"/>
      <c r="K11" s="136"/>
    </row>
    <row r="12" spans="2:16" ht="45" customHeight="1">
      <c r="B12" s="129" t="s">
        <v>101</v>
      </c>
      <c r="C12" s="112"/>
      <c r="D12" s="20">
        <f>SUMIFS('15년일입'!$L$7:$L$644,'15년일입'!$B$7:$B$644,'15년총괄표'!$B12)</f>
        <v>0</v>
      </c>
      <c r="E12" s="20">
        <f>SUMIFS('15년일입'!$M$7:$M$644,'15년일입'!$B$7:$B$644,'15년총괄표'!$B12)</f>
        <v>0</v>
      </c>
      <c r="F12" s="20">
        <f>SUMIFS('15년일출'!$L$31:$L$733,'15년일출'!$B$31:$B$733,'15년총괄표'!$B12)</f>
        <v>0</v>
      </c>
      <c r="G12" s="20">
        <f>SUMIFS('15년일출'!$M$31:$M$733,'15년일출'!$B$31:$B$733,'15년총괄표'!$B12)</f>
        <v>0</v>
      </c>
      <c r="H12" s="113">
        <f t="shared" si="1"/>
        <v>0</v>
      </c>
      <c r="J12" s="137"/>
      <c r="L12" s="138"/>
      <c r="M12" s="138"/>
    </row>
    <row r="13" spans="2:16" ht="45" customHeight="1">
      <c r="B13" s="129" t="s">
        <v>102</v>
      </c>
      <c r="C13" s="112"/>
      <c r="D13" s="20">
        <f>SUMIFS('15년일입'!$L$7:$L$644,'15년일입'!$B$7:$B$644,'15년총괄표'!$B13)</f>
        <v>0</v>
      </c>
      <c r="E13" s="20">
        <f>SUMIFS('15년일입'!$M$7:$M$644,'15년일입'!$B$7:$B$644,'15년총괄표'!$B13)</f>
        <v>0</v>
      </c>
      <c r="F13" s="20">
        <f>SUMIFS('15년일출'!$L$31:$L$733,'15년일출'!$B$31:$B$733,'15년총괄표'!$B13)</f>
        <v>0</v>
      </c>
      <c r="G13" s="20">
        <f>SUMIFS('15년일출'!$M$31:$M$733,'15년일출'!$B$31:$B$733,'15년총괄표'!$B13)</f>
        <v>0</v>
      </c>
      <c r="H13" s="113">
        <f t="shared" si="1"/>
        <v>0</v>
      </c>
      <c r="K13" s="15"/>
      <c r="L13" s="16"/>
      <c r="N13" s="96" t="s">
        <v>44</v>
      </c>
    </row>
    <row r="14" spans="2:16" s="141" customFormat="1" ht="45" customHeight="1">
      <c r="B14" s="129" t="s">
        <v>103</v>
      </c>
      <c r="C14" s="139"/>
      <c r="D14" s="20">
        <f>SUMIFS('15년일입'!$L$7:$L$644,'15년일입'!$B$7:$B$644,'15년총괄표'!$B14)</f>
        <v>0</v>
      </c>
      <c r="E14" s="20">
        <f>SUMIFS('15년일입'!$M$7:$M$644,'15년일입'!$B$7:$B$644,'15년총괄표'!$B14)</f>
        <v>0</v>
      </c>
      <c r="F14" s="20">
        <f>SUMIFS('15년일출'!$L$31:$L$733,'15년일출'!$B$31:$B$733,'15년총괄표'!$B14)</f>
        <v>0</v>
      </c>
      <c r="G14" s="20">
        <f>SUMIFS('15년일출'!$M$31:$M$733,'15년일출'!$B$31:$B$733,'15년총괄표'!$B14)</f>
        <v>0</v>
      </c>
      <c r="H14" s="113">
        <f t="shared" si="1"/>
        <v>0</v>
      </c>
      <c r="I14" s="140"/>
      <c r="J14" s="140"/>
      <c r="K14" s="15"/>
      <c r="L14" s="16"/>
      <c r="M14" s="126"/>
      <c r="N14" s="127">
        <f>N10-K7</f>
        <v>0</v>
      </c>
      <c r="O14" s="140"/>
      <c r="P14" s="140"/>
    </row>
    <row r="15" spans="2:16" s="141" customFormat="1" ht="45" customHeight="1">
      <c r="B15" s="129" t="s">
        <v>69</v>
      </c>
      <c r="C15" s="139"/>
      <c r="D15" s="20">
        <f>SUMIFS('15년일입'!$L$7:$L$644,'15년일입'!$B$7:$B$644,'15년총괄표'!$B15)</f>
        <v>0</v>
      </c>
      <c r="E15" s="20">
        <f>SUMIFS('15년일입'!$M$7:$M$644,'15년일입'!$B$7:$B$644,'15년총괄표'!$B15)</f>
        <v>0</v>
      </c>
      <c r="F15" s="20">
        <f>SUMIFS('15년일출'!$L$31:$L$733,'15년일출'!$B$31:$B$733,'15년총괄표'!$B15)</f>
        <v>0</v>
      </c>
      <c r="G15" s="20">
        <f>SUMIFS('15년일출'!$M$31:$M$733,'15년일출'!$B$31:$B$733,'15년총괄표'!$B15)</f>
        <v>0</v>
      </c>
      <c r="H15" s="113">
        <f t="shared" si="1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45" customHeight="1">
      <c r="B16" s="129" t="s">
        <v>104</v>
      </c>
      <c r="C16" s="139"/>
      <c r="D16" s="20">
        <f>SUMIFS('15년일입'!$L$7:$L$644,'15년일입'!$B$7:$B$644,'15년총괄표'!$B16)</f>
        <v>0</v>
      </c>
      <c r="E16" s="20">
        <f>SUMIFS('15년일입'!$M$7:$M$644,'15년일입'!$B$7:$B$644,'15년총괄표'!$B16)</f>
        <v>0</v>
      </c>
      <c r="F16" s="20">
        <f>SUMIFS('15년일출'!$L$31:$L$733,'15년일출'!$B$31:$B$733,'15년총괄표'!$B16)</f>
        <v>0</v>
      </c>
      <c r="G16" s="20">
        <f>SUMIFS('15년일출'!$M$31:$M$733,'15년일출'!$B$31:$B$733,'15년총괄표'!$B16)</f>
        <v>0</v>
      </c>
      <c r="H16" s="113">
        <f t="shared" si="1"/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45" customHeight="1">
      <c r="B17" s="142" t="s">
        <v>105</v>
      </c>
      <c r="C17" s="143"/>
      <c r="D17" s="20">
        <f>SUMIFS('15년일입'!$L$7:$L$644,'15년일입'!$B$7:$B$644,'15년총괄표'!$B17)</f>
        <v>0</v>
      </c>
      <c r="E17" s="20">
        <f>SUMIFS('15년일입'!$M$7:$M$644,'15년일입'!$B$7:$B$644,'15년총괄표'!$B17)</f>
        <v>0</v>
      </c>
      <c r="F17" s="20">
        <f>SUMIFS('15년일출'!$L$31:$L$733,'15년일출'!$B$31:$B$733,'15년총괄표'!$B17)</f>
        <v>0</v>
      </c>
      <c r="G17" s="20">
        <f>SUMIFS('15년일출'!$M$31:$M$733,'15년일출'!$B$31:$B$733,'15년총괄표'!$B17)</f>
        <v>0</v>
      </c>
      <c r="H17" s="113">
        <f t="shared" si="1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s="141" customFormat="1" ht="45" customHeight="1" thickBot="1">
      <c r="B18" s="146" t="s">
        <v>551</v>
      </c>
      <c r="C18" s="147"/>
      <c r="D18" s="21">
        <f>SUMIFS('15년일입'!$L$7:$L$644,'15년일입'!$B$7:$B$644,'15년총괄표'!$B18)</f>
        <v>0</v>
      </c>
      <c r="E18" s="21">
        <f>SUMIFS('15년일입'!$M$7:$M$644,'15년일입'!$B$7:$B$644,'15년총괄표'!$B18)</f>
        <v>0</v>
      </c>
      <c r="F18" s="21">
        <f>SUMIFS('15년일출'!$L$31:$L$733,'15년일출'!$B$31:$B$733,'15년총괄표'!$B18)</f>
        <v>0</v>
      </c>
      <c r="G18" s="21">
        <f>SUMIFS('15년일출'!$M$31:$M$733,'15년일출'!$B$31:$B$733,'15년총괄표'!$B18)</f>
        <v>0</v>
      </c>
      <c r="H18" s="148">
        <f t="shared" si="1"/>
        <v>0</v>
      </c>
      <c r="I18" s="140"/>
      <c r="J18" s="140"/>
      <c r="K18" s="15"/>
      <c r="L18" s="16"/>
      <c r="M18" s="140"/>
      <c r="N18" s="140"/>
      <c r="O18" s="140"/>
      <c r="P18" s="140"/>
    </row>
    <row r="19" spans="2:16" ht="18" customHeight="1">
      <c r="B19" s="102"/>
      <c r="C19" s="102"/>
      <c r="D19" s="102"/>
      <c r="E19" s="102"/>
      <c r="F19" s="102"/>
      <c r="G19" s="102"/>
      <c r="H19" s="102"/>
      <c r="K19" s="15"/>
      <c r="L19" s="16"/>
    </row>
    <row r="20" spans="2:16" ht="20.25">
      <c r="B20" s="149" t="s">
        <v>45</v>
      </c>
      <c r="C20" s="99"/>
      <c r="D20" s="99"/>
      <c r="E20" s="99"/>
      <c r="F20" s="99"/>
      <c r="G20" s="99"/>
      <c r="H20" s="150"/>
      <c r="K20" s="15"/>
      <c r="L20" s="16"/>
    </row>
    <row r="21" spans="2:16" ht="19.5" thickBot="1">
      <c r="B21" s="101"/>
      <c r="C21" s="102"/>
      <c r="D21" s="102"/>
      <c r="E21" s="102"/>
      <c r="F21" s="102"/>
      <c r="G21" s="102"/>
      <c r="H21" s="103" t="s">
        <v>15</v>
      </c>
    </row>
    <row r="22" spans="2:16" ht="33" customHeight="1">
      <c r="B22" s="337" t="s">
        <v>46</v>
      </c>
      <c r="C22" s="339" t="s">
        <v>47</v>
      </c>
      <c r="D22" s="341" t="s">
        <v>27</v>
      </c>
      <c r="E22" s="342"/>
      <c r="F22" s="341" t="s">
        <v>28</v>
      </c>
      <c r="G22" s="342"/>
      <c r="H22" s="343" t="s">
        <v>29</v>
      </c>
    </row>
    <row r="23" spans="2:16" ht="33" customHeight="1">
      <c r="B23" s="338"/>
      <c r="C23" s="340"/>
      <c r="D23" s="106" t="s">
        <v>35</v>
      </c>
      <c r="E23" s="106" t="s">
        <v>36</v>
      </c>
      <c r="F23" s="106" t="s">
        <v>35</v>
      </c>
      <c r="G23" s="106" t="s">
        <v>36</v>
      </c>
      <c r="H23" s="344"/>
      <c r="I23" s="96" t="s">
        <v>48</v>
      </c>
    </row>
    <row r="24" spans="2:16" ht="45" customHeight="1">
      <c r="B24" s="111" t="s">
        <v>49</v>
      </c>
      <c r="C24" s="112">
        <f t="shared" ref="C24:G24" si="2">SUM(C25:C26)</f>
        <v>0</v>
      </c>
      <c r="D24" s="20">
        <f t="shared" si="2"/>
        <v>0</v>
      </c>
      <c r="E24" s="112">
        <f t="shared" si="2"/>
        <v>0</v>
      </c>
      <c r="F24" s="20">
        <f t="shared" si="2"/>
        <v>0</v>
      </c>
      <c r="G24" s="112">
        <f t="shared" si="2"/>
        <v>0</v>
      </c>
      <c r="H24" s="113">
        <f>SUM(H25:H26)</f>
        <v>0</v>
      </c>
      <c r="I24" s="104">
        <f>C24+D24+E24</f>
        <v>0</v>
      </c>
      <c r="J24" s="104">
        <f>I24-H24</f>
        <v>0</v>
      </c>
      <c r="K24" s="104" t="s">
        <v>50</v>
      </c>
    </row>
    <row r="25" spans="2:16" ht="45" customHeight="1">
      <c r="B25" s="111" t="s">
        <v>16</v>
      </c>
      <c r="C25" s="112"/>
      <c r="D25" s="20">
        <f>'15년일입'!$L$6</f>
        <v>0</v>
      </c>
      <c r="E25" s="20">
        <f>'15년일입'!$M$6</f>
        <v>0</v>
      </c>
      <c r="F25" s="20">
        <f>'15년일출'!$L$6</f>
        <v>0</v>
      </c>
      <c r="G25" s="20">
        <f>'15년일출'!$M$6</f>
        <v>0</v>
      </c>
      <c r="H25" s="113">
        <f>C25+F25+G25</f>
        <v>0</v>
      </c>
      <c r="I25" s="104">
        <f>C25+D25+E25</f>
        <v>0</v>
      </c>
      <c r="J25" s="104">
        <f>I25-H25</f>
        <v>0</v>
      </c>
      <c r="K25" s="104" t="s">
        <v>50</v>
      </c>
    </row>
    <row r="26" spans="2:16" ht="45" customHeight="1" thickBot="1">
      <c r="B26" s="151" t="s">
        <v>51</v>
      </c>
      <c r="C26" s="152"/>
      <c r="D26" s="21"/>
      <c r="E26" s="21"/>
      <c r="F26" s="21"/>
      <c r="G26" s="21"/>
      <c r="H26" s="148">
        <f>C26+F26+G26</f>
        <v>0</v>
      </c>
      <c r="I26" s="104">
        <f>C26+D26+E26</f>
        <v>0</v>
      </c>
      <c r="J26" s="104">
        <f>I26-H26</f>
        <v>0</v>
      </c>
      <c r="K26" s="104" t="s">
        <v>50</v>
      </c>
    </row>
    <row r="27" spans="2:16" ht="9" customHeight="1">
      <c r="B27" s="102"/>
      <c r="C27" s="102"/>
      <c r="D27" s="102"/>
      <c r="E27" s="102"/>
      <c r="F27" s="102"/>
      <c r="G27" s="102"/>
      <c r="H27" s="102"/>
    </row>
    <row r="28" spans="2:16" ht="20.25" hidden="1" customHeight="1"/>
    <row r="29" spans="2:16" ht="20.25" hidden="1" customHeight="1"/>
    <row r="30" spans="2:16" ht="14.25" hidden="1">
      <c r="B30" s="153" t="s">
        <v>17</v>
      </c>
      <c r="C30" s="154" t="s">
        <v>52</v>
      </c>
      <c r="D30" s="155" t="s">
        <v>53</v>
      </c>
      <c r="E30" s="154" t="s">
        <v>54</v>
      </c>
      <c r="G30" s="96"/>
      <c r="H30" s="96"/>
      <c r="O30" s="58"/>
      <c r="P30" s="58"/>
    </row>
    <row r="31" spans="2:16" ht="15" hidden="1">
      <c r="B31" s="156" t="s">
        <v>18</v>
      </c>
      <c r="C31" s="157">
        <v>39922113</v>
      </c>
      <c r="D31" s="158"/>
      <c r="E31" s="158">
        <f>SUM(C31:D31)</f>
        <v>39922113</v>
      </c>
      <c r="G31" s="96"/>
      <c r="H31" s="96"/>
      <c r="O31" s="58"/>
      <c r="P31" s="58"/>
    </row>
    <row r="32" spans="2:16" ht="15" hidden="1">
      <c r="B32" s="156" t="s">
        <v>19</v>
      </c>
      <c r="C32" s="157">
        <v>3302571667</v>
      </c>
      <c r="D32" s="157">
        <v>1780946434</v>
      </c>
      <c r="E32" s="158">
        <f t="shared" ref="E32:E41" si="3">SUM(C32:D32)</f>
        <v>5083518101</v>
      </c>
      <c r="G32" s="96"/>
      <c r="H32" s="96"/>
      <c r="O32" s="58"/>
      <c r="P32" s="58"/>
    </row>
    <row r="33" spans="2:16" ht="15" hidden="1">
      <c r="B33" s="156" t="s">
        <v>10</v>
      </c>
      <c r="C33" s="157">
        <v>155329320</v>
      </c>
      <c r="D33" s="157">
        <v>384743740</v>
      </c>
      <c r="E33" s="158">
        <f t="shared" si="3"/>
        <v>540073060</v>
      </c>
      <c r="G33" s="96"/>
      <c r="H33" s="96"/>
      <c r="O33" s="58"/>
      <c r="P33" s="58"/>
    </row>
    <row r="34" spans="2:16" ht="15" hidden="1">
      <c r="B34" s="159" t="s">
        <v>61</v>
      </c>
      <c r="C34" s="157">
        <v>1142858974</v>
      </c>
      <c r="D34" s="158"/>
      <c r="E34" s="158">
        <f t="shared" si="3"/>
        <v>1142858974</v>
      </c>
      <c r="G34" s="96"/>
      <c r="H34" s="96"/>
      <c r="O34" s="58"/>
      <c r="P34" s="58"/>
    </row>
    <row r="35" spans="2:16" ht="15" hidden="1">
      <c r="B35" s="156" t="s">
        <v>14</v>
      </c>
      <c r="C35" s="157">
        <v>224243208</v>
      </c>
      <c r="D35" s="157">
        <v>52484400</v>
      </c>
      <c r="E35" s="158">
        <f t="shared" si="3"/>
        <v>276727608</v>
      </c>
      <c r="G35" s="96"/>
      <c r="H35" s="96"/>
      <c r="O35" s="58"/>
      <c r="P35" s="58"/>
    </row>
    <row r="36" spans="2:16" ht="15" hidden="1">
      <c r="B36" s="159" t="s">
        <v>96</v>
      </c>
      <c r="C36" s="157">
        <v>466978999</v>
      </c>
      <c r="D36" s="158"/>
      <c r="E36" s="158">
        <f t="shared" si="3"/>
        <v>466978999</v>
      </c>
      <c r="G36" s="96"/>
      <c r="H36" s="96"/>
      <c r="O36" s="58"/>
      <c r="P36" s="58"/>
    </row>
    <row r="37" spans="2:16" ht="15" hidden="1">
      <c r="B37" s="159" t="s">
        <v>97</v>
      </c>
      <c r="C37" s="157">
        <v>3254006708</v>
      </c>
      <c r="D37" s="158"/>
      <c r="E37" s="158">
        <f t="shared" si="3"/>
        <v>3254006708</v>
      </c>
      <c r="G37" s="96"/>
      <c r="H37" s="96"/>
      <c r="O37" s="58"/>
      <c r="P37" s="58"/>
    </row>
    <row r="38" spans="2:16" ht="15" hidden="1">
      <c r="B38" s="156" t="s">
        <v>11</v>
      </c>
      <c r="C38" s="157">
        <v>1220859831</v>
      </c>
      <c r="D38" s="158"/>
      <c r="E38" s="158">
        <f t="shared" si="3"/>
        <v>1220859831</v>
      </c>
      <c r="G38" s="96"/>
      <c r="H38" s="96"/>
      <c r="O38" s="58"/>
      <c r="P38" s="58"/>
    </row>
    <row r="39" spans="2:16" ht="15" hidden="1">
      <c r="B39" s="156" t="s">
        <v>12</v>
      </c>
      <c r="C39" s="157">
        <v>866963933</v>
      </c>
      <c r="D39" s="157">
        <v>28360000</v>
      </c>
      <c r="E39" s="158">
        <f t="shared" si="3"/>
        <v>895323933</v>
      </c>
      <c r="G39" s="96"/>
      <c r="H39" s="96"/>
      <c r="O39" s="58"/>
      <c r="P39" s="58"/>
    </row>
    <row r="40" spans="2:16" ht="15" hidden="1">
      <c r="B40" s="156" t="s">
        <v>13</v>
      </c>
      <c r="C40" s="157">
        <v>4882582917</v>
      </c>
      <c r="D40" s="158"/>
      <c r="E40" s="158">
        <f t="shared" si="3"/>
        <v>4882582917</v>
      </c>
      <c r="G40" s="96"/>
      <c r="H40" s="96"/>
      <c r="O40" s="58"/>
      <c r="P40" s="58"/>
    </row>
    <row r="41" spans="2:16" ht="15" hidden="1">
      <c r="B41" s="156" t="s">
        <v>20</v>
      </c>
      <c r="C41" s="158">
        <f>SUM(C31:C40)</f>
        <v>15556317670</v>
      </c>
      <c r="D41" s="158">
        <f>SUM(D31:D40)</f>
        <v>2246534574</v>
      </c>
      <c r="E41" s="158">
        <f t="shared" si="3"/>
        <v>17802852244</v>
      </c>
      <c r="G41" s="96"/>
      <c r="H41" s="96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6" t="s">
        <v>56</v>
      </c>
    </row>
    <row r="290" spans="9:11">
      <c r="I290" s="160"/>
      <c r="K290" s="96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563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131</v>
      </c>
      <c r="C3" s="100"/>
      <c r="D3" s="161"/>
      <c r="E3" s="55">
        <f>SUM(D7:E7)</f>
        <v>0</v>
      </c>
      <c r="F3" s="55"/>
      <c r="G3" s="55">
        <f>SUM(F7:G7)</f>
        <v>0</v>
      </c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24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24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38.25" customHeight="1" thickBot="1">
      <c r="B7" s="111" t="s">
        <v>39</v>
      </c>
      <c r="C7" s="112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 t="e">
        <f>#REF!+#REF!</f>
        <v>#REF!</v>
      </c>
      <c r="J7" s="115" t="e">
        <f>#REF!+#REF!</f>
        <v>#REF!</v>
      </c>
      <c r="K7" s="116" t="e">
        <f>I7-J7</f>
        <v>#REF!</v>
      </c>
      <c r="L7" s="117" t="s">
        <v>40</v>
      </c>
      <c r="M7" s="118" t="e">
        <f>#REF!+#REF!</f>
        <v>#REF!</v>
      </c>
      <c r="N7" s="119" t="e">
        <f>#REF!+#REF!</f>
        <v>#REF!</v>
      </c>
      <c r="O7" s="120">
        <v>0</v>
      </c>
      <c r="P7" s="120">
        <v>0</v>
      </c>
    </row>
    <row r="8" spans="2:16" ht="38.25" customHeight="1">
      <c r="B8" s="129" t="s">
        <v>122</v>
      </c>
      <c r="C8" s="130"/>
      <c r="D8" s="20">
        <f>SUMIFS('15년일입'!$L$7:$L$644,'15년일입'!$C$7:$C$644,'15년총괄표(실국별)'!$B8)</f>
        <v>0</v>
      </c>
      <c r="E8" s="20">
        <f>SUMIFS('15년일입'!$M$7:$M$644,'15년일입'!$C$7:$C$644,'15년총괄표(실국별)'!$B8)</f>
        <v>0</v>
      </c>
      <c r="F8" s="20">
        <f>SUMIFS('15년일출'!$L$31:$L$733,'15년일출'!$C$31:$C$733,'15년총괄표(실국별)'!$B8)</f>
        <v>0</v>
      </c>
      <c r="G8" s="20">
        <f>SUMIFS('15년일출'!$M$31:$M$733,'15년일출'!$C$31:$C$733,'15년총괄표(실국별)'!$B8)</f>
        <v>0</v>
      </c>
      <c r="H8" s="113">
        <f>C8+F8+G8</f>
        <v>0</v>
      </c>
      <c r="I8" s="345" t="s">
        <v>42</v>
      </c>
      <c r="J8" s="346"/>
      <c r="K8" s="104"/>
      <c r="N8" s="131" t="s">
        <v>43</v>
      </c>
    </row>
    <row r="9" spans="2:16" ht="38.25" customHeight="1" thickBot="1">
      <c r="B9" s="129" t="s">
        <v>109</v>
      </c>
      <c r="C9" s="112"/>
      <c r="D9" s="20">
        <f>SUMIFS('15년일입'!$L$7:$L$644,'15년일입'!$C$7:$C$644,'15년총괄표(실국별)'!$B9)</f>
        <v>0</v>
      </c>
      <c r="E9" s="20">
        <f>SUMIFS('15년일입'!$M$7:$M$644,'15년일입'!$C$7:$C$644,'15년총괄표(실국별)'!$B9)</f>
        <v>0</v>
      </c>
      <c r="F9" s="20">
        <f>SUMIFS('15년일출'!$L$31:$L$733,'15년일출'!$C$31:$C$733,'15년총괄표(실국별)'!$B9)</f>
        <v>0</v>
      </c>
      <c r="G9" s="20">
        <f>SUMIFS('15년일출'!$M$31:$M$733,'15년일출'!$C$31:$C$733,'15년총괄표(실국별)'!$B9)</f>
        <v>0</v>
      </c>
      <c r="H9" s="113">
        <f t="shared" ref="H9:H33" si="1">C9+F9+G9</f>
        <v>0</v>
      </c>
      <c r="I9" s="132" t="e">
        <f>#REF!+#REF!</f>
        <v>#REF!</v>
      </c>
      <c r="J9" s="133" t="e">
        <f>#REF!+#REF!</f>
        <v>#REF!</v>
      </c>
      <c r="K9" s="104"/>
      <c r="N9" s="134" t="e">
        <f>#REF!-#REF!</f>
        <v>#REF!</v>
      </c>
    </row>
    <row r="10" spans="2:16" ht="38.25" customHeight="1" thickBot="1">
      <c r="B10" s="129" t="s">
        <v>110</v>
      </c>
      <c r="C10" s="112"/>
      <c r="D10" s="20">
        <f>SUMIFS('15년일입'!$L$7:$L$644,'15년일입'!$C$7:$C$644,'15년총괄표(실국별)'!$B10)</f>
        <v>0</v>
      </c>
      <c r="E10" s="20">
        <f>SUMIFS('15년일입'!$M$7:$M$644,'15년일입'!$C$7:$C$644,'15년총괄표(실국별)'!$B10)</f>
        <v>0</v>
      </c>
      <c r="F10" s="20">
        <f>SUMIFS('15년일출'!$L$31:$L$733,'15년일출'!$C$31:$C$733,'15년총괄표(실국별)'!$B10)</f>
        <v>0</v>
      </c>
      <c r="G10" s="20">
        <f>SUMIFS('15년일출'!$M$31:$M$733,'15년일출'!$C$31:$C$733,'15년총괄표(실국별)'!$B10)</f>
        <v>0</v>
      </c>
      <c r="H10" s="113">
        <f t="shared" si="1"/>
        <v>0</v>
      </c>
      <c r="I10" s="132" t="e">
        <f>#REF!+#REF!</f>
        <v>#REF!</v>
      </c>
      <c r="J10" s="133" t="e">
        <f>#REF!+#REF!</f>
        <v>#REF!</v>
      </c>
      <c r="K10" s="104"/>
      <c r="N10" s="134" t="e">
        <f>#REF!-#REF!</f>
        <v>#REF!</v>
      </c>
    </row>
    <row r="11" spans="2:16" ht="38.25" customHeight="1">
      <c r="B11" s="129" t="s">
        <v>111</v>
      </c>
      <c r="C11" s="112"/>
      <c r="D11" s="20">
        <f>SUMIFS('15년일입'!$L$7:$L$644,'15년일입'!$C$7:$C$644,'15년총괄표(실국별)'!$B11)</f>
        <v>0</v>
      </c>
      <c r="E11" s="20">
        <f>SUMIFS('15년일입'!$M$7:$M$644,'15년일입'!$C$7:$C$644,'15년총괄표(실국별)'!$B11)</f>
        <v>0</v>
      </c>
      <c r="F11" s="20">
        <f>SUMIFS('15년일출'!$L$31:$L$733,'15년일출'!$C$31:$C$733,'15년총괄표(실국별)'!$B11)</f>
        <v>0</v>
      </c>
      <c r="G11" s="20">
        <f>SUMIFS('15년일출'!$M$31:$M$733,'15년일출'!$C$31:$C$733,'15년총괄표(실국별)'!$B11)</f>
        <v>0</v>
      </c>
      <c r="H11" s="113">
        <f t="shared" si="1"/>
        <v>0</v>
      </c>
      <c r="J11" s="135"/>
      <c r="K11" s="136"/>
    </row>
    <row r="12" spans="2:16" ht="38.25" customHeight="1">
      <c r="B12" s="129" t="s">
        <v>189</v>
      </c>
      <c r="C12" s="112"/>
      <c r="D12" s="20">
        <f>SUMIFS('15년일입'!$L$7:$L$644,'15년일입'!$C$7:$C$644,'15년총괄표(실국별)'!$B12)</f>
        <v>0</v>
      </c>
      <c r="E12" s="20">
        <f>SUMIFS('15년일입'!$M$7:$M$644,'15년일입'!$C$7:$C$644,'15년총괄표(실국별)'!$B12)</f>
        <v>0</v>
      </c>
      <c r="F12" s="20">
        <f>SUMIFS('15년일출'!$L$31:$L$733,'15년일출'!$C$31:$C$733,'15년총괄표(실국별)'!$B12)</f>
        <v>0</v>
      </c>
      <c r="G12" s="20">
        <f>SUMIFS('15년일출'!$M$31:$M$733,'15년일출'!$C$31:$C$733,'15년총괄표(실국별)'!$B12)</f>
        <v>0</v>
      </c>
      <c r="H12" s="113">
        <f t="shared" si="1"/>
        <v>0</v>
      </c>
      <c r="J12" s="137"/>
      <c r="L12" s="138"/>
      <c r="M12" s="138"/>
    </row>
    <row r="13" spans="2:16" ht="38.25" customHeight="1">
      <c r="B13" s="129" t="s">
        <v>112</v>
      </c>
      <c r="C13" s="112"/>
      <c r="D13" s="20">
        <f>SUMIFS('15년일입'!$L$7:$L$644,'15년일입'!$C$7:$C$644,'15년총괄표(실국별)'!$B13)</f>
        <v>0</v>
      </c>
      <c r="E13" s="20">
        <f>SUMIFS('15년일입'!$M$7:$M$644,'15년일입'!$C$7:$C$644,'15년총괄표(실국별)'!$B13)</f>
        <v>0</v>
      </c>
      <c r="F13" s="20">
        <f>SUMIFS('15년일출'!$L$31:$L$733,'15년일출'!$C$31:$C$733,'15년총괄표(실국별)'!$B13)</f>
        <v>0</v>
      </c>
      <c r="G13" s="20">
        <f>SUMIFS('15년일출'!$M$31:$M$733,'15년일출'!$C$31:$C$733,'15년총괄표(실국별)'!$B13)</f>
        <v>0</v>
      </c>
      <c r="H13" s="113">
        <f t="shared" si="1"/>
        <v>0</v>
      </c>
      <c r="K13" s="15"/>
      <c r="L13" s="16"/>
      <c r="N13" s="96" t="s">
        <v>44</v>
      </c>
    </row>
    <row r="14" spans="2:16" s="141" customFormat="1" ht="38.25" customHeight="1">
      <c r="B14" s="129" t="s">
        <v>65</v>
      </c>
      <c r="C14" s="139"/>
      <c r="D14" s="20">
        <f>SUMIFS('15년일입'!$L$7:$L$644,'15년일입'!$C$7:$C$644,'15년총괄표(실국별)'!$B14)</f>
        <v>0</v>
      </c>
      <c r="E14" s="20">
        <f>SUMIFS('15년일입'!$M$7:$M$644,'15년일입'!$C$7:$C$644,'15년총괄표(실국별)'!$B14)</f>
        <v>0</v>
      </c>
      <c r="F14" s="20">
        <f>SUMIFS('15년일출'!$L$31:$L$733,'15년일출'!$C$31:$C$733,'15년총괄표(실국별)'!$B14)</f>
        <v>0</v>
      </c>
      <c r="G14" s="20">
        <f>SUMIFS('15년일출'!$M$31:$M$733,'15년일출'!$C$31:$C$733,'15년총괄표(실국별)'!$B14)</f>
        <v>0</v>
      </c>
      <c r="H14" s="113">
        <f t="shared" si="1"/>
        <v>0</v>
      </c>
      <c r="I14" s="140"/>
      <c r="J14" s="140"/>
      <c r="K14" s="15"/>
      <c r="L14" s="16"/>
      <c r="M14" s="126"/>
      <c r="N14" s="127" t="e">
        <f>N10-#REF!</f>
        <v>#REF!</v>
      </c>
      <c r="O14" s="140"/>
      <c r="P14" s="140"/>
    </row>
    <row r="15" spans="2:16" s="141" customFormat="1" ht="38.25" customHeight="1">
      <c r="B15" s="129" t="s">
        <v>218</v>
      </c>
      <c r="C15" s="139"/>
      <c r="D15" s="20">
        <f>SUMIFS('15년일입'!$L$7:$L$644,'15년일입'!$C$7:$C$644,'15년총괄표(실국별)'!$B15)</f>
        <v>0</v>
      </c>
      <c r="E15" s="20">
        <f>SUMIFS('15년일입'!$M$7:$M$644,'15년일입'!$C$7:$C$644,'15년총괄표(실국별)'!$B15)</f>
        <v>0</v>
      </c>
      <c r="F15" s="20">
        <f>SUMIFS('15년일출'!$L$31:$L$733,'15년일출'!$C$31:$C$733,'15년총괄표(실국별)'!$B15)</f>
        <v>0</v>
      </c>
      <c r="G15" s="20">
        <f>SUMIFS('15년일출'!$M$31:$M$733,'15년일출'!$C$31:$C$733,'15년총괄표(실국별)'!$B15)</f>
        <v>0</v>
      </c>
      <c r="H15" s="113">
        <f t="shared" si="1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38.25" customHeight="1">
      <c r="B16" s="129" t="s">
        <v>225</v>
      </c>
      <c r="C16" s="139"/>
      <c r="D16" s="20">
        <f>SUMIFS('15년일입'!$L$7:$L$644,'15년일입'!$C$7:$C$644,'15년총괄표(실국별)'!$B16)</f>
        <v>0</v>
      </c>
      <c r="E16" s="20">
        <f>SUMIFS('15년일입'!$M$7:$M$644,'15년일입'!$C$7:$C$644,'15년총괄표(실국별)'!$B16)</f>
        <v>0</v>
      </c>
      <c r="F16" s="20">
        <f>SUMIFS('15년일출'!$L$31:$L$733,'15년일출'!$C$31:$C$733,'15년총괄표(실국별)'!$B16)</f>
        <v>0</v>
      </c>
      <c r="G16" s="20">
        <f>SUMIFS('15년일출'!$M$31:$M$733,'15년일출'!$C$31:$C$733,'15년총괄표(실국별)'!$B16)</f>
        <v>0</v>
      </c>
      <c r="H16" s="113">
        <f t="shared" si="1"/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38.25" customHeight="1">
      <c r="B17" s="142" t="s">
        <v>62</v>
      </c>
      <c r="C17" s="143"/>
      <c r="D17" s="20">
        <f>SUMIFS('15년일입'!$L$7:$L$644,'15년일입'!$C$7:$C$644,'15년총괄표(실국별)'!$B17)</f>
        <v>0</v>
      </c>
      <c r="E17" s="20">
        <f>SUMIFS('15년일입'!$M$7:$M$644,'15년일입'!$C$7:$C$644,'15년총괄표(실국별)'!$B17)</f>
        <v>0</v>
      </c>
      <c r="F17" s="20">
        <f>SUMIFS('15년일출'!$L$31:$L$733,'15년일출'!$C$31:$C$733,'15년총괄표(실국별)'!$B17)</f>
        <v>0</v>
      </c>
      <c r="G17" s="20">
        <f>SUMIFS('15년일출'!$M$31:$M$733,'15년일출'!$C$31:$C$733,'15년총괄표(실국별)'!$B17)</f>
        <v>0</v>
      </c>
      <c r="H17" s="113">
        <f t="shared" si="1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ht="38.25" customHeight="1" thickBot="1">
      <c r="B18" s="129" t="s">
        <v>123</v>
      </c>
      <c r="C18" s="112"/>
      <c r="D18" s="20">
        <f>SUMIFS('15년일입'!$L$7:$L$644,'15년일입'!$C$7:$C$644,'15년총괄표(실국별)'!$B18)</f>
        <v>0</v>
      </c>
      <c r="E18" s="20">
        <f>SUMIFS('15년일입'!$M$7:$M$644,'15년일입'!$C$7:$C$644,'15년총괄표(실국별)'!$B18)</f>
        <v>0</v>
      </c>
      <c r="F18" s="20">
        <f>SUMIFS('15년일출'!$L$31:$L$733,'15년일출'!$C$31:$C$733,'15년총괄표(실국별)'!$B18)</f>
        <v>0</v>
      </c>
      <c r="G18" s="20">
        <f>SUMIFS('15년일출'!$M$31:$M$733,'15년일출'!$C$31:$C$733,'15년총괄표(실국별)'!$B18)</f>
        <v>0</v>
      </c>
      <c r="H18" s="113">
        <f t="shared" si="1"/>
        <v>0</v>
      </c>
      <c r="I18" s="132" t="e">
        <f>#REF!+#REF!</f>
        <v>#REF!</v>
      </c>
      <c r="J18" s="133" t="e">
        <f>#REF!+#REF!</f>
        <v>#REF!</v>
      </c>
      <c r="K18" s="104"/>
      <c r="N18" s="134" t="e">
        <f>#REF!-#REF!</f>
        <v>#REF!</v>
      </c>
    </row>
    <row r="19" spans="2:16" ht="38.25" customHeight="1">
      <c r="B19" s="129" t="s">
        <v>117</v>
      </c>
      <c r="C19" s="112"/>
      <c r="D19" s="20">
        <f>SUMIFS('15년일입'!$L$7:$L$644,'15년일입'!$C$7:$C$644,'15년총괄표(실국별)'!$B19)</f>
        <v>0</v>
      </c>
      <c r="E19" s="20">
        <f>SUMIFS('15년일입'!$M$7:$M$644,'15년일입'!$C$7:$C$644,'15년총괄표(실국별)'!$B19)</f>
        <v>0</v>
      </c>
      <c r="F19" s="20">
        <f>SUMIFS('15년일출'!$L$31:$L$733,'15년일출'!$C$31:$C$733,'15년총괄표(실국별)'!$B19)</f>
        <v>0</v>
      </c>
      <c r="G19" s="20">
        <f>SUMIFS('15년일출'!$M$31:$M$733,'15년일출'!$C$31:$C$733,'15년총괄표(실국별)'!$B19)</f>
        <v>0</v>
      </c>
      <c r="H19" s="113">
        <f t="shared" si="1"/>
        <v>0</v>
      </c>
      <c r="J19" s="135"/>
      <c r="K19" s="136"/>
    </row>
    <row r="20" spans="2:16" ht="38.25" customHeight="1">
      <c r="B20" s="129" t="s">
        <v>113</v>
      </c>
      <c r="C20" s="112"/>
      <c r="D20" s="20">
        <f>SUMIFS('15년일입'!$L$7:$L$644,'15년일입'!$C$7:$C$644,'15년총괄표(실국별)'!$B20)</f>
        <v>0</v>
      </c>
      <c r="E20" s="20">
        <f>SUMIFS('15년일입'!$M$7:$M$644,'15년일입'!$C$7:$C$644,'15년총괄표(실국별)'!$B20)</f>
        <v>0</v>
      </c>
      <c r="F20" s="20">
        <f>SUMIFS('15년일출'!$L$31:$L$733,'15년일출'!$C$31:$C$733,'15년총괄표(실국별)'!$B20)</f>
        <v>0</v>
      </c>
      <c r="G20" s="20">
        <f>SUMIFS('15년일출'!$M$31:$M$733,'15년일출'!$C$31:$C$733,'15년총괄표(실국별)'!$B20)</f>
        <v>0</v>
      </c>
      <c r="H20" s="113">
        <f t="shared" si="1"/>
        <v>0</v>
      </c>
      <c r="J20" s="137"/>
      <c r="L20" s="138"/>
      <c r="M20" s="138"/>
    </row>
    <row r="21" spans="2:16" ht="38.25" customHeight="1">
      <c r="B21" s="129" t="s">
        <v>114</v>
      </c>
      <c r="C21" s="112"/>
      <c r="D21" s="20">
        <f>SUMIFS('15년일입'!$L$7:$L$644,'15년일입'!$C$7:$C$644,'15년총괄표(실국별)'!$B21)</f>
        <v>0</v>
      </c>
      <c r="E21" s="20">
        <f>SUMIFS('15년일입'!$M$7:$M$644,'15년일입'!$C$7:$C$644,'15년총괄표(실국별)'!$B21)</f>
        <v>0</v>
      </c>
      <c r="F21" s="20">
        <f>SUMIFS('15년일출'!$L$31:$L$733,'15년일출'!$C$31:$C$733,'15년총괄표(실국별)'!$B21)</f>
        <v>0</v>
      </c>
      <c r="G21" s="20">
        <f>SUMIFS('15년일출'!$M$31:$M$733,'15년일출'!$C$31:$C$733,'15년총괄표(실국별)'!$B21)</f>
        <v>0</v>
      </c>
      <c r="H21" s="113">
        <f t="shared" si="1"/>
        <v>0</v>
      </c>
      <c r="K21" s="15"/>
      <c r="L21" s="16"/>
      <c r="N21" s="96" t="s">
        <v>44</v>
      </c>
    </row>
    <row r="22" spans="2:16" s="141" customFormat="1" ht="38.25" customHeight="1">
      <c r="B22" s="129" t="s">
        <v>115</v>
      </c>
      <c r="C22" s="139"/>
      <c r="D22" s="20">
        <f>SUMIFS('15년일입'!$L$7:$L$644,'15년일입'!$C$7:$C$644,'15년총괄표(실국별)'!$B22)</f>
        <v>0</v>
      </c>
      <c r="E22" s="20">
        <f>SUMIFS('15년일입'!$M$7:$M$644,'15년일입'!$C$7:$C$644,'15년총괄표(실국별)'!$B22)</f>
        <v>0</v>
      </c>
      <c r="F22" s="20">
        <f>SUMIFS('15년일출'!$L$31:$L$733,'15년일출'!$C$31:$C$733,'15년총괄표(실국별)'!$B22)</f>
        <v>0</v>
      </c>
      <c r="G22" s="20">
        <f>SUMIFS('15년일출'!$M$31:$M$733,'15년일출'!$C$31:$C$733,'15년총괄표(실국별)'!$B22)</f>
        <v>0</v>
      </c>
      <c r="H22" s="113">
        <f t="shared" si="1"/>
        <v>0</v>
      </c>
      <c r="I22" s="140"/>
      <c r="J22" s="140"/>
      <c r="K22" s="15"/>
      <c r="L22" s="16"/>
      <c r="M22" s="126"/>
      <c r="N22" s="127" t="e">
        <f>N18-#REF!</f>
        <v>#REF!</v>
      </c>
      <c r="O22" s="140"/>
      <c r="P22" s="140"/>
    </row>
    <row r="23" spans="2:16" s="141" customFormat="1" ht="38.25" customHeight="1">
      <c r="B23" s="129" t="s">
        <v>388</v>
      </c>
      <c r="C23" s="139"/>
      <c r="D23" s="20">
        <f>SUMIFS('15년일입'!$L$7:$L$644,'15년일입'!$C$7:$C$644,'15년총괄표(실국별)'!$B23)</f>
        <v>0</v>
      </c>
      <c r="E23" s="20">
        <f>SUMIFS('15년일입'!$M$7:$M$644,'15년일입'!$C$7:$C$644,'15년총괄표(실국별)'!$B23)</f>
        <v>0</v>
      </c>
      <c r="F23" s="20">
        <f>SUMIFS('15년일출'!$L$31:$L$733,'15년일출'!$C$31:$C$733,'15년총괄표(실국별)'!$B23)</f>
        <v>0</v>
      </c>
      <c r="G23" s="20">
        <f>SUMIFS('15년일출'!$M$31:$M$733,'15년일출'!$C$31:$C$733,'15년총괄표(실국별)'!$B23)</f>
        <v>0</v>
      </c>
      <c r="H23" s="113">
        <f t="shared" si="1"/>
        <v>0</v>
      </c>
      <c r="I23" s="140"/>
      <c r="J23" s="140"/>
      <c r="K23" s="15"/>
      <c r="L23" s="16"/>
      <c r="M23" s="140"/>
      <c r="N23" s="140"/>
      <c r="O23" s="140"/>
      <c r="P23" s="140"/>
    </row>
    <row r="24" spans="2:16" s="141" customFormat="1" ht="38.25" customHeight="1">
      <c r="B24" s="129" t="s">
        <v>395</v>
      </c>
      <c r="C24" s="139"/>
      <c r="D24" s="20">
        <f>SUMIFS('15년일입'!$L$7:$L$644,'15년일입'!$C$7:$C$644,'15년총괄표(실국별)'!$B24)</f>
        <v>0</v>
      </c>
      <c r="E24" s="20">
        <f>SUMIFS('15년일입'!$M$7:$M$644,'15년일입'!$C$7:$C$644,'15년총괄표(실국별)'!$B24)</f>
        <v>0</v>
      </c>
      <c r="F24" s="20">
        <f>SUMIFS('15년일출'!$L$31:$L$733,'15년일출'!$C$31:$C$733,'15년총괄표(실국별)'!$B24)</f>
        <v>0</v>
      </c>
      <c r="G24" s="20">
        <f>SUMIFS('15년일출'!$M$31:$M$733,'15년일출'!$C$31:$C$733,'15년총괄표(실국별)'!$B24)</f>
        <v>0</v>
      </c>
      <c r="H24" s="113">
        <f t="shared" si="1"/>
        <v>0</v>
      </c>
      <c r="I24" s="140"/>
      <c r="J24" s="140"/>
      <c r="K24" s="15"/>
      <c r="L24" s="16"/>
      <c r="M24" s="140"/>
      <c r="N24" s="140"/>
      <c r="O24" s="140"/>
      <c r="P24" s="140"/>
    </row>
    <row r="25" spans="2:16" s="145" customFormat="1" ht="38.25" customHeight="1">
      <c r="B25" s="142" t="s">
        <v>397</v>
      </c>
      <c r="C25" s="143"/>
      <c r="D25" s="20">
        <f>SUMIFS('15년일입'!$L$7:$L$644,'15년일입'!$C$7:$C$644,'15년총괄표(실국별)'!$B25)</f>
        <v>0</v>
      </c>
      <c r="E25" s="20">
        <f>SUMIFS('15년일입'!$M$7:$M$644,'15년일입'!$C$7:$C$644,'15년총괄표(실국별)'!$B25)</f>
        <v>0</v>
      </c>
      <c r="F25" s="20">
        <f>SUMIFS('15년일출'!$L$31:$L$733,'15년일출'!$C$31:$C$733,'15년총괄표(실국별)'!$B25)</f>
        <v>0</v>
      </c>
      <c r="G25" s="20">
        <f>SUMIFS('15년일출'!$M$31:$M$733,'15년일출'!$C$31:$C$733,'15년총괄표(실국별)'!$B25)</f>
        <v>0</v>
      </c>
      <c r="H25" s="113">
        <f t="shared" si="1"/>
        <v>0</v>
      </c>
      <c r="I25" s="144"/>
      <c r="J25" s="144"/>
      <c r="K25" s="15"/>
      <c r="L25" s="16"/>
      <c r="M25" s="144"/>
      <c r="N25" s="144"/>
      <c r="O25" s="144"/>
      <c r="P25" s="144"/>
    </row>
    <row r="26" spans="2:16" ht="38.25" customHeight="1" thickBot="1">
      <c r="B26" s="129" t="s">
        <v>404</v>
      </c>
      <c r="C26" s="112"/>
      <c r="D26" s="20">
        <f>SUMIFS('15년일입'!$L$7:$L$644,'15년일입'!$C$7:$C$644,'15년총괄표(실국별)'!$B26)</f>
        <v>0</v>
      </c>
      <c r="E26" s="20">
        <f>SUMIFS('15년일입'!$M$7:$M$644,'15년일입'!$C$7:$C$644,'15년총괄표(실국별)'!$B26)</f>
        <v>0</v>
      </c>
      <c r="F26" s="20">
        <f>SUMIFS('15년일출'!$L$31:$L$733,'15년일출'!$C$31:$C$733,'15년총괄표(실국별)'!$B26)</f>
        <v>0</v>
      </c>
      <c r="G26" s="20">
        <f>SUMIFS('15년일출'!$M$31:$M$733,'15년일출'!$C$31:$C$733,'15년총괄표(실국별)'!$B26)</f>
        <v>0</v>
      </c>
      <c r="H26" s="113">
        <f t="shared" si="1"/>
        <v>0</v>
      </c>
      <c r="I26" s="132" t="e">
        <f>#REF!+#REF!</f>
        <v>#REF!</v>
      </c>
      <c r="J26" s="133" t="e">
        <f>#REF!+#REF!</f>
        <v>#REF!</v>
      </c>
      <c r="K26" s="104"/>
      <c r="N26" s="134">
        <f>M2-N2</f>
        <v>0</v>
      </c>
    </row>
    <row r="27" spans="2:16" ht="38.25" customHeight="1">
      <c r="B27" s="129" t="s">
        <v>70</v>
      </c>
      <c r="C27" s="112"/>
      <c r="D27" s="20">
        <f>SUMIFS('15년일입'!$L$7:$L$644,'15년일입'!$C$7:$C$644,'15년총괄표(실국별)'!$B27)</f>
        <v>0</v>
      </c>
      <c r="E27" s="20">
        <f>SUMIFS('15년일입'!$M$7:$M$644,'15년일입'!$C$7:$C$644,'15년총괄표(실국별)'!$B27)</f>
        <v>0</v>
      </c>
      <c r="F27" s="20">
        <f>SUMIFS('15년일출'!$L$31:$L$733,'15년일출'!$C$31:$C$733,'15년총괄표(실국별)'!$B27)</f>
        <v>0</v>
      </c>
      <c r="G27" s="20">
        <f>SUMIFS('15년일출'!$M$31:$M$733,'15년일출'!$C$31:$C$733,'15년총괄표(실국별)'!$B27)</f>
        <v>0</v>
      </c>
      <c r="H27" s="113">
        <f t="shared" si="1"/>
        <v>0</v>
      </c>
      <c r="J27" s="135"/>
      <c r="K27" s="136"/>
    </row>
    <row r="28" spans="2:16" ht="38.25" customHeight="1">
      <c r="B28" s="129" t="s">
        <v>327</v>
      </c>
      <c r="C28" s="112"/>
      <c r="D28" s="20">
        <f>SUMIFS('15년일입'!$L$7:$L$644,'15년일입'!$C$7:$C$644,'15년총괄표(실국별)'!$B28)</f>
        <v>0</v>
      </c>
      <c r="E28" s="20">
        <f>SUMIFS('15년일입'!$M$7:$M$644,'15년일입'!$C$7:$C$644,'15년총괄표(실국별)'!$B28)</f>
        <v>0</v>
      </c>
      <c r="F28" s="20">
        <f>SUMIFS('15년일출'!$L$31:$L$733,'15년일출'!$C$31:$C$733,'15년총괄표(실국별)'!$B28)</f>
        <v>0</v>
      </c>
      <c r="G28" s="20">
        <f>SUMIFS('15년일출'!$M$31:$M$733,'15년일출'!$C$31:$C$733,'15년총괄표(실국별)'!$B28)</f>
        <v>0</v>
      </c>
      <c r="H28" s="113">
        <f t="shared" si="1"/>
        <v>0</v>
      </c>
      <c r="J28" s="137"/>
      <c r="L28" s="138"/>
      <c r="M28" s="138"/>
    </row>
    <row r="29" spans="2:16" ht="38.25" customHeight="1">
      <c r="B29" s="129" t="s">
        <v>342</v>
      </c>
      <c r="C29" s="112"/>
      <c r="D29" s="20">
        <f>SUMIFS('15년일입'!$L$7:$L$644,'15년일입'!$C$7:$C$644,'15년총괄표(실국별)'!$B29)</f>
        <v>0</v>
      </c>
      <c r="E29" s="20">
        <f>SUMIFS('15년일입'!$M$7:$M$644,'15년일입'!$C$7:$C$644,'15년총괄표(실국별)'!$B29)</f>
        <v>0</v>
      </c>
      <c r="F29" s="20">
        <f>SUMIFS('15년일출'!$L$31:$L$733,'15년일출'!$C$31:$C$733,'15년총괄표(실국별)'!$B29)</f>
        <v>0</v>
      </c>
      <c r="G29" s="20">
        <f>SUMIFS('15년일출'!$M$31:$M$733,'15년일출'!$C$31:$C$733,'15년총괄표(실국별)'!$B29)</f>
        <v>0</v>
      </c>
      <c r="H29" s="113">
        <f t="shared" si="1"/>
        <v>0</v>
      </c>
      <c r="K29" s="15"/>
      <c r="L29" s="16"/>
      <c r="N29" s="96" t="s">
        <v>44</v>
      </c>
    </row>
    <row r="30" spans="2:16" s="141" customFormat="1" ht="38.25" customHeight="1">
      <c r="B30" s="129" t="s">
        <v>67</v>
      </c>
      <c r="C30" s="139"/>
      <c r="D30" s="20">
        <f>SUMIFS('15년일입'!$L$7:$L$644,'15년일입'!$C$7:$C$644,'15년총괄표(실국별)'!$B30)</f>
        <v>0</v>
      </c>
      <c r="E30" s="20">
        <f>SUMIFS('15년일입'!$M$7:$M$644,'15년일입'!$C$7:$C$644,'15년총괄표(실국별)'!$B30)</f>
        <v>0</v>
      </c>
      <c r="F30" s="20">
        <f>SUMIFS('15년일출'!$L$31:$L$733,'15년일출'!$C$31:$C$733,'15년총괄표(실국별)'!$B30)</f>
        <v>0</v>
      </c>
      <c r="G30" s="20">
        <f>SUMIFS('15년일출'!$M$31:$M$733,'15년일출'!$C$31:$C$733,'15년총괄표(실국별)'!$B30)</f>
        <v>0</v>
      </c>
      <c r="H30" s="113">
        <f t="shared" si="1"/>
        <v>0</v>
      </c>
      <c r="I30" s="140"/>
      <c r="J30" s="140"/>
      <c r="K30" s="15"/>
      <c r="L30" s="16"/>
      <c r="M30" s="126"/>
      <c r="N30" s="127">
        <f>N26-K2</f>
        <v>0</v>
      </c>
      <c r="O30" s="140"/>
      <c r="P30" s="140"/>
    </row>
    <row r="31" spans="2:16" ht="38.25" customHeight="1" thickBot="1">
      <c r="B31" s="129" t="s">
        <v>370</v>
      </c>
      <c r="C31" s="112"/>
      <c r="D31" s="20">
        <f>SUMIFS('15년일입'!$L$7:$L$644,'15년일입'!$C$7:$C$644,'15년총괄표(실국별)'!$B31)</f>
        <v>0</v>
      </c>
      <c r="E31" s="20">
        <f>SUMIFS('15년일입'!$M$7:$M$644,'15년일입'!$C$7:$C$644,'15년총괄표(실국별)'!$B31)</f>
        <v>0</v>
      </c>
      <c r="F31" s="20">
        <f>SUMIFS('15년일출'!$L$31:$L$733,'15년일출'!$C$31:$C$733,'15년총괄표(실국별)'!$B31)</f>
        <v>0</v>
      </c>
      <c r="G31" s="20">
        <f>SUMIFS('15년일출'!$M$31:$M$733,'15년일출'!$C$31:$C$733,'15년총괄표(실국별)'!$B31)</f>
        <v>0</v>
      </c>
      <c r="H31" s="113">
        <f t="shared" si="1"/>
        <v>0</v>
      </c>
      <c r="I31" s="132" t="e">
        <f>#REF!+#REF!</f>
        <v>#REF!</v>
      </c>
      <c r="J31" s="133" t="e">
        <f>#REF!+#REF!</f>
        <v>#REF!</v>
      </c>
      <c r="K31" s="104"/>
      <c r="N31" s="134" t="e">
        <f>M7-N7</f>
        <v>#REF!</v>
      </c>
    </row>
    <row r="32" spans="2:16" ht="38.25" customHeight="1">
      <c r="B32" s="129" t="s">
        <v>380</v>
      </c>
      <c r="C32" s="112"/>
      <c r="D32" s="20">
        <f>SUMIFS('15년일입'!$L$7:$L$644,'15년일입'!$C$7:$C$644,'15년총괄표(실국별)'!$B32)</f>
        <v>0</v>
      </c>
      <c r="E32" s="20">
        <f>SUMIFS('15년일입'!$M$7:$M$644,'15년일입'!$C$7:$C$644,'15년총괄표(실국별)'!$B32)</f>
        <v>0</v>
      </c>
      <c r="F32" s="20">
        <f>SUMIFS('15년일출'!$L$31:$L$733,'15년일출'!$C$31:$C$733,'15년총괄표(실국별)'!$B32)</f>
        <v>0</v>
      </c>
      <c r="G32" s="20">
        <f>SUMIFS('15년일출'!$M$31:$M$733,'15년일출'!$C$31:$C$733,'15년총괄표(실국별)'!$B32)</f>
        <v>0</v>
      </c>
      <c r="H32" s="113">
        <f t="shared" si="1"/>
        <v>0</v>
      </c>
      <c r="J32" s="135"/>
      <c r="K32" s="136"/>
    </row>
    <row r="33" spans="2:16" ht="38.25" customHeight="1" thickBot="1">
      <c r="B33" s="146" t="s">
        <v>406</v>
      </c>
      <c r="C33" s="152"/>
      <c r="D33" s="21">
        <f>SUMIFS('15년일입'!$L$7:$L$644,'15년일입'!$C$7:$C$644,'15년총괄표(실국별)'!$B33)</f>
        <v>0</v>
      </c>
      <c r="E33" s="21">
        <f>SUMIFS('15년일입'!$M$7:$M$644,'15년일입'!$C$7:$C$644,'15년총괄표(실국별)'!$B33)</f>
        <v>0</v>
      </c>
      <c r="F33" s="21">
        <f>SUMIFS('15년일출'!$L$31:$L$733,'15년일출'!$C$31:$C$733,'15년총괄표(실국별)'!$B33)</f>
        <v>0</v>
      </c>
      <c r="G33" s="21">
        <f>SUMIFS('15년일출'!$M$31:$M$733,'15년일출'!$C$31:$C$733,'15년총괄표(실국별)'!$B33)</f>
        <v>0</v>
      </c>
      <c r="H33" s="148">
        <f t="shared" si="1"/>
        <v>0</v>
      </c>
      <c r="J33" s="137"/>
      <c r="L33" s="138"/>
      <c r="M33" s="138"/>
    </row>
    <row r="34" spans="2:16" ht="18" customHeight="1">
      <c r="B34" s="102"/>
      <c r="C34" s="102"/>
      <c r="D34" s="102"/>
      <c r="E34" s="102"/>
      <c r="F34" s="102"/>
      <c r="G34" s="102"/>
      <c r="H34" s="102"/>
      <c r="K34" s="15"/>
      <c r="L34" s="16"/>
    </row>
    <row r="35" spans="2:16" ht="20.25" customHeight="1"/>
    <row r="36" spans="2:16" ht="20.25" customHeight="1"/>
    <row r="37" spans="2:16" ht="14.25">
      <c r="B37" s="153" t="s">
        <v>17</v>
      </c>
      <c r="C37" s="154" t="s">
        <v>52</v>
      </c>
      <c r="D37" s="155" t="s">
        <v>53</v>
      </c>
      <c r="E37" s="154" t="s">
        <v>54</v>
      </c>
      <c r="G37" s="96"/>
      <c r="H37" s="96"/>
      <c r="O37" s="58"/>
      <c r="P37" s="58"/>
    </row>
    <row r="38" spans="2:16" ht="15">
      <c r="B38" s="156" t="s">
        <v>122</v>
      </c>
      <c r="C38" s="157">
        <v>914581</v>
      </c>
      <c r="D38" s="158"/>
      <c r="E38" s="158">
        <f>SUM(C38:D38)</f>
        <v>914581</v>
      </c>
      <c r="G38" s="96"/>
      <c r="H38" s="96"/>
      <c r="O38" s="58"/>
      <c r="P38" s="58"/>
    </row>
    <row r="39" spans="2:16" ht="15">
      <c r="B39" s="156" t="s">
        <v>109</v>
      </c>
      <c r="C39" s="157">
        <v>3119807801</v>
      </c>
      <c r="D39" s="157">
        <v>1780946434</v>
      </c>
      <c r="E39" s="158">
        <f t="shared" ref="E39:E67" si="2">SUM(C39:D39)</f>
        <v>4900754235</v>
      </c>
      <c r="H39" s="96"/>
      <c r="O39" s="58"/>
      <c r="P39" s="58"/>
    </row>
    <row r="40" spans="2:16" ht="15">
      <c r="B40" s="156" t="s">
        <v>110</v>
      </c>
      <c r="C40" s="157">
        <v>190109521</v>
      </c>
      <c r="D40" s="157">
        <v>28360000</v>
      </c>
      <c r="E40" s="158">
        <f t="shared" si="2"/>
        <v>218469521</v>
      </c>
      <c r="H40" s="96"/>
      <c r="O40" s="58"/>
      <c r="P40" s="58"/>
    </row>
    <row r="41" spans="2:16" ht="15">
      <c r="B41" s="159" t="s">
        <v>111</v>
      </c>
      <c r="C41" s="157">
        <v>544196314</v>
      </c>
      <c r="D41" s="158"/>
      <c r="E41" s="158">
        <f t="shared" si="2"/>
        <v>544196314</v>
      </c>
      <c r="G41" s="96"/>
      <c r="H41" s="96"/>
      <c r="O41" s="58"/>
      <c r="P41" s="58"/>
    </row>
    <row r="42" spans="2:16" ht="15">
      <c r="B42" s="156" t="s">
        <v>112</v>
      </c>
      <c r="C42" s="157">
        <v>224243208</v>
      </c>
      <c r="D42" s="157">
        <v>52484400</v>
      </c>
      <c r="E42" s="158">
        <f t="shared" si="2"/>
        <v>276727608</v>
      </c>
      <c r="H42" s="96"/>
      <c r="O42" s="58"/>
      <c r="P42" s="58"/>
    </row>
    <row r="43" spans="2:16" ht="15">
      <c r="B43" s="159" t="s">
        <v>65</v>
      </c>
      <c r="C43" s="157">
        <v>249710070</v>
      </c>
      <c r="D43" s="158"/>
      <c r="E43" s="158">
        <f t="shared" si="2"/>
        <v>249710070</v>
      </c>
      <c r="G43" s="96"/>
      <c r="H43" s="96"/>
      <c r="O43" s="58"/>
      <c r="P43" s="58"/>
    </row>
    <row r="44" spans="2:16" ht="15">
      <c r="B44" s="159" t="s">
        <v>113</v>
      </c>
      <c r="C44" s="157">
        <v>2571625696</v>
      </c>
      <c r="D44" s="158"/>
      <c r="E44" s="158">
        <f t="shared" si="2"/>
        <v>2571625696</v>
      </c>
      <c r="G44" s="96"/>
      <c r="H44" s="96"/>
      <c r="O44" s="58"/>
      <c r="P44" s="58"/>
    </row>
    <row r="45" spans="2:16" ht="15">
      <c r="B45" s="156" t="s">
        <v>114</v>
      </c>
      <c r="C45" s="157">
        <v>94671441</v>
      </c>
      <c r="D45" s="158"/>
      <c r="E45" s="158">
        <f t="shared" si="2"/>
        <v>94671441</v>
      </c>
      <c r="G45" s="96"/>
      <c r="H45" s="96"/>
      <c r="O45" s="58"/>
      <c r="P45" s="58"/>
    </row>
    <row r="46" spans="2:16" ht="15">
      <c r="B46" s="156" t="s">
        <v>106</v>
      </c>
      <c r="C46" s="157">
        <v>107956457</v>
      </c>
      <c r="E46" s="158">
        <f t="shared" si="2"/>
        <v>107956457</v>
      </c>
      <c r="H46" s="96"/>
      <c r="O46" s="58"/>
      <c r="P46" s="58"/>
    </row>
    <row r="47" spans="2:16" ht="15">
      <c r="B47" s="156" t="s">
        <v>115</v>
      </c>
      <c r="C47" s="157">
        <v>1879955306</v>
      </c>
      <c r="D47" s="158"/>
      <c r="E47" s="158">
        <f t="shared" si="2"/>
        <v>1879955306</v>
      </c>
      <c r="G47" s="96"/>
      <c r="H47" s="96"/>
      <c r="O47" s="58"/>
      <c r="P47" s="58"/>
    </row>
    <row r="48" spans="2:16" ht="15">
      <c r="B48" s="156" t="s">
        <v>120</v>
      </c>
      <c r="C48" s="157">
        <v>475412376</v>
      </c>
      <c r="D48" s="158"/>
      <c r="E48" s="158">
        <f t="shared" si="2"/>
        <v>475412376</v>
      </c>
      <c r="G48" s="96"/>
      <c r="H48" s="96"/>
      <c r="O48" s="58"/>
      <c r="P48" s="58"/>
    </row>
    <row r="49" spans="2:5" ht="15">
      <c r="B49" s="156" t="s">
        <v>116</v>
      </c>
      <c r="C49" s="157">
        <v>148252370</v>
      </c>
      <c r="D49" s="157">
        <v>384743740</v>
      </c>
      <c r="E49" s="158">
        <f t="shared" si="2"/>
        <v>532996110</v>
      </c>
    </row>
    <row r="50" spans="2:5" ht="15">
      <c r="B50" s="156" t="s">
        <v>123</v>
      </c>
      <c r="C50" s="157">
        <v>9607826</v>
      </c>
      <c r="E50" s="158">
        <f t="shared" si="2"/>
        <v>9607826</v>
      </c>
    </row>
    <row r="51" spans="2:5" ht="15">
      <c r="B51" s="156" t="s">
        <v>117</v>
      </c>
      <c r="C51" s="157">
        <v>384069</v>
      </c>
      <c r="E51" s="158">
        <f t="shared" si="2"/>
        <v>384069</v>
      </c>
    </row>
    <row r="52" spans="2:5" ht="15">
      <c r="B52" s="156" t="s">
        <v>70</v>
      </c>
      <c r="C52" s="157">
        <v>1353512493</v>
      </c>
      <c r="E52" s="158">
        <f t="shared" si="2"/>
        <v>1353512493</v>
      </c>
    </row>
    <row r="53" spans="2:5" ht="15">
      <c r="B53" s="156" t="s">
        <v>107</v>
      </c>
      <c r="C53" s="157">
        <v>69450506</v>
      </c>
      <c r="E53" s="158">
        <f t="shared" si="2"/>
        <v>69450506</v>
      </c>
    </row>
    <row r="54" spans="2:5" ht="15">
      <c r="B54" s="156" t="s">
        <v>108</v>
      </c>
      <c r="C54" s="157">
        <v>173302168</v>
      </c>
      <c r="E54" s="158">
        <f t="shared" si="2"/>
        <v>173302168</v>
      </c>
    </row>
    <row r="55" spans="2:5" ht="15">
      <c r="B55" s="156" t="s">
        <v>118</v>
      </c>
      <c r="C55" s="157">
        <v>2325292998</v>
      </c>
      <c r="E55" s="158">
        <f t="shared" si="2"/>
        <v>2325292998</v>
      </c>
    </row>
    <row r="56" spans="2:5" ht="15">
      <c r="B56" s="156" t="s">
        <v>67</v>
      </c>
      <c r="C56" s="157">
        <v>193048941</v>
      </c>
      <c r="E56" s="158">
        <f t="shared" si="2"/>
        <v>193048941</v>
      </c>
    </row>
    <row r="57" spans="2:5" ht="15">
      <c r="B57" s="156" t="s">
        <v>119</v>
      </c>
      <c r="C57" s="157">
        <v>866196185</v>
      </c>
      <c r="E57" s="158">
        <f t="shared" si="2"/>
        <v>866196185</v>
      </c>
    </row>
    <row r="58" spans="2:5" ht="15">
      <c r="B58" s="156" t="s">
        <v>124</v>
      </c>
      <c r="C58" s="157">
        <v>1402108</v>
      </c>
      <c r="E58" s="158">
        <f t="shared" si="2"/>
        <v>1402108</v>
      </c>
    </row>
    <row r="59" spans="2:5" ht="15">
      <c r="B59" s="156" t="s">
        <v>62</v>
      </c>
      <c r="C59" s="157">
        <v>29930218</v>
      </c>
      <c r="E59" s="158">
        <f t="shared" si="2"/>
        <v>29930218</v>
      </c>
    </row>
    <row r="60" spans="2:5" ht="15">
      <c r="B60" s="156" t="s">
        <v>125</v>
      </c>
      <c r="C60" s="157">
        <v>39275302</v>
      </c>
      <c r="E60" s="158">
        <f t="shared" si="2"/>
        <v>39275302</v>
      </c>
    </row>
    <row r="61" spans="2:5" ht="15">
      <c r="B61" s="156" t="s">
        <v>126</v>
      </c>
      <c r="C61" s="157">
        <v>8910247</v>
      </c>
      <c r="E61" s="158">
        <f t="shared" si="2"/>
        <v>8910247</v>
      </c>
    </row>
    <row r="62" spans="2:5" ht="15">
      <c r="B62" s="156" t="s">
        <v>127</v>
      </c>
      <c r="C62" s="157">
        <v>9409184</v>
      </c>
      <c r="E62" s="158">
        <f t="shared" si="2"/>
        <v>9409184</v>
      </c>
    </row>
    <row r="63" spans="2:5" ht="15">
      <c r="B63" s="156" t="s">
        <v>121</v>
      </c>
      <c r="C63" s="157">
        <v>563921605</v>
      </c>
      <c r="E63" s="158">
        <f t="shared" si="2"/>
        <v>563921605</v>
      </c>
    </row>
    <row r="64" spans="2:5" ht="15">
      <c r="B64" s="156" t="s">
        <v>128</v>
      </c>
      <c r="C64" s="157">
        <v>246707189</v>
      </c>
      <c r="E64" s="158">
        <f t="shared" si="2"/>
        <v>246707189</v>
      </c>
    </row>
    <row r="65" spans="2:5" ht="15">
      <c r="B65" s="156" t="s">
        <v>129</v>
      </c>
      <c r="C65" s="157">
        <v>5137721</v>
      </c>
      <c r="E65" s="158">
        <f t="shared" si="2"/>
        <v>5137721</v>
      </c>
    </row>
    <row r="66" spans="2:5" ht="15">
      <c r="B66" s="156" t="s">
        <v>130</v>
      </c>
      <c r="C66" s="157">
        <v>53973769</v>
      </c>
      <c r="E66" s="158">
        <f t="shared" si="2"/>
        <v>53973769</v>
      </c>
    </row>
    <row r="67" spans="2:5" ht="15">
      <c r="B67" s="156" t="s">
        <v>20</v>
      </c>
      <c r="C67" s="158">
        <f>SUM(C38:C66)</f>
        <v>15556317670</v>
      </c>
      <c r="D67" s="158">
        <f>SUM(D38:D66)</f>
        <v>2246534574</v>
      </c>
      <c r="E67" s="158">
        <f t="shared" si="2"/>
        <v>17802852244</v>
      </c>
    </row>
    <row r="167" spans="1:20" s="96" customFormat="1" ht="24">
      <c r="A167" s="58"/>
      <c r="B167" s="58"/>
      <c r="C167" s="58"/>
      <c r="D167" s="58"/>
      <c r="E167" s="58"/>
      <c r="F167" s="58"/>
      <c r="G167" s="58"/>
      <c r="H167" s="58"/>
      <c r="I167" s="136" t="s">
        <v>56</v>
      </c>
      <c r="Q167" s="58"/>
      <c r="R167" s="58"/>
      <c r="S167" s="58"/>
      <c r="T167" s="58"/>
    </row>
    <row r="297" spans="1:20" s="96" customFormat="1">
      <c r="A297" s="58"/>
      <c r="B297" s="58"/>
      <c r="C297" s="58"/>
      <c r="D297" s="58"/>
      <c r="E297" s="58"/>
      <c r="F297" s="58"/>
      <c r="G297" s="58"/>
      <c r="H297" s="58"/>
      <c r="I297" s="160"/>
      <c r="K297" s="96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view="pageBreakPreview" topLeftCell="B1" zoomScale="70" zoomScaleNormal="80" zoomScaleSheetLayoutView="70" workbookViewId="0">
      <selection activeCell="E2" sqref="E2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1.625" customWidth="1"/>
    <col min="5" max="6" width="12.625" customWidth="1"/>
    <col min="7" max="7" width="15.1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66" t="s">
        <v>565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</row>
    <row r="2" spans="1:26">
      <c r="H2" s="162" t="str">
        <f>IF(H6=T6,"OK","@@")</f>
        <v>OK</v>
      </c>
      <c r="I2" s="162"/>
      <c r="J2" s="162"/>
      <c r="K2" s="162"/>
      <c r="L2" s="162"/>
      <c r="M2" s="162" t="str">
        <f>IF(M6=Y6,"OK","@@")</f>
        <v>OK</v>
      </c>
      <c r="T2" s="162" t="str">
        <f>IF(T6=H6,"OK","@@")</f>
        <v>OK</v>
      </c>
      <c r="U2" s="162"/>
      <c r="V2" s="162"/>
      <c r="W2" s="162"/>
      <c r="X2" s="162"/>
      <c r="Y2" s="162" t="str">
        <f>IF(Y6=M6,"OK","@@")</f>
        <v>OK</v>
      </c>
      <c r="Z2" s="162"/>
    </row>
    <row r="3" spans="1:26" ht="18.75" customHeight="1">
      <c r="B3" s="367" t="s">
        <v>531</v>
      </c>
      <c r="C3" s="368"/>
      <c r="D3" s="373" t="s">
        <v>74</v>
      </c>
      <c r="E3" s="373"/>
      <c r="F3" s="373"/>
      <c r="G3" s="373"/>
      <c r="H3" s="373"/>
      <c r="I3" s="373"/>
      <c r="J3" s="373"/>
      <c r="K3" s="373"/>
      <c r="L3" s="373"/>
      <c r="M3" s="373"/>
      <c r="N3" s="373"/>
      <c r="P3" s="373" t="s">
        <v>75</v>
      </c>
      <c r="Q3" s="373"/>
      <c r="R3" s="373"/>
      <c r="S3" s="373"/>
      <c r="T3" s="373"/>
      <c r="U3" s="373"/>
      <c r="V3" s="373"/>
      <c r="W3" s="373"/>
      <c r="X3" s="373"/>
      <c r="Y3" s="373"/>
      <c r="Z3" s="373"/>
    </row>
    <row r="4" spans="1:26" ht="27.75" customHeight="1">
      <c r="B4" s="369"/>
      <c r="C4" s="370"/>
      <c r="D4" s="374" t="s">
        <v>580</v>
      </c>
      <c r="E4" s="360" t="s">
        <v>581</v>
      </c>
      <c r="F4" s="361"/>
      <c r="G4" s="362" t="s">
        <v>582</v>
      </c>
      <c r="H4" s="376" t="s">
        <v>8</v>
      </c>
      <c r="I4" s="361"/>
      <c r="J4" s="380" t="s">
        <v>583</v>
      </c>
      <c r="K4" s="379"/>
      <c r="L4" s="377" t="s">
        <v>584</v>
      </c>
      <c r="M4" s="379" t="s">
        <v>79</v>
      </c>
      <c r="N4" s="379"/>
      <c r="P4" s="374" t="s">
        <v>580</v>
      </c>
      <c r="Q4" s="360" t="s">
        <v>581</v>
      </c>
      <c r="R4" s="361"/>
      <c r="S4" s="362" t="s">
        <v>582</v>
      </c>
      <c r="T4" s="376" t="s">
        <v>8</v>
      </c>
      <c r="U4" s="361"/>
      <c r="V4" s="380" t="s">
        <v>583</v>
      </c>
      <c r="W4" s="379"/>
      <c r="X4" s="377" t="s">
        <v>584</v>
      </c>
      <c r="Y4" s="379" t="s">
        <v>79</v>
      </c>
      <c r="Z4" s="379"/>
    </row>
    <row r="5" spans="1:26" ht="18.75" customHeight="1">
      <c r="B5" s="371"/>
      <c r="C5" s="372"/>
      <c r="D5" s="375"/>
      <c r="E5" s="94" t="s">
        <v>0</v>
      </c>
      <c r="F5" s="94" t="s">
        <v>1</v>
      </c>
      <c r="G5" s="363"/>
      <c r="H5" s="94" t="s">
        <v>3</v>
      </c>
      <c r="I5" s="94" t="s">
        <v>2</v>
      </c>
      <c r="J5" s="65" t="s">
        <v>0</v>
      </c>
      <c r="K5" s="65" t="s">
        <v>1</v>
      </c>
      <c r="L5" s="378"/>
      <c r="M5" s="65" t="s">
        <v>3</v>
      </c>
      <c r="N5" s="65" t="s">
        <v>2</v>
      </c>
      <c r="P5" s="375"/>
      <c r="Q5" s="199" t="s">
        <v>0</v>
      </c>
      <c r="R5" s="199" t="s">
        <v>1</v>
      </c>
      <c r="S5" s="363"/>
      <c r="T5" s="199" t="s">
        <v>3</v>
      </c>
      <c r="U5" s="199" t="s">
        <v>2</v>
      </c>
      <c r="V5" s="65" t="s">
        <v>0</v>
      </c>
      <c r="W5" s="65" t="s">
        <v>1</v>
      </c>
      <c r="X5" s="378"/>
      <c r="Y5" s="65" t="s">
        <v>3</v>
      </c>
      <c r="Z5" s="65" t="s">
        <v>2</v>
      </c>
    </row>
    <row r="6" spans="1:26">
      <c r="B6" s="364" t="s">
        <v>39</v>
      </c>
      <c r="C6" s="365"/>
      <c r="D6" s="90">
        <f>SUM(D7:D46)/2</f>
        <v>64916382</v>
      </c>
      <c r="E6" s="90">
        <f t="shared" ref="E6:N6" si="0">SUM(E7:E46)/2</f>
        <v>-4443907</v>
      </c>
      <c r="F6" s="90">
        <f t="shared" si="0"/>
        <v>4283253</v>
      </c>
      <c r="G6" s="90">
        <f t="shared" si="0"/>
        <v>64755728</v>
      </c>
      <c r="H6" s="90">
        <f t="shared" si="0"/>
        <v>-160654</v>
      </c>
      <c r="I6" s="90">
        <f t="shared" si="0"/>
        <v>0</v>
      </c>
      <c r="J6" s="90">
        <f t="shared" si="0"/>
        <v>0</v>
      </c>
      <c r="K6" s="90">
        <f t="shared" si="0"/>
        <v>0</v>
      </c>
      <c r="L6" s="90">
        <f t="shared" si="0"/>
        <v>64916382</v>
      </c>
      <c r="M6" s="90">
        <f t="shared" si="0"/>
        <v>0</v>
      </c>
      <c r="N6" s="90">
        <f t="shared" si="0"/>
        <v>0</v>
      </c>
      <c r="P6" s="90">
        <f>SUM(P7:P46)/2</f>
        <v>116929303</v>
      </c>
      <c r="Q6" s="90">
        <f t="shared" ref="Q6:Z6" si="1">SUM(Q7:Q46)/2</f>
        <v>-21538359</v>
      </c>
      <c r="R6" s="90">
        <f t="shared" si="1"/>
        <v>9925018</v>
      </c>
      <c r="S6" s="90">
        <f t="shared" si="1"/>
        <v>105315962</v>
      </c>
      <c r="T6" s="90">
        <f t="shared" si="1"/>
        <v>-160654</v>
      </c>
      <c r="U6" s="90">
        <f t="shared" si="1"/>
        <v>-11452687</v>
      </c>
      <c r="V6" s="90">
        <f t="shared" si="1"/>
        <v>0</v>
      </c>
      <c r="W6" s="90">
        <f t="shared" si="1"/>
        <v>0</v>
      </c>
      <c r="X6" s="90">
        <f t="shared" si="1"/>
        <v>42037459</v>
      </c>
      <c r="Y6" s="90">
        <f t="shared" si="1"/>
        <v>0</v>
      </c>
      <c r="Z6" s="90">
        <f t="shared" si="1"/>
        <v>0</v>
      </c>
    </row>
    <row r="7" spans="1:26" ht="16.5" customHeight="1">
      <c r="A7" s="92"/>
      <c r="B7" s="356" t="s">
        <v>18</v>
      </c>
      <c r="C7" s="357"/>
      <c r="D7" s="84">
        <f>SUM(D8:D10)</f>
        <v>0</v>
      </c>
      <c r="E7" s="84">
        <f t="shared" ref="E7:N7" si="2">SUM(E8:E10)</f>
        <v>0</v>
      </c>
      <c r="F7" s="84">
        <f t="shared" si="2"/>
        <v>0</v>
      </c>
      <c r="G7" s="84">
        <f t="shared" si="2"/>
        <v>0</v>
      </c>
      <c r="H7" s="84">
        <f t="shared" si="2"/>
        <v>0</v>
      </c>
      <c r="I7" s="84">
        <f t="shared" si="2"/>
        <v>0</v>
      </c>
      <c r="J7" s="84">
        <f t="shared" si="2"/>
        <v>0</v>
      </c>
      <c r="K7" s="84">
        <f t="shared" si="2"/>
        <v>0</v>
      </c>
      <c r="L7" s="84">
        <f t="shared" si="2"/>
        <v>0</v>
      </c>
      <c r="M7" s="84">
        <f t="shared" si="2"/>
        <v>0</v>
      </c>
      <c r="N7" s="84">
        <f t="shared" si="2"/>
        <v>0</v>
      </c>
      <c r="P7" s="84">
        <f>SUM(P8:P10)</f>
        <v>0</v>
      </c>
      <c r="Q7" s="84">
        <f t="shared" ref="Q7:Z7" si="3">SUM(Q8:Q10)</f>
        <v>0</v>
      </c>
      <c r="R7" s="84">
        <f t="shared" si="3"/>
        <v>0</v>
      </c>
      <c r="S7" s="84">
        <f t="shared" si="3"/>
        <v>0</v>
      </c>
      <c r="T7" s="84">
        <f t="shared" si="3"/>
        <v>0</v>
      </c>
      <c r="U7" s="84">
        <f t="shared" si="3"/>
        <v>0</v>
      </c>
      <c r="V7" s="84">
        <f t="shared" si="3"/>
        <v>0</v>
      </c>
      <c r="W7" s="84">
        <f t="shared" si="3"/>
        <v>0</v>
      </c>
      <c r="X7" s="84">
        <f t="shared" si="3"/>
        <v>0</v>
      </c>
      <c r="Y7" s="84">
        <f t="shared" si="3"/>
        <v>0</v>
      </c>
      <c r="Z7" s="84">
        <f t="shared" si="3"/>
        <v>0</v>
      </c>
    </row>
    <row r="8" spans="1:26" ht="16.5" customHeight="1">
      <c r="A8" s="92" t="s">
        <v>532</v>
      </c>
      <c r="B8" s="85"/>
      <c r="C8" s="85" t="s">
        <v>62</v>
      </c>
      <c r="D8" s="86">
        <f>SUMIFS('15년일입'!$H$7:$H$644,'15년일입'!$B$7:$B$644,'15년위원회별'!$A8,'15년일입'!$C$7:$C$644,'15년위원회별'!$C8)</f>
        <v>0</v>
      </c>
      <c r="E8" s="86">
        <f>SUMIFS('15년일입'!$I$7:$I$644,'15년일입'!$B$7:$B$644,'15년위원회별'!$A8,'15년일입'!$C$7:$C$644,'15년위원회별'!$C8)</f>
        <v>0</v>
      </c>
      <c r="F8" s="86">
        <f>SUMIFS('15년일입'!$J$7:$J$644,'15년일입'!$B$7:$B$644,'15년위원회별'!$A8,'15년일입'!$C$7:$C$644,'15년위원회별'!$C8)</f>
        <v>0</v>
      </c>
      <c r="G8" s="86">
        <f>SUMIFS('15년일입'!$K$7:$K$644,'15년일입'!$B$7:$B$644,'15년위원회별'!$A8,'15년일입'!$C$7:$C$644,'15년위원회별'!$C8)</f>
        <v>0</v>
      </c>
      <c r="H8" s="86">
        <f>SUMIFS('15년일입'!$U$7:$U$644,'15년일입'!$B$7:$B$644,'15년위원회별'!$A8,'15년일입'!$C$7:$C$644,'15년위원회별'!$C8)</f>
        <v>0</v>
      </c>
      <c r="I8" s="86">
        <f>SUMIFS('15년일입'!$V$7:$V$644,'15년일입'!$B$7:$B$644,'15년위원회별'!$A8,'15년일입'!$C$7:$C$644,'15년위원회별'!$C8)</f>
        <v>0</v>
      </c>
      <c r="J8" s="86">
        <f>SUMIFS('15년일입'!$L$7:$L$644,'15년일입'!$B$7:$B$644,'15년위원회별'!$A8,'15년일입'!$C$7:$C$644,'15년위원회별'!$C8)</f>
        <v>0</v>
      </c>
      <c r="K8" s="86">
        <f>SUMIFS('15년일입'!$M$7:$M$644,'15년일입'!$B$7:$B$644,'15년위원회별'!$A8,'15년일입'!$C$7:$C$644,'15년위원회별'!$C8)</f>
        <v>0</v>
      </c>
      <c r="L8" s="86">
        <f>SUMIFS('15년일입'!$N$7:$N$644,'15년일입'!$B$7:$B$644,'15년위원회별'!$A8,'15년일입'!$C$7:$C$644,'15년위원회별'!$C8)</f>
        <v>0</v>
      </c>
      <c r="M8" s="86">
        <f>SUMIFS('15년일입'!$Z$7:$Z$644,'15년일입'!$B$7:$B$644,'15년위원회별'!$A8,'15년일입'!$C$7:$C$644,'15년위원회별'!$C8)</f>
        <v>0</v>
      </c>
      <c r="N8" s="86">
        <f>SUMIFS('15년일입'!$AA$7:$AA$644,'15년일입'!$B$7:$B$644,'15년위원회별'!$A8,'15년일입'!$C$7:$C$644,'15년위원회별'!$C8)</f>
        <v>0</v>
      </c>
      <c r="P8" s="86">
        <f>SUMIFS('15년일출'!$H$31:$H$733,'15년일출'!$B$31:$B$733,'15년위원회별'!$A8,'15년일출'!$C$31:$C$733,'15년위원회별'!$C8)</f>
        <v>0</v>
      </c>
      <c r="Q8" s="86">
        <f>SUMIFS('15년일출'!$I$31:$I$733,'15년일출'!$B$31:$B$733,'15년위원회별'!$A8,'15년일출'!$C$31:$C$733,'15년위원회별'!$C8)</f>
        <v>0</v>
      </c>
      <c r="R8" s="86">
        <f>SUMIFS('15년일출'!$J$31:$J$733,'15년일출'!$B$31:$B$733,'15년위원회별'!$A8,'15년일출'!$C$31:$C$733,'15년위원회별'!$C8)</f>
        <v>0</v>
      </c>
      <c r="S8" s="86">
        <f>SUMIFS('15년일출'!$K$31:$K$733,'15년일출'!$B$31:$B$733,'15년위원회별'!$A8,'15년일출'!$C$31:$C$733,'15년위원회별'!$C8)</f>
        <v>0</v>
      </c>
      <c r="T8" s="86">
        <f>SUMIFS('15년일출'!$U$31:$U$733,'15년일출'!$B$31:$B$733,'15년위원회별'!$A8,'15년일출'!$C$31:$C$733,'15년위원회별'!$C8)</f>
        <v>0</v>
      </c>
      <c r="U8" s="86">
        <f>SUMIFS('15년일출'!$V$31:$V$733,'15년일출'!$B$31:$B$733,'15년위원회별'!$A8,'15년일출'!$C$31:$C$733,'15년위원회별'!$C8)</f>
        <v>0</v>
      </c>
      <c r="V8" s="86">
        <f>SUMIFS('15년일출'!$L$31:$L$733,'15년일출'!$B$31:$B$733,'15년위원회별'!$A8,'15년일출'!$C$31:$C$733,'15년위원회별'!$C8)</f>
        <v>0</v>
      </c>
      <c r="W8" s="86">
        <f>SUMIFS('15년일출'!$M$31:$M$733,'15년일출'!$B$31:$B$733,'15년위원회별'!$A8,'15년일출'!$C$31:$C$733,'15년위원회별'!$C8)</f>
        <v>0</v>
      </c>
      <c r="X8" s="86">
        <f>SUMIFS('15년일출'!$N$31:$N$733,'15년일출'!$B$31:$B$733,'15년위원회별'!$A8,'15년일출'!$C$31:$C$733,'15년위원회별'!$C8)</f>
        <v>0</v>
      </c>
      <c r="Y8" s="86">
        <f>SUMIFS('15년일출'!$Z$31:$Z$733,'15년일출'!$B$31:$B$733,'15년위원회별'!$A8,'15년일출'!$C$31:$C$733,'15년위원회별'!$C8)</f>
        <v>0</v>
      </c>
      <c r="Z8" s="86">
        <f>SUMIFS('15년일출'!$AA$31:$AA$733,'15년일출'!$B$31:$B$733,'15년위원회별'!$A8,'15년일출'!$C$31:$C$733,'15년위원회별'!$C8)</f>
        <v>0</v>
      </c>
    </row>
    <row r="9" spans="1:26" ht="16.5" customHeight="1">
      <c r="A9" s="92" t="s">
        <v>532</v>
      </c>
      <c r="B9" s="85"/>
      <c r="C9" s="85" t="s">
        <v>123</v>
      </c>
      <c r="D9" s="86">
        <f>SUMIFS('15년일입'!$H$7:$H$644,'15년일입'!$B$7:$B$644,'15년위원회별'!$A9,'15년일입'!$C$7:$C$644,'15년위원회별'!$C9)</f>
        <v>0</v>
      </c>
      <c r="E9" s="86">
        <f>SUMIFS('15년일입'!$I$7:$I$644,'15년일입'!$B$7:$B$644,'15년위원회별'!$A9,'15년일입'!$C$7:$C$644,'15년위원회별'!$C9)</f>
        <v>0</v>
      </c>
      <c r="F9" s="86">
        <f>SUMIFS('15년일입'!$J$7:$J$644,'15년일입'!$B$7:$B$644,'15년위원회별'!$A9,'15년일입'!$C$7:$C$644,'15년위원회별'!$C9)</f>
        <v>0</v>
      </c>
      <c r="G9" s="86">
        <f>SUMIFS('15년일입'!$K$7:$K$644,'15년일입'!$B$7:$B$644,'15년위원회별'!$A9,'15년일입'!$C$7:$C$644,'15년위원회별'!$C9)</f>
        <v>0</v>
      </c>
      <c r="H9" s="86">
        <f>SUMIFS('15년일입'!$U$7:$U$644,'15년일입'!$B$7:$B$644,'15년위원회별'!$A9,'15년일입'!$C$7:$C$644,'15년위원회별'!$C9)</f>
        <v>0</v>
      </c>
      <c r="I9" s="86">
        <f>SUMIFS('15년일입'!$V$7:$V$644,'15년일입'!$B$7:$B$644,'15년위원회별'!$A9,'15년일입'!$C$7:$C$644,'15년위원회별'!$C9)</f>
        <v>0</v>
      </c>
      <c r="J9" s="86">
        <f>SUMIFS('15년일입'!$L$7:$L$644,'15년일입'!$B$7:$B$644,'15년위원회별'!$A9,'15년일입'!$C$7:$C$644,'15년위원회별'!$C9)</f>
        <v>0</v>
      </c>
      <c r="K9" s="86">
        <f>SUMIFS('15년일입'!$M$7:$M$644,'15년일입'!$B$7:$B$644,'15년위원회별'!$A9,'15년일입'!$C$7:$C$644,'15년위원회별'!$C9)</f>
        <v>0</v>
      </c>
      <c r="L9" s="86">
        <f>SUMIFS('15년일입'!$N$7:$N$644,'15년일입'!$B$7:$B$644,'15년위원회별'!$A9,'15년일입'!$C$7:$C$644,'15년위원회별'!$C9)</f>
        <v>0</v>
      </c>
      <c r="M9" s="86">
        <f>SUMIFS('15년일입'!$Z$7:$Z$644,'15년일입'!$B$7:$B$644,'15년위원회별'!$A9,'15년일입'!$C$7:$C$644,'15년위원회별'!$C9)</f>
        <v>0</v>
      </c>
      <c r="N9" s="86">
        <f>SUMIFS('15년일입'!$AA$7:$AA$644,'15년일입'!$B$7:$B$644,'15년위원회별'!$A9,'15년일입'!$C$7:$C$644,'15년위원회별'!$C9)</f>
        <v>0</v>
      </c>
      <c r="P9" s="86">
        <f>SUMIFS('15년일출'!$H$31:$H$733,'15년일출'!$B$31:$B$733,'15년위원회별'!$A9,'15년일출'!$C$31:$C$733,'15년위원회별'!$C9)</f>
        <v>0</v>
      </c>
      <c r="Q9" s="86">
        <f>SUMIFS('15년일출'!$I$31:$I$733,'15년일출'!$B$31:$B$733,'15년위원회별'!$A9,'15년일출'!$C$31:$C$733,'15년위원회별'!$C9)</f>
        <v>0</v>
      </c>
      <c r="R9" s="86">
        <f>SUMIFS('15년일출'!$J$31:$J$733,'15년일출'!$B$31:$B$733,'15년위원회별'!$A9,'15년일출'!$C$31:$C$733,'15년위원회별'!$C9)</f>
        <v>0</v>
      </c>
      <c r="S9" s="86">
        <f>SUMIFS('15년일출'!$K$31:$K$733,'15년일출'!$B$31:$B$733,'15년위원회별'!$A9,'15년일출'!$C$31:$C$733,'15년위원회별'!$C9)</f>
        <v>0</v>
      </c>
      <c r="T9" s="86">
        <f>SUMIFS('15년일출'!$U$31:$U$733,'15년일출'!$B$31:$B$733,'15년위원회별'!$A9,'15년일출'!$C$31:$C$733,'15년위원회별'!$C9)</f>
        <v>0</v>
      </c>
      <c r="U9" s="86">
        <f>SUMIFS('15년일출'!$V$31:$V$733,'15년일출'!$B$31:$B$733,'15년위원회별'!$A9,'15년일출'!$C$31:$C$733,'15년위원회별'!$C9)</f>
        <v>0</v>
      </c>
      <c r="V9" s="86">
        <f>SUMIFS('15년일출'!$L$31:$L$733,'15년일출'!$B$31:$B$733,'15년위원회별'!$A9,'15년일출'!$C$31:$C$733,'15년위원회별'!$C9)</f>
        <v>0</v>
      </c>
      <c r="W9" s="86">
        <f>SUMIFS('15년일출'!$M$31:$M$733,'15년일출'!$B$31:$B$733,'15년위원회별'!$A9,'15년일출'!$C$31:$C$733,'15년위원회별'!$C9)</f>
        <v>0</v>
      </c>
      <c r="X9" s="86">
        <f>SUMIFS('15년일출'!$N$31:$N$733,'15년일출'!$B$31:$B$733,'15년위원회별'!$A9,'15년일출'!$C$31:$C$733,'15년위원회별'!$C9)</f>
        <v>0</v>
      </c>
      <c r="Y9" s="86">
        <f>SUMIFS('15년일출'!$Z$31:$Z$733,'15년일출'!$B$31:$B$733,'15년위원회별'!$A9,'15년일출'!$C$31:$C$733,'15년위원회별'!$C9)</f>
        <v>0</v>
      </c>
      <c r="Z9" s="86">
        <f>SUMIFS('15년일출'!$AA$31:$AA$733,'15년일출'!$B$31:$B$733,'15년위원회별'!$A9,'15년일출'!$C$31:$C$733,'15년위원회별'!$C9)</f>
        <v>0</v>
      </c>
    </row>
    <row r="10" spans="1:26" ht="16.5" customHeight="1">
      <c r="A10" s="92" t="s">
        <v>532</v>
      </c>
      <c r="B10" s="85"/>
      <c r="C10" s="85" t="s">
        <v>117</v>
      </c>
      <c r="D10" s="86">
        <f>SUMIFS('15년일입'!$H$7:$H$644,'15년일입'!$B$7:$B$644,'15년위원회별'!$A10,'15년일입'!$C$7:$C$644,'15년위원회별'!$C10)</f>
        <v>0</v>
      </c>
      <c r="E10" s="86">
        <f>SUMIFS('15년일입'!$I$7:$I$644,'15년일입'!$B$7:$B$644,'15년위원회별'!$A10,'15년일입'!$C$7:$C$644,'15년위원회별'!$C10)</f>
        <v>0</v>
      </c>
      <c r="F10" s="86">
        <f>SUMIFS('15년일입'!$J$7:$J$644,'15년일입'!$B$7:$B$644,'15년위원회별'!$A10,'15년일입'!$C$7:$C$644,'15년위원회별'!$C10)</f>
        <v>0</v>
      </c>
      <c r="G10" s="86">
        <f>SUMIFS('15년일입'!$K$7:$K$644,'15년일입'!$B$7:$B$644,'15년위원회별'!$A10,'15년일입'!$C$7:$C$644,'15년위원회별'!$C10)</f>
        <v>0</v>
      </c>
      <c r="H10" s="86">
        <f>SUMIFS('15년일입'!$U$7:$U$644,'15년일입'!$B$7:$B$644,'15년위원회별'!$A10,'15년일입'!$C$7:$C$644,'15년위원회별'!$C10)</f>
        <v>0</v>
      </c>
      <c r="I10" s="86">
        <f>SUMIFS('15년일입'!$V$7:$V$644,'15년일입'!$B$7:$B$644,'15년위원회별'!$A10,'15년일입'!$C$7:$C$644,'15년위원회별'!$C10)</f>
        <v>0</v>
      </c>
      <c r="J10" s="86">
        <f>SUMIFS('15년일입'!$L$7:$L$644,'15년일입'!$B$7:$B$644,'15년위원회별'!$A10,'15년일입'!$C$7:$C$644,'15년위원회별'!$C10)</f>
        <v>0</v>
      </c>
      <c r="K10" s="86">
        <f>SUMIFS('15년일입'!$M$7:$M$644,'15년일입'!$B$7:$B$644,'15년위원회별'!$A10,'15년일입'!$C$7:$C$644,'15년위원회별'!$C10)</f>
        <v>0</v>
      </c>
      <c r="L10" s="86">
        <f>SUMIFS('15년일입'!$N$7:$N$644,'15년일입'!$B$7:$B$644,'15년위원회별'!$A10,'15년일입'!$C$7:$C$644,'15년위원회별'!$C10)</f>
        <v>0</v>
      </c>
      <c r="M10" s="86">
        <f>SUMIFS('15년일입'!$Z$7:$Z$644,'15년일입'!$B$7:$B$644,'15년위원회별'!$A10,'15년일입'!$C$7:$C$644,'15년위원회별'!$C10)</f>
        <v>0</v>
      </c>
      <c r="N10" s="86">
        <f>SUMIFS('15년일입'!$AA$7:$AA$644,'15년일입'!$B$7:$B$644,'15년위원회별'!$A10,'15년일입'!$C$7:$C$644,'15년위원회별'!$C10)</f>
        <v>0</v>
      </c>
      <c r="P10" s="86">
        <f>SUMIFS('15년일출'!$H$31:$H$733,'15년일출'!$B$31:$B$733,'15년위원회별'!$A10,'15년일출'!$C$31:$C$733,'15년위원회별'!$C10)</f>
        <v>0</v>
      </c>
      <c r="Q10" s="86">
        <f>SUMIFS('15년일출'!$I$31:$I$733,'15년일출'!$B$31:$B$733,'15년위원회별'!$A10,'15년일출'!$C$31:$C$733,'15년위원회별'!$C10)</f>
        <v>0</v>
      </c>
      <c r="R10" s="86">
        <f>SUMIFS('15년일출'!$J$31:$J$733,'15년일출'!$B$31:$B$733,'15년위원회별'!$A10,'15년일출'!$C$31:$C$733,'15년위원회별'!$C10)</f>
        <v>0</v>
      </c>
      <c r="S10" s="86">
        <f>SUMIFS('15년일출'!$K$31:$K$733,'15년일출'!$B$31:$B$733,'15년위원회별'!$A10,'15년일출'!$C$31:$C$733,'15년위원회별'!$C10)</f>
        <v>0</v>
      </c>
      <c r="T10" s="86">
        <f>SUMIFS('15년일출'!$U$31:$U$733,'15년일출'!$B$31:$B$733,'15년위원회별'!$A10,'15년일출'!$C$31:$C$733,'15년위원회별'!$C10)</f>
        <v>0</v>
      </c>
      <c r="U10" s="86">
        <f>SUMIFS('15년일출'!$V$31:$V$733,'15년일출'!$B$31:$B$733,'15년위원회별'!$A10,'15년일출'!$C$31:$C$733,'15년위원회별'!$C10)</f>
        <v>0</v>
      </c>
      <c r="V10" s="86">
        <f>SUMIFS('15년일출'!$L$31:$L$733,'15년일출'!$B$31:$B$733,'15년위원회별'!$A10,'15년일출'!$C$31:$C$733,'15년위원회별'!$C10)</f>
        <v>0</v>
      </c>
      <c r="W10" s="86">
        <f>SUMIFS('15년일출'!$M$31:$M$733,'15년일출'!$B$31:$B$733,'15년위원회별'!$A10,'15년일출'!$C$31:$C$733,'15년위원회별'!$C10)</f>
        <v>0</v>
      </c>
      <c r="X10" s="86">
        <f>SUMIFS('15년일출'!$N$31:$N$733,'15년일출'!$B$31:$B$733,'15년위원회별'!$A10,'15년일출'!$C$31:$C$733,'15년위원회별'!$C10)</f>
        <v>0</v>
      </c>
      <c r="Y10" s="86">
        <f>SUMIFS('15년일출'!$Z$31:$Z$733,'15년일출'!$B$31:$B$733,'15년위원회별'!$A10,'15년일출'!$C$31:$C$733,'15년위원회별'!$C10)</f>
        <v>0</v>
      </c>
      <c r="Z10" s="86">
        <f>SUMIFS('15년일출'!$AA$31:$AA$733,'15년일출'!$B$31:$B$733,'15년위원회별'!$A10,'15년일출'!$C$31:$C$733,'15년위원회별'!$C10)</f>
        <v>0</v>
      </c>
    </row>
    <row r="11" spans="1:26" ht="16.5" customHeight="1">
      <c r="B11" s="356" t="s">
        <v>19</v>
      </c>
      <c r="C11" s="357"/>
      <c r="D11" s="84">
        <f>SUM(D12:D14)</f>
        <v>0</v>
      </c>
      <c r="E11" s="84">
        <f t="shared" ref="E11:N11" si="4">SUM(E12:E14)</f>
        <v>0</v>
      </c>
      <c r="F11" s="84">
        <f t="shared" si="4"/>
        <v>0</v>
      </c>
      <c r="G11" s="84">
        <f t="shared" si="4"/>
        <v>0</v>
      </c>
      <c r="H11" s="84">
        <f t="shared" si="4"/>
        <v>0</v>
      </c>
      <c r="I11" s="84">
        <f t="shared" si="4"/>
        <v>0</v>
      </c>
      <c r="J11" s="84">
        <f t="shared" si="4"/>
        <v>0</v>
      </c>
      <c r="K11" s="84">
        <f t="shared" si="4"/>
        <v>0</v>
      </c>
      <c r="L11" s="84">
        <f t="shared" si="4"/>
        <v>0</v>
      </c>
      <c r="M11" s="84">
        <f t="shared" si="4"/>
        <v>0</v>
      </c>
      <c r="N11" s="84">
        <f t="shared" si="4"/>
        <v>0</v>
      </c>
      <c r="P11" s="84">
        <f>SUM(P12:P14)</f>
        <v>0</v>
      </c>
      <c r="Q11" s="84">
        <f t="shared" ref="Q11:Z11" si="5">SUM(Q12:Q14)</f>
        <v>0</v>
      </c>
      <c r="R11" s="84">
        <f t="shared" si="5"/>
        <v>0</v>
      </c>
      <c r="S11" s="84">
        <f t="shared" si="5"/>
        <v>0</v>
      </c>
      <c r="T11" s="84">
        <f t="shared" si="5"/>
        <v>0</v>
      </c>
      <c r="U11" s="84">
        <f t="shared" si="5"/>
        <v>0</v>
      </c>
      <c r="V11" s="84">
        <f t="shared" si="5"/>
        <v>0</v>
      </c>
      <c r="W11" s="84">
        <f t="shared" si="5"/>
        <v>0</v>
      </c>
      <c r="X11" s="84">
        <f t="shared" si="5"/>
        <v>0</v>
      </c>
      <c r="Y11" s="84">
        <f t="shared" si="5"/>
        <v>0</v>
      </c>
      <c r="Z11" s="84">
        <f t="shared" si="5"/>
        <v>0</v>
      </c>
    </row>
    <row r="12" spans="1:26" ht="16.5" customHeight="1">
      <c r="A12" s="92" t="s">
        <v>533</v>
      </c>
      <c r="B12" s="85"/>
      <c r="C12" s="85" t="s">
        <v>122</v>
      </c>
      <c r="D12" s="86">
        <f>SUMIFS('15년일입'!$H$7:$H$644,'15년일입'!$B$7:$B$644,'15년위원회별'!$A12,'15년일입'!$C$7:$C$644,'15년위원회별'!$C12)</f>
        <v>0</v>
      </c>
      <c r="E12" s="86">
        <f>SUMIFS('15년일입'!$I$7:$I$644,'15년일입'!$B$7:$B$644,'15년위원회별'!$A12,'15년일입'!$C$7:$C$644,'15년위원회별'!$C12)</f>
        <v>0</v>
      </c>
      <c r="F12" s="86">
        <f>SUMIFS('15년일입'!$J$7:$J$644,'15년일입'!$B$7:$B$644,'15년위원회별'!$A12,'15년일입'!$C$7:$C$644,'15년위원회별'!$C12)</f>
        <v>0</v>
      </c>
      <c r="G12" s="86">
        <f>SUMIFS('15년일입'!$K$7:$K$644,'15년일입'!$B$7:$B$644,'15년위원회별'!$A12,'15년일입'!$C$7:$C$644,'15년위원회별'!$C12)</f>
        <v>0</v>
      </c>
      <c r="H12" s="86">
        <f>SUMIFS('15년일입'!$U$7:$U$644,'15년일입'!$B$7:$B$644,'15년위원회별'!$A12,'15년일입'!$C$7:$C$644,'15년위원회별'!$C12)</f>
        <v>0</v>
      </c>
      <c r="I12" s="86">
        <f>SUMIFS('15년일입'!$V$7:$V$644,'15년일입'!$B$7:$B$644,'15년위원회별'!$A12,'15년일입'!$C$7:$C$644,'15년위원회별'!$C12)</f>
        <v>0</v>
      </c>
      <c r="J12" s="86">
        <f>SUMIFS('15년일입'!$L$7:$L$644,'15년일입'!$B$7:$B$644,'15년위원회별'!$A12,'15년일입'!$C$7:$C$644,'15년위원회별'!$C12)</f>
        <v>0</v>
      </c>
      <c r="K12" s="86">
        <f>SUMIFS('15년일입'!$M$7:$M$644,'15년일입'!$B$7:$B$644,'15년위원회별'!$A12,'15년일입'!$C$7:$C$644,'15년위원회별'!$C12)</f>
        <v>0</v>
      </c>
      <c r="L12" s="86">
        <f>SUMIFS('15년일입'!$N$7:$N$644,'15년일입'!$B$7:$B$644,'15년위원회별'!$A12,'15년일입'!$C$7:$C$644,'15년위원회별'!$C12)</f>
        <v>0</v>
      </c>
      <c r="M12" s="86">
        <f>SUMIFS('15년일입'!$Z$7:$Z$644,'15년일입'!$B$7:$B$644,'15년위원회별'!$A12,'15년일입'!$C$7:$C$644,'15년위원회별'!$C12)</f>
        <v>0</v>
      </c>
      <c r="N12" s="86">
        <f>SUMIFS('15년일입'!$AA$7:$AA$644,'15년일입'!$B$7:$B$644,'15년위원회별'!$A12,'15년일입'!$C$7:$C$644,'15년위원회별'!$C12)</f>
        <v>0</v>
      </c>
      <c r="P12" s="86">
        <f>SUMIFS('15년일출'!$H$31:$H$733,'15년일출'!$B$31:$B$733,'15년위원회별'!$A12,'15년일출'!$C$31:$C$733,'15년위원회별'!$C12)</f>
        <v>0</v>
      </c>
      <c r="Q12" s="86">
        <f>SUMIFS('15년일출'!$I$31:$I$733,'15년일출'!$B$31:$B$733,'15년위원회별'!$A12,'15년일출'!$C$31:$C$733,'15년위원회별'!$C12)</f>
        <v>0</v>
      </c>
      <c r="R12" s="86">
        <f>SUMIFS('15년일출'!$J$31:$J$733,'15년일출'!$B$31:$B$733,'15년위원회별'!$A12,'15년일출'!$C$31:$C$733,'15년위원회별'!$C12)</f>
        <v>0</v>
      </c>
      <c r="S12" s="86">
        <f>SUMIFS('15년일출'!$K$31:$K$733,'15년일출'!$B$31:$B$733,'15년위원회별'!$A12,'15년일출'!$C$31:$C$733,'15년위원회별'!$C12)</f>
        <v>0</v>
      </c>
      <c r="T12" s="86">
        <f>SUMIFS('15년일출'!$U$31:$U$733,'15년일출'!$B$31:$B$733,'15년위원회별'!$A12,'15년일출'!$C$31:$C$733,'15년위원회별'!$C12)</f>
        <v>0</v>
      </c>
      <c r="U12" s="86">
        <f>SUMIFS('15년일출'!$V$31:$V$733,'15년일출'!$B$31:$B$733,'15년위원회별'!$A12,'15년일출'!$C$31:$C$733,'15년위원회별'!$C12)</f>
        <v>0</v>
      </c>
      <c r="V12" s="86">
        <f>SUMIFS('15년일출'!$L$31:$L$733,'15년일출'!$B$31:$B$733,'15년위원회별'!$A12,'15년일출'!$C$31:$C$733,'15년위원회별'!$C12)</f>
        <v>0</v>
      </c>
      <c r="W12" s="86">
        <f>SUMIFS('15년일출'!$M$31:$M$733,'15년일출'!$B$31:$B$733,'15년위원회별'!$A12,'15년일출'!$C$31:$C$733,'15년위원회별'!$C12)</f>
        <v>0</v>
      </c>
      <c r="X12" s="86">
        <f>SUMIFS('15년일출'!$N$31:$N$733,'15년일출'!$B$31:$B$733,'15년위원회별'!$A12,'15년일출'!$C$31:$C$733,'15년위원회별'!$C12)</f>
        <v>0</v>
      </c>
      <c r="Y12" s="86">
        <f>SUMIFS('15년일출'!$Z$31:$Z$733,'15년일출'!$B$31:$B$733,'15년위원회별'!$A12,'15년일출'!$C$31:$C$733,'15년위원회별'!$C12)</f>
        <v>0</v>
      </c>
      <c r="Z12" s="86">
        <f>SUMIFS('15년일출'!$AA$31:$AA$733,'15년일출'!$B$31:$B$733,'15년위원회별'!$A12,'15년일출'!$C$31:$C$733,'15년위원회별'!$C12)</f>
        <v>0</v>
      </c>
    </row>
    <row r="13" spans="1:26" ht="16.5" customHeight="1">
      <c r="A13" s="92" t="s">
        <v>533</v>
      </c>
      <c r="B13" s="85"/>
      <c r="C13" s="85" t="s">
        <v>109</v>
      </c>
      <c r="D13" s="86">
        <f>SUMIFS('15년일입'!$H$7:$H$644,'15년일입'!$B$7:$B$644,'15년위원회별'!$A13,'15년일입'!$C$7:$C$644,'15년위원회별'!$C13)</f>
        <v>0</v>
      </c>
      <c r="E13" s="86">
        <f>SUMIFS('15년일입'!$I$7:$I$644,'15년일입'!$B$7:$B$644,'15년위원회별'!$A13,'15년일입'!$C$7:$C$644,'15년위원회별'!$C13)</f>
        <v>0</v>
      </c>
      <c r="F13" s="86">
        <f>SUMIFS('15년일입'!$J$7:$J$644,'15년일입'!$B$7:$B$644,'15년위원회별'!$A13,'15년일입'!$C$7:$C$644,'15년위원회별'!$C13)</f>
        <v>0</v>
      </c>
      <c r="G13" s="86">
        <f>SUMIFS('15년일입'!$K$7:$K$644,'15년일입'!$B$7:$B$644,'15년위원회별'!$A13,'15년일입'!$C$7:$C$644,'15년위원회별'!$C13)</f>
        <v>0</v>
      </c>
      <c r="H13" s="86">
        <f>SUMIFS('15년일입'!$U$7:$U$644,'15년일입'!$B$7:$B$644,'15년위원회별'!$A13,'15년일입'!$C$7:$C$644,'15년위원회별'!$C13)</f>
        <v>0</v>
      </c>
      <c r="I13" s="86">
        <f>SUMIFS('15년일입'!$V$7:$V$644,'15년일입'!$B$7:$B$644,'15년위원회별'!$A13,'15년일입'!$C$7:$C$644,'15년위원회별'!$C13)</f>
        <v>0</v>
      </c>
      <c r="J13" s="86">
        <f>SUMIFS('15년일입'!$L$7:$L$644,'15년일입'!$B$7:$B$644,'15년위원회별'!$A13,'15년일입'!$C$7:$C$644,'15년위원회별'!$C13)</f>
        <v>0</v>
      </c>
      <c r="K13" s="86">
        <f>SUMIFS('15년일입'!$M$7:$M$644,'15년일입'!$B$7:$B$644,'15년위원회별'!$A13,'15년일입'!$C$7:$C$644,'15년위원회별'!$C13)</f>
        <v>0</v>
      </c>
      <c r="L13" s="86">
        <f>SUMIFS('15년일입'!$N$7:$N$644,'15년일입'!$B$7:$B$644,'15년위원회별'!$A13,'15년일입'!$C$7:$C$644,'15년위원회별'!$C13)</f>
        <v>0</v>
      </c>
      <c r="M13" s="86">
        <f>SUMIFS('15년일입'!$Z$7:$Z$644,'15년일입'!$B$7:$B$644,'15년위원회별'!$A13,'15년일입'!$C$7:$C$644,'15년위원회별'!$C13)</f>
        <v>0</v>
      </c>
      <c r="N13" s="86">
        <f>SUMIFS('15년일입'!$AA$7:$AA$644,'15년일입'!$B$7:$B$644,'15년위원회별'!$A13,'15년일입'!$C$7:$C$644,'15년위원회별'!$C13)</f>
        <v>0</v>
      </c>
      <c r="P13" s="86">
        <f>SUMIFS('15년일출'!$H$31:$H$733,'15년일출'!$B$31:$B$733,'15년위원회별'!$A13,'15년일출'!$C$31:$C$733,'15년위원회별'!$C13)</f>
        <v>0</v>
      </c>
      <c r="Q13" s="86">
        <f>SUMIFS('15년일출'!$I$31:$I$733,'15년일출'!$B$31:$B$733,'15년위원회별'!$A13,'15년일출'!$C$31:$C$733,'15년위원회별'!$C13)</f>
        <v>0</v>
      </c>
      <c r="R13" s="86">
        <f>SUMIFS('15년일출'!$J$31:$J$733,'15년일출'!$B$31:$B$733,'15년위원회별'!$A13,'15년일출'!$C$31:$C$733,'15년위원회별'!$C13)</f>
        <v>0</v>
      </c>
      <c r="S13" s="86">
        <f>SUMIFS('15년일출'!$K$31:$K$733,'15년일출'!$B$31:$B$733,'15년위원회별'!$A13,'15년일출'!$C$31:$C$733,'15년위원회별'!$C13)</f>
        <v>0</v>
      </c>
      <c r="T13" s="86">
        <f>SUMIFS('15년일출'!$U$31:$U$733,'15년일출'!$B$31:$B$733,'15년위원회별'!$A13,'15년일출'!$C$31:$C$733,'15년위원회별'!$C13)</f>
        <v>0</v>
      </c>
      <c r="U13" s="86">
        <f>SUMIFS('15년일출'!$V$31:$V$733,'15년일출'!$B$31:$B$733,'15년위원회별'!$A13,'15년일출'!$C$31:$C$733,'15년위원회별'!$C13)</f>
        <v>0</v>
      </c>
      <c r="V13" s="86">
        <f>SUMIFS('15년일출'!$L$31:$L$733,'15년일출'!$B$31:$B$733,'15년위원회별'!$A13,'15년일출'!$C$31:$C$733,'15년위원회별'!$C13)</f>
        <v>0</v>
      </c>
      <c r="W13" s="86">
        <f>SUMIFS('15년일출'!$M$31:$M$733,'15년일출'!$B$31:$B$733,'15년위원회별'!$A13,'15년일출'!$C$31:$C$733,'15년위원회별'!$C13)</f>
        <v>0</v>
      </c>
      <c r="X13" s="86">
        <f>SUMIFS('15년일출'!$N$31:$N$733,'15년일출'!$B$31:$B$733,'15년위원회별'!$A13,'15년일출'!$C$31:$C$733,'15년위원회별'!$C13)</f>
        <v>0</v>
      </c>
      <c r="Y13" s="86">
        <f>SUMIFS('15년일출'!$Z$31:$Z$733,'15년일출'!$B$31:$B$733,'15년위원회별'!$A13,'15년일출'!$C$31:$C$733,'15년위원회별'!$C13)</f>
        <v>0</v>
      </c>
      <c r="Z13" s="86">
        <f>SUMIFS('15년일출'!$AA$31:$AA$733,'15년일출'!$B$31:$B$733,'15년위원회별'!$A13,'15년일출'!$C$31:$C$733,'15년위원회별'!$C13)</f>
        <v>0</v>
      </c>
    </row>
    <row r="14" spans="1:26" ht="16.5" customHeight="1">
      <c r="A14" s="92" t="s">
        <v>533</v>
      </c>
      <c r="B14" s="85"/>
      <c r="C14" s="85" t="s">
        <v>327</v>
      </c>
      <c r="D14" s="86">
        <f>SUMIFS('15년일입'!$H$7:$H$644,'15년일입'!$B$7:$B$644,'15년위원회별'!$A14,'15년일입'!$C$7:$C$644,'15년위원회별'!$C14)</f>
        <v>0</v>
      </c>
      <c r="E14" s="86">
        <f>SUMIFS('15년일입'!$I$7:$I$644,'15년일입'!$B$7:$B$644,'15년위원회별'!$A14,'15년일입'!$C$7:$C$644,'15년위원회별'!$C14)</f>
        <v>0</v>
      </c>
      <c r="F14" s="86">
        <f>SUMIFS('15년일입'!$J$7:$J$644,'15년일입'!$B$7:$B$644,'15년위원회별'!$A14,'15년일입'!$C$7:$C$644,'15년위원회별'!$C14)</f>
        <v>0</v>
      </c>
      <c r="G14" s="86">
        <f>SUMIFS('15년일입'!$K$7:$K$644,'15년일입'!$B$7:$B$644,'15년위원회별'!$A14,'15년일입'!$C$7:$C$644,'15년위원회별'!$C14)</f>
        <v>0</v>
      </c>
      <c r="H14" s="86">
        <f>SUMIFS('15년일입'!$U$7:$U$644,'15년일입'!$B$7:$B$644,'15년위원회별'!$A14,'15년일입'!$C$7:$C$644,'15년위원회별'!$C14)</f>
        <v>0</v>
      </c>
      <c r="I14" s="86">
        <f>SUMIFS('15년일입'!$V$7:$V$644,'15년일입'!$B$7:$B$644,'15년위원회별'!$A14,'15년일입'!$C$7:$C$644,'15년위원회별'!$C14)</f>
        <v>0</v>
      </c>
      <c r="J14" s="86">
        <f>SUMIFS('15년일입'!$L$7:$L$644,'15년일입'!$B$7:$B$644,'15년위원회별'!$A14,'15년일입'!$C$7:$C$644,'15년위원회별'!$C14)</f>
        <v>0</v>
      </c>
      <c r="K14" s="86">
        <f>SUMIFS('15년일입'!$M$7:$M$644,'15년일입'!$B$7:$B$644,'15년위원회별'!$A14,'15년일입'!$C$7:$C$644,'15년위원회별'!$C14)</f>
        <v>0</v>
      </c>
      <c r="L14" s="86">
        <f>SUMIFS('15년일입'!$N$7:$N$644,'15년일입'!$B$7:$B$644,'15년위원회별'!$A14,'15년일입'!$C$7:$C$644,'15년위원회별'!$C14)</f>
        <v>0</v>
      </c>
      <c r="M14" s="86">
        <f>SUMIFS('15년일입'!$Z$7:$Z$644,'15년일입'!$B$7:$B$644,'15년위원회별'!$A14,'15년일입'!$C$7:$C$644,'15년위원회별'!$C14)</f>
        <v>0</v>
      </c>
      <c r="N14" s="86">
        <f>SUMIFS('15년일입'!$AA$7:$AA$644,'15년일입'!$B$7:$B$644,'15년위원회별'!$A14,'15년일입'!$C$7:$C$644,'15년위원회별'!$C14)</f>
        <v>0</v>
      </c>
      <c r="P14" s="86">
        <f>SUMIFS('15년일출'!$H$31:$H$733,'15년일출'!$B$31:$B$733,'15년위원회별'!$A14,'15년일출'!$C$31:$C$733,'15년위원회별'!$C14)</f>
        <v>0</v>
      </c>
      <c r="Q14" s="86">
        <f>SUMIFS('15년일출'!$I$31:$I$733,'15년일출'!$B$31:$B$733,'15년위원회별'!$A14,'15년일출'!$C$31:$C$733,'15년위원회별'!$C14)</f>
        <v>0</v>
      </c>
      <c r="R14" s="86">
        <f>SUMIFS('15년일출'!$J$31:$J$733,'15년일출'!$B$31:$B$733,'15년위원회별'!$A14,'15년일출'!$C$31:$C$733,'15년위원회별'!$C14)</f>
        <v>0</v>
      </c>
      <c r="S14" s="86">
        <f>SUMIFS('15년일출'!$K$31:$K$733,'15년일출'!$B$31:$B$733,'15년위원회별'!$A14,'15년일출'!$C$31:$C$733,'15년위원회별'!$C14)</f>
        <v>0</v>
      </c>
      <c r="T14" s="86">
        <f>SUMIFS('15년일출'!$U$31:$U$733,'15년일출'!$B$31:$B$733,'15년위원회별'!$A14,'15년일출'!$C$31:$C$733,'15년위원회별'!$C14)</f>
        <v>0</v>
      </c>
      <c r="U14" s="86">
        <f>SUMIFS('15년일출'!$V$31:$V$733,'15년일출'!$B$31:$B$733,'15년위원회별'!$A14,'15년일출'!$C$31:$C$733,'15년위원회별'!$C14)</f>
        <v>0</v>
      </c>
      <c r="V14" s="86">
        <f>SUMIFS('15년일출'!$L$31:$L$733,'15년일출'!$B$31:$B$733,'15년위원회별'!$A14,'15년일출'!$C$31:$C$733,'15년위원회별'!$C14)</f>
        <v>0</v>
      </c>
      <c r="W14" s="86">
        <f>SUMIFS('15년일출'!$M$31:$M$733,'15년일출'!$B$31:$B$733,'15년위원회별'!$A14,'15년일출'!$C$31:$C$733,'15년위원회별'!$C14)</f>
        <v>0</v>
      </c>
      <c r="X14" s="86">
        <f>SUMIFS('15년일출'!$N$31:$N$733,'15년일출'!$B$31:$B$733,'15년위원회별'!$A14,'15년일출'!$C$31:$C$733,'15년위원회별'!$C14)</f>
        <v>0</v>
      </c>
      <c r="Y14" s="86">
        <f>SUMIFS('15년일출'!$Z$31:$Z$733,'15년일출'!$B$31:$B$733,'15년위원회별'!$A14,'15년일출'!$C$31:$C$733,'15년위원회별'!$C14)</f>
        <v>0</v>
      </c>
      <c r="Z14" s="86">
        <f>SUMIFS('15년일출'!$AA$31:$AA$733,'15년일출'!$B$31:$B$733,'15년위원회별'!$A14,'15년일출'!$C$31:$C$733,'15년위원회별'!$C14)</f>
        <v>0</v>
      </c>
    </row>
    <row r="15" spans="1:26" ht="16.5" customHeight="1">
      <c r="B15" s="356" t="s">
        <v>534</v>
      </c>
      <c r="C15" s="357"/>
      <c r="D15" s="84">
        <f>SUM(D16)</f>
        <v>0</v>
      </c>
      <c r="E15" s="84">
        <f t="shared" ref="E15:N15" si="6">SUM(E16)</f>
        <v>0</v>
      </c>
      <c r="F15" s="84">
        <f t="shared" si="6"/>
        <v>0</v>
      </c>
      <c r="G15" s="84">
        <f t="shared" si="6"/>
        <v>0</v>
      </c>
      <c r="H15" s="84">
        <f t="shared" si="6"/>
        <v>0</v>
      </c>
      <c r="I15" s="84">
        <f t="shared" si="6"/>
        <v>0</v>
      </c>
      <c r="J15" s="84">
        <f t="shared" si="6"/>
        <v>0</v>
      </c>
      <c r="K15" s="84">
        <f t="shared" si="6"/>
        <v>0</v>
      </c>
      <c r="L15" s="84">
        <f t="shared" si="6"/>
        <v>0</v>
      </c>
      <c r="M15" s="84">
        <f t="shared" si="6"/>
        <v>0</v>
      </c>
      <c r="N15" s="84">
        <f t="shared" si="6"/>
        <v>0</v>
      </c>
      <c r="P15" s="84">
        <f>SUM(P16)</f>
        <v>0</v>
      </c>
      <c r="Q15" s="84">
        <f t="shared" ref="Q15:Z15" si="7">SUM(Q16)</f>
        <v>0</v>
      </c>
      <c r="R15" s="84">
        <f t="shared" si="7"/>
        <v>0</v>
      </c>
      <c r="S15" s="84">
        <f t="shared" si="7"/>
        <v>0</v>
      </c>
      <c r="T15" s="84">
        <f t="shared" si="7"/>
        <v>0</v>
      </c>
      <c r="U15" s="84">
        <f t="shared" si="7"/>
        <v>0</v>
      </c>
      <c r="V15" s="84">
        <f t="shared" si="7"/>
        <v>0</v>
      </c>
      <c r="W15" s="84">
        <f t="shared" si="7"/>
        <v>0</v>
      </c>
      <c r="X15" s="84">
        <f t="shared" si="7"/>
        <v>0</v>
      </c>
      <c r="Y15" s="84">
        <f t="shared" si="7"/>
        <v>0</v>
      </c>
      <c r="Z15" s="84">
        <f t="shared" si="7"/>
        <v>0</v>
      </c>
    </row>
    <row r="16" spans="1:26" ht="16.5" customHeight="1">
      <c r="A16" s="92" t="s">
        <v>534</v>
      </c>
      <c r="B16" s="85"/>
      <c r="C16" s="85" t="s">
        <v>342</v>
      </c>
      <c r="D16" s="86">
        <f>SUMIFS('15년일입'!$H$7:$H$644,'15년일입'!$B$7:$B$644,'15년위원회별'!$A16,'15년일입'!$C$7:$C$644,'15년위원회별'!$C16)</f>
        <v>0</v>
      </c>
      <c r="E16" s="86">
        <f>SUMIFS('15년일입'!$I$7:$I$644,'15년일입'!$B$7:$B$644,'15년위원회별'!$A16,'15년일입'!$C$7:$C$644,'15년위원회별'!$C16)</f>
        <v>0</v>
      </c>
      <c r="F16" s="86">
        <f>SUMIFS('15년일입'!$J$7:$J$644,'15년일입'!$B$7:$B$644,'15년위원회별'!$A16,'15년일입'!$C$7:$C$644,'15년위원회별'!$C16)</f>
        <v>0</v>
      </c>
      <c r="G16" s="86">
        <f>SUMIFS('15년일입'!$K$7:$K$644,'15년일입'!$B$7:$B$644,'15년위원회별'!$A16,'15년일입'!$C$7:$C$644,'15년위원회별'!$C16)</f>
        <v>0</v>
      </c>
      <c r="H16" s="86">
        <f>SUMIFS('15년일입'!$U$7:$U$644,'15년일입'!$B$7:$B$644,'15년위원회별'!$A16,'15년일입'!$C$7:$C$644,'15년위원회별'!$C16)</f>
        <v>0</v>
      </c>
      <c r="I16" s="86">
        <f>SUMIFS('15년일입'!$V$7:$V$644,'15년일입'!$B$7:$B$644,'15년위원회별'!$A16,'15년일입'!$C$7:$C$644,'15년위원회별'!$C16)</f>
        <v>0</v>
      </c>
      <c r="J16" s="86">
        <f>SUMIFS('15년일입'!$L$7:$L$644,'15년일입'!$B$7:$B$644,'15년위원회별'!$A16,'15년일입'!$C$7:$C$644,'15년위원회별'!$C16)</f>
        <v>0</v>
      </c>
      <c r="K16" s="86">
        <f>SUMIFS('15년일입'!$M$7:$M$644,'15년일입'!$B$7:$B$644,'15년위원회별'!$A16,'15년일입'!$C$7:$C$644,'15년위원회별'!$C16)</f>
        <v>0</v>
      </c>
      <c r="L16" s="86">
        <f>SUMIFS('15년일입'!$N$7:$N$644,'15년일입'!$B$7:$B$644,'15년위원회별'!$A16,'15년일입'!$C$7:$C$644,'15년위원회별'!$C16)</f>
        <v>0</v>
      </c>
      <c r="M16" s="86">
        <f>SUMIFS('15년일입'!$Z$7:$Z$644,'15년일입'!$B$7:$B$644,'15년위원회별'!$A16,'15년일입'!$C$7:$C$644,'15년위원회별'!$C16)</f>
        <v>0</v>
      </c>
      <c r="N16" s="86">
        <f>SUMIFS('15년일입'!$AA$7:$AA$644,'15년일입'!$B$7:$B$644,'15년위원회별'!$A16,'15년일입'!$C$7:$C$644,'15년위원회별'!$C16)</f>
        <v>0</v>
      </c>
      <c r="P16" s="86">
        <f>SUMIFS('15년일출'!$H$31:$H$733,'15년일출'!$B$31:$B$733,'15년위원회별'!$A16,'15년일출'!$C$31:$C$733,'15년위원회별'!$C16)</f>
        <v>0</v>
      </c>
      <c r="Q16" s="86">
        <f>SUMIFS('15년일출'!$I$31:$I$733,'15년일출'!$B$31:$B$733,'15년위원회별'!$A16,'15년일출'!$C$31:$C$733,'15년위원회별'!$C16)</f>
        <v>0</v>
      </c>
      <c r="R16" s="86">
        <f>SUMIFS('15년일출'!$J$31:$J$733,'15년일출'!$B$31:$B$733,'15년위원회별'!$A16,'15년일출'!$C$31:$C$733,'15년위원회별'!$C16)</f>
        <v>0</v>
      </c>
      <c r="S16" s="86">
        <f>SUMIFS('15년일출'!$K$31:$K$733,'15년일출'!$B$31:$B$733,'15년위원회별'!$A16,'15년일출'!$C$31:$C$733,'15년위원회별'!$C16)</f>
        <v>0</v>
      </c>
      <c r="T16" s="86">
        <f>SUMIFS('15년일출'!$U$31:$U$733,'15년일출'!$B$31:$B$733,'15년위원회별'!$A16,'15년일출'!$C$31:$C$733,'15년위원회별'!$C16)</f>
        <v>0</v>
      </c>
      <c r="U16" s="86">
        <f>SUMIFS('15년일출'!$V$31:$V$733,'15년일출'!$B$31:$B$733,'15년위원회별'!$A16,'15년일출'!$C$31:$C$733,'15년위원회별'!$C16)</f>
        <v>0</v>
      </c>
      <c r="V16" s="86">
        <f>SUMIFS('15년일출'!$L$31:$L$733,'15년일출'!$B$31:$B$733,'15년위원회별'!$A16,'15년일출'!$C$31:$C$733,'15년위원회별'!$C16)</f>
        <v>0</v>
      </c>
      <c r="W16" s="86">
        <f>SUMIFS('15년일출'!$M$31:$M$733,'15년일출'!$B$31:$B$733,'15년위원회별'!$A16,'15년일출'!$C$31:$C$733,'15년위원회별'!$C16)</f>
        <v>0</v>
      </c>
      <c r="X16" s="86">
        <f>SUMIFS('15년일출'!$N$31:$N$733,'15년일출'!$B$31:$B$733,'15년위원회별'!$A16,'15년일출'!$C$31:$C$733,'15년위원회별'!$C16)</f>
        <v>0</v>
      </c>
      <c r="Y16" s="86">
        <f>SUMIFS('15년일출'!$Z$31:$Z$733,'15년일출'!$B$31:$B$733,'15년위원회별'!$A16,'15년일출'!$C$31:$C$733,'15년위원회별'!$C16)</f>
        <v>0</v>
      </c>
      <c r="Z16" s="86">
        <f>SUMIFS('15년일출'!$AA$31:$AA$733,'15년일출'!$B$31:$B$733,'15년위원회별'!$A16,'15년일출'!$C$31:$C$733,'15년위원회별'!$C16)</f>
        <v>0</v>
      </c>
    </row>
    <row r="17" spans="1:26" ht="16.5" customHeight="1">
      <c r="B17" s="356" t="s">
        <v>61</v>
      </c>
      <c r="C17" s="357"/>
      <c r="D17" s="84">
        <f>SUM(D18:D21)</f>
        <v>0</v>
      </c>
      <c r="E17" s="84">
        <f t="shared" ref="E17:N17" si="8">SUM(E18:E21)</f>
        <v>0</v>
      </c>
      <c r="F17" s="84">
        <f t="shared" si="8"/>
        <v>0</v>
      </c>
      <c r="G17" s="84">
        <f t="shared" si="8"/>
        <v>0</v>
      </c>
      <c r="H17" s="84">
        <f t="shared" si="8"/>
        <v>0</v>
      </c>
      <c r="I17" s="84">
        <f t="shared" si="8"/>
        <v>0</v>
      </c>
      <c r="J17" s="84">
        <f t="shared" si="8"/>
        <v>0</v>
      </c>
      <c r="K17" s="84">
        <f t="shared" si="8"/>
        <v>0</v>
      </c>
      <c r="L17" s="84">
        <f t="shared" si="8"/>
        <v>0</v>
      </c>
      <c r="M17" s="84">
        <f t="shared" si="8"/>
        <v>0</v>
      </c>
      <c r="N17" s="84">
        <f t="shared" si="8"/>
        <v>0</v>
      </c>
      <c r="P17" s="84">
        <f>SUM(P18:P21)</f>
        <v>0</v>
      </c>
      <c r="Q17" s="84">
        <f t="shared" ref="Q17:Z17" si="9">SUM(Q18:Q21)</f>
        <v>0</v>
      </c>
      <c r="R17" s="84">
        <f t="shared" si="9"/>
        <v>0</v>
      </c>
      <c r="S17" s="84">
        <f t="shared" si="9"/>
        <v>0</v>
      </c>
      <c r="T17" s="84">
        <f t="shared" si="9"/>
        <v>0</v>
      </c>
      <c r="U17" s="84">
        <f t="shared" si="9"/>
        <v>0</v>
      </c>
      <c r="V17" s="84">
        <f t="shared" si="9"/>
        <v>0</v>
      </c>
      <c r="W17" s="84">
        <f t="shared" si="9"/>
        <v>0</v>
      </c>
      <c r="X17" s="84">
        <f t="shared" si="9"/>
        <v>0</v>
      </c>
      <c r="Y17" s="84">
        <f t="shared" si="9"/>
        <v>0</v>
      </c>
      <c r="Z17" s="84">
        <f t="shared" si="9"/>
        <v>0</v>
      </c>
    </row>
    <row r="18" spans="1:26" ht="16.5" customHeight="1">
      <c r="A18" s="92" t="s">
        <v>61</v>
      </c>
      <c r="B18" s="85"/>
      <c r="C18" s="85" t="s">
        <v>111</v>
      </c>
      <c r="D18" s="86">
        <f>SUMIFS('15년일입'!$H$7:$H$644,'15년일입'!$B$7:$B$644,'15년위원회별'!$A18,'15년일입'!$C$7:$C$644,'15년위원회별'!$C18)</f>
        <v>0</v>
      </c>
      <c r="E18" s="86">
        <f>SUMIFS('15년일입'!$I$7:$I$644,'15년일입'!$B$7:$B$644,'15년위원회별'!$A18,'15년일입'!$C$7:$C$644,'15년위원회별'!$C18)</f>
        <v>0</v>
      </c>
      <c r="F18" s="86">
        <f>SUMIFS('15년일입'!$J$7:$J$644,'15년일입'!$B$7:$B$644,'15년위원회별'!$A18,'15년일입'!$C$7:$C$644,'15년위원회별'!$C18)</f>
        <v>0</v>
      </c>
      <c r="G18" s="86">
        <f>SUMIFS('15년일입'!$K$7:$K$644,'15년일입'!$B$7:$B$644,'15년위원회별'!$A18,'15년일입'!$C$7:$C$644,'15년위원회별'!$C18)</f>
        <v>0</v>
      </c>
      <c r="H18" s="86">
        <f>SUMIFS('15년일입'!$U$7:$U$644,'15년일입'!$B$7:$B$644,'15년위원회별'!$A18,'15년일입'!$C$7:$C$644,'15년위원회별'!$C18)</f>
        <v>0</v>
      </c>
      <c r="I18" s="86">
        <f>SUMIFS('15년일입'!$V$7:$V$644,'15년일입'!$B$7:$B$644,'15년위원회별'!$A18,'15년일입'!$C$7:$C$644,'15년위원회별'!$C18)</f>
        <v>0</v>
      </c>
      <c r="J18" s="86">
        <f>SUMIFS('15년일입'!$L$7:$L$644,'15년일입'!$B$7:$B$644,'15년위원회별'!$A18,'15년일입'!$C$7:$C$644,'15년위원회별'!$C18)</f>
        <v>0</v>
      </c>
      <c r="K18" s="86">
        <f>SUMIFS('15년일입'!$M$7:$M$644,'15년일입'!$B$7:$B$644,'15년위원회별'!$A18,'15년일입'!$C$7:$C$644,'15년위원회별'!$C18)</f>
        <v>0</v>
      </c>
      <c r="L18" s="86">
        <f>SUMIFS('15년일입'!$N$7:$N$644,'15년일입'!$B$7:$B$644,'15년위원회별'!$A18,'15년일입'!$C$7:$C$644,'15년위원회별'!$C18)</f>
        <v>0</v>
      </c>
      <c r="M18" s="86">
        <f>SUMIFS('15년일입'!$Z$7:$Z$644,'15년일입'!$B$7:$B$644,'15년위원회별'!$A18,'15년일입'!$C$7:$C$644,'15년위원회별'!$C18)</f>
        <v>0</v>
      </c>
      <c r="N18" s="86">
        <f>SUMIFS('15년일입'!$AA$7:$AA$644,'15년일입'!$B$7:$B$644,'15년위원회별'!$A18,'15년일입'!$C$7:$C$644,'15년위원회별'!$C18)</f>
        <v>0</v>
      </c>
      <c r="P18" s="86">
        <f>SUMIFS('15년일출'!$H$31:$H$733,'15년일출'!$B$31:$B$733,'15년위원회별'!$A18,'15년일출'!$C$31:$C$733,'15년위원회별'!$C18)</f>
        <v>0</v>
      </c>
      <c r="Q18" s="86">
        <f>SUMIFS('15년일출'!$I$31:$I$733,'15년일출'!$B$31:$B$733,'15년위원회별'!$A18,'15년일출'!$C$31:$C$733,'15년위원회별'!$C18)</f>
        <v>0</v>
      </c>
      <c r="R18" s="86">
        <f>SUMIFS('15년일출'!$J$31:$J$733,'15년일출'!$B$31:$B$733,'15년위원회별'!$A18,'15년일출'!$C$31:$C$733,'15년위원회별'!$C18)</f>
        <v>0</v>
      </c>
      <c r="S18" s="86">
        <f>SUMIFS('15년일출'!$K$31:$K$733,'15년일출'!$B$31:$B$733,'15년위원회별'!$A18,'15년일출'!$C$31:$C$733,'15년위원회별'!$C18)</f>
        <v>0</v>
      </c>
      <c r="T18" s="86">
        <f>SUMIFS('15년일출'!$U$31:$U$733,'15년일출'!$B$31:$B$733,'15년위원회별'!$A18,'15년일출'!$C$31:$C$733,'15년위원회별'!$C18)</f>
        <v>0</v>
      </c>
      <c r="U18" s="86">
        <f>SUMIFS('15년일출'!$V$31:$V$733,'15년일출'!$B$31:$B$733,'15년위원회별'!$A18,'15년일출'!$C$31:$C$733,'15년위원회별'!$C18)</f>
        <v>0</v>
      </c>
      <c r="V18" s="86">
        <f>SUMIFS('15년일출'!$L$31:$L$733,'15년일출'!$B$31:$B$733,'15년위원회별'!$A18,'15년일출'!$C$31:$C$733,'15년위원회별'!$C18)</f>
        <v>0</v>
      </c>
      <c r="W18" s="86">
        <f>SUMIFS('15년일출'!$M$31:$M$733,'15년일출'!$B$31:$B$733,'15년위원회별'!$A18,'15년일출'!$C$31:$C$733,'15년위원회별'!$C18)</f>
        <v>0</v>
      </c>
      <c r="X18" s="86">
        <f>SUMIFS('15년일출'!$N$31:$N$733,'15년일출'!$B$31:$B$733,'15년위원회별'!$A18,'15년일출'!$C$31:$C$733,'15년위원회별'!$C18)</f>
        <v>0</v>
      </c>
      <c r="Y18" s="86">
        <f>SUMIFS('15년일출'!$Z$31:$Z$733,'15년일출'!$B$31:$B$733,'15년위원회별'!$A18,'15년일출'!$C$31:$C$733,'15년위원회별'!$C18)</f>
        <v>0</v>
      </c>
      <c r="Z18" s="86">
        <f>SUMIFS('15년일출'!$AA$31:$AA$733,'15년일출'!$B$31:$B$733,'15년위원회별'!$A18,'15년일출'!$C$31:$C$733,'15년위원회별'!$C18)</f>
        <v>0</v>
      </c>
    </row>
    <row r="19" spans="1:26" ht="16.5" customHeight="1">
      <c r="A19" t="s">
        <v>61</v>
      </c>
      <c r="B19" s="85"/>
      <c r="C19" s="85" t="s">
        <v>225</v>
      </c>
      <c r="D19" s="86">
        <f>SUMIFS('15년일입'!$H$7:$H$644,'15년일입'!$B$7:$B$644,'15년위원회별'!$A19,'15년일입'!$C$7:$C$644,'15년위원회별'!$C19)</f>
        <v>0</v>
      </c>
      <c r="E19" s="86">
        <f>SUMIFS('15년일입'!$I$7:$I$644,'15년일입'!$B$7:$B$644,'15년위원회별'!$A19,'15년일입'!$C$7:$C$644,'15년위원회별'!$C19)</f>
        <v>0</v>
      </c>
      <c r="F19" s="86">
        <f>SUMIFS('15년일입'!$J$7:$J$644,'15년일입'!$B$7:$B$644,'15년위원회별'!$A19,'15년일입'!$C$7:$C$644,'15년위원회별'!$C19)</f>
        <v>0</v>
      </c>
      <c r="G19" s="86">
        <f>SUMIFS('15년일입'!$K$7:$K$644,'15년일입'!$B$7:$B$644,'15년위원회별'!$A19,'15년일입'!$C$7:$C$644,'15년위원회별'!$C19)</f>
        <v>0</v>
      </c>
      <c r="H19" s="86">
        <f>SUMIFS('15년일입'!$U$7:$U$644,'15년일입'!$B$7:$B$644,'15년위원회별'!$A19,'15년일입'!$C$7:$C$644,'15년위원회별'!$C19)</f>
        <v>0</v>
      </c>
      <c r="I19" s="86">
        <f>SUMIFS('15년일입'!$V$7:$V$644,'15년일입'!$B$7:$B$644,'15년위원회별'!$A19,'15년일입'!$C$7:$C$644,'15년위원회별'!$C19)</f>
        <v>0</v>
      </c>
      <c r="J19" s="86">
        <f>SUMIFS('15년일입'!$L$7:$L$644,'15년일입'!$B$7:$B$644,'15년위원회별'!$A19,'15년일입'!$C$7:$C$644,'15년위원회별'!$C19)</f>
        <v>0</v>
      </c>
      <c r="K19" s="86">
        <f>SUMIFS('15년일입'!$M$7:$M$644,'15년일입'!$B$7:$B$644,'15년위원회별'!$A19,'15년일입'!$C$7:$C$644,'15년위원회별'!$C19)</f>
        <v>0</v>
      </c>
      <c r="L19" s="86">
        <f>SUMIFS('15년일입'!$N$7:$N$644,'15년일입'!$B$7:$B$644,'15년위원회별'!$A19,'15년일입'!$C$7:$C$644,'15년위원회별'!$C19)</f>
        <v>0</v>
      </c>
      <c r="M19" s="86">
        <f>SUMIFS('15년일입'!$Z$7:$Z$644,'15년일입'!$B$7:$B$644,'15년위원회별'!$A19,'15년일입'!$C$7:$C$644,'15년위원회별'!$C19)</f>
        <v>0</v>
      </c>
      <c r="N19" s="86">
        <f>SUMIFS('15년일입'!$AA$7:$AA$644,'15년일입'!$B$7:$B$644,'15년위원회별'!$A19,'15년일입'!$C$7:$C$644,'15년위원회별'!$C19)</f>
        <v>0</v>
      </c>
      <c r="P19" s="86">
        <f>SUMIFS('15년일출'!$H$31:$H$733,'15년일출'!$B$31:$B$733,'15년위원회별'!$A19,'15년일출'!$C$31:$C$733,'15년위원회별'!$C19)</f>
        <v>0</v>
      </c>
      <c r="Q19" s="86">
        <f>SUMIFS('15년일출'!$I$31:$I$733,'15년일출'!$B$31:$B$733,'15년위원회별'!$A19,'15년일출'!$C$31:$C$733,'15년위원회별'!$C19)</f>
        <v>0</v>
      </c>
      <c r="R19" s="86">
        <f>SUMIFS('15년일출'!$J$31:$J$733,'15년일출'!$B$31:$B$733,'15년위원회별'!$A19,'15년일출'!$C$31:$C$733,'15년위원회별'!$C19)</f>
        <v>0</v>
      </c>
      <c r="S19" s="86">
        <f>SUMIFS('15년일출'!$K$31:$K$733,'15년일출'!$B$31:$B$733,'15년위원회별'!$A19,'15년일출'!$C$31:$C$733,'15년위원회별'!$C19)</f>
        <v>0</v>
      </c>
      <c r="T19" s="86">
        <f>SUMIFS('15년일출'!$U$31:$U$733,'15년일출'!$B$31:$B$733,'15년위원회별'!$A19,'15년일출'!$C$31:$C$733,'15년위원회별'!$C19)</f>
        <v>0</v>
      </c>
      <c r="U19" s="86">
        <f>SUMIFS('15년일출'!$V$31:$V$733,'15년일출'!$B$31:$B$733,'15년위원회별'!$A19,'15년일출'!$C$31:$C$733,'15년위원회별'!$C19)</f>
        <v>0</v>
      </c>
      <c r="V19" s="86">
        <f>SUMIFS('15년일출'!$L$31:$L$733,'15년일출'!$B$31:$B$733,'15년위원회별'!$A19,'15년일출'!$C$31:$C$733,'15년위원회별'!$C19)</f>
        <v>0</v>
      </c>
      <c r="W19" s="86">
        <f>SUMIFS('15년일출'!$M$31:$M$733,'15년일출'!$B$31:$B$733,'15년위원회별'!$A19,'15년일출'!$C$31:$C$733,'15년위원회별'!$C19)</f>
        <v>0</v>
      </c>
      <c r="X19" s="86">
        <f>SUMIFS('15년일출'!$N$31:$N$733,'15년일출'!$B$31:$B$733,'15년위원회별'!$A19,'15년일출'!$C$31:$C$733,'15년위원회별'!$C19)</f>
        <v>0</v>
      </c>
      <c r="Y19" s="86">
        <f>SUMIFS('15년일출'!$Z$31:$Z$733,'15년일출'!$B$31:$B$733,'15년위원회별'!$A19,'15년일출'!$C$31:$C$733,'15년위원회별'!$C19)</f>
        <v>0</v>
      </c>
      <c r="Z19" s="86">
        <f>SUMIFS('15년일출'!$AA$31:$AA$733,'15년일출'!$B$31:$B$733,'15년위원회별'!$A19,'15년일출'!$C$31:$C$733,'15년위원회별'!$C19)</f>
        <v>0</v>
      </c>
    </row>
    <row r="20" spans="1:26" ht="16.5" customHeight="1">
      <c r="A20" s="92" t="s">
        <v>61</v>
      </c>
      <c r="B20" s="87"/>
      <c r="C20" s="87" t="s">
        <v>327</v>
      </c>
      <c r="D20" s="86">
        <f>SUMIFS('15년일입'!$H$7:$H$644,'15년일입'!$B$7:$B$644,'15년위원회별'!$A20,'15년일입'!$C$7:$C$644,'15년위원회별'!$C20)</f>
        <v>0</v>
      </c>
      <c r="E20" s="86">
        <f>SUMIFS('15년일입'!$I$7:$I$644,'15년일입'!$B$7:$B$644,'15년위원회별'!$A20,'15년일입'!$C$7:$C$644,'15년위원회별'!$C20)</f>
        <v>0</v>
      </c>
      <c r="F20" s="86">
        <f>SUMIFS('15년일입'!$J$7:$J$644,'15년일입'!$B$7:$B$644,'15년위원회별'!$A20,'15년일입'!$C$7:$C$644,'15년위원회별'!$C20)</f>
        <v>0</v>
      </c>
      <c r="G20" s="86">
        <f>SUMIFS('15년일입'!$K$7:$K$644,'15년일입'!$B$7:$B$644,'15년위원회별'!$A20,'15년일입'!$C$7:$C$644,'15년위원회별'!$C20)</f>
        <v>0</v>
      </c>
      <c r="H20" s="86">
        <f>SUMIFS('15년일입'!$U$7:$U$644,'15년일입'!$B$7:$B$644,'15년위원회별'!$A20,'15년일입'!$C$7:$C$644,'15년위원회별'!$C20)</f>
        <v>0</v>
      </c>
      <c r="I20" s="86">
        <f>SUMIFS('15년일입'!$V$7:$V$644,'15년일입'!$B$7:$B$644,'15년위원회별'!$A20,'15년일입'!$C$7:$C$644,'15년위원회별'!$C20)</f>
        <v>0</v>
      </c>
      <c r="J20" s="86">
        <f>SUMIFS('15년일입'!$L$7:$L$644,'15년일입'!$B$7:$B$644,'15년위원회별'!$A20,'15년일입'!$C$7:$C$644,'15년위원회별'!$C20)</f>
        <v>0</v>
      </c>
      <c r="K20" s="86">
        <f>SUMIFS('15년일입'!$M$7:$M$644,'15년일입'!$B$7:$B$644,'15년위원회별'!$A20,'15년일입'!$C$7:$C$644,'15년위원회별'!$C20)</f>
        <v>0</v>
      </c>
      <c r="L20" s="86">
        <f>SUMIFS('15년일입'!$N$7:$N$644,'15년일입'!$B$7:$B$644,'15년위원회별'!$A20,'15년일입'!$C$7:$C$644,'15년위원회별'!$C20)</f>
        <v>0</v>
      </c>
      <c r="M20" s="86">
        <f>SUMIFS('15년일입'!$Z$7:$Z$644,'15년일입'!$B$7:$B$644,'15년위원회별'!$A20,'15년일입'!$C$7:$C$644,'15년위원회별'!$C20)</f>
        <v>0</v>
      </c>
      <c r="N20" s="86">
        <f>SUMIFS('15년일입'!$AA$7:$AA$644,'15년일입'!$B$7:$B$644,'15년위원회별'!$A20,'15년일입'!$C$7:$C$644,'15년위원회별'!$C20)</f>
        <v>0</v>
      </c>
      <c r="P20" s="86">
        <f>SUMIFS('15년일출'!$H$31:$H$733,'15년일출'!$B$31:$B$733,'15년위원회별'!$A20,'15년일출'!$C$31:$C$733,'15년위원회별'!$C20)</f>
        <v>0</v>
      </c>
      <c r="Q20" s="86">
        <f>SUMIFS('15년일출'!$I$31:$I$733,'15년일출'!$B$31:$B$733,'15년위원회별'!$A20,'15년일출'!$C$31:$C$733,'15년위원회별'!$C20)</f>
        <v>0</v>
      </c>
      <c r="R20" s="86">
        <f>SUMIFS('15년일출'!$J$31:$J$733,'15년일출'!$B$31:$B$733,'15년위원회별'!$A20,'15년일출'!$C$31:$C$733,'15년위원회별'!$C20)</f>
        <v>0</v>
      </c>
      <c r="S20" s="86">
        <f>SUMIFS('15년일출'!$K$31:$K$733,'15년일출'!$B$31:$B$733,'15년위원회별'!$A20,'15년일출'!$C$31:$C$733,'15년위원회별'!$C20)</f>
        <v>0</v>
      </c>
      <c r="T20" s="86">
        <f>SUMIFS('15년일출'!$U$31:$U$733,'15년일출'!$B$31:$B$733,'15년위원회별'!$A20,'15년일출'!$C$31:$C$733,'15년위원회별'!$C20)</f>
        <v>0</v>
      </c>
      <c r="U20" s="86">
        <f>SUMIFS('15년일출'!$V$31:$V$733,'15년일출'!$B$31:$B$733,'15년위원회별'!$A20,'15년일출'!$C$31:$C$733,'15년위원회별'!$C20)</f>
        <v>0</v>
      </c>
      <c r="V20" s="86">
        <f>SUMIFS('15년일출'!$L$31:$L$733,'15년일출'!$B$31:$B$733,'15년위원회별'!$A20,'15년일출'!$C$31:$C$733,'15년위원회별'!$C20)</f>
        <v>0</v>
      </c>
      <c r="W20" s="86">
        <f>SUMIFS('15년일출'!$M$31:$M$733,'15년일출'!$B$31:$B$733,'15년위원회별'!$A20,'15년일출'!$C$31:$C$733,'15년위원회별'!$C20)</f>
        <v>0</v>
      </c>
      <c r="X20" s="86">
        <f>SUMIFS('15년일출'!$N$31:$N$733,'15년일출'!$B$31:$B$733,'15년위원회별'!$A20,'15년일출'!$C$31:$C$733,'15년위원회별'!$C20)</f>
        <v>0</v>
      </c>
      <c r="Y20" s="86">
        <f>SUMIFS('15년일출'!$Z$31:$Z$733,'15년일출'!$B$31:$B$733,'15년위원회별'!$A20,'15년일출'!$C$31:$C$733,'15년위원회별'!$C20)</f>
        <v>0</v>
      </c>
      <c r="Z20" s="86">
        <f>SUMIFS('15년일출'!$AA$31:$AA$733,'15년일출'!$B$31:$B$733,'15년위원회별'!$A20,'15년일출'!$C$31:$C$733,'15년위원회별'!$C20)</f>
        <v>0</v>
      </c>
    </row>
    <row r="21" spans="1:26" ht="16.5" customHeight="1">
      <c r="A21" t="s">
        <v>61</v>
      </c>
      <c r="B21" s="85"/>
      <c r="C21" s="85" t="s">
        <v>395</v>
      </c>
      <c r="D21" s="86">
        <f>SUMIFS('15년일입'!$H$7:$H$644,'15년일입'!$B$7:$B$644,'15년위원회별'!$A21,'15년일입'!$C$7:$C$644,'15년위원회별'!$C21)</f>
        <v>0</v>
      </c>
      <c r="E21" s="86">
        <f>SUMIFS('15년일입'!$I$7:$I$644,'15년일입'!$B$7:$B$644,'15년위원회별'!$A21,'15년일입'!$C$7:$C$644,'15년위원회별'!$C21)</f>
        <v>0</v>
      </c>
      <c r="F21" s="86">
        <f>SUMIFS('15년일입'!$J$7:$J$644,'15년일입'!$B$7:$B$644,'15년위원회별'!$A21,'15년일입'!$C$7:$C$644,'15년위원회별'!$C21)</f>
        <v>0</v>
      </c>
      <c r="G21" s="86">
        <f>SUMIFS('15년일입'!$K$7:$K$644,'15년일입'!$B$7:$B$644,'15년위원회별'!$A21,'15년일입'!$C$7:$C$644,'15년위원회별'!$C21)</f>
        <v>0</v>
      </c>
      <c r="H21" s="86">
        <f>SUMIFS('15년일입'!$U$7:$U$644,'15년일입'!$B$7:$B$644,'15년위원회별'!$A21,'15년일입'!$C$7:$C$644,'15년위원회별'!$C21)</f>
        <v>0</v>
      </c>
      <c r="I21" s="86">
        <f>SUMIFS('15년일입'!$V$7:$V$644,'15년일입'!$B$7:$B$644,'15년위원회별'!$A21,'15년일입'!$C$7:$C$644,'15년위원회별'!$C21)</f>
        <v>0</v>
      </c>
      <c r="J21" s="86">
        <f>SUMIFS('15년일입'!$L$7:$L$644,'15년일입'!$B$7:$B$644,'15년위원회별'!$A21,'15년일입'!$C$7:$C$644,'15년위원회별'!$C21)</f>
        <v>0</v>
      </c>
      <c r="K21" s="86">
        <f>SUMIFS('15년일입'!$M$7:$M$644,'15년일입'!$B$7:$B$644,'15년위원회별'!$A21,'15년일입'!$C$7:$C$644,'15년위원회별'!$C21)</f>
        <v>0</v>
      </c>
      <c r="L21" s="86">
        <f>SUMIFS('15년일입'!$N$7:$N$644,'15년일입'!$B$7:$B$644,'15년위원회별'!$A21,'15년일입'!$C$7:$C$644,'15년위원회별'!$C21)</f>
        <v>0</v>
      </c>
      <c r="M21" s="86">
        <f>SUMIFS('15년일입'!$Z$7:$Z$644,'15년일입'!$B$7:$B$644,'15년위원회별'!$A21,'15년일입'!$C$7:$C$644,'15년위원회별'!$C21)</f>
        <v>0</v>
      </c>
      <c r="N21" s="86">
        <f>SUMIFS('15년일입'!$AA$7:$AA$644,'15년일입'!$B$7:$B$644,'15년위원회별'!$A21,'15년일입'!$C$7:$C$644,'15년위원회별'!$C21)</f>
        <v>0</v>
      </c>
      <c r="P21" s="86">
        <f>SUMIFS('15년일출'!$H$31:$H$733,'15년일출'!$B$31:$B$733,'15년위원회별'!$A21,'15년일출'!$C$31:$C$733,'15년위원회별'!$C21)</f>
        <v>0</v>
      </c>
      <c r="Q21" s="86">
        <f>SUMIFS('15년일출'!$I$31:$I$733,'15년일출'!$B$31:$B$733,'15년위원회별'!$A21,'15년일출'!$C$31:$C$733,'15년위원회별'!$C21)</f>
        <v>0</v>
      </c>
      <c r="R21" s="86">
        <f>SUMIFS('15년일출'!$J$31:$J$733,'15년일출'!$B$31:$B$733,'15년위원회별'!$A21,'15년일출'!$C$31:$C$733,'15년위원회별'!$C21)</f>
        <v>0</v>
      </c>
      <c r="S21" s="86">
        <f>SUMIFS('15년일출'!$K$31:$K$733,'15년일출'!$B$31:$B$733,'15년위원회별'!$A21,'15년일출'!$C$31:$C$733,'15년위원회별'!$C21)</f>
        <v>0</v>
      </c>
      <c r="T21" s="86">
        <f>SUMIFS('15년일출'!$U$31:$U$733,'15년일출'!$B$31:$B$733,'15년위원회별'!$A21,'15년일출'!$C$31:$C$733,'15년위원회별'!$C21)</f>
        <v>0</v>
      </c>
      <c r="U21" s="86">
        <f>SUMIFS('15년일출'!$V$31:$V$733,'15년일출'!$B$31:$B$733,'15년위원회별'!$A21,'15년일출'!$C$31:$C$733,'15년위원회별'!$C21)</f>
        <v>0</v>
      </c>
      <c r="V21" s="86">
        <f>SUMIFS('15년일출'!$L$31:$L$733,'15년일출'!$B$31:$B$733,'15년위원회별'!$A21,'15년일출'!$C$31:$C$733,'15년위원회별'!$C21)</f>
        <v>0</v>
      </c>
      <c r="W21" s="86">
        <f>SUMIFS('15년일출'!$M$31:$M$733,'15년일출'!$B$31:$B$733,'15년위원회별'!$A21,'15년일출'!$C$31:$C$733,'15년위원회별'!$C21)</f>
        <v>0</v>
      </c>
      <c r="X21" s="86">
        <f>SUMIFS('15년일출'!$N$31:$N$733,'15년일출'!$B$31:$B$733,'15년위원회별'!$A21,'15년일출'!$C$31:$C$733,'15년위원회별'!$C21)</f>
        <v>0</v>
      </c>
      <c r="Y21" s="86">
        <f>SUMIFS('15년일출'!$Z$31:$Z$733,'15년일출'!$B$31:$B$733,'15년위원회별'!$A21,'15년일출'!$C$31:$C$733,'15년위원회별'!$C21)</f>
        <v>0</v>
      </c>
      <c r="Z21" s="86">
        <f>SUMIFS('15년일출'!$AA$31:$AA$733,'15년일출'!$B$31:$B$733,'15년위원회별'!$A21,'15년일출'!$C$31:$C$733,'15년위원회별'!$C21)</f>
        <v>0</v>
      </c>
    </row>
    <row r="22" spans="1:26" ht="16.5" customHeight="1">
      <c r="A22" s="92"/>
      <c r="B22" s="356" t="s">
        <v>14</v>
      </c>
      <c r="C22" s="357"/>
      <c r="D22" s="84">
        <f>SUM(D23)</f>
        <v>0</v>
      </c>
      <c r="E22" s="84">
        <f t="shared" ref="E22:N22" si="10">SUM(E23)</f>
        <v>0</v>
      </c>
      <c r="F22" s="84">
        <f t="shared" si="10"/>
        <v>0</v>
      </c>
      <c r="G22" s="84">
        <f t="shared" si="10"/>
        <v>0</v>
      </c>
      <c r="H22" s="84">
        <f t="shared" si="10"/>
        <v>0</v>
      </c>
      <c r="I22" s="84">
        <f t="shared" si="10"/>
        <v>0</v>
      </c>
      <c r="J22" s="84">
        <f t="shared" si="10"/>
        <v>0</v>
      </c>
      <c r="K22" s="84">
        <f t="shared" si="10"/>
        <v>0</v>
      </c>
      <c r="L22" s="84">
        <f t="shared" si="10"/>
        <v>0</v>
      </c>
      <c r="M22" s="84">
        <f t="shared" si="10"/>
        <v>0</v>
      </c>
      <c r="N22" s="84">
        <f t="shared" si="10"/>
        <v>0</v>
      </c>
      <c r="P22" s="84">
        <f>SUM(P23)</f>
        <v>0</v>
      </c>
      <c r="Q22" s="84">
        <f t="shared" ref="Q22:Z22" si="11">SUM(Q23)</f>
        <v>0</v>
      </c>
      <c r="R22" s="84">
        <f t="shared" si="11"/>
        <v>0</v>
      </c>
      <c r="S22" s="84">
        <f t="shared" si="11"/>
        <v>0</v>
      </c>
      <c r="T22" s="84">
        <f t="shared" si="11"/>
        <v>0</v>
      </c>
      <c r="U22" s="84">
        <f t="shared" si="11"/>
        <v>0</v>
      </c>
      <c r="V22" s="84">
        <f t="shared" si="11"/>
        <v>0</v>
      </c>
      <c r="W22" s="84">
        <f t="shared" si="11"/>
        <v>0</v>
      </c>
      <c r="X22" s="84">
        <f t="shared" si="11"/>
        <v>0</v>
      </c>
      <c r="Y22" s="84">
        <f t="shared" si="11"/>
        <v>0</v>
      </c>
      <c r="Z22" s="84">
        <f t="shared" si="11"/>
        <v>0</v>
      </c>
    </row>
    <row r="23" spans="1:26" ht="16.5" customHeight="1">
      <c r="A23" t="s">
        <v>537</v>
      </c>
      <c r="B23" s="85"/>
      <c r="C23" s="85" t="s">
        <v>536</v>
      </c>
      <c r="D23" s="86">
        <f>SUMIFS('15년일입'!$H$7:$H$644,'15년일입'!$B$7:$B$644,'15년위원회별'!$A23,'15년일입'!$C$7:$C$644,'15년위원회별'!$C23)</f>
        <v>0</v>
      </c>
      <c r="E23" s="86">
        <f>SUMIFS('15년일입'!$I$7:$I$644,'15년일입'!$B$7:$B$644,'15년위원회별'!$A23,'15년일입'!$C$7:$C$644,'15년위원회별'!$C23)</f>
        <v>0</v>
      </c>
      <c r="F23" s="86">
        <f>SUMIFS('15년일입'!$J$7:$J$644,'15년일입'!$B$7:$B$644,'15년위원회별'!$A23,'15년일입'!$C$7:$C$644,'15년위원회별'!$C23)</f>
        <v>0</v>
      </c>
      <c r="G23" s="86">
        <f>SUMIFS('15년일입'!$K$7:$K$644,'15년일입'!$B$7:$B$644,'15년위원회별'!$A23,'15년일입'!$C$7:$C$644,'15년위원회별'!$C23)</f>
        <v>0</v>
      </c>
      <c r="H23" s="86">
        <f>SUMIFS('15년일입'!$U$7:$U$644,'15년일입'!$B$7:$B$644,'15년위원회별'!$A23,'15년일입'!$C$7:$C$644,'15년위원회별'!$C23)</f>
        <v>0</v>
      </c>
      <c r="I23" s="86">
        <f>SUMIFS('15년일입'!$V$7:$V$644,'15년일입'!$B$7:$B$644,'15년위원회별'!$A23,'15년일입'!$C$7:$C$644,'15년위원회별'!$C23)</f>
        <v>0</v>
      </c>
      <c r="J23" s="86">
        <f>SUMIFS('15년일입'!$L$7:$L$644,'15년일입'!$B$7:$B$644,'15년위원회별'!$A23,'15년일입'!$C$7:$C$644,'15년위원회별'!$C23)</f>
        <v>0</v>
      </c>
      <c r="K23" s="86">
        <f>SUMIFS('15년일입'!$M$7:$M$644,'15년일입'!$B$7:$B$644,'15년위원회별'!$A23,'15년일입'!$C$7:$C$644,'15년위원회별'!$C23)</f>
        <v>0</v>
      </c>
      <c r="L23" s="86">
        <f>SUMIFS('15년일입'!$N$7:$N$644,'15년일입'!$B$7:$B$644,'15년위원회별'!$A23,'15년일입'!$C$7:$C$644,'15년위원회별'!$C23)</f>
        <v>0</v>
      </c>
      <c r="M23" s="86">
        <f>SUMIFS('15년일입'!$Z$7:$Z$644,'15년일입'!$B$7:$B$644,'15년위원회별'!$A23,'15년일입'!$C$7:$C$644,'15년위원회별'!$C23)</f>
        <v>0</v>
      </c>
      <c r="N23" s="86">
        <f>SUMIFS('15년일입'!$AA$7:$AA$644,'15년일입'!$B$7:$B$644,'15년위원회별'!$A23,'15년일입'!$C$7:$C$644,'15년위원회별'!$C23)</f>
        <v>0</v>
      </c>
      <c r="P23" s="86">
        <f>SUMIFS('15년일출'!$H$31:$H$733,'15년일출'!$B$31:$B$733,'15년위원회별'!$A23,'15년일출'!$C$31:$C$733,'15년위원회별'!$C23)</f>
        <v>0</v>
      </c>
      <c r="Q23" s="86">
        <f>SUMIFS('15년일출'!$I$31:$I$733,'15년일출'!$B$31:$B$733,'15년위원회별'!$A23,'15년일출'!$C$31:$C$733,'15년위원회별'!$C23)</f>
        <v>0</v>
      </c>
      <c r="R23" s="86">
        <f>SUMIFS('15년일출'!$J$31:$J$733,'15년일출'!$B$31:$B$733,'15년위원회별'!$A23,'15년일출'!$C$31:$C$733,'15년위원회별'!$C23)</f>
        <v>0</v>
      </c>
      <c r="S23" s="86">
        <f>SUMIFS('15년일출'!$K$31:$K$733,'15년일출'!$B$31:$B$733,'15년위원회별'!$A23,'15년일출'!$C$31:$C$733,'15년위원회별'!$C23)</f>
        <v>0</v>
      </c>
      <c r="T23" s="86">
        <f>SUMIFS('15년일출'!$U$31:$U$733,'15년일출'!$B$31:$B$733,'15년위원회별'!$A23,'15년일출'!$C$31:$C$733,'15년위원회별'!$C23)</f>
        <v>0</v>
      </c>
      <c r="U23" s="86">
        <f>SUMIFS('15년일출'!$V$31:$V$733,'15년일출'!$B$31:$B$733,'15년위원회별'!$A23,'15년일출'!$C$31:$C$733,'15년위원회별'!$C23)</f>
        <v>0</v>
      </c>
      <c r="V23" s="86">
        <f>SUMIFS('15년일출'!$L$31:$L$733,'15년일출'!$B$31:$B$733,'15년위원회별'!$A23,'15년일출'!$C$31:$C$733,'15년위원회별'!$C23)</f>
        <v>0</v>
      </c>
      <c r="W23" s="86">
        <f>SUMIFS('15년일출'!$M$31:$M$733,'15년일출'!$B$31:$B$733,'15년위원회별'!$A23,'15년일출'!$C$31:$C$733,'15년위원회별'!$C23)</f>
        <v>0</v>
      </c>
      <c r="X23" s="86">
        <f>SUMIFS('15년일출'!$N$31:$N$733,'15년일출'!$B$31:$B$733,'15년위원회별'!$A23,'15년일출'!$C$31:$C$733,'15년위원회별'!$C23)</f>
        <v>0</v>
      </c>
      <c r="Y23" s="86">
        <f>SUMIFS('15년일출'!$Z$31:$Z$733,'15년일출'!$B$31:$B$733,'15년위원회별'!$A23,'15년일출'!$C$31:$C$733,'15년위원회별'!$C23)</f>
        <v>0</v>
      </c>
      <c r="Z23" s="86">
        <f>SUMIFS('15년일출'!$AA$31:$AA$733,'15년일출'!$B$31:$B$733,'15년위원회별'!$A23,'15년일출'!$C$31:$C$733,'15년위원회별'!$C23)</f>
        <v>0</v>
      </c>
    </row>
    <row r="24" spans="1:26" ht="16.5" customHeight="1">
      <c r="B24" s="356" t="s">
        <v>64</v>
      </c>
      <c r="C24" s="357"/>
      <c r="D24" s="84">
        <f>SUM(D25:D27)</f>
        <v>0</v>
      </c>
      <c r="E24" s="84">
        <f t="shared" ref="E24:N24" si="12">SUM(E25:E27)</f>
        <v>0</v>
      </c>
      <c r="F24" s="84">
        <f t="shared" si="12"/>
        <v>0</v>
      </c>
      <c r="G24" s="84">
        <f t="shared" si="12"/>
        <v>0</v>
      </c>
      <c r="H24" s="84">
        <f t="shared" si="12"/>
        <v>0</v>
      </c>
      <c r="I24" s="84">
        <f t="shared" si="12"/>
        <v>0</v>
      </c>
      <c r="J24" s="84">
        <f t="shared" si="12"/>
        <v>0</v>
      </c>
      <c r="K24" s="84">
        <f t="shared" si="12"/>
        <v>0</v>
      </c>
      <c r="L24" s="84">
        <f t="shared" si="12"/>
        <v>0</v>
      </c>
      <c r="M24" s="84">
        <f t="shared" si="12"/>
        <v>0</v>
      </c>
      <c r="N24" s="84">
        <f t="shared" si="12"/>
        <v>0</v>
      </c>
      <c r="P24" s="84">
        <f>SUM(P25:P27)</f>
        <v>0</v>
      </c>
      <c r="Q24" s="84">
        <f t="shared" ref="Q24:Z24" si="13">SUM(Q25:Q27)</f>
        <v>0</v>
      </c>
      <c r="R24" s="84">
        <f t="shared" si="13"/>
        <v>0</v>
      </c>
      <c r="S24" s="84">
        <f t="shared" si="13"/>
        <v>0</v>
      </c>
      <c r="T24" s="84">
        <f t="shared" si="13"/>
        <v>0</v>
      </c>
      <c r="U24" s="84">
        <f t="shared" si="13"/>
        <v>0</v>
      </c>
      <c r="V24" s="84">
        <f t="shared" si="13"/>
        <v>0</v>
      </c>
      <c r="W24" s="84">
        <f t="shared" si="13"/>
        <v>0</v>
      </c>
      <c r="X24" s="84">
        <f t="shared" si="13"/>
        <v>0</v>
      </c>
      <c r="Y24" s="84">
        <f t="shared" si="13"/>
        <v>0</v>
      </c>
      <c r="Z24" s="84">
        <f t="shared" si="13"/>
        <v>0</v>
      </c>
    </row>
    <row r="25" spans="1:26" ht="16.5" customHeight="1">
      <c r="A25" t="s">
        <v>96</v>
      </c>
      <c r="B25" s="85"/>
      <c r="C25" s="85" t="s">
        <v>65</v>
      </c>
      <c r="D25" s="86">
        <f>SUMIFS('15년일입'!$H$7:$H$644,'15년일입'!$B$7:$B$644,'15년위원회별'!$A25,'15년일입'!$C$7:$C$644,'15년위원회별'!$C25)</f>
        <v>0</v>
      </c>
      <c r="E25" s="86">
        <f>SUMIFS('15년일입'!$I$7:$I$644,'15년일입'!$B$7:$B$644,'15년위원회별'!$A25,'15년일입'!$C$7:$C$644,'15년위원회별'!$C25)</f>
        <v>0</v>
      </c>
      <c r="F25" s="86">
        <f>SUMIFS('15년일입'!$J$7:$J$644,'15년일입'!$B$7:$B$644,'15년위원회별'!$A25,'15년일입'!$C$7:$C$644,'15년위원회별'!$C25)</f>
        <v>0</v>
      </c>
      <c r="G25" s="86">
        <f>SUMIFS('15년일입'!$K$7:$K$644,'15년일입'!$B$7:$B$644,'15년위원회별'!$A25,'15년일입'!$C$7:$C$644,'15년위원회별'!$C25)</f>
        <v>0</v>
      </c>
      <c r="H25" s="86">
        <f>SUMIFS('15년일입'!$U$7:$U$644,'15년일입'!$B$7:$B$644,'15년위원회별'!$A25,'15년일입'!$C$7:$C$644,'15년위원회별'!$C25)</f>
        <v>0</v>
      </c>
      <c r="I25" s="86">
        <f>SUMIFS('15년일입'!$V$7:$V$644,'15년일입'!$B$7:$B$644,'15년위원회별'!$A25,'15년일입'!$C$7:$C$644,'15년위원회별'!$C25)</f>
        <v>0</v>
      </c>
      <c r="J25" s="86">
        <f>SUMIFS('15년일입'!$L$7:$L$644,'15년일입'!$B$7:$B$644,'15년위원회별'!$A25,'15년일입'!$C$7:$C$644,'15년위원회별'!$C25)</f>
        <v>0</v>
      </c>
      <c r="K25" s="86">
        <f>SUMIFS('15년일입'!$M$7:$M$644,'15년일입'!$B$7:$B$644,'15년위원회별'!$A25,'15년일입'!$C$7:$C$644,'15년위원회별'!$C25)</f>
        <v>0</v>
      </c>
      <c r="L25" s="86">
        <f>SUMIFS('15년일입'!$N$7:$N$644,'15년일입'!$B$7:$B$644,'15년위원회별'!$A25,'15년일입'!$C$7:$C$644,'15년위원회별'!$C25)</f>
        <v>0</v>
      </c>
      <c r="M25" s="86">
        <f>SUMIFS('15년일입'!$Z$7:$Z$644,'15년일입'!$B$7:$B$644,'15년위원회별'!$A25,'15년일입'!$C$7:$C$644,'15년위원회별'!$C25)</f>
        <v>0</v>
      </c>
      <c r="N25" s="86">
        <f>SUMIFS('15년일입'!$AA$7:$AA$644,'15년일입'!$B$7:$B$644,'15년위원회별'!$A25,'15년일입'!$C$7:$C$644,'15년위원회별'!$C25)</f>
        <v>0</v>
      </c>
      <c r="P25" s="86">
        <f>SUMIFS('15년일출'!$H$31:$H$733,'15년일출'!$B$31:$B$733,'15년위원회별'!$A25,'15년일출'!$C$31:$C$733,'15년위원회별'!$C25)</f>
        <v>0</v>
      </c>
      <c r="Q25" s="86">
        <f>SUMIFS('15년일출'!$I$31:$I$733,'15년일출'!$B$31:$B$733,'15년위원회별'!$A25,'15년일출'!$C$31:$C$733,'15년위원회별'!$C25)</f>
        <v>0</v>
      </c>
      <c r="R25" s="86">
        <f>SUMIFS('15년일출'!$J$31:$J$733,'15년일출'!$B$31:$B$733,'15년위원회별'!$A25,'15년일출'!$C$31:$C$733,'15년위원회별'!$C25)</f>
        <v>0</v>
      </c>
      <c r="S25" s="86">
        <f>SUMIFS('15년일출'!$K$31:$K$733,'15년일출'!$B$31:$B$733,'15년위원회별'!$A25,'15년일출'!$C$31:$C$733,'15년위원회별'!$C25)</f>
        <v>0</v>
      </c>
      <c r="T25" s="86">
        <f>SUMIFS('15년일출'!$U$31:$U$733,'15년일출'!$B$31:$B$733,'15년위원회별'!$A25,'15년일출'!$C$31:$C$733,'15년위원회별'!$C25)</f>
        <v>0</v>
      </c>
      <c r="U25" s="86">
        <f>SUMIFS('15년일출'!$V$31:$V$733,'15년일출'!$B$31:$B$733,'15년위원회별'!$A25,'15년일출'!$C$31:$C$733,'15년위원회별'!$C25)</f>
        <v>0</v>
      </c>
      <c r="V25" s="86">
        <f>SUMIFS('15년일출'!$L$31:$L$733,'15년일출'!$B$31:$B$733,'15년위원회별'!$A25,'15년일출'!$C$31:$C$733,'15년위원회별'!$C25)</f>
        <v>0</v>
      </c>
      <c r="W25" s="86">
        <f>SUMIFS('15년일출'!$M$31:$M$733,'15년일출'!$B$31:$B$733,'15년위원회별'!$A25,'15년일출'!$C$31:$C$733,'15년위원회별'!$C25)</f>
        <v>0</v>
      </c>
      <c r="X25" s="86">
        <f>SUMIFS('15년일출'!$N$31:$N$733,'15년일출'!$B$31:$B$733,'15년위원회별'!$A25,'15년일출'!$C$31:$C$733,'15년위원회별'!$C25)</f>
        <v>0</v>
      </c>
      <c r="Y25" s="86">
        <f>SUMIFS('15년일출'!$Z$31:$Z$733,'15년일출'!$B$31:$B$733,'15년위원회별'!$A25,'15년일출'!$C$31:$C$733,'15년위원회별'!$C25)</f>
        <v>0</v>
      </c>
      <c r="Z25" s="86">
        <f>SUMIFS('15년일출'!$AA$31:$AA$733,'15년일출'!$B$31:$B$733,'15년위원회별'!$A25,'15년일출'!$C$31:$C$733,'15년위원회별'!$C25)</f>
        <v>0</v>
      </c>
    </row>
    <row r="26" spans="1:26" ht="16.5" customHeight="1">
      <c r="A26" t="s">
        <v>96</v>
      </c>
      <c r="B26" s="85"/>
      <c r="C26" s="85" t="s">
        <v>67</v>
      </c>
      <c r="D26" s="86">
        <f>SUMIFS('15년일입'!$H$7:$H$644,'15년일입'!$B$7:$B$644,'15년위원회별'!$A26,'15년일입'!$C$7:$C$644,'15년위원회별'!$C26)</f>
        <v>0</v>
      </c>
      <c r="E26" s="86">
        <f>SUMIFS('15년일입'!$I$7:$I$644,'15년일입'!$B$7:$B$644,'15년위원회별'!$A26,'15년일입'!$C$7:$C$644,'15년위원회별'!$C26)</f>
        <v>0</v>
      </c>
      <c r="F26" s="86">
        <f>SUMIFS('15년일입'!$J$7:$J$644,'15년일입'!$B$7:$B$644,'15년위원회별'!$A26,'15년일입'!$C$7:$C$644,'15년위원회별'!$C26)</f>
        <v>0</v>
      </c>
      <c r="G26" s="86">
        <f>SUMIFS('15년일입'!$K$7:$K$644,'15년일입'!$B$7:$B$644,'15년위원회별'!$A26,'15년일입'!$C$7:$C$644,'15년위원회별'!$C26)</f>
        <v>0</v>
      </c>
      <c r="H26" s="86">
        <f>SUMIFS('15년일입'!$U$7:$U$644,'15년일입'!$B$7:$B$644,'15년위원회별'!$A26,'15년일입'!$C$7:$C$644,'15년위원회별'!$C26)</f>
        <v>0</v>
      </c>
      <c r="I26" s="86">
        <f>SUMIFS('15년일입'!$V$7:$V$644,'15년일입'!$B$7:$B$644,'15년위원회별'!$A26,'15년일입'!$C$7:$C$644,'15년위원회별'!$C26)</f>
        <v>0</v>
      </c>
      <c r="J26" s="86">
        <f>SUMIFS('15년일입'!$L$7:$L$644,'15년일입'!$B$7:$B$644,'15년위원회별'!$A26,'15년일입'!$C$7:$C$644,'15년위원회별'!$C26)</f>
        <v>0</v>
      </c>
      <c r="K26" s="86">
        <f>SUMIFS('15년일입'!$M$7:$M$644,'15년일입'!$B$7:$B$644,'15년위원회별'!$A26,'15년일입'!$C$7:$C$644,'15년위원회별'!$C26)</f>
        <v>0</v>
      </c>
      <c r="L26" s="86">
        <f>SUMIFS('15년일입'!$N$7:$N$644,'15년일입'!$B$7:$B$644,'15년위원회별'!$A26,'15년일입'!$C$7:$C$644,'15년위원회별'!$C26)</f>
        <v>0</v>
      </c>
      <c r="M26" s="86">
        <f>SUMIFS('15년일입'!$Z$7:$Z$644,'15년일입'!$B$7:$B$644,'15년위원회별'!$A26,'15년일입'!$C$7:$C$644,'15년위원회별'!$C26)</f>
        <v>0</v>
      </c>
      <c r="N26" s="86">
        <f>SUMIFS('15년일입'!$AA$7:$AA$644,'15년일입'!$B$7:$B$644,'15년위원회별'!$A26,'15년일입'!$C$7:$C$644,'15년위원회별'!$C26)</f>
        <v>0</v>
      </c>
      <c r="P26" s="86">
        <f>SUMIFS('15년일출'!$H$31:$H$733,'15년일출'!$B$31:$B$733,'15년위원회별'!$A26,'15년일출'!$C$31:$C$733,'15년위원회별'!$C26)</f>
        <v>0</v>
      </c>
      <c r="Q26" s="86">
        <f>SUMIFS('15년일출'!$I$31:$I$733,'15년일출'!$B$31:$B$733,'15년위원회별'!$A26,'15년일출'!$C$31:$C$733,'15년위원회별'!$C26)</f>
        <v>0</v>
      </c>
      <c r="R26" s="86">
        <f>SUMIFS('15년일출'!$J$31:$J$733,'15년일출'!$B$31:$B$733,'15년위원회별'!$A26,'15년일출'!$C$31:$C$733,'15년위원회별'!$C26)</f>
        <v>0</v>
      </c>
      <c r="S26" s="86">
        <f>SUMIFS('15년일출'!$K$31:$K$733,'15년일출'!$B$31:$B$733,'15년위원회별'!$A26,'15년일출'!$C$31:$C$733,'15년위원회별'!$C26)</f>
        <v>0</v>
      </c>
      <c r="T26" s="86">
        <f>SUMIFS('15년일출'!$U$31:$U$733,'15년일출'!$B$31:$B$733,'15년위원회별'!$A26,'15년일출'!$C$31:$C$733,'15년위원회별'!$C26)</f>
        <v>0</v>
      </c>
      <c r="U26" s="86">
        <f>SUMIFS('15년일출'!$V$31:$V$733,'15년일출'!$B$31:$B$733,'15년위원회별'!$A26,'15년일출'!$C$31:$C$733,'15년위원회별'!$C26)</f>
        <v>0</v>
      </c>
      <c r="V26" s="86">
        <f>SUMIFS('15년일출'!$L$31:$L$733,'15년일출'!$B$31:$B$733,'15년위원회별'!$A26,'15년일출'!$C$31:$C$733,'15년위원회별'!$C26)</f>
        <v>0</v>
      </c>
      <c r="W26" s="86">
        <f>SUMIFS('15년일출'!$M$31:$M$733,'15년일출'!$B$31:$B$733,'15년위원회별'!$A26,'15년일출'!$C$31:$C$733,'15년위원회별'!$C26)</f>
        <v>0</v>
      </c>
      <c r="X26" s="86">
        <f>SUMIFS('15년일출'!$N$31:$N$733,'15년일출'!$B$31:$B$733,'15년위원회별'!$A26,'15년일출'!$C$31:$C$733,'15년위원회별'!$C26)</f>
        <v>0</v>
      </c>
      <c r="Y26" s="86">
        <f>SUMIFS('15년일출'!$Z$31:$Z$733,'15년일출'!$B$31:$B$733,'15년위원회별'!$A26,'15년일출'!$C$31:$C$733,'15년위원회별'!$C26)</f>
        <v>0</v>
      </c>
      <c r="Z26" s="86">
        <f>SUMIFS('15년일출'!$AA$31:$AA$733,'15년일출'!$B$31:$B$733,'15년위원회별'!$A26,'15년일출'!$C$31:$C$733,'15년위원회별'!$C26)</f>
        <v>0</v>
      </c>
    </row>
    <row r="27" spans="1:26" ht="16.5" customHeight="1">
      <c r="A27" t="s">
        <v>96</v>
      </c>
      <c r="B27" s="85"/>
      <c r="C27" s="85" t="s">
        <v>388</v>
      </c>
      <c r="D27" s="86">
        <f>SUMIFS('15년일입'!$H$7:$H$644,'15년일입'!$B$7:$B$644,'15년위원회별'!$A27,'15년일입'!$C$7:$C$644,'15년위원회별'!$C27)</f>
        <v>0</v>
      </c>
      <c r="E27" s="86">
        <f>SUMIFS('15년일입'!$I$7:$I$644,'15년일입'!$B$7:$B$644,'15년위원회별'!$A27,'15년일입'!$C$7:$C$644,'15년위원회별'!$C27)</f>
        <v>0</v>
      </c>
      <c r="F27" s="86">
        <f>SUMIFS('15년일입'!$J$7:$J$644,'15년일입'!$B$7:$B$644,'15년위원회별'!$A27,'15년일입'!$C$7:$C$644,'15년위원회별'!$C27)</f>
        <v>0</v>
      </c>
      <c r="G27" s="86">
        <f>SUMIFS('15년일입'!$K$7:$K$644,'15년일입'!$B$7:$B$644,'15년위원회별'!$A27,'15년일입'!$C$7:$C$644,'15년위원회별'!$C27)</f>
        <v>0</v>
      </c>
      <c r="H27" s="86">
        <f>SUMIFS('15년일입'!$U$7:$U$644,'15년일입'!$B$7:$B$644,'15년위원회별'!$A27,'15년일입'!$C$7:$C$644,'15년위원회별'!$C27)</f>
        <v>0</v>
      </c>
      <c r="I27" s="86">
        <f>SUMIFS('15년일입'!$V$7:$V$644,'15년일입'!$B$7:$B$644,'15년위원회별'!$A27,'15년일입'!$C$7:$C$644,'15년위원회별'!$C27)</f>
        <v>0</v>
      </c>
      <c r="J27" s="86">
        <f>SUMIFS('15년일입'!$L$7:$L$644,'15년일입'!$B$7:$B$644,'15년위원회별'!$A27,'15년일입'!$C$7:$C$644,'15년위원회별'!$C27)</f>
        <v>0</v>
      </c>
      <c r="K27" s="86">
        <f>SUMIFS('15년일입'!$M$7:$M$644,'15년일입'!$B$7:$B$644,'15년위원회별'!$A27,'15년일입'!$C$7:$C$644,'15년위원회별'!$C27)</f>
        <v>0</v>
      </c>
      <c r="L27" s="86">
        <f>SUMIFS('15년일입'!$N$7:$N$644,'15년일입'!$B$7:$B$644,'15년위원회별'!$A27,'15년일입'!$C$7:$C$644,'15년위원회별'!$C27)</f>
        <v>0</v>
      </c>
      <c r="M27" s="86">
        <f>SUMIFS('15년일입'!$Z$7:$Z$644,'15년일입'!$B$7:$B$644,'15년위원회별'!$A27,'15년일입'!$C$7:$C$644,'15년위원회별'!$C27)</f>
        <v>0</v>
      </c>
      <c r="N27" s="86">
        <f>SUMIFS('15년일입'!$AA$7:$AA$644,'15년일입'!$B$7:$B$644,'15년위원회별'!$A27,'15년일입'!$C$7:$C$644,'15년위원회별'!$C27)</f>
        <v>0</v>
      </c>
      <c r="P27" s="86">
        <f>SUMIFS('15년일출'!$H$31:$H$733,'15년일출'!$B$31:$B$733,'15년위원회별'!$A27,'15년일출'!$C$31:$C$733,'15년위원회별'!$C27)</f>
        <v>0</v>
      </c>
      <c r="Q27" s="86">
        <f>SUMIFS('15년일출'!$I$31:$I$733,'15년일출'!$B$31:$B$733,'15년위원회별'!$A27,'15년일출'!$C$31:$C$733,'15년위원회별'!$C27)</f>
        <v>0</v>
      </c>
      <c r="R27" s="86">
        <f>SUMIFS('15년일출'!$J$31:$J$733,'15년일출'!$B$31:$B$733,'15년위원회별'!$A27,'15년일출'!$C$31:$C$733,'15년위원회별'!$C27)</f>
        <v>0</v>
      </c>
      <c r="S27" s="86">
        <f>SUMIFS('15년일출'!$K$31:$K$733,'15년일출'!$B$31:$B$733,'15년위원회별'!$A27,'15년일출'!$C$31:$C$733,'15년위원회별'!$C27)</f>
        <v>0</v>
      </c>
      <c r="T27" s="86">
        <f>SUMIFS('15년일출'!$U$31:$U$733,'15년일출'!$B$31:$B$733,'15년위원회별'!$A27,'15년일출'!$C$31:$C$733,'15년위원회별'!$C27)</f>
        <v>0</v>
      </c>
      <c r="U27" s="86">
        <f>SUMIFS('15년일출'!$V$31:$V$733,'15년일출'!$B$31:$B$733,'15년위원회별'!$A27,'15년일출'!$C$31:$C$733,'15년위원회별'!$C27)</f>
        <v>0</v>
      </c>
      <c r="V27" s="86">
        <f>SUMIFS('15년일출'!$L$31:$L$733,'15년일출'!$B$31:$B$733,'15년위원회별'!$A27,'15년일출'!$C$31:$C$733,'15년위원회별'!$C27)</f>
        <v>0</v>
      </c>
      <c r="W27" s="86">
        <f>SUMIFS('15년일출'!$M$31:$M$733,'15년일출'!$B$31:$B$733,'15년위원회별'!$A27,'15년일출'!$C$31:$C$733,'15년위원회별'!$C27)</f>
        <v>0</v>
      </c>
      <c r="X27" s="86">
        <f>SUMIFS('15년일출'!$N$31:$N$733,'15년일출'!$B$31:$B$733,'15년위원회별'!$A27,'15년일출'!$C$31:$C$733,'15년위원회별'!$C27)</f>
        <v>0</v>
      </c>
      <c r="Y27" s="86">
        <f>SUMIFS('15년일출'!$Z$31:$Z$733,'15년일출'!$B$31:$B$733,'15년위원회별'!$A27,'15년일출'!$C$31:$C$733,'15년위원회별'!$C27)</f>
        <v>0</v>
      </c>
      <c r="Z27" s="86">
        <f>SUMIFS('15년일출'!$AA$31:$AA$733,'15년일출'!$B$31:$B$733,'15년위원회별'!$A27,'15년일출'!$C$31:$C$733,'15년위원회별'!$C27)</f>
        <v>0</v>
      </c>
    </row>
    <row r="28" spans="1:26" ht="16.5" customHeight="1">
      <c r="B28" s="358" t="s">
        <v>414</v>
      </c>
      <c r="C28" s="359"/>
      <c r="D28" s="84">
        <f>SUM(D29:D31)</f>
        <v>64916382</v>
      </c>
      <c r="E28" s="84">
        <f t="shared" ref="E28:N28" si="14">SUM(E29:E31)</f>
        <v>-4443907</v>
      </c>
      <c r="F28" s="84">
        <f t="shared" si="14"/>
        <v>4283253</v>
      </c>
      <c r="G28" s="84">
        <f t="shared" si="14"/>
        <v>64755728</v>
      </c>
      <c r="H28" s="84">
        <f t="shared" si="14"/>
        <v>-160654</v>
      </c>
      <c r="I28" s="84">
        <f t="shared" si="14"/>
        <v>0</v>
      </c>
      <c r="J28" s="84">
        <f t="shared" si="14"/>
        <v>0</v>
      </c>
      <c r="K28" s="84">
        <f t="shared" si="14"/>
        <v>0</v>
      </c>
      <c r="L28" s="84">
        <f t="shared" si="14"/>
        <v>64916382</v>
      </c>
      <c r="M28" s="84">
        <f t="shared" si="14"/>
        <v>0</v>
      </c>
      <c r="N28" s="84">
        <f t="shared" si="14"/>
        <v>0</v>
      </c>
      <c r="P28" s="84">
        <f>SUM(P29:P31)</f>
        <v>116929303</v>
      </c>
      <c r="Q28" s="84">
        <f t="shared" ref="Q28:Z28" si="15">SUM(Q29:Q31)</f>
        <v>-21538359</v>
      </c>
      <c r="R28" s="84">
        <f t="shared" si="15"/>
        <v>9925018</v>
      </c>
      <c r="S28" s="84">
        <f t="shared" si="15"/>
        <v>105315962</v>
      </c>
      <c r="T28" s="84">
        <f t="shared" si="15"/>
        <v>-160654</v>
      </c>
      <c r="U28" s="84">
        <f t="shared" si="15"/>
        <v>-11452687</v>
      </c>
      <c r="V28" s="84">
        <f t="shared" si="15"/>
        <v>0</v>
      </c>
      <c r="W28" s="84">
        <f t="shared" si="15"/>
        <v>0</v>
      </c>
      <c r="X28" s="84">
        <f t="shared" si="15"/>
        <v>42037459</v>
      </c>
      <c r="Y28" s="84">
        <f t="shared" si="15"/>
        <v>0</v>
      </c>
      <c r="Z28" s="84">
        <f t="shared" si="15"/>
        <v>0</v>
      </c>
    </row>
    <row r="29" spans="1:26" ht="16.5" customHeight="1">
      <c r="A29" t="s">
        <v>97</v>
      </c>
      <c r="B29" s="88"/>
      <c r="C29" s="88" t="s">
        <v>113</v>
      </c>
      <c r="D29" s="86">
        <f>SUMIFS('15년일입'!$H$7:$H$644,'15년일입'!$B$7:$B$644,'15년위원회별'!$A29,'15년일입'!$C$7:$C$644,'15년위원회별'!$C29)</f>
        <v>64854159</v>
      </c>
      <c r="E29" s="86">
        <f>SUMIFS('15년일입'!$I$7:$I$644,'15년일입'!$B$7:$B$644,'15년위원회별'!$A29,'15년일입'!$C$7:$C$644,'15년위원회별'!$C29)</f>
        <v>-4443907</v>
      </c>
      <c r="F29" s="86">
        <f>SUMIFS('15년일입'!$J$7:$J$644,'15년일입'!$B$7:$B$644,'15년위원회별'!$A29,'15년일입'!$C$7:$C$644,'15년위원회별'!$C29)</f>
        <v>4282921</v>
      </c>
      <c r="G29" s="86">
        <f>SUMIFS('15년일입'!$K$7:$K$644,'15년일입'!$B$7:$B$644,'15년위원회별'!$A29,'15년일입'!$C$7:$C$644,'15년위원회별'!$C29)</f>
        <v>64693173</v>
      </c>
      <c r="H29" s="86">
        <f>SUMIFS('15년일입'!$U$7:$U$644,'15년일입'!$B$7:$B$644,'15년위원회별'!$A29,'15년일입'!$C$7:$C$644,'15년위원회별'!$C29)</f>
        <v>-160986</v>
      </c>
      <c r="I29" s="86">
        <f>SUMIFS('15년일입'!$V$7:$V$644,'15년일입'!$B$7:$B$644,'15년위원회별'!$A29,'15년일입'!$C$7:$C$644,'15년위원회별'!$C29)</f>
        <v>0</v>
      </c>
      <c r="J29" s="86">
        <f>SUMIFS('15년일입'!$L$7:$L$644,'15년일입'!$B$7:$B$644,'15년위원회별'!$A29,'15년일입'!$C$7:$C$644,'15년위원회별'!$C29)</f>
        <v>0</v>
      </c>
      <c r="K29" s="86">
        <f>SUMIFS('15년일입'!$M$7:$M$644,'15년일입'!$B$7:$B$644,'15년위원회별'!$A29,'15년일입'!$C$7:$C$644,'15년위원회별'!$C29)</f>
        <v>0</v>
      </c>
      <c r="L29" s="86">
        <f>SUMIFS('15년일입'!$N$7:$N$644,'15년일입'!$B$7:$B$644,'15년위원회별'!$A29,'15년일입'!$C$7:$C$644,'15년위원회별'!$C29)</f>
        <v>64854159</v>
      </c>
      <c r="M29" s="86">
        <f>SUMIFS('15년일입'!$Z$7:$Z$644,'15년일입'!$B$7:$B$644,'15년위원회별'!$A29,'15년일입'!$C$7:$C$644,'15년위원회별'!$C29)</f>
        <v>0</v>
      </c>
      <c r="N29" s="86">
        <f>SUMIFS('15년일입'!$AA$7:$AA$644,'15년일입'!$B$7:$B$644,'15년위원회별'!$A29,'15년일입'!$C$7:$C$644,'15년위원회별'!$C29)</f>
        <v>0</v>
      </c>
      <c r="P29" s="86">
        <f>SUMIFS('15년일출'!$H$7:$H$733,'15년일출'!$B$7:$B$733,'15년위원회별'!$A29,'15년일출'!$C$7:$C$733,'15년위원회별'!$C29)</f>
        <v>92626941</v>
      </c>
      <c r="Q29" s="86">
        <f>SUMIFS('15년일출'!$I$7:$I$733,'15년일출'!$B$7:$B$733,'15년위원회별'!$A29,'15년일출'!$C$7:$C$733,'15년위원회별'!$C29)</f>
        <v>-20834508</v>
      </c>
      <c r="R29" s="86">
        <f>SUMIFS('15년일출'!$J$7:$J$733,'15년일출'!$B$7:$B$733,'15년위원회별'!$A29,'15년일출'!$C$7:$C$733,'15년위원회별'!$C29)</f>
        <v>6693029</v>
      </c>
      <c r="S29" s="86">
        <f>SUMIFS('15년일출'!$K$7:$K$733,'15년일출'!$B$7:$B$733,'15년위원회별'!$A29,'15년일출'!$C$7:$C$733,'15년위원회별'!$C29)</f>
        <v>78485462</v>
      </c>
      <c r="T29" s="86">
        <f>SUMIFS('15년일출'!$U$7:$U$733,'15년일출'!$B$7:$B$733,'15년위원회별'!$A29,'15년일출'!$C$7:$C$733,'15년위원회별'!$C29)</f>
        <v>-1567252</v>
      </c>
      <c r="U29" s="86">
        <f>SUMIFS('15년일출'!$V$7:$V$733,'15년일출'!$B$7:$B$733,'15년위원회별'!$A29,'15년일출'!$C$7:$C$733,'15년위원회별'!$C29)</f>
        <v>-12574227</v>
      </c>
      <c r="V29" s="86">
        <f>SUMIFS('15년일출'!$L$31:$L$733,'15년일출'!$B$31:$B$733,'15년위원회별'!$A29,'15년일출'!$C$31:$C$733,'15년위원회별'!$C29)</f>
        <v>0</v>
      </c>
      <c r="W29" s="86">
        <f>SUMIFS('15년일출'!$M$31:$M$733,'15년일출'!$B$31:$B$733,'15년위원회별'!$A29,'15년일출'!$C$31:$C$733,'15년위원회별'!$C29)</f>
        <v>0</v>
      </c>
      <c r="X29" s="86">
        <f>SUMIFS('15년일출'!$N$31:$N$733,'15년일출'!$B$31:$B$733,'15년위원회별'!$A29,'15년일출'!$C$31:$C$733,'15년위원회별'!$C29)</f>
        <v>18713581</v>
      </c>
      <c r="Y29" s="86">
        <f>SUMIFS('15년일출'!$Z$31:$Z$733,'15년일출'!$B$31:$B$733,'15년위원회별'!$A29,'15년일출'!$C$31:$C$733,'15년위원회별'!$C29)</f>
        <v>0</v>
      </c>
      <c r="Z29" s="86">
        <f>SUMIFS('15년일출'!$AA$31:$AA$733,'15년일출'!$B$31:$B$733,'15년위원회별'!$A29,'15년일출'!$C$31:$C$733,'15년위원회별'!$C29)</f>
        <v>0</v>
      </c>
    </row>
    <row r="30" spans="1:26" ht="16.5" customHeight="1">
      <c r="A30" t="s">
        <v>97</v>
      </c>
      <c r="B30" s="85"/>
      <c r="C30" s="85" t="s">
        <v>70</v>
      </c>
      <c r="D30" s="86">
        <f>SUMIFS('15년일입'!$H$7:$H$644,'15년일입'!$B$7:$B$644,'15년위원회별'!$A30,'15년일입'!$C$7:$C$644,'15년위원회별'!$C30)</f>
        <v>0</v>
      </c>
      <c r="E30" s="86">
        <f>SUMIFS('15년일입'!$I$7:$I$644,'15년일입'!$B$7:$B$644,'15년위원회별'!$A30,'15년일입'!$C$7:$C$644,'15년위원회별'!$C30)</f>
        <v>0</v>
      </c>
      <c r="F30" s="86">
        <f>SUMIFS('15년일입'!$J$7:$J$644,'15년일입'!$B$7:$B$644,'15년위원회별'!$A30,'15년일입'!$C$7:$C$644,'15년위원회별'!$C30)</f>
        <v>0</v>
      </c>
      <c r="G30" s="86">
        <f>SUMIFS('15년일입'!$K$7:$K$644,'15년일입'!$B$7:$B$644,'15년위원회별'!$A30,'15년일입'!$C$7:$C$644,'15년위원회별'!$C30)</f>
        <v>0</v>
      </c>
      <c r="H30" s="86">
        <f>SUMIFS('15년일입'!$U$7:$U$644,'15년일입'!$B$7:$B$644,'15년위원회별'!$A30,'15년일입'!$C$7:$C$644,'15년위원회별'!$C30)</f>
        <v>0</v>
      </c>
      <c r="I30" s="86">
        <f>SUMIFS('15년일입'!$V$7:$V$644,'15년일입'!$B$7:$B$644,'15년위원회별'!$A30,'15년일입'!$C$7:$C$644,'15년위원회별'!$C30)</f>
        <v>0</v>
      </c>
      <c r="J30" s="86">
        <f>SUMIFS('15년일입'!$L$7:$L$644,'15년일입'!$B$7:$B$644,'15년위원회별'!$A30,'15년일입'!$C$7:$C$644,'15년위원회별'!$C30)</f>
        <v>0</v>
      </c>
      <c r="K30" s="86">
        <f>SUMIFS('15년일입'!$M$7:$M$644,'15년일입'!$B$7:$B$644,'15년위원회별'!$A30,'15년일입'!$C$7:$C$644,'15년위원회별'!$C30)</f>
        <v>0</v>
      </c>
      <c r="L30" s="86">
        <f>SUMIFS('15년일입'!$N$7:$N$644,'15년일입'!$B$7:$B$644,'15년위원회별'!$A30,'15년일입'!$C$7:$C$644,'15년위원회별'!$C30)</f>
        <v>0</v>
      </c>
      <c r="M30" s="86">
        <f>SUMIFS('15년일입'!$Z$7:$Z$644,'15년일입'!$B$7:$B$644,'15년위원회별'!$A30,'15년일입'!$C$7:$C$644,'15년위원회별'!$C30)</f>
        <v>0</v>
      </c>
      <c r="N30" s="86">
        <f>SUMIFS('15년일입'!$AA$7:$AA$644,'15년일입'!$B$7:$B$644,'15년위원회별'!$A30,'15년일입'!$C$7:$C$644,'15년위원회별'!$C30)</f>
        <v>0</v>
      </c>
      <c r="P30" s="86">
        <f>SUMIFS('15년일출'!$H$7:$H$733,'15년일출'!$B$7:$B$733,'15년위원회별'!$A30,'15년일출'!$C$7:$C$733,'15년위원회별'!$C30)</f>
        <v>24158404</v>
      </c>
      <c r="Q30" s="86">
        <f>SUMIFS('15년일출'!$I$7:$I$733,'15년일출'!$B$7:$B$733,'15년위원회별'!$A30,'15년일출'!$C$7:$C$733,'15년위원회별'!$C30)</f>
        <v>-703851</v>
      </c>
      <c r="R30" s="86">
        <f>SUMIFS('15년일출'!$J$7:$J$733,'15년일출'!$B$7:$B$733,'15년위원회별'!$A30,'15년일출'!$C$7:$C$733,'15년위원회별'!$C30)</f>
        <v>2487319</v>
      </c>
      <c r="S30" s="86">
        <f>SUMIFS('15년일출'!$K$7:$K$733,'15년일출'!$B$7:$B$733,'15년위원회별'!$A30,'15년일출'!$C$7:$C$733,'15년위원회별'!$C30)</f>
        <v>25941872</v>
      </c>
      <c r="T30" s="86">
        <f>SUMIFS('15년일출'!$U$7:$U$733,'15년일출'!$B$7:$B$733,'15년위원회별'!$A30,'15년일출'!$C$7:$C$733,'15년위원회별'!$C30)</f>
        <v>1406266</v>
      </c>
      <c r="U30" s="86">
        <f>SUMIFS('15년일출'!$V$7:$V$733,'15년일출'!$B$7:$B$733,'15년위원회별'!$A30,'15년일출'!$C$7:$C$733,'15년위원회별'!$C30)</f>
        <v>377202</v>
      </c>
      <c r="V30" s="86">
        <f>SUMIFS('15년일출'!$L$31:$L$733,'15년일출'!$B$31:$B$733,'15년위원회별'!$A30,'15년일출'!$C$31:$C$733,'15년위원회별'!$C30)</f>
        <v>0</v>
      </c>
      <c r="W30" s="86">
        <f>SUMIFS('15년일출'!$M$31:$M$733,'15년일출'!$B$31:$B$733,'15년위원회별'!$A30,'15년일출'!$C$31:$C$733,'15년위원회별'!$C30)</f>
        <v>0</v>
      </c>
      <c r="X30" s="86">
        <f>SUMIFS('15년일출'!$N$31:$N$733,'15년일출'!$B$31:$B$733,'15년위원회별'!$A30,'15년일출'!$C$31:$C$733,'15년위원회별'!$C30)</f>
        <v>23323878</v>
      </c>
      <c r="Y30" s="86">
        <f>SUMIFS('15년일출'!$Z$31:$Z$733,'15년일출'!$B$31:$B$733,'15년위원회별'!$A30,'15년일출'!$C$31:$C$733,'15년위원회별'!$C30)</f>
        <v>0</v>
      </c>
      <c r="Z30" s="86">
        <f>SUMIFS('15년일출'!$AA$31:$AA$733,'15년일출'!$B$31:$B$733,'15년위원회별'!$A30,'15년일출'!$C$31:$C$733,'15년위원회별'!$C30)</f>
        <v>0</v>
      </c>
    </row>
    <row r="31" spans="1:26" ht="16.5" customHeight="1">
      <c r="A31" t="s">
        <v>97</v>
      </c>
      <c r="B31" s="85"/>
      <c r="C31" s="85" t="s">
        <v>397</v>
      </c>
      <c r="D31" s="86">
        <f>SUMIFS('15년일입'!$H$7:$H$644,'15년일입'!$B$7:$B$644,'15년위원회별'!$A31,'15년일입'!$C$7:$C$644,'15년위원회별'!$C31)</f>
        <v>62223</v>
      </c>
      <c r="E31" s="86">
        <f>SUMIFS('15년일입'!$I$7:$I$644,'15년일입'!$B$7:$B$644,'15년위원회별'!$A31,'15년일입'!$C$7:$C$644,'15년위원회별'!$C31)</f>
        <v>0</v>
      </c>
      <c r="F31" s="86">
        <f>SUMIFS('15년일입'!$J$7:$J$644,'15년일입'!$B$7:$B$644,'15년위원회별'!$A31,'15년일입'!$C$7:$C$644,'15년위원회별'!$C31)</f>
        <v>332</v>
      </c>
      <c r="G31" s="86">
        <f>SUMIFS('15년일입'!$K$7:$K$644,'15년일입'!$B$7:$B$644,'15년위원회별'!$A31,'15년일입'!$C$7:$C$644,'15년위원회별'!$C31)</f>
        <v>62555</v>
      </c>
      <c r="H31" s="86">
        <f>SUMIFS('15년일입'!$U$7:$U$644,'15년일입'!$B$7:$B$644,'15년위원회별'!$A31,'15년일입'!$C$7:$C$644,'15년위원회별'!$C31)</f>
        <v>332</v>
      </c>
      <c r="I31" s="86">
        <f>SUMIFS('15년일입'!$V$7:$V$644,'15년일입'!$B$7:$B$644,'15년위원회별'!$A31,'15년일입'!$C$7:$C$644,'15년위원회별'!$C31)</f>
        <v>0</v>
      </c>
      <c r="J31" s="86">
        <f>SUMIFS('15년일입'!$L$7:$L$644,'15년일입'!$B$7:$B$644,'15년위원회별'!$A31,'15년일입'!$C$7:$C$644,'15년위원회별'!$C31)</f>
        <v>0</v>
      </c>
      <c r="K31" s="86">
        <f>SUMIFS('15년일입'!$M$7:$M$644,'15년일입'!$B$7:$B$644,'15년위원회별'!$A31,'15년일입'!$C$7:$C$644,'15년위원회별'!$C31)</f>
        <v>0</v>
      </c>
      <c r="L31" s="86">
        <f>SUMIFS('15년일입'!$N$7:$N$644,'15년일입'!$B$7:$B$644,'15년위원회별'!$A31,'15년일입'!$C$7:$C$644,'15년위원회별'!$C31)</f>
        <v>62223</v>
      </c>
      <c r="M31" s="86">
        <f>SUMIFS('15년일입'!$Z$7:$Z$644,'15년일입'!$B$7:$B$644,'15년위원회별'!$A31,'15년일입'!$C$7:$C$644,'15년위원회별'!$C31)</f>
        <v>0</v>
      </c>
      <c r="N31" s="86">
        <f>SUMIFS('15년일입'!$AA$7:$AA$644,'15년일입'!$B$7:$B$644,'15년위원회별'!$A31,'15년일입'!$C$7:$C$644,'15년위원회별'!$C31)</f>
        <v>0</v>
      </c>
      <c r="P31" s="86">
        <f>SUMIFS('15년일출'!$H$7:$H$733,'15년일출'!$B$7:$B$733,'15년위원회별'!$A31,'15년일출'!$C$7:$C$733,'15년위원회별'!$C31)</f>
        <v>143958</v>
      </c>
      <c r="Q31" s="86">
        <f>SUMIFS('15년일출'!$I$7:$I$733,'15년일출'!$B$7:$B$733,'15년위원회별'!$A31,'15년일출'!$C$7:$C$733,'15년위원회별'!$C31)</f>
        <v>0</v>
      </c>
      <c r="R31" s="86">
        <f>SUMIFS('15년일출'!$J$7:$J$733,'15년일출'!$B$7:$B$733,'15년위원회별'!$A31,'15년일출'!$C$7:$C$733,'15년위원회별'!$C31)</f>
        <v>744670</v>
      </c>
      <c r="S31" s="86">
        <f>SUMIFS('15년일출'!$K$7:$K$733,'15년일출'!$B$7:$B$733,'15년위원회별'!$A31,'15년일출'!$C$7:$C$733,'15년위원회별'!$C31)</f>
        <v>888628</v>
      </c>
      <c r="T31" s="86">
        <f>SUMIFS('15년일출'!$U$7:$U$733,'15년일출'!$B$7:$B$733,'15년위원회별'!$A31,'15년일출'!$C$7:$C$733,'15년위원회별'!$C31)</f>
        <v>332</v>
      </c>
      <c r="U31" s="86">
        <f>SUMIFS('15년일출'!$V$7:$V$733,'15년일출'!$B$7:$B$733,'15년위원회별'!$A31,'15년일출'!$C$7:$C$733,'15년위원회별'!$C31)</f>
        <v>744338</v>
      </c>
      <c r="V31" s="86">
        <f>SUMIFS('15년일출'!$L$31:$L$733,'15년일출'!$B$31:$B$733,'15년위원회별'!$A31,'15년일출'!$C$31:$C$733,'15년위원회별'!$C31)</f>
        <v>0</v>
      </c>
      <c r="W31" s="86">
        <f>SUMIFS('15년일출'!$M$31:$M$733,'15년일출'!$B$31:$B$733,'15년위원회별'!$A31,'15년일출'!$C$31:$C$733,'15년위원회별'!$C31)</f>
        <v>0</v>
      </c>
      <c r="X31" s="86">
        <f>SUMIFS('15년일출'!$N$31:$N$733,'15년일출'!$B$31:$B$733,'15년위원회별'!$A31,'15년일출'!$C$31:$C$733,'15년위원회별'!$C31)</f>
        <v>0</v>
      </c>
      <c r="Y31" s="86">
        <f>SUMIFS('15년일출'!$Z$31:$Z$733,'15년일출'!$B$31:$B$733,'15년위원회별'!$A31,'15년일출'!$C$31:$C$733,'15년위원회별'!$C31)</f>
        <v>0</v>
      </c>
      <c r="Z31" s="86">
        <f>SUMIFS('15년일출'!$AA$31:$AA$733,'15년일출'!$B$31:$B$733,'15년위원회별'!$A31,'15년일출'!$C$31:$C$733,'15년위원회별'!$C31)</f>
        <v>0</v>
      </c>
    </row>
    <row r="32" spans="1:26" ht="16.5" customHeight="1">
      <c r="B32" s="356" t="s">
        <v>11</v>
      </c>
      <c r="C32" s="357"/>
      <c r="D32" s="84">
        <f>SUM(D33:D36)</f>
        <v>0</v>
      </c>
      <c r="E32" s="84">
        <f t="shared" ref="E32:N32" si="16">SUM(E33:E36)</f>
        <v>0</v>
      </c>
      <c r="F32" s="84">
        <f t="shared" si="16"/>
        <v>0</v>
      </c>
      <c r="G32" s="84">
        <f t="shared" si="16"/>
        <v>0</v>
      </c>
      <c r="H32" s="84">
        <f t="shared" si="16"/>
        <v>0</v>
      </c>
      <c r="I32" s="84">
        <f t="shared" si="16"/>
        <v>0</v>
      </c>
      <c r="J32" s="84">
        <f t="shared" si="16"/>
        <v>0</v>
      </c>
      <c r="K32" s="84">
        <f t="shared" si="16"/>
        <v>0</v>
      </c>
      <c r="L32" s="84">
        <f t="shared" si="16"/>
        <v>0</v>
      </c>
      <c r="M32" s="84">
        <f t="shared" si="16"/>
        <v>0</v>
      </c>
      <c r="N32" s="84">
        <f t="shared" si="16"/>
        <v>0</v>
      </c>
      <c r="P32" s="84">
        <f>SUM(P33:P36)</f>
        <v>0</v>
      </c>
      <c r="Q32" s="84">
        <f t="shared" ref="Q32:Z32" si="17">SUM(Q33:Q36)</f>
        <v>0</v>
      </c>
      <c r="R32" s="84">
        <f t="shared" si="17"/>
        <v>0</v>
      </c>
      <c r="S32" s="84">
        <f t="shared" si="17"/>
        <v>0</v>
      </c>
      <c r="T32" s="84">
        <f t="shared" si="17"/>
        <v>0</v>
      </c>
      <c r="U32" s="84">
        <f t="shared" si="17"/>
        <v>0</v>
      </c>
      <c r="V32" s="84">
        <f t="shared" si="17"/>
        <v>0</v>
      </c>
      <c r="W32" s="84">
        <f t="shared" si="17"/>
        <v>0</v>
      </c>
      <c r="X32" s="84">
        <f t="shared" si="17"/>
        <v>0</v>
      </c>
      <c r="Y32" s="84">
        <f t="shared" si="17"/>
        <v>0</v>
      </c>
      <c r="Z32" s="84">
        <f t="shared" si="17"/>
        <v>0</v>
      </c>
    </row>
    <row r="33" spans="1:26" ht="16.5" customHeight="1">
      <c r="A33" t="s">
        <v>540</v>
      </c>
      <c r="B33" s="85"/>
      <c r="C33" s="85" t="s">
        <v>218</v>
      </c>
      <c r="D33" s="86">
        <f>SUMIFS('15년일입'!$H$7:$H$644,'15년일입'!$B$7:$B$644,'15년위원회별'!$A33,'15년일입'!$C$7:$C$644,'15년위원회별'!$C33)</f>
        <v>0</v>
      </c>
      <c r="E33" s="86">
        <f>SUMIFS('15년일입'!$I$7:$I$644,'15년일입'!$B$7:$B$644,'15년위원회별'!$A33,'15년일입'!$C$7:$C$644,'15년위원회별'!$C33)</f>
        <v>0</v>
      </c>
      <c r="F33" s="86">
        <f>SUMIFS('15년일입'!$J$7:$J$644,'15년일입'!$B$7:$B$644,'15년위원회별'!$A33,'15년일입'!$C$7:$C$644,'15년위원회별'!$C33)</f>
        <v>0</v>
      </c>
      <c r="G33" s="86">
        <f>SUMIFS('15년일입'!$K$7:$K$644,'15년일입'!$B$7:$B$644,'15년위원회별'!$A33,'15년일입'!$C$7:$C$644,'15년위원회별'!$C33)</f>
        <v>0</v>
      </c>
      <c r="H33" s="86">
        <f>SUMIFS('15년일입'!$U$7:$U$644,'15년일입'!$B$7:$B$644,'15년위원회별'!$A33,'15년일입'!$C$7:$C$644,'15년위원회별'!$C33)</f>
        <v>0</v>
      </c>
      <c r="I33" s="86">
        <f>SUMIFS('15년일입'!$V$7:$V$644,'15년일입'!$B$7:$B$644,'15년위원회별'!$A33,'15년일입'!$C$7:$C$644,'15년위원회별'!$C33)</f>
        <v>0</v>
      </c>
      <c r="J33" s="86">
        <f>SUMIFS('15년일입'!$L$7:$L$644,'15년일입'!$B$7:$B$644,'15년위원회별'!$A33,'15년일입'!$C$7:$C$644,'15년위원회별'!$C33)</f>
        <v>0</v>
      </c>
      <c r="K33" s="86">
        <f>SUMIFS('15년일입'!$M$7:$M$644,'15년일입'!$B$7:$B$644,'15년위원회별'!$A33,'15년일입'!$C$7:$C$644,'15년위원회별'!$C33)</f>
        <v>0</v>
      </c>
      <c r="L33" s="86">
        <f>SUMIFS('15년일입'!$N$7:$N$644,'15년일입'!$B$7:$B$644,'15년위원회별'!$A33,'15년일입'!$C$7:$C$644,'15년위원회별'!$C33)</f>
        <v>0</v>
      </c>
      <c r="M33" s="86">
        <f>SUMIFS('15년일입'!$Z$7:$Z$644,'15년일입'!$B$7:$B$644,'15년위원회별'!$A33,'15년일입'!$C$7:$C$644,'15년위원회별'!$C33)</f>
        <v>0</v>
      </c>
      <c r="N33" s="86">
        <f>SUMIFS('15년일입'!$AA$7:$AA$644,'15년일입'!$B$7:$B$644,'15년위원회별'!$A33,'15년일입'!$C$7:$C$644,'15년위원회별'!$C33)</f>
        <v>0</v>
      </c>
      <c r="P33" s="86">
        <f>SUMIFS('15년일출'!$H$31:$H$733,'15년일출'!$B$31:$B$733,'15년위원회별'!$A33,'15년일출'!$C$31:$C$733,'15년위원회별'!$C33)</f>
        <v>0</v>
      </c>
      <c r="Q33" s="86">
        <f>SUMIFS('15년일출'!$I$31:$I$733,'15년일출'!$B$31:$B$733,'15년위원회별'!$A33,'15년일출'!$C$31:$C$733,'15년위원회별'!$C33)</f>
        <v>0</v>
      </c>
      <c r="R33" s="86">
        <f>SUMIFS('15년일출'!$J$31:$J$733,'15년일출'!$B$31:$B$733,'15년위원회별'!$A33,'15년일출'!$C$31:$C$733,'15년위원회별'!$C33)</f>
        <v>0</v>
      </c>
      <c r="S33" s="86">
        <f>SUMIFS('15년일출'!$K$31:$K$733,'15년일출'!$B$31:$B$733,'15년위원회별'!$A33,'15년일출'!$C$31:$C$733,'15년위원회별'!$C33)</f>
        <v>0</v>
      </c>
      <c r="T33" s="86">
        <f>SUMIFS('15년일출'!$U$31:$U$733,'15년일출'!$B$31:$B$733,'15년위원회별'!$A33,'15년일출'!$C$31:$C$733,'15년위원회별'!$C33)</f>
        <v>0</v>
      </c>
      <c r="U33" s="86">
        <f>SUMIFS('15년일출'!$V$31:$V$733,'15년일출'!$B$31:$B$733,'15년위원회별'!$A33,'15년일출'!$C$31:$C$733,'15년위원회별'!$C33)</f>
        <v>0</v>
      </c>
      <c r="V33" s="86">
        <f>SUMIFS('15년일출'!$L$31:$L$733,'15년일출'!$B$31:$B$733,'15년위원회별'!$A33,'15년일출'!$C$31:$C$733,'15년위원회별'!$C33)</f>
        <v>0</v>
      </c>
      <c r="W33" s="86">
        <f>SUMIFS('15년일출'!$M$31:$M$733,'15년일출'!$B$31:$B$733,'15년위원회별'!$A33,'15년일출'!$C$31:$C$733,'15년위원회별'!$C33)</f>
        <v>0</v>
      </c>
      <c r="X33" s="86">
        <f>SUMIFS('15년일출'!$N$31:$N$733,'15년일출'!$B$31:$B$733,'15년위원회별'!$A33,'15년일출'!$C$31:$C$733,'15년위원회별'!$C33)</f>
        <v>0</v>
      </c>
      <c r="Y33" s="86">
        <f>SUMIFS('15년일출'!$Z$31:$Z$733,'15년일출'!$B$31:$B$733,'15년위원회별'!$A33,'15년일출'!$C$31:$C$733,'15년위원회별'!$C33)</f>
        <v>0</v>
      </c>
      <c r="Z33" s="86">
        <f>SUMIFS('15년일출'!$AA$31:$AA$733,'15년일출'!$B$31:$B$733,'15년위원회별'!$A33,'15년일출'!$C$31:$C$733,'15년위원회별'!$C33)</f>
        <v>0</v>
      </c>
    </row>
    <row r="34" spans="1:26" ht="16.5" customHeight="1">
      <c r="A34" t="s">
        <v>540</v>
      </c>
      <c r="B34" s="85"/>
      <c r="C34" s="85" t="s">
        <v>370</v>
      </c>
      <c r="D34" s="86">
        <f>SUMIFS('15년일입'!$H$7:$H$644,'15년일입'!$B$7:$B$644,'15년위원회별'!$A34,'15년일입'!$C$7:$C$644,'15년위원회별'!$C34)</f>
        <v>0</v>
      </c>
      <c r="E34" s="86">
        <f>SUMIFS('15년일입'!$I$7:$I$644,'15년일입'!$B$7:$B$644,'15년위원회별'!$A34,'15년일입'!$C$7:$C$644,'15년위원회별'!$C34)</f>
        <v>0</v>
      </c>
      <c r="F34" s="86">
        <f>SUMIFS('15년일입'!$J$7:$J$644,'15년일입'!$B$7:$B$644,'15년위원회별'!$A34,'15년일입'!$C$7:$C$644,'15년위원회별'!$C34)</f>
        <v>0</v>
      </c>
      <c r="G34" s="86">
        <f>SUMIFS('15년일입'!$K$7:$K$644,'15년일입'!$B$7:$B$644,'15년위원회별'!$A34,'15년일입'!$C$7:$C$644,'15년위원회별'!$C34)</f>
        <v>0</v>
      </c>
      <c r="H34" s="86">
        <f>SUMIFS('15년일입'!$U$7:$U$644,'15년일입'!$B$7:$B$644,'15년위원회별'!$A34,'15년일입'!$C$7:$C$644,'15년위원회별'!$C34)</f>
        <v>0</v>
      </c>
      <c r="I34" s="86">
        <f>SUMIFS('15년일입'!$V$7:$V$644,'15년일입'!$B$7:$B$644,'15년위원회별'!$A34,'15년일입'!$C$7:$C$644,'15년위원회별'!$C34)</f>
        <v>0</v>
      </c>
      <c r="J34" s="86">
        <f>SUMIFS('15년일입'!$L$7:$L$644,'15년일입'!$B$7:$B$644,'15년위원회별'!$A34,'15년일입'!$C$7:$C$644,'15년위원회별'!$C34)</f>
        <v>0</v>
      </c>
      <c r="K34" s="86">
        <f>SUMIFS('15년일입'!$M$7:$M$644,'15년일입'!$B$7:$B$644,'15년위원회별'!$A34,'15년일입'!$C$7:$C$644,'15년위원회별'!$C34)</f>
        <v>0</v>
      </c>
      <c r="L34" s="86">
        <f>SUMIFS('15년일입'!$N$7:$N$644,'15년일입'!$B$7:$B$644,'15년위원회별'!$A34,'15년일입'!$C$7:$C$644,'15년위원회별'!$C34)</f>
        <v>0</v>
      </c>
      <c r="M34" s="86">
        <f>SUMIFS('15년일입'!$Z$7:$Z$644,'15년일입'!$B$7:$B$644,'15년위원회별'!$A34,'15년일입'!$C$7:$C$644,'15년위원회별'!$C34)</f>
        <v>0</v>
      </c>
      <c r="N34" s="86">
        <f>SUMIFS('15년일입'!$AA$7:$AA$644,'15년일입'!$B$7:$B$644,'15년위원회별'!$A34,'15년일입'!$C$7:$C$644,'15년위원회별'!$C34)</f>
        <v>0</v>
      </c>
      <c r="P34" s="86">
        <f>SUMIFS('15년일출'!$H$31:$H$733,'15년일출'!$B$31:$B$733,'15년위원회별'!$A34,'15년일출'!$C$31:$C$733,'15년위원회별'!$C34)</f>
        <v>0</v>
      </c>
      <c r="Q34" s="86">
        <f>SUMIFS('15년일출'!$I$31:$I$733,'15년일출'!$B$31:$B$733,'15년위원회별'!$A34,'15년일출'!$C$31:$C$733,'15년위원회별'!$C34)</f>
        <v>0</v>
      </c>
      <c r="R34" s="86">
        <f>SUMIFS('15년일출'!$J$31:$J$733,'15년일출'!$B$31:$B$733,'15년위원회별'!$A34,'15년일출'!$C$31:$C$733,'15년위원회별'!$C34)</f>
        <v>0</v>
      </c>
      <c r="S34" s="86">
        <f>SUMIFS('15년일출'!$K$31:$K$733,'15년일출'!$B$31:$B$733,'15년위원회별'!$A34,'15년일출'!$C$31:$C$733,'15년위원회별'!$C34)</f>
        <v>0</v>
      </c>
      <c r="T34" s="86">
        <f>SUMIFS('15년일출'!$U$31:$U$733,'15년일출'!$B$31:$B$733,'15년위원회별'!$A34,'15년일출'!$C$31:$C$733,'15년위원회별'!$C34)</f>
        <v>0</v>
      </c>
      <c r="U34" s="86">
        <f>SUMIFS('15년일출'!$V$31:$V$733,'15년일출'!$B$31:$B$733,'15년위원회별'!$A34,'15년일출'!$C$31:$C$733,'15년위원회별'!$C34)</f>
        <v>0</v>
      </c>
      <c r="V34" s="86">
        <f>SUMIFS('15년일출'!$L$31:$L$733,'15년일출'!$B$31:$B$733,'15년위원회별'!$A34,'15년일출'!$C$31:$C$733,'15년위원회별'!$C34)</f>
        <v>0</v>
      </c>
      <c r="W34" s="86">
        <f>SUMIFS('15년일출'!$M$31:$M$733,'15년일출'!$B$31:$B$733,'15년위원회별'!$A34,'15년일출'!$C$31:$C$733,'15년위원회별'!$C34)</f>
        <v>0</v>
      </c>
      <c r="X34" s="86">
        <f>SUMIFS('15년일출'!$N$31:$N$733,'15년일출'!$B$31:$B$733,'15년위원회별'!$A34,'15년일출'!$C$31:$C$733,'15년위원회별'!$C34)</f>
        <v>0</v>
      </c>
      <c r="Y34" s="86">
        <f>SUMIFS('15년일출'!$Z$31:$Z$733,'15년일출'!$B$31:$B$733,'15년위원회별'!$A34,'15년일출'!$C$31:$C$733,'15년위원회별'!$C34)</f>
        <v>0</v>
      </c>
      <c r="Z34" s="86">
        <f>SUMIFS('15년일출'!$AA$31:$AA$733,'15년일출'!$B$31:$B$733,'15년위원회별'!$A34,'15년일출'!$C$31:$C$733,'15년위원회별'!$C34)</f>
        <v>0</v>
      </c>
    </row>
    <row r="35" spans="1:26" ht="16.5" customHeight="1">
      <c r="A35" t="s">
        <v>11</v>
      </c>
      <c r="B35" s="85"/>
      <c r="C35" s="85" t="s">
        <v>380</v>
      </c>
      <c r="D35" s="86">
        <f>SUMIFS('15년일입'!$H$7:$H$644,'15년일입'!$B$7:$B$644,'15년위원회별'!$A35,'15년일입'!$C$7:$C$644,'15년위원회별'!$C35)</f>
        <v>0</v>
      </c>
      <c r="E35" s="86">
        <f>SUMIFS('15년일입'!$I$7:$I$644,'15년일입'!$B$7:$B$644,'15년위원회별'!$A35,'15년일입'!$C$7:$C$644,'15년위원회별'!$C35)</f>
        <v>0</v>
      </c>
      <c r="F35" s="86">
        <f>SUMIFS('15년일입'!$J$7:$J$644,'15년일입'!$B$7:$B$644,'15년위원회별'!$A35,'15년일입'!$C$7:$C$644,'15년위원회별'!$C35)</f>
        <v>0</v>
      </c>
      <c r="G35" s="86">
        <f>SUMIFS('15년일입'!$K$7:$K$644,'15년일입'!$B$7:$B$644,'15년위원회별'!$A35,'15년일입'!$C$7:$C$644,'15년위원회별'!$C35)</f>
        <v>0</v>
      </c>
      <c r="H35" s="86">
        <f>SUMIFS('15년일입'!$U$7:$U$644,'15년일입'!$B$7:$B$644,'15년위원회별'!$A35,'15년일입'!$C$7:$C$644,'15년위원회별'!$C35)</f>
        <v>0</v>
      </c>
      <c r="I35" s="86">
        <f>SUMIFS('15년일입'!$V$7:$V$644,'15년일입'!$B$7:$B$644,'15년위원회별'!$A35,'15년일입'!$C$7:$C$644,'15년위원회별'!$C35)</f>
        <v>0</v>
      </c>
      <c r="J35" s="86">
        <f>SUMIFS('15년일입'!$L$7:$L$644,'15년일입'!$B$7:$B$644,'15년위원회별'!$A35,'15년일입'!$C$7:$C$644,'15년위원회별'!$C35)</f>
        <v>0</v>
      </c>
      <c r="K35" s="86">
        <f>SUMIFS('15년일입'!$M$7:$M$644,'15년일입'!$B$7:$B$644,'15년위원회별'!$A35,'15년일입'!$C$7:$C$644,'15년위원회별'!$C35)</f>
        <v>0</v>
      </c>
      <c r="L35" s="86">
        <f>SUMIFS('15년일입'!$N$7:$N$644,'15년일입'!$B$7:$B$644,'15년위원회별'!$A35,'15년일입'!$C$7:$C$644,'15년위원회별'!$C35)</f>
        <v>0</v>
      </c>
      <c r="M35" s="86">
        <f>SUMIFS('15년일입'!$Z$7:$Z$644,'15년일입'!$B$7:$B$644,'15년위원회별'!$A35,'15년일입'!$C$7:$C$644,'15년위원회별'!$C35)</f>
        <v>0</v>
      </c>
      <c r="N35" s="86">
        <f>SUMIFS('15년일입'!$AA$7:$AA$644,'15년일입'!$B$7:$B$644,'15년위원회별'!$A35,'15년일입'!$C$7:$C$644,'15년위원회별'!$C35)</f>
        <v>0</v>
      </c>
      <c r="P35" s="86">
        <f>SUMIFS('15년일출'!$H$31:$H$733,'15년일출'!$B$31:$B$733,'15년위원회별'!$A35,'15년일출'!$C$31:$C$733,'15년위원회별'!$C35)</f>
        <v>0</v>
      </c>
      <c r="Q35" s="86">
        <f>SUMIFS('15년일출'!$I$31:$I$733,'15년일출'!$B$31:$B$733,'15년위원회별'!$A35,'15년일출'!$C$31:$C$733,'15년위원회별'!$C35)</f>
        <v>0</v>
      </c>
      <c r="R35" s="86">
        <f>SUMIFS('15년일출'!$J$31:$J$733,'15년일출'!$B$31:$B$733,'15년위원회별'!$A35,'15년일출'!$C$31:$C$733,'15년위원회별'!$C35)</f>
        <v>0</v>
      </c>
      <c r="S35" s="86">
        <f>SUMIFS('15년일출'!$K$31:$K$733,'15년일출'!$B$31:$B$733,'15년위원회별'!$A35,'15년일출'!$C$31:$C$733,'15년위원회별'!$C35)</f>
        <v>0</v>
      </c>
      <c r="T35" s="86">
        <f>SUMIFS('15년일출'!$U$31:$U$733,'15년일출'!$B$31:$B$733,'15년위원회별'!$A35,'15년일출'!$C$31:$C$733,'15년위원회별'!$C35)</f>
        <v>0</v>
      </c>
      <c r="U35" s="86">
        <f>SUMIFS('15년일출'!$V$31:$V$733,'15년일출'!$B$31:$B$733,'15년위원회별'!$A35,'15년일출'!$C$31:$C$733,'15년위원회별'!$C35)</f>
        <v>0</v>
      </c>
      <c r="V35" s="86">
        <f>SUMIFS('15년일출'!$L$31:$L$733,'15년일출'!$B$31:$B$733,'15년위원회별'!$A35,'15년일출'!$C$31:$C$733,'15년위원회별'!$C35)</f>
        <v>0</v>
      </c>
      <c r="W35" s="86">
        <f>SUMIFS('15년일출'!$M$31:$M$733,'15년일출'!$B$31:$B$733,'15년위원회별'!$A35,'15년일출'!$C$31:$C$733,'15년위원회별'!$C35)</f>
        <v>0</v>
      </c>
      <c r="X35" s="86">
        <f>SUMIFS('15년일출'!$N$31:$N$733,'15년일출'!$B$31:$B$733,'15년위원회별'!$A35,'15년일출'!$C$31:$C$733,'15년위원회별'!$C35)</f>
        <v>0</v>
      </c>
      <c r="Y35" s="86">
        <f>SUMIFS('15년일출'!$Z$31:$Z$733,'15년일출'!$B$31:$B$733,'15년위원회별'!$A35,'15년일출'!$C$31:$C$733,'15년위원회별'!$C35)</f>
        <v>0</v>
      </c>
      <c r="Z35" s="86">
        <f>SUMIFS('15년일출'!$AA$31:$AA$733,'15년일출'!$B$31:$B$733,'15년위원회별'!$A35,'15년일출'!$C$31:$C$733,'15년위원회별'!$C35)</f>
        <v>0</v>
      </c>
    </row>
    <row r="36" spans="1:26" ht="16.5" customHeight="1">
      <c r="A36" t="s">
        <v>540</v>
      </c>
      <c r="B36" s="85"/>
      <c r="C36" s="85" t="s">
        <v>406</v>
      </c>
      <c r="D36" s="86">
        <f>SUMIFS('15년일입'!$H$7:$H$644,'15년일입'!$B$7:$B$644,'15년위원회별'!$A36,'15년일입'!$C$7:$C$644,'15년위원회별'!$C36)</f>
        <v>0</v>
      </c>
      <c r="E36" s="86">
        <f>SUMIFS('15년일입'!$I$7:$I$644,'15년일입'!$B$7:$B$644,'15년위원회별'!$A36,'15년일입'!$C$7:$C$644,'15년위원회별'!$C36)</f>
        <v>0</v>
      </c>
      <c r="F36" s="86">
        <f>SUMIFS('15년일입'!$J$7:$J$644,'15년일입'!$B$7:$B$644,'15년위원회별'!$A36,'15년일입'!$C$7:$C$644,'15년위원회별'!$C36)</f>
        <v>0</v>
      </c>
      <c r="G36" s="86">
        <f>SUMIFS('15년일입'!$K$7:$K$644,'15년일입'!$B$7:$B$644,'15년위원회별'!$A36,'15년일입'!$C$7:$C$644,'15년위원회별'!$C36)</f>
        <v>0</v>
      </c>
      <c r="H36" s="86">
        <f>SUMIFS('15년일입'!$U$7:$U$644,'15년일입'!$B$7:$B$644,'15년위원회별'!$A36,'15년일입'!$C$7:$C$644,'15년위원회별'!$C36)</f>
        <v>0</v>
      </c>
      <c r="I36" s="86">
        <f>SUMIFS('15년일입'!$V$7:$V$644,'15년일입'!$B$7:$B$644,'15년위원회별'!$A36,'15년일입'!$C$7:$C$644,'15년위원회별'!$C36)</f>
        <v>0</v>
      </c>
      <c r="J36" s="86">
        <f>SUMIFS('15년일입'!$L$7:$L$644,'15년일입'!$B$7:$B$644,'15년위원회별'!$A36,'15년일입'!$C$7:$C$644,'15년위원회별'!$C36)</f>
        <v>0</v>
      </c>
      <c r="K36" s="86">
        <f>SUMIFS('15년일입'!$M$7:$M$644,'15년일입'!$B$7:$B$644,'15년위원회별'!$A36,'15년일입'!$C$7:$C$644,'15년위원회별'!$C36)</f>
        <v>0</v>
      </c>
      <c r="L36" s="86">
        <f>SUMIFS('15년일입'!$N$7:$N$644,'15년일입'!$B$7:$B$644,'15년위원회별'!$A36,'15년일입'!$C$7:$C$644,'15년위원회별'!$C36)</f>
        <v>0</v>
      </c>
      <c r="M36" s="86">
        <f>SUMIFS('15년일입'!$Z$7:$Z$644,'15년일입'!$B$7:$B$644,'15년위원회별'!$A36,'15년일입'!$C$7:$C$644,'15년위원회별'!$C36)</f>
        <v>0</v>
      </c>
      <c r="N36" s="86">
        <f>SUMIFS('15년일입'!$AA$7:$AA$644,'15년일입'!$B$7:$B$644,'15년위원회별'!$A36,'15년일입'!$C$7:$C$644,'15년위원회별'!$C36)</f>
        <v>0</v>
      </c>
      <c r="P36" s="86">
        <f>SUMIFS('15년일출'!$H$31:$H$733,'15년일출'!$B$31:$B$733,'15년위원회별'!$A36,'15년일출'!$C$31:$C$733,'15년위원회별'!$C36)</f>
        <v>0</v>
      </c>
      <c r="Q36" s="86">
        <f>SUMIFS('15년일출'!$I$31:$I$733,'15년일출'!$B$31:$B$733,'15년위원회별'!$A36,'15년일출'!$C$31:$C$733,'15년위원회별'!$C36)</f>
        <v>0</v>
      </c>
      <c r="R36" s="86">
        <f>SUMIFS('15년일출'!$J$31:$J$733,'15년일출'!$B$31:$B$733,'15년위원회별'!$A36,'15년일출'!$C$31:$C$733,'15년위원회별'!$C36)</f>
        <v>0</v>
      </c>
      <c r="S36" s="86">
        <f>SUMIFS('15년일출'!$K$31:$K$733,'15년일출'!$B$31:$B$733,'15년위원회별'!$A36,'15년일출'!$C$31:$C$733,'15년위원회별'!$C36)</f>
        <v>0</v>
      </c>
      <c r="T36" s="86">
        <f>SUMIFS('15년일출'!$U$31:$U$733,'15년일출'!$B$31:$B$733,'15년위원회별'!$A36,'15년일출'!$C$31:$C$733,'15년위원회별'!$C36)</f>
        <v>0</v>
      </c>
      <c r="U36" s="86">
        <f>SUMIFS('15년일출'!$V$31:$V$733,'15년일출'!$B$31:$B$733,'15년위원회별'!$A36,'15년일출'!$C$31:$C$733,'15년위원회별'!$C36)</f>
        <v>0</v>
      </c>
      <c r="V36" s="86">
        <f>SUMIFS('15년일출'!$L$31:$L$733,'15년일출'!$B$31:$B$733,'15년위원회별'!$A36,'15년일출'!$C$31:$C$733,'15년위원회별'!$C36)</f>
        <v>0</v>
      </c>
      <c r="W36" s="86">
        <f>SUMIFS('15년일출'!$M$31:$M$733,'15년일출'!$B$31:$B$733,'15년위원회별'!$A36,'15년일출'!$C$31:$C$733,'15년위원회별'!$C36)</f>
        <v>0</v>
      </c>
      <c r="X36" s="86">
        <f>SUMIFS('15년일출'!$N$31:$N$733,'15년일출'!$B$31:$B$733,'15년위원회별'!$A36,'15년일출'!$C$31:$C$733,'15년위원회별'!$C36)</f>
        <v>0</v>
      </c>
      <c r="Y36" s="86">
        <f>SUMIFS('15년일출'!$Z$31:$Z$733,'15년일출'!$B$31:$B$733,'15년위원회별'!$A36,'15년일출'!$C$31:$C$733,'15년위원회별'!$C36)</f>
        <v>0</v>
      </c>
      <c r="Z36" s="86">
        <f>SUMIFS('15년일출'!$AA$31:$AA$733,'15년일출'!$B$31:$B$733,'15년위원회별'!$A36,'15년일출'!$C$31:$C$733,'15년위원회별'!$C36)</f>
        <v>0</v>
      </c>
    </row>
    <row r="37" spans="1:26" ht="16.5" customHeight="1">
      <c r="B37" s="356" t="s">
        <v>12</v>
      </c>
      <c r="C37" s="357"/>
      <c r="D37" s="84">
        <f>SUM(D38:D42)</f>
        <v>0</v>
      </c>
      <c r="E37" s="84">
        <f t="shared" ref="E37:N37" si="18">SUM(E38:E42)</f>
        <v>0</v>
      </c>
      <c r="F37" s="84">
        <f t="shared" si="18"/>
        <v>0</v>
      </c>
      <c r="G37" s="84">
        <f t="shared" si="18"/>
        <v>0</v>
      </c>
      <c r="H37" s="84">
        <f t="shared" si="18"/>
        <v>0</v>
      </c>
      <c r="I37" s="84">
        <f t="shared" si="18"/>
        <v>0</v>
      </c>
      <c r="J37" s="84">
        <f t="shared" si="18"/>
        <v>0</v>
      </c>
      <c r="K37" s="84">
        <f t="shared" si="18"/>
        <v>0</v>
      </c>
      <c r="L37" s="84">
        <f t="shared" si="18"/>
        <v>0</v>
      </c>
      <c r="M37" s="84">
        <f t="shared" si="18"/>
        <v>0</v>
      </c>
      <c r="N37" s="84">
        <f t="shared" si="18"/>
        <v>0</v>
      </c>
      <c r="P37" s="84">
        <f>SUM(P38:P42)</f>
        <v>0</v>
      </c>
      <c r="Q37" s="84">
        <f t="shared" ref="Q37:Z37" si="19">SUM(Q38:Q42)</f>
        <v>0</v>
      </c>
      <c r="R37" s="84">
        <f t="shared" si="19"/>
        <v>0</v>
      </c>
      <c r="S37" s="84">
        <f t="shared" si="19"/>
        <v>0</v>
      </c>
      <c r="T37" s="84">
        <f t="shared" si="19"/>
        <v>0</v>
      </c>
      <c r="U37" s="84">
        <f t="shared" si="19"/>
        <v>0</v>
      </c>
      <c r="V37" s="84">
        <f t="shared" si="19"/>
        <v>0</v>
      </c>
      <c r="W37" s="84">
        <f t="shared" si="19"/>
        <v>0</v>
      </c>
      <c r="X37" s="84">
        <f t="shared" si="19"/>
        <v>0</v>
      </c>
      <c r="Y37" s="84">
        <f t="shared" si="19"/>
        <v>0</v>
      </c>
      <c r="Z37" s="84">
        <f t="shared" si="19"/>
        <v>0</v>
      </c>
    </row>
    <row r="38" spans="1:26" ht="16.5" customHeight="1">
      <c r="A38" t="s">
        <v>541</v>
      </c>
      <c r="B38" s="85"/>
      <c r="C38" s="85" t="s">
        <v>110</v>
      </c>
      <c r="D38" s="86">
        <f>SUMIFS('15년일입'!$H$7:$H$644,'15년일입'!$B$7:$B$644,'15년위원회별'!$A38,'15년일입'!$C$7:$C$644,'15년위원회별'!$C38)</f>
        <v>0</v>
      </c>
      <c r="E38" s="86">
        <f>SUMIFS('15년일입'!$I$7:$I$644,'15년일입'!$B$7:$B$644,'15년위원회별'!$A38,'15년일입'!$C$7:$C$644,'15년위원회별'!$C38)</f>
        <v>0</v>
      </c>
      <c r="F38" s="86">
        <f>SUMIFS('15년일입'!$J$7:$J$644,'15년일입'!$B$7:$B$644,'15년위원회별'!$A38,'15년일입'!$C$7:$C$644,'15년위원회별'!$C38)</f>
        <v>0</v>
      </c>
      <c r="G38" s="86">
        <f>SUMIFS('15년일입'!$K$7:$K$644,'15년일입'!$B$7:$B$644,'15년위원회별'!$A38,'15년일입'!$C$7:$C$644,'15년위원회별'!$C38)</f>
        <v>0</v>
      </c>
      <c r="H38" s="86">
        <f>SUMIFS('15년일입'!$U$7:$U$644,'15년일입'!$B$7:$B$644,'15년위원회별'!$A38,'15년일입'!$C$7:$C$644,'15년위원회별'!$C38)</f>
        <v>0</v>
      </c>
      <c r="I38" s="86">
        <f>SUMIFS('15년일입'!$V$7:$V$644,'15년일입'!$B$7:$B$644,'15년위원회별'!$A38,'15년일입'!$C$7:$C$644,'15년위원회별'!$C38)</f>
        <v>0</v>
      </c>
      <c r="J38" s="86">
        <f>SUMIFS('15년일입'!$L$7:$L$644,'15년일입'!$B$7:$B$644,'15년위원회별'!$A38,'15년일입'!$C$7:$C$644,'15년위원회별'!$C38)</f>
        <v>0</v>
      </c>
      <c r="K38" s="86">
        <f>SUMIFS('15년일입'!$M$7:$M$644,'15년일입'!$B$7:$B$644,'15년위원회별'!$A38,'15년일입'!$C$7:$C$644,'15년위원회별'!$C38)</f>
        <v>0</v>
      </c>
      <c r="L38" s="86">
        <f>SUMIFS('15년일입'!$N$7:$N$644,'15년일입'!$B$7:$B$644,'15년위원회별'!$A38,'15년일입'!$C$7:$C$644,'15년위원회별'!$C38)</f>
        <v>0</v>
      </c>
      <c r="M38" s="86">
        <f>SUMIFS('15년일입'!$Z$7:$Z$644,'15년일입'!$B$7:$B$644,'15년위원회별'!$A38,'15년일입'!$C$7:$C$644,'15년위원회별'!$C38)</f>
        <v>0</v>
      </c>
      <c r="N38" s="86">
        <f>SUMIFS('15년일입'!$AA$7:$AA$644,'15년일입'!$B$7:$B$644,'15년위원회별'!$A38,'15년일입'!$C$7:$C$644,'15년위원회별'!$C38)</f>
        <v>0</v>
      </c>
      <c r="P38" s="86">
        <f>SUMIFS('15년일출'!$H$31:$H$733,'15년일출'!$B$31:$B$733,'15년위원회별'!$A38,'15년일출'!$C$31:$C$733,'15년위원회별'!$C38)</f>
        <v>0</v>
      </c>
      <c r="Q38" s="86">
        <f>SUMIFS('15년일출'!$I$31:$I$733,'15년일출'!$B$31:$B$733,'15년위원회별'!$A38,'15년일출'!$C$31:$C$733,'15년위원회별'!$C38)</f>
        <v>0</v>
      </c>
      <c r="R38" s="86">
        <f>SUMIFS('15년일출'!$J$31:$J$733,'15년일출'!$B$31:$B$733,'15년위원회별'!$A38,'15년일출'!$C$31:$C$733,'15년위원회별'!$C38)</f>
        <v>0</v>
      </c>
      <c r="S38" s="86">
        <f>SUMIFS('15년일출'!$K$31:$K$733,'15년일출'!$B$31:$B$733,'15년위원회별'!$A38,'15년일출'!$C$31:$C$733,'15년위원회별'!$C38)</f>
        <v>0</v>
      </c>
      <c r="T38" s="86">
        <f>SUMIFS('15년일출'!$U$31:$U$733,'15년일출'!$B$31:$B$733,'15년위원회별'!$A38,'15년일출'!$C$31:$C$733,'15년위원회별'!$C38)</f>
        <v>0</v>
      </c>
      <c r="U38" s="86">
        <f>SUMIFS('15년일출'!$V$31:$V$733,'15년일출'!$B$31:$B$733,'15년위원회별'!$A38,'15년일출'!$C$31:$C$733,'15년위원회별'!$C38)</f>
        <v>0</v>
      </c>
      <c r="V38" s="86">
        <f>SUMIFS('15년일출'!$L$31:$L$733,'15년일출'!$B$31:$B$733,'15년위원회별'!$A38,'15년일출'!$C$31:$C$733,'15년위원회별'!$C38)</f>
        <v>0</v>
      </c>
      <c r="W38" s="86">
        <f>SUMIFS('15년일출'!$M$31:$M$733,'15년일출'!$B$31:$B$733,'15년위원회별'!$A38,'15년일출'!$C$31:$C$733,'15년위원회별'!$C38)</f>
        <v>0</v>
      </c>
      <c r="X38" s="86">
        <f>SUMIFS('15년일출'!$N$31:$N$733,'15년일출'!$B$31:$B$733,'15년위원회별'!$A38,'15년일출'!$C$31:$C$733,'15년위원회별'!$C38)</f>
        <v>0</v>
      </c>
      <c r="Y38" s="86">
        <f>SUMIFS('15년일출'!$Z$31:$Z$733,'15년일출'!$B$31:$B$733,'15년위원회별'!$A38,'15년일출'!$C$31:$C$733,'15년위원회별'!$C38)</f>
        <v>0</v>
      </c>
      <c r="Z38" s="86">
        <f>SUMIFS('15년일출'!$AA$31:$AA$733,'15년일출'!$B$31:$B$733,'15년위원회별'!$A38,'15년일출'!$C$31:$C$733,'15년위원회별'!$C38)</f>
        <v>0</v>
      </c>
    </row>
    <row r="39" spans="1:26" ht="16.5" customHeight="1">
      <c r="A39" t="s">
        <v>541</v>
      </c>
      <c r="B39" s="85"/>
      <c r="C39" s="85" t="s">
        <v>114</v>
      </c>
      <c r="D39" s="86">
        <f>SUMIFS('15년일입'!$H$7:$H$644,'15년일입'!$B$7:$B$644,'15년위원회별'!$A39,'15년일입'!$C$7:$C$644,'15년위원회별'!$C39)</f>
        <v>0</v>
      </c>
      <c r="E39" s="86">
        <f>SUMIFS('15년일입'!$I$7:$I$644,'15년일입'!$B$7:$B$644,'15년위원회별'!$A39,'15년일입'!$C$7:$C$644,'15년위원회별'!$C39)</f>
        <v>0</v>
      </c>
      <c r="F39" s="86">
        <f>SUMIFS('15년일입'!$J$7:$J$644,'15년일입'!$B$7:$B$644,'15년위원회별'!$A39,'15년일입'!$C$7:$C$644,'15년위원회별'!$C39)</f>
        <v>0</v>
      </c>
      <c r="G39" s="86">
        <f>SUMIFS('15년일입'!$K$7:$K$644,'15년일입'!$B$7:$B$644,'15년위원회별'!$A39,'15년일입'!$C$7:$C$644,'15년위원회별'!$C39)</f>
        <v>0</v>
      </c>
      <c r="H39" s="86">
        <f>SUMIFS('15년일입'!$U$7:$U$644,'15년일입'!$B$7:$B$644,'15년위원회별'!$A39,'15년일입'!$C$7:$C$644,'15년위원회별'!$C39)</f>
        <v>0</v>
      </c>
      <c r="I39" s="86">
        <f>SUMIFS('15년일입'!$V$7:$V$644,'15년일입'!$B$7:$B$644,'15년위원회별'!$A39,'15년일입'!$C$7:$C$644,'15년위원회별'!$C39)</f>
        <v>0</v>
      </c>
      <c r="J39" s="86">
        <f>SUMIFS('15년일입'!$L$7:$L$644,'15년일입'!$B$7:$B$644,'15년위원회별'!$A39,'15년일입'!$C$7:$C$644,'15년위원회별'!$C39)</f>
        <v>0</v>
      </c>
      <c r="K39" s="86">
        <f>SUMIFS('15년일입'!$M$7:$M$644,'15년일입'!$B$7:$B$644,'15년위원회별'!$A39,'15년일입'!$C$7:$C$644,'15년위원회별'!$C39)</f>
        <v>0</v>
      </c>
      <c r="L39" s="86">
        <f>SUMIFS('15년일입'!$N$7:$N$644,'15년일입'!$B$7:$B$644,'15년위원회별'!$A39,'15년일입'!$C$7:$C$644,'15년위원회별'!$C39)</f>
        <v>0</v>
      </c>
      <c r="M39" s="86">
        <f>SUMIFS('15년일입'!$Z$7:$Z$644,'15년일입'!$B$7:$B$644,'15년위원회별'!$A39,'15년일입'!$C$7:$C$644,'15년위원회별'!$C39)</f>
        <v>0</v>
      </c>
      <c r="N39" s="86">
        <f>SUMIFS('15년일입'!$AA$7:$AA$644,'15년일입'!$B$7:$B$644,'15년위원회별'!$A39,'15년일입'!$C$7:$C$644,'15년위원회별'!$C39)</f>
        <v>0</v>
      </c>
      <c r="P39" s="86">
        <f>SUMIFS('15년일출'!$H$31:$H$733,'15년일출'!$B$31:$B$733,'15년위원회별'!$A39,'15년일출'!$C$31:$C$733,'15년위원회별'!$C39)</f>
        <v>0</v>
      </c>
      <c r="Q39" s="86">
        <f>SUMIFS('15년일출'!$I$31:$I$733,'15년일출'!$B$31:$B$733,'15년위원회별'!$A39,'15년일출'!$C$31:$C$733,'15년위원회별'!$C39)</f>
        <v>0</v>
      </c>
      <c r="R39" s="86">
        <f>SUMIFS('15년일출'!$J$31:$J$733,'15년일출'!$B$31:$B$733,'15년위원회별'!$A39,'15년일출'!$C$31:$C$733,'15년위원회별'!$C39)</f>
        <v>0</v>
      </c>
      <c r="S39" s="86">
        <f>SUMIFS('15년일출'!$K$31:$K$733,'15년일출'!$B$31:$B$733,'15년위원회별'!$A39,'15년일출'!$C$31:$C$733,'15년위원회별'!$C39)</f>
        <v>0</v>
      </c>
      <c r="T39" s="86">
        <f>SUMIFS('15년일출'!$U$31:$U$733,'15년일출'!$B$31:$B$733,'15년위원회별'!$A39,'15년일출'!$C$31:$C$733,'15년위원회별'!$C39)</f>
        <v>0</v>
      </c>
      <c r="U39" s="86">
        <f>SUMIFS('15년일출'!$V$31:$V$733,'15년일출'!$B$31:$B$733,'15년위원회별'!$A39,'15년일출'!$C$31:$C$733,'15년위원회별'!$C39)</f>
        <v>0</v>
      </c>
      <c r="V39" s="86">
        <f>SUMIFS('15년일출'!$L$31:$L$733,'15년일출'!$B$31:$B$733,'15년위원회별'!$A39,'15년일출'!$C$31:$C$733,'15년위원회별'!$C39)</f>
        <v>0</v>
      </c>
      <c r="W39" s="86">
        <f>SUMIFS('15년일출'!$M$31:$M$733,'15년일출'!$B$31:$B$733,'15년위원회별'!$A39,'15년일출'!$C$31:$C$733,'15년위원회별'!$C39)</f>
        <v>0</v>
      </c>
      <c r="X39" s="86">
        <f>SUMIFS('15년일출'!$N$31:$N$733,'15년일출'!$B$31:$B$733,'15년위원회별'!$A39,'15년일출'!$C$31:$C$733,'15년위원회별'!$C39)</f>
        <v>0</v>
      </c>
      <c r="Y39" s="86">
        <f>SUMIFS('15년일출'!$Z$31:$Z$733,'15년일출'!$B$31:$B$733,'15년위원회별'!$A39,'15년일출'!$C$31:$C$733,'15년위원회별'!$C39)</f>
        <v>0</v>
      </c>
      <c r="Z39" s="86">
        <f>SUMIFS('15년일출'!$AA$31:$AA$733,'15년일출'!$B$31:$B$733,'15년위원회별'!$A39,'15년일출'!$C$31:$C$733,'15년위원회별'!$C39)</f>
        <v>0</v>
      </c>
    </row>
    <row r="40" spans="1:26" ht="16.5" customHeight="1">
      <c r="A40" t="s">
        <v>541</v>
      </c>
      <c r="B40" s="85"/>
      <c r="C40" s="85" t="s">
        <v>67</v>
      </c>
      <c r="D40" s="86">
        <f>SUMIFS('15년일입'!$H$7:$H$644,'15년일입'!$B$7:$B$644,'15년위원회별'!$A40,'15년일입'!$C$7:$C$644,'15년위원회별'!$C40)</f>
        <v>0</v>
      </c>
      <c r="E40" s="86">
        <f>SUMIFS('15년일입'!$I$7:$I$644,'15년일입'!$B$7:$B$644,'15년위원회별'!$A40,'15년일입'!$C$7:$C$644,'15년위원회별'!$C40)</f>
        <v>0</v>
      </c>
      <c r="F40" s="86">
        <f>SUMIFS('15년일입'!$J$7:$J$644,'15년일입'!$B$7:$B$644,'15년위원회별'!$A40,'15년일입'!$C$7:$C$644,'15년위원회별'!$C40)</f>
        <v>0</v>
      </c>
      <c r="G40" s="86">
        <f>SUMIFS('15년일입'!$K$7:$K$644,'15년일입'!$B$7:$B$644,'15년위원회별'!$A40,'15년일입'!$C$7:$C$644,'15년위원회별'!$C40)</f>
        <v>0</v>
      </c>
      <c r="H40" s="86">
        <f>SUMIFS('15년일입'!$U$7:$U$644,'15년일입'!$B$7:$B$644,'15년위원회별'!$A40,'15년일입'!$C$7:$C$644,'15년위원회별'!$C40)</f>
        <v>0</v>
      </c>
      <c r="I40" s="86">
        <f>SUMIFS('15년일입'!$V$7:$V$644,'15년일입'!$B$7:$B$644,'15년위원회별'!$A40,'15년일입'!$C$7:$C$644,'15년위원회별'!$C40)</f>
        <v>0</v>
      </c>
      <c r="J40" s="86">
        <f>SUMIFS('15년일입'!$L$7:$L$644,'15년일입'!$B$7:$B$644,'15년위원회별'!$A40,'15년일입'!$C$7:$C$644,'15년위원회별'!$C40)</f>
        <v>0</v>
      </c>
      <c r="K40" s="86">
        <f>SUMIFS('15년일입'!$M$7:$M$644,'15년일입'!$B$7:$B$644,'15년위원회별'!$A40,'15년일입'!$C$7:$C$644,'15년위원회별'!$C40)</f>
        <v>0</v>
      </c>
      <c r="L40" s="86">
        <f>SUMIFS('15년일입'!$N$7:$N$644,'15년일입'!$B$7:$B$644,'15년위원회별'!$A40,'15년일입'!$C$7:$C$644,'15년위원회별'!$C40)</f>
        <v>0</v>
      </c>
      <c r="M40" s="86">
        <f>SUMIFS('15년일입'!$Z$7:$Z$644,'15년일입'!$B$7:$B$644,'15년위원회별'!$A40,'15년일입'!$C$7:$C$644,'15년위원회별'!$C40)</f>
        <v>0</v>
      </c>
      <c r="N40" s="86">
        <f>SUMIFS('15년일입'!$AA$7:$AA$644,'15년일입'!$B$7:$B$644,'15년위원회별'!$A40,'15년일입'!$C$7:$C$644,'15년위원회별'!$C40)</f>
        <v>0</v>
      </c>
      <c r="P40" s="86">
        <f>SUMIFS('15년일출'!$H$31:$H$733,'15년일출'!$B$31:$B$733,'15년위원회별'!$A40,'15년일출'!$C$31:$C$733,'15년위원회별'!$C40)</f>
        <v>0</v>
      </c>
      <c r="Q40" s="86">
        <f>SUMIFS('15년일출'!$I$31:$I$733,'15년일출'!$B$31:$B$733,'15년위원회별'!$A40,'15년일출'!$C$31:$C$733,'15년위원회별'!$C40)</f>
        <v>0</v>
      </c>
      <c r="R40" s="86">
        <f>SUMIFS('15년일출'!$J$31:$J$733,'15년일출'!$B$31:$B$733,'15년위원회별'!$A40,'15년일출'!$C$31:$C$733,'15년위원회별'!$C40)</f>
        <v>0</v>
      </c>
      <c r="S40" s="86">
        <f>SUMIFS('15년일출'!$K$31:$K$733,'15년일출'!$B$31:$B$733,'15년위원회별'!$A40,'15년일출'!$C$31:$C$733,'15년위원회별'!$C40)</f>
        <v>0</v>
      </c>
      <c r="T40" s="86">
        <f>SUMIFS('15년일출'!$U$31:$U$733,'15년일출'!$B$31:$B$733,'15년위원회별'!$A40,'15년일출'!$C$31:$C$733,'15년위원회별'!$C40)</f>
        <v>0</v>
      </c>
      <c r="U40" s="86">
        <f>SUMIFS('15년일출'!$V$31:$V$733,'15년일출'!$B$31:$B$733,'15년위원회별'!$A40,'15년일출'!$C$31:$C$733,'15년위원회별'!$C40)</f>
        <v>0</v>
      </c>
      <c r="V40" s="86">
        <f>SUMIFS('15년일출'!$L$31:$L$733,'15년일출'!$B$31:$B$733,'15년위원회별'!$A40,'15년일출'!$C$31:$C$733,'15년위원회별'!$C40)</f>
        <v>0</v>
      </c>
      <c r="W40" s="86">
        <f>SUMIFS('15년일출'!$M$31:$M$733,'15년일출'!$B$31:$B$733,'15년위원회별'!$A40,'15년일출'!$C$31:$C$733,'15년위원회별'!$C40)</f>
        <v>0</v>
      </c>
      <c r="X40" s="86">
        <f>SUMIFS('15년일출'!$N$31:$N$733,'15년일출'!$B$31:$B$733,'15년위원회별'!$A40,'15년일출'!$C$31:$C$733,'15년위원회별'!$C40)</f>
        <v>0</v>
      </c>
      <c r="Y40" s="86">
        <f>SUMIFS('15년일출'!$Z$31:$Z$733,'15년일출'!$B$31:$B$733,'15년위원회별'!$A40,'15년일출'!$C$31:$C$733,'15년위원회별'!$C40)</f>
        <v>0</v>
      </c>
      <c r="Z40" s="86">
        <f>SUMIFS('15년일출'!$AA$31:$AA$733,'15년일출'!$B$31:$B$733,'15년위원회별'!$A40,'15년일출'!$C$31:$C$733,'15년위원회별'!$C40)</f>
        <v>0</v>
      </c>
    </row>
    <row r="41" spans="1:26" ht="16.5" customHeight="1">
      <c r="A41" t="s">
        <v>541</v>
      </c>
      <c r="B41" s="85"/>
      <c r="C41" s="85" t="s">
        <v>397</v>
      </c>
      <c r="D41" s="86">
        <f>SUMIFS('15년일입'!$H$7:$H$644,'15년일입'!$B$7:$B$644,'15년위원회별'!$A41,'15년일입'!$C$7:$C$644,'15년위원회별'!$C41)</f>
        <v>0</v>
      </c>
      <c r="E41" s="86">
        <f>SUMIFS('15년일입'!$I$7:$I$644,'15년일입'!$B$7:$B$644,'15년위원회별'!$A41,'15년일입'!$C$7:$C$644,'15년위원회별'!$C41)</f>
        <v>0</v>
      </c>
      <c r="F41" s="86">
        <f>SUMIFS('15년일입'!$J$7:$J$644,'15년일입'!$B$7:$B$644,'15년위원회별'!$A41,'15년일입'!$C$7:$C$644,'15년위원회별'!$C41)</f>
        <v>0</v>
      </c>
      <c r="G41" s="86">
        <f>SUMIFS('15년일입'!$K$7:$K$644,'15년일입'!$B$7:$B$644,'15년위원회별'!$A41,'15년일입'!$C$7:$C$644,'15년위원회별'!$C41)</f>
        <v>0</v>
      </c>
      <c r="H41" s="86">
        <f>SUMIFS('15년일입'!$U$7:$U$644,'15년일입'!$B$7:$B$644,'15년위원회별'!$A41,'15년일입'!$C$7:$C$644,'15년위원회별'!$C41)</f>
        <v>0</v>
      </c>
      <c r="I41" s="86">
        <f>SUMIFS('15년일입'!$V$7:$V$644,'15년일입'!$B$7:$B$644,'15년위원회별'!$A41,'15년일입'!$C$7:$C$644,'15년위원회별'!$C41)</f>
        <v>0</v>
      </c>
      <c r="J41" s="86">
        <f>SUMIFS('15년일입'!$L$7:$L$644,'15년일입'!$B$7:$B$644,'15년위원회별'!$A41,'15년일입'!$C$7:$C$644,'15년위원회별'!$C41)</f>
        <v>0</v>
      </c>
      <c r="K41" s="86">
        <f>SUMIFS('15년일입'!$M$7:$M$644,'15년일입'!$B$7:$B$644,'15년위원회별'!$A41,'15년일입'!$C$7:$C$644,'15년위원회별'!$C41)</f>
        <v>0</v>
      </c>
      <c r="L41" s="86">
        <f>SUMIFS('15년일입'!$N$7:$N$644,'15년일입'!$B$7:$B$644,'15년위원회별'!$A41,'15년일입'!$C$7:$C$644,'15년위원회별'!$C41)</f>
        <v>0</v>
      </c>
      <c r="M41" s="86">
        <f>SUMIFS('15년일입'!$Z$7:$Z$644,'15년일입'!$B$7:$B$644,'15년위원회별'!$A41,'15년일입'!$C$7:$C$644,'15년위원회별'!$C41)</f>
        <v>0</v>
      </c>
      <c r="N41" s="86">
        <f>SUMIFS('15년일입'!$AA$7:$AA$644,'15년일입'!$B$7:$B$644,'15년위원회별'!$A41,'15년일입'!$C$7:$C$644,'15년위원회별'!$C41)</f>
        <v>0</v>
      </c>
      <c r="P41" s="86">
        <f>SUMIFS('15년일출'!$H$31:$H$733,'15년일출'!$B$31:$B$733,'15년위원회별'!$A41,'15년일출'!$C$31:$C$733,'15년위원회별'!$C41)</f>
        <v>0</v>
      </c>
      <c r="Q41" s="86">
        <f>SUMIFS('15년일출'!$I$31:$I$733,'15년일출'!$B$31:$B$733,'15년위원회별'!$A41,'15년일출'!$C$31:$C$733,'15년위원회별'!$C41)</f>
        <v>0</v>
      </c>
      <c r="R41" s="86">
        <f>SUMIFS('15년일출'!$J$31:$J$733,'15년일출'!$B$31:$B$733,'15년위원회별'!$A41,'15년일출'!$C$31:$C$733,'15년위원회별'!$C41)</f>
        <v>0</v>
      </c>
      <c r="S41" s="86">
        <f>SUMIFS('15년일출'!$K$31:$K$733,'15년일출'!$B$31:$B$733,'15년위원회별'!$A41,'15년일출'!$C$31:$C$733,'15년위원회별'!$C41)</f>
        <v>0</v>
      </c>
      <c r="T41" s="86">
        <f>SUMIFS('15년일출'!$U$31:$U$733,'15년일출'!$B$31:$B$733,'15년위원회별'!$A41,'15년일출'!$C$31:$C$733,'15년위원회별'!$C41)</f>
        <v>0</v>
      </c>
      <c r="U41" s="86">
        <f>SUMIFS('15년일출'!$V$31:$V$733,'15년일출'!$B$31:$B$733,'15년위원회별'!$A41,'15년일출'!$C$31:$C$733,'15년위원회별'!$C41)</f>
        <v>0</v>
      </c>
      <c r="V41" s="86">
        <f>SUMIFS('15년일출'!$L$31:$L$733,'15년일출'!$B$31:$B$733,'15년위원회별'!$A41,'15년일출'!$C$31:$C$733,'15년위원회별'!$C41)</f>
        <v>0</v>
      </c>
      <c r="W41" s="86">
        <f>SUMIFS('15년일출'!$M$31:$M$733,'15년일출'!$B$31:$B$733,'15년위원회별'!$A41,'15년일출'!$C$31:$C$733,'15년위원회별'!$C41)</f>
        <v>0</v>
      </c>
      <c r="X41" s="86">
        <f>SUMIFS('15년일출'!$N$31:$N$733,'15년일출'!$B$31:$B$733,'15년위원회별'!$A41,'15년일출'!$C$31:$C$733,'15년위원회별'!$C41)</f>
        <v>0</v>
      </c>
      <c r="Y41" s="86">
        <f>SUMIFS('15년일출'!$Z$31:$Z$733,'15년일출'!$B$31:$B$733,'15년위원회별'!$A41,'15년일출'!$C$31:$C$733,'15년위원회별'!$C41)</f>
        <v>0</v>
      </c>
      <c r="Z41" s="86">
        <f>SUMIFS('15년일출'!$AA$31:$AA$733,'15년일출'!$B$31:$B$733,'15년위원회별'!$A41,'15년일출'!$C$31:$C$733,'15년위원회별'!$C41)</f>
        <v>0</v>
      </c>
    </row>
    <row r="42" spans="1:26" ht="16.5" customHeight="1">
      <c r="A42" t="s">
        <v>541</v>
      </c>
      <c r="B42" s="85"/>
      <c r="C42" s="85" t="s">
        <v>404</v>
      </c>
      <c r="D42" s="86">
        <f>SUMIFS('15년일입'!$H$7:$H$644,'15년일입'!$B$7:$B$644,'15년위원회별'!$A42,'15년일입'!$C$7:$C$644,'15년위원회별'!$C42)</f>
        <v>0</v>
      </c>
      <c r="E42" s="86">
        <f>SUMIFS('15년일입'!$I$7:$I$644,'15년일입'!$B$7:$B$644,'15년위원회별'!$A42,'15년일입'!$C$7:$C$644,'15년위원회별'!$C42)</f>
        <v>0</v>
      </c>
      <c r="F42" s="86">
        <f>SUMIFS('15년일입'!$J$7:$J$644,'15년일입'!$B$7:$B$644,'15년위원회별'!$A42,'15년일입'!$C$7:$C$644,'15년위원회별'!$C42)</f>
        <v>0</v>
      </c>
      <c r="G42" s="86">
        <f>SUMIFS('15년일입'!$K$7:$K$644,'15년일입'!$B$7:$B$644,'15년위원회별'!$A42,'15년일입'!$C$7:$C$644,'15년위원회별'!$C42)</f>
        <v>0</v>
      </c>
      <c r="H42" s="86">
        <f>SUMIFS('15년일입'!$U$7:$U$644,'15년일입'!$B$7:$B$644,'15년위원회별'!$A42,'15년일입'!$C$7:$C$644,'15년위원회별'!$C42)</f>
        <v>0</v>
      </c>
      <c r="I42" s="86">
        <f>SUMIFS('15년일입'!$V$7:$V$644,'15년일입'!$B$7:$B$644,'15년위원회별'!$A42,'15년일입'!$C$7:$C$644,'15년위원회별'!$C42)</f>
        <v>0</v>
      </c>
      <c r="J42" s="86">
        <f>SUMIFS('15년일입'!$L$7:$L$644,'15년일입'!$B$7:$B$644,'15년위원회별'!$A42,'15년일입'!$C$7:$C$644,'15년위원회별'!$C42)</f>
        <v>0</v>
      </c>
      <c r="K42" s="86">
        <f>SUMIFS('15년일입'!$M$7:$M$644,'15년일입'!$B$7:$B$644,'15년위원회별'!$A42,'15년일입'!$C$7:$C$644,'15년위원회별'!$C42)</f>
        <v>0</v>
      </c>
      <c r="L42" s="86">
        <f>SUMIFS('15년일입'!$N$7:$N$644,'15년일입'!$B$7:$B$644,'15년위원회별'!$A42,'15년일입'!$C$7:$C$644,'15년위원회별'!$C42)</f>
        <v>0</v>
      </c>
      <c r="M42" s="86">
        <f>SUMIFS('15년일입'!$Z$7:$Z$644,'15년일입'!$B$7:$B$644,'15년위원회별'!$A42,'15년일입'!$C$7:$C$644,'15년위원회별'!$C42)</f>
        <v>0</v>
      </c>
      <c r="N42" s="86">
        <f>SUMIFS('15년일입'!$AA$7:$AA$644,'15년일입'!$B$7:$B$644,'15년위원회별'!$A42,'15년일입'!$C$7:$C$644,'15년위원회별'!$C42)</f>
        <v>0</v>
      </c>
      <c r="P42" s="86">
        <f>SUMIFS('15년일출'!$H$31:$H$733,'15년일출'!$B$31:$B$733,'15년위원회별'!$A42,'15년일출'!$C$31:$C$733,'15년위원회별'!$C42)</f>
        <v>0</v>
      </c>
      <c r="Q42" s="86">
        <f>SUMIFS('15년일출'!$I$31:$I$733,'15년일출'!$B$31:$B$733,'15년위원회별'!$A42,'15년일출'!$C$31:$C$733,'15년위원회별'!$C42)</f>
        <v>0</v>
      </c>
      <c r="R42" s="86">
        <f>SUMIFS('15년일출'!$J$31:$J$733,'15년일출'!$B$31:$B$733,'15년위원회별'!$A42,'15년일출'!$C$31:$C$733,'15년위원회별'!$C42)</f>
        <v>0</v>
      </c>
      <c r="S42" s="86">
        <f>SUMIFS('15년일출'!$K$31:$K$733,'15년일출'!$B$31:$B$733,'15년위원회별'!$A42,'15년일출'!$C$31:$C$733,'15년위원회별'!$C42)</f>
        <v>0</v>
      </c>
      <c r="T42" s="86">
        <f>SUMIFS('15년일출'!$U$31:$U$733,'15년일출'!$B$31:$B$733,'15년위원회별'!$A42,'15년일출'!$C$31:$C$733,'15년위원회별'!$C42)</f>
        <v>0</v>
      </c>
      <c r="U42" s="86">
        <f>SUMIFS('15년일출'!$V$31:$V$733,'15년일출'!$B$31:$B$733,'15년위원회별'!$A42,'15년일출'!$C$31:$C$733,'15년위원회별'!$C42)</f>
        <v>0</v>
      </c>
      <c r="V42" s="86">
        <f>SUMIFS('15년일출'!$L$31:$L$733,'15년일출'!$B$31:$B$733,'15년위원회별'!$A42,'15년일출'!$C$31:$C$733,'15년위원회별'!$C42)</f>
        <v>0</v>
      </c>
      <c r="W42" s="86">
        <f>SUMIFS('15년일출'!$M$31:$M$733,'15년일출'!$B$31:$B$733,'15년위원회별'!$A42,'15년일출'!$C$31:$C$733,'15년위원회별'!$C42)</f>
        <v>0</v>
      </c>
      <c r="X42" s="86">
        <f>SUMIFS('15년일출'!$N$31:$N$733,'15년일출'!$B$31:$B$733,'15년위원회별'!$A42,'15년일출'!$C$31:$C$733,'15년위원회별'!$C42)</f>
        <v>0</v>
      </c>
      <c r="Y42" s="86">
        <f>SUMIFS('15년일출'!$Z$31:$Z$733,'15년일출'!$B$31:$B$733,'15년위원회별'!$A42,'15년일출'!$C$31:$C$733,'15년위원회별'!$C42)</f>
        <v>0</v>
      </c>
      <c r="Z42" s="86">
        <f>SUMIFS('15년일출'!$AA$31:$AA$733,'15년일출'!$B$31:$B$733,'15년위원회별'!$A42,'15년일출'!$C$31:$C$733,'15년위원회별'!$C42)</f>
        <v>0</v>
      </c>
    </row>
    <row r="43" spans="1:26" ht="16.5" customHeight="1">
      <c r="B43" s="356" t="s">
        <v>435</v>
      </c>
      <c r="C43" s="357"/>
      <c r="D43" s="84">
        <f>SUM(D44:D46)</f>
        <v>0</v>
      </c>
      <c r="E43" s="84">
        <f t="shared" ref="E43:N43" si="20">SUM(E44:E46)</f>
        <v>0</v>
      </c>
      <c r="F43" s="84">
        <f t="shared" si="20"/>
        <v>0</v>
      </c>
      <c r="G43" s="84">
        <f t="shared" si="20"/>
        <v>0</v>
      </c>
      <c r="H43" s="84">
        <f t="shared" si="20"/>
        <v>0</v>
      </c>
      <c r="I43" s="84">
        <f t="shared" si="20"/>
        <v>0</v>
      </c>
      <c r="J43" s="84">
        <f t="shared" si="20"/>
        <v>0</v>
      </c>
      <c r="K43" s="84">
        <f t="shared" si="20"/>
        <v>0</v>
      </c>
      <c r="L43" s="84">
        <f t="shared" si="20"/>
        <v>0</v>
      </c>
      <c r="M43" s="84">
        <f t="shared" si="20"/>
        <v>0</v>
      </c>
      <c r="N43" s="84">
        <f t="shared" si="20"/>
        <v>0</v>
      </c>
      <c r="P43" s="84">
        <f>SUM(P44:P46)</f>
        <v>0</v>
      </c>
      <c r="Q43" s="84">
        <f t="shared" ref="Q43:Z43" si="21">SUM(Q44:Q46)</f>
        <v>0</v>
      </c>
      <c r="R43" s="84">
        <f t="shared" si="21"/>
        <v>0</v>
      </c>
      <c r="S43" s="84">
        <f t="shared" si="21"/>
        <v>0</v>
      </c>
      <c r="T43" s="84">
        <f t="shared" si="21"/>
        <v>0</v>
      </c>
      <c r="U43" s="84">
        <f t="shared" si="21"/>
        <v>0</v>
      </c>
      <c r="V43" s="84">
        <f t="shared" si="21"/>
        <v>0</v>
      </c>
      <c r="W43" s="84">
        <f t="shared" si="21"/>
        <v>0</v>
      </c>
      <c r="X43" s="84">
        <f t="shared" si="21"/>
        <v>0</v>
      </c>
      <c r="Y43" s="84">
        <f t="shared" si="21"/>
        <v>0</v>
      </c>
      <c r="Z43" s="84">
        <f t="shared" si="21"/>
        <v>0</v>
      </c>
    </row>
    <row r="44" spans="1:26" ht="16.5" customHeight="1">
      <c r="A44" t="s">
        <v>542</v>
      </c>
      <c r="B44" s="85"/>
      <c r="C44" s="85" t="s">
        <v>189</v>
      </c>
      <c r="D44" s="86">
        <f>SUMIFS('15년일입'!$H$7:$H$644,'15년일입'!$B$7:$B$644,'15년위원회별'!$A44,'15년일입'!$C$7:$C$644,'15년위원회별'!$C44)</f>
        <v>0</v>
      </c>
      <c r="E44" s="86">
        <f>SUMIFS('15년일입'!$I$7:$I$644,'15년일입'!$B$7:$B$644,'15년위원회별'!$A44,'15년일입'!$C$7:$C$644,'15년위원회별'!$C44)</f>
        <v>0</v>
      </c>
      <c r="F44" s="86">
        <f>SUMIFS('15년일입'!$J$7:$J$644,'15년일입'!$B$7:$B$644,'15년위원회별'!$A44,'15년일입'!$C$7:$C$644,'15년위원회별'!$C44)</f>
        <v>0</v>
      </c>
      <c r="G44" s="86">
        <f>SUMIFS('15년일입'!$K$7:$K$644,'15년일입'!$B$7:$B$644,'15년위원회별'!$A44,'15년일입'!$C$7:$C$644,'15년위원회별'!$C44)</f>
        <v>0</v>
      </c>
      <c r="H44" s="86">
        <f>SUMIFS('15년일입'!$U$7:$U$644,'15년일입'!$B$7:$B$644,'15년위원회별'!$A44,'15년일입'!$C$7:$C$644,'15년위원회별'!$C44)</f>
        <v>0</v>
      </c>
      <c r="I44" s="86">
        <f>SUMIFS('15년일입'!$V$7:$V$644,'15년일입'!$B$7:$B$644,'15년위원회별'!$A44,'15년일입'!$C$7:$C$644,'15년위원회별'!$C44)</f>
        <v>0</v>
      </c>
      <c r="J44" s="86">
        <f>SUMIFS('15년일입'!$L$7:$L$644,'15년일입'!$B$7:$B$644,'15년위원회별'!$A44,'15년일입'!$C$7:$C$644,'15년위원회별'!$C44)</f>
        <v>0</v>
      </c>
      <c r="K44" s="86">
        <f>SUMIFS('15년일입'!$M$7:$M$644,'15년일입'!$B$7:$B$644,'15년위원회별'!$A44,'15년일입'!$C$7:$C$644,'15년위원회별'!$C44)</f>
        <v>0</v>
      </c>
      <c r="L44" s="86">
        <f>SUMIFS('15년일입'!$N$7:$N$644,'15년일입'!$B$7:$B$644,'15년위원회별'!$A44,'15년일입'!$C$7:$C$644,'15년위원회별'!$C44)</f>
        <v>0</v>
      </c>
      <c r="M44" s="86">
        <f>SUMIFS('15년일입'!$Z$7:$Z$644,'15년일입'!$B$7:$B$644,'15년위원회별'!$A44,'15년일입'!$C$7:$C$644,'15년위원회별'!$C44)</f>
        <v>0</v>
      </c>
      <c r="N44" s="86">
        <f>SUMIFS('15년일입'!$AA$7:$AA$644,'15년일입'!$B$7:$B$644,'15년위원회별'!$A44,'15년일입'!$C$7:$C$644,'15년위원회별'!$C44)</f>
        <v>0</v>
      </c>
      <c r="P44" s="86">
        <f>SUMIFS('15년일출'!$H$31:$H$733,'15년일출'!$B$31:$B$733,'15년위원회별'!$A44,'15년일출'!$C$31:$C$733,'15년위원회별'!$C44)</f>
        <v>0</v>
      </c>
      <c r="Q44" s="86">
        <f>SUMIFS('15년일출'!$I$31:$I$733,'15년일출'!$B$31:$B$733,'15년위원회별'!$A44,'15년일출'!$C$31:$C$733,'15년위원회별'!$C44)</f>
        <v>0</v>
      </c>
      <c r="R44" s="86">
        <f>SUMIFS('15년일출'!$J$31:$J$733,'15년일출'!$B$31:$B$733,'15년위원회별'!$A44,'15년일출'!$C$31:$C$733,'15년위원회별'!$C44)</f>
        <v>0</v>
      </c>
      <c r="S44" s="86">
        <f>SUMIFS('15년일출'!$K$31:$K$733,'15년일출'!$B$31:$B$733,'15년위원회별'!$A44,'15년일출'!$C$31:$C$733,'15년위원회별'!$C44)</f>
        <v>0</v>
      </c>
      <c r="T44" s="86">
        <f>SUMIFS('15년일출'!$U$31:$U$733,'15년일출'!$B$31:$B$733,'15년위원회별'!$A44,'15년일출'!$C$31:$C$733,'15년위원회별'!$C44)</f>
        <v>0</v>
      </c>
      <c r="U44" s="86">
        <f>SUMIFS('15년일출'!$V$31:$V$733,'15년일출'!$B$31:$B$733,'15년위원회별'!$A44,'15년일출'!$C$31:$C$733,'15년위원회별'!$C44)</f>
        <v>0</v>
      </c>
      <c r="V44" s="86">
        <f>SUMIFS('15년일출'!$L$31:$L$733,'15년일출'!$B$31:$B$733,'15년위원회별'!$A44,'15년일출'!$C$31:$C$733,'15년위원회별'!$C44)</f>
        <v>0</v>
      </c>
      <c r="W44" s="86">
        <f>SUMIFS('15년일출'!$M$31:$M$733,'15년일출'!$B$31:$B$733,'15년위원회별'!$A44,'15년일출'!$C$31:$C$733,'15년위원회별'!$C44)</f>
        <v>0</v>
      </c>
      <c r="X44" s="86">
        <f>SUMIFS('15년일출'!$N$31:$N$733,'15년일출'!$B$31:$B$733,'15년위원회별'!$A44,'15년일출'!$C$31:$C$733,'15년위원회별'!$C44)</f>
        <v>0</v>
      </c>
      <c r="Y44" s="86">
        <f>SUMIFS('15년일출'!$Z$31:$Z$733,'15년일출'!$B$31:$B$733,'15년위원회별'!$A44,'15년일출'!$C$31:$C$733,'15년위원회별'!$C44)</f>
        <v>0</v>
      </c>
      <c r="Z44" s="86">
        <f>SUMIFS('15년일출'!$AA$31:$AA$733,'15년일출'!$B$31:$B$733,'15년위원회별'!$A44,'15년일출'!$C$31:$C$733,'15년위원회별'!$C44)</f>
        <v>0</v>
      </c>
    </row>
    <row r="45" spans="1:26" ht="16.5" customHeight="1">
      <c r="A45" t="s">
        <v>542</v>
      </c>
      <c r="B45" s="85"/>
      <c r="C45" s="85" t="s">
        <v>115</v>
      </c>
      <c r="D45" s="86">
        <f>SUMIFS('15년일입'!$H$7:$H$644,'15년일입'!$B$7:$B$644,'15년위원회별'!$A45,'15년일입'!$C$7:$C$644,'15년위원회별'!$C45)</f>
        <v>0</v>
      </c>
      <c r="E45" s="86">
        <f>SUMIFS('15년일입'!$I$7:$I$644,'15년일입'!$B$7:$B$644,'15년위원회별'!$A45,'15년일입'!$C$7:$C$644,'15년위원회별'!$C45)</f>
        <v>0</v>
      </c>
      <c r="F45" s="86">
        <f>SUMIFS('15년일입'!$J$7:$J$644,'15년일입'!$B$7:$B$644,'15년위원회별'!$A45,'15년일입'!$C$7:$C$644,'15년위원회별'!$C45)</f>
        <v>0</v>
      </c>
      <c r="G45" s="86">
        <f>SUMIFS('15년일입'!$K$7:$K$644,'15년일입'!$B$7:$B$644,'15년위원회별'!$A45,'15년일입'!$C$7:$C$644,'15년위원회별'!$C45)</f>
        <v>0</v>
      </c>
      <c r="H45" s="86">
        <f>SUMIFS('15년일입'!$U$7:$U$644,'15년일입'!$B$7:$B$644,'15년위원회별'!$A45,'15년일입'!$C$7:$C$644,'15년위원회별'!$C45)</f>
        <v>0</v>
      </c>
      <c r="I45" s="86">
        <f>SUMIFS('15년일입'!$V$7:$V$644,'15년일입'!$B$7:$B$644,'15년위원회별'!$A45,'15년일입'!$C$7:$C$644,'15년위원회별'!$C45)</f>
        <v>0</v>
      </c>
      <c r="J45" s="86">
        <f>SUMIFS('15년일입'!$L$7:$L$644,'15년일입'!$B$7:$B$644,'15년위원회별'!$A45,'15년일입'!$C$7:$C$644,'15년위원회별'!$C45)</f>
        <v>0</v>
      </c>
      <c r="K45" s="86">
        <f>SUMIFS('15년일입'!$M$7:$M$644,'15년일입'!$B$7:$B$644,'15년위원회별'!$A45,'15년일입'!$C$7:$C$644,'15년위원회별'!$C45)</f>
        <v>0</v>
      </c>
      <c r="L45" s="86">
        <f>SUMIFS('15년일입'!$N$7:$N$644,'15년일입'!$B$7:$B$644,'15년위원회별'!$A45,'15년일입'!$C$7:$C$644,'15년위원회별'!$C45)</f>
        <v>0</v>
      </c>
      <c r="M45" s="86">
        <f>SUMIFS('15년일입'!$Z$7:$Z$644,'15년일입'!$B$7:$B$644,'15년위원회별'!$A45,'15년일입'!$C$7:$C$644,'15년위원회별'!$C45)</f>
        <v>0</v>
      </c>
      <c r="N45" s="86">
        <f>SUMIFS('15년일입'!$AA$7:$AA$644,'15년일입'!$B$7:$B$644,'15년위원회별'!$A45,'15년일입'!$C$7:$C$644,'15년위원회별'!$C45)</f>
        <v>0</v>
      </c>
      <c r="P45" s="86">
        <f>SUMIFS('15년일출'!$H$31:$H$733,'15년일출'!$B$31:$B$733,'15년위원회별'!$A45,'15년일출'!$C$31:$C$733,'15년위원회별'!$C45)</f>
        <v>0</v>
      </c>
      <c r="Q45" s="86">
        <f>SUMIFS('15년일출'!$I$31:$I$733,'15년일출'!$B$31:$B$733,'15년위원회별'!$A45,'15년일출'!$C$31:$C$733,'15년위원회별'!$C45)</f>
        <v>0</v>
      </c>
      <c r="R45" s="86">
        <f>SUMIFS('15년일출'!$J$31:$J$733,'15년일출'!$B$31:$B$733,'15년위원회별'!$A45,'15년일출'!$C$31:$C$733,'15년위원회별'!$C45)</f>
        <v>0</v>
      </c>
      <c r="S45" s="86">
        <f>SUMIFS('15년일출'!$K$31:$K$733,'15년일출'!$B$31:$B$733,'15년위원회별'!$A45,'15년일출'!$C$31:$C$733,'15년위원회별'!$C45)</f>
        <v>0</v>
      </c>
      <c r="T45" s="86">
        <f>SUMIFS('15년일출'!$U$31:$U$733,'15년일출'!$B$31:$B$733,'15년위원회별'!$A45,'15년일출'!$C$31:$C$733,'15년위원회별'!$C45)</f>
        <v>0</v>
      </c>
      <c r="U45" s="86">
        <f>SUMIFS('15년일출'!$V$31:$V$733,'15년일출'!$B$31:$B$733,'15년위원회별'!$A45,'15년일출'!$C$31:$C$733,'15년위원회별'!$C45)</f>
        <v>0</v>
      </c>
      <c r="V45" s="86">
        <f>SUMIFS('15년일출'!$L$31:$L$733,'15년일출'!$B$31:$B$733,'15년위원회별'!$A45,'15년일출'!$C$31:$C$733,'15년위원회별'!$C45)</f>
        <v>0</v>
      </c>
      <c r="W45" s="86">
        <f>SUMIFS('15년일출'!$M$31:$M$733,'15년일출'!$B$31:$B$733,'15년위원회별'!$A45,'15년일출'!$C$31:$C$733,'15년위원회별'!$C45)</f>
        <v>0</v>
      </c>
      <c r="X45" s="86">
        <f>SUMIFS('15년일출'!$N$31:$N$733,'15년일출'!$B$31:$B$733,'15년위원회별'!$A45,'15년일출'!$C$31:$C$733,'15년위원회별'!$C45)</f>
        <v>0</v>
      </c>
      <c r="Y45" s="86">
        <f>SUMIFS('15년일출'!$Z$31:$Z$733,'15년일출'!$B$31:$B$733,'15년위원회별'!$A45,'15년일출'!$C$31:$C$733,'15년위원회별'!$C45)</f>
        <v>0</v>
      </c>
      <c r="Z45" s="86">
        <f>SUMIFS('15년일출'!$AA$31:$AA$733,'15년일출'!$B$31:$B$733,'15년위원회별'!$A45,'15년일출'!$C$31:$C$733,'15년위원회별'!$C45)</f>
        <v>0</v>
      </c>
    </row>
    <row r="46" spans="1:26" ht="16.5" customHeight="1">
      <c r="A46" t="s">
        <v>542</v>
      </c>
      <c r="B46" s="89"/>
      <c r="C46" s="89" t="s">
        <v>70</v>
      </c>
      <c r="D46" s="95">
        <f>SUMIFS('15년일입'!$H$7:$H$644,'15년일입'!$B$7:$B$644,'15년위원회별'!$A46,'15년일입'!$C$7:$C$644,'15년위원회별'!$C46)</f>
        <v>0</v>
      </c>
      <c r="E46" s="95">
        <f>SUMIFS('15년일입'!$I$7:$I$644,'15년일입'!$B$7:$B$644,'15년위원회별'!$A46,'15년일입'!$C$7:$C$644,'15년위원회별'!$C46)</f>
        <v>0</v>
      </c>
      <c r="F46" s="95">
        <f>SUMIFS('15년일입'!$J$7:$J$644,'15년일입'!$B$7:$B$644,'15년위원회별'!$A46,'15년일입'!$C$7:$C$644,'15년위원회별'!$C46)</f>
        <v>0</v>
      </c>
      <c r="G46" s="95">
        <f>SUMIFS('15년일입'!$K$7:$K$644,'15년일입'!$B$7:$B$644,'15년위원회별'!$A46,'15년일입'!$C$7:$C$644,'15년위원회별'!$C46)</f>
        <v>0</v>
      </c>
      <c r="H46" s="95">
        <f>SUMIFS('15년일입'!$U$7:$U$644,'15년일입'!$B$7:$B$644,'15년위원회별'!$A46,'15년일입'!$C$7:$C$644,'15년위원회별'!$C46)</f>
        <v>0</v>
      </c>
      <c r="I46" s="95">
        <f>SUMIFS('15년일입'!$V$7:$V$644,'15년일입'!$B$7:$B$644,'15년위원회별'!$A46,'15년일입'!$C$7:$C$644,'15년위원회별'!$C46)</f>
        <v>0</v>
      </c>
      <c r="J46" s="95">
        <f>SUMIFS('15년일입'!$L$7:$L$644,'15년일입'!$B$7:$B$644,'15년위원회별'!$A46,'15년일입'!$C$7:$C$644,'15년위원회별'!$C46)</f>
        <v>0</v>
      </c>
      <c r="K46" s="95">
        <f>SUMIFS('15년일입'!$M$7:$M$644,'15년일입'!$B$7:$B$644,'15년위원회별'!$A46,'15년일입'!$C$7:$C$644,'15년위원회별'!$C46)</f>
        <v>0</v>
      </c>
      <c r="L46" s="95">
        <f>SUMIFS('15년일입'!$N$7:$N$644,'15년일입'!$B$7:$B$644,'15년위원회별'!$A46,'15년일입'!$C$7:$C$644,'15년위원회별'!$C46)</f>
        <v>0</v>
      </c>
      <c r="M46" s="95">
        <f>SUMIFS('15년일입'!$Z$7:$Z$644,'15년일입'!$B$7:$B$644,'15년위원회별'!$A46,'15년일입'!$C$7:$C$644,'15년위원회별'!$C46)</f>
        <v>0</v>
      </c>
      <c r="N46" s="95">
        <f>SUMIFS('15년일입'!$AA$7:$AA$644,'15년일입'!$B$7:$B$644,'15년위원회별'!$A46,'15년일입'!$C$7:$C$644,'15년위원회별'!$C46)</f>
        <v>0</v>
      </c>
      <c r="P46" s="95">
        <f>SUMIFS('15년일출'!$H$31:$H$733,'15년일출'!$B$31:$B$733,'15년위원회별'!$A46,'15년일출'!$C$31:$C$733,'15년위원회별'!$C46)</f>
        <v>0</v>
      </c>
      <c r="Q46" s="95">
        <f>SUMIFS('15년일출'!$I$31:$I$733,'15년일출'!$B$31:$B$733,'15년위원회별'!$A46,'15년일출'!$C$31:$C$733,'15년위원회별'!$C46)</f>
        <v>0</v>
      </c>
      <c r="R46" s="95">
        <f>SUMIFS('15년일출'!$J$31:$J$733,'15년일출'!$B$31:$B$733,'15년위원회별'!$A46,'15년일출'!$C$31:$C$733,'15년위원회별'!$C46)</f>
        <v>0</v>
      </c>
      <c r="S46" s="95">
        <f>SUMIFS('15년일출'!$K$31:$K$733,'15년일출'!$B$31:$B$733,'15년위원회별'!$A46,'15년일출'!$C$31:$C$733,'15년위원회별'!$C46)</f>
        <v>0</v>
      </c>
      <c r="T46" s="95">
        <f>SUMIFS('15년일출'!$U$31:$U$733,'15년일출'!$B$31:$B$733,'15년위원회별'!$A46,'15년일출'!$C$31:$C$733,'15년위원회별'!$C46)</f>
        <v>0</v>
      </c>
      <c r="U46" s="95">
        <f>SUMIFS('15년일출'!$V$31:$V$733,'15년일출'!$B$31:$B$733,'15년위원회별'!$A46,'15년일출'!$C$31:$C$733,'15년위원회별'!$C46)</f>
        <v>0</v>
      </c>
      <c r="V46" s="95">
        <f>SUMIFS('15년일출'!$L$31:$L$733,'15년일출'!$B$31:$B$733,'15년위원회별'!$A46,'15년일출'!$C$31:$C$733,'15년위원회별'!$C46)</f>
        <v>0</v>
      </c>
      <c r="W46" s="95">
        <f>SUMIFS('15년일출'!$M$31:$M$733,'15년일출'!$B$31:$B$733,'15년위원회별'!$A46,'15년일출'!$C$31:$C$733,'15년위원회별'!$C46)</f>
        <v>0</v>
      </c>
      <c r="X46" s="95">
        <f>SUMIFS('15년일출'!$N$31:$N$733,'15년일출'!$B$31:$B$733,'15년위원회별'!$A46,'15년일출'!$C$31:$C$733,'15년위원회별'!$C46)</f>
        <v>0</v>
      </c>
      <c r="Y46" s="95">
        <f>SUMIFS('15년일출'!$Z$31:$Z$733,'15년일출'!$B$31:$B$733,'15년위원회별'!$A46,'15년일출'!$C$31:$C$733,'15년위원회별'!$C46)</f>
        <v>0</v>
      </c>
      <c r="Z46" s="95">
        <f>SUMIFS('15년일출'!$AA$31:$AA$733,'15년일출'!$B$31:$B$733,'15년위원회별'!$A46,'15년일출'!$C$31:$C$733,'15년위원회별'!$C46)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D24"/>
  <sheetViews>
    <sheetView showGridLines="0" view="pageBreakPreview" zoomScaleNormal="80" zoomScaleSheetLayoutView="10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D2" sqref="D2"/>
    </sheetView>
  </sheetViews>
  <sheetFormatPr defaultColWidth="8.75" defaultRowHeight="13.5"/>
  <cols>
    <col min="1" max="1" width="0.625" style="38" customWidth="1"/>
    <col min="2" max="2" width="12.75" style="38" hidden="1" customWidth="1"/>
    <col min="3" max="3" width="11.125" style="38" customWidth="1"/>
    <col min="4" max="4" width="12.25" style="38" customWidth="1"/>
    <col min="5" max="5" width="7.625" style="11" bestFit="1" customWidth="1"/>
    <col min="6" max="6" width="7.125" style="11" bestFit="1" customWidth="1"/>
    <col min="7" max="7" width="27.75" style="38" customWidth="1"/>
    <col min="8" max="11" width="11.625" style="38" customWidth="1"/>
    <col min="12" max="14" width="11.625" style="38" hidden="1" customWidth="1"/>
    <col min="15" max="15" width="8.375" style="11" hidden="1" customWidth="1"/>
    <col min="16" max="16" width="23.625" style="38" customWidth="1"/>
    <col min="17" max="17" width="3" style="38" hidden="1" customWidth="1"/>
    <col min="18" max="18" width="6.125" style="11" hidden="1" customWidth="1"/>
    <col min="19" max="19" width="3" style="38" hidden="1" customWidth="1"/>
    <col min="20" max="20" width="6.125" style="25" hidden="1" customWidth="1"/>
    <col min="21" max="21" width="11.625" style="38" customWidth="1"/>
    <col min="22" max="22" width="11.125" style="38" customWidth="1"/>
    <col min="23" max="23" width="6" style="11" customWidth="1"/>
    <col min="24" max="24" width="3" style="38" customWidth="1"/>
    <col min="25" max="25" width="6.125" style="52" customWidth="1"/>
    <col min="26" max="26" width="11.625" style="38" customWidth="1"/>
    <col min="27" max="27" width="11.125" style="38" customWidth="1"/>
    <col min="28" max="28" width="6" style="11" customWidth="1"/>
    <col min="29" max="29" width="3" style="38" customWidth="1"/>
    <col min="30" max="30" width="11.625" style="38" customWidth="1"/>
    <col min="31" max="31" width="17.375" style="38" customWidth="1"/>
    <col min="32" max="16384" width="8.75" style="38"/>
  </cols>
  <sheetData>
    <row r="1" spans="2:30" ht="32.25" customHeight="1">
      <c r="B1" s="389" t="s">
        <v>566</v>
      </c>
      <c r="C1" s="389"/>
      <c r="D1" s="389"/>
      <c r="E1" s="389"/>
      <c r="F1" s="389"/>
      <c r="G1" s="389"/>
      <c r="H1" s="390"/>
      <c r="I1" s="389"/>
      <c r="J1" s="389"/>
      <c r="K1" s="389"/>
      <c r="L1" s="389"/>
      <c r="M1" s="389"/>
      <c r="N1" s="389"/>
      <c r="O1" s="389"/>
      <c r="P1" s="389"/>
    </row>
    <row r="2" spans="2:30" ht="20.25">
      <c r="B2" s="12" t="s">
        <v>7</v>
      </c>
      <c r="C2" s="12"/>
      <c r="D2" s="12"/>
      <c r="E2" s="59"/>
      <c r="F2" s="59"/>
      <c r="G2" s="12"/>
      <c r="L2" s="26"/>
      <c r="M2" s="26"/>
      <c r="U2" s="26" t="s">
        <v>72</v>
      </c>
      <c r="V2" s="27"/>
      <c r="Z2" s="26" t="s">
        <v>72</v>
      </c>
      <c r="AA2" s="27"/>
    </row>
    <row r="3" spans="2:30" ht="20.25">
      <c r="I3" s="67">
        <f>COUNTA(I7:I22)</f>
        <v>6</v>
      </c>
      <c r="J3" s="67">
        <f>COUNTA(J7:J22)</f>
        <v>8</v>
      </c>
      <c r="K3" s="68">
        <f>I6+J6</f>
        <v>-160654</v>
      </c>
      <c r="L3" s="67">
        <f>COUNTA(L7:L22)</f>
        <v>0</v>
      </c>
      <c r="M3" s="67">
        <f>COUNTA(M7:M22)</f>
        <v>0</v>
      </c>
      <c r="N3" s="25"/>
      <c r="O3" s="30"/>
      <c r="P3" s="62" t="s">
        <v>9</v>
      </c>
      <c r="U3" s="27" t="str">
        <f>IF(U6='15년일출'!$U$6,"OK","@@")</f>
        <v>OK</v>
      </c>
      <c r="V3" s="38">
        <f>SUM(U6:V6)</f>
        <v>-160654</v>
      </c>
      <c r="W3" s="27" t="str">
        <f>IF(COUNTIF(W6:W915,"@@")&gt;0,"@@","OK")</f>
        <v>OK</v>
      </c>
      <c r="Z3" s="27" t="str">
        <f>IF(Z6='2추일출'!$AA$6,"OK","@@")</f>
        <v>OK</v>
      </c>
      <c r="AA3" s="38">
        <f>SUM(Z6:AA6)</f>
        <v>0</v>
      </c>
      <c r="AB3" s="27" t="str">
        <f>IF(COUNTIF(AB6:AB915,"@@")&gt;0,"@@","OK")</f>
        <v>OK</v>
      </c>
      <c r="AD3" s="63"/>
    </row>
    <row r="4" spans="2:30" ht="30" customHeight="1">
      <c r="B4" s="391" t="s">
        <v>555</v>
      </c>
      <c r="C4" s="391" t="s">
        <v>141</v>
      </c>
      <c r="D4" s="391" t="s">
        <v>4</v>
      </c>
      <c r="E4" s="393" t="s">
        <v>142</v>
      </c>
      <c r="F4" s="394" t="s">
        <v>5</v>
      </c>
      <c r="G4" s="391" t="s">
        <v>556</v>
      </c>
      <c r="H4" s="394" t="s">
        <v>580</v>
      </c>
      <c r="I4" s="360" t="s">
        <v>581</v>
      </c>
      <c r="J4" s="361"/>
      <c r="K4" s="362" t="s">
        <v>582</v>
      </c>
      <c r="L4" s="380" t="s">
        <v>583</v>
      </c>
      <c r="M4" s="379"/>
      <c r="N4" s="377" t="s">
        <v>584</v>
      </c>
      <c r="O4" s="383" t="s">
        <v>144</v>
      </c>
      <c r="P4" s="384" t="s">
        <v>134</v>
      </c>
      <c r="R4" s="381" t="s">
        <v>554</v>
      </c>
      <c r="T4" s="385" t="s">
        <v>6</v>
      </c>
      <c r="U4" s="376" t="s">
        <v>8</v>
      </c>
      <c r="V4" s="361"/>
      <c r="W4" s="361"/>
      <c r="Y4" s="387" t="s">
        <v>6</v>
      </c>
      <c r="Z4" s="379" t="s">
        <v>79</v>
      </c>
      <c r="AA4" s="379"/>
      <c r="AB4" s="379"/>
      <c r="AD4" s="381" t="s">
        <v>145</v>
      </c>
    </row>
    <row r="5" spans="2:30" ht="18" customHeight="1">
      <c r="B5" s="392"/>
      <c r="C5" s="392"/>
      <c r="D5" s="392"/>
      <c r="E5" s="392"/>
      <c r="F5" s="394"/>
      <c r="G5" s="392"/>
      <c r="H5" s="384"/>
      <c r="I5" s="94" t="s">
        <v>0</v>
      </c>
      <c r="J5" s="94" t="s">
        <v>1</v>
      </c>
      <c r="K5" s="363"/>
      <c r="L5" s="65" t="s">
        <v>0</v>
      </c>
      <c r="M5" s="65" t="s">
        <v>1</v>
      </c>
      <c r="N5" s="378"/>
      <c r="O5" s="383"/>
      <c r="P5" s="384"/>
      <c r="R5" s="382"/>
      <c r="T5" s="386"/>
      <c r="U5" s="94" t="s">
        <v>3</v>
      </c>
      <c r="V5" s="94" t="s">
        <v>2</v>
      </c>
      <c r="W5" s="94" t="s">
        <v>77</v>
      </c>
      <c r="Y5" s="388"/>
      <c r="Z5" s="65" t="s">
        <v>3</v>
      </c>
      <c r="AA5" s="65" t="s">
        <v>2</v>
      </c>
      <c r="AB5" s="65" t="s">
        <v>77</v>
      </c>
      <c r="AD5" s="382"/>
    </row>
    <row r="6" spans="2:30" ht="47.25" customHeight="1">
      <c r="B6" s="175" t="s">
        <v>585</v>
      </c>
      <c r="C6" s="175" t="s">
        <v>585</v>
      </c>
      <c r="D6" s="13"/>
      <c r="E6" s="175" t="s">
        <v>579</v>
      </c>
      <c r="F6" s="14"/>
      <c r="G6" s="14" t="s">
        <v>586</v>
      </c>
      <c r="H6" s="19">
        <f t="shared" ref="H6:N6" si="0">SUBTOTAL(9,H7:H827)</f>
        <v>64916382</v>
      </c>
      <c r="I6" s="19">
        <f t="shared" si="0"/>
        <v>-4443907</v>
      </c>
      <c r="J6" s="19">
        <f t="shared" si="0"/>
        <v>4283253</v>
      </c>
      <c r="K6" s="19">
        <f t="shared" si="0"/>
        <v>64755728</v>
      </c>
      <c r="L6" s="19">
        <f t="shared" si="0"/>
        <v>0</v>
      </c>
      <c r="M6" s="19">
        <f t="shared" si="0"/>
        <v>0</v>
      </c>
      <c r="N6" s="19">
        <f t="shared" si="0"/>
        <v>64916382</v>
      </c>
      <c r="O6" s="37"/>
      <c r="P6" s="28"/>
      <c r="R6" s="39"/>
      <c r="T6" s="23"/>
      <c r="U6" s="19">
        <f>SUBTOTAL(9,U7:U827)</f>
        <v>-160654</v>
      </c>
      <c r="V6" s="19">
        <f>SUBTOTAL(9,V7:V827)</f>
        <v>0</v>
      </c>
      <c r="W6" s="29" t="str">
        <f>IF((I6+J6)=(U6+V6),"OK","검토")</f>
        <v>OK</v>
      </c>
      <c r="Y6" s="53"/>
      <c r="Z6" s="19">
        <f>SUBTOTAL(9,Z7:Z827)</f>
        <v>0</v>
      </c>
      <c r="AA6" s="19">
        <f>SUBTOTAL(9,AA7:AA827)</f>
        <v>0</v>
      </c>
      <c r="AB6" s="29" t="str">
        <f>IF((L6+M6)=(Z6+AA6),"OK","검토")</f>
        <v>OK</v>
      </c>
      <c r="AD6" s="37"/>
    </row>
    <row r="7" spans="2:30" ht="31.5" customHeight="1">
      <c r="B7" s="72" t="str">
        <f>IFERROR(VLOOKUP('15년일입'!$D7,구분표!$A$2:$C$1001,2,FALSE),"")</f>
        <v>보건복지위원회</v>
      </c>
      <c r="C7" s="72" t="str">
        <f>IFERROR(VLOOKUP('15년일입'!$D7,구분표!$A$2:$C$1001,3,FALSE),"")</f>
        <v>보건복지국</v>
      </c>
      <c r="D7" s="176" t="s">
        <v>686</v>
      </c>
      <c r="E7" s="177" t="s">
        <v>632</v>
      </c>
      <c r="F7" s="177"/>
      <c r="G7" s="176" t="s">
        <v>687</v>
      </c>
      <c r="H7" s="178">
        <v>0</v>
      </c>
      <c r="I7" s="178"/>
      <c r="J7" s="178">
        <v>16500</v>
      </c>
      <c r="K7" s="73">
        <f t="shared" ref="K7:K22" si="1">SUM(H7+I7+J7)</f>
        <v>16500</v>
      </c>
      <c r="L7" s="178"/>
      <c r="M7" s="178"/>
      <c r="N7" s="73">
        <f t="shared" ref="N7:N22" si="2">SUM(H7+L7+M7)</f>
        <v>0</v>
      </c>
      <c r="O7" s="74" t="str">
        <f t="shared" ref="O7:O22" si="3">IF(I7-L7&lt;0,"동의필요","-")</f>
        <v>-</v>
      </c>
      <c r="P7" s="187" t="s">
        <v>688</v>
      </c>
      <c r="Q7" s="75"/>
      <c r="R7" s="189"/>
      <c r="S7" s="75"/>
      <c r="T7" s="78" t="s">
        <v>589</v>
      </c>
      <c r="U7" s="178">
        <f t="shared" ref="U7:U22" si="4">IF($T7&lt;&gt;"도비",IF($R7="국도비","직접입력",SUM($I7:$J7)),)</f>
        <v>16500</v>
      </c>
      <c r="V7" s="178">
        <f t="shared" ref="V7:V22" si="5">IF($T7="도비",SUM($I7:$J7),IF($R7="국도비","직접입력",SUM($I7:$J7)-$U7))</f>
        <v>0</v>
      </c>
      <c r="W7" s="77" t="str">
        <f t="shared" ref="W7:W22" si="6">IF($R7="국도비","ok",IF(($I7+$J7)=($U7+$V7),"ok","검토"))</f>
        <v>ok</v>
      </c>
      <c r="X7" s="75"/>
      <c r="Y7" s="76" t="str">
        <f t="shared" ref="Y7:Y22" si="7">$T7</f>
        <v>국비</v>
      </c>
      <c r="Z7" s="178">
        <f t="shared" ref="Z7:Z22" si="8">IF($Y7&lt;&gt;"도비",IF($R7="국도비","직접입력",SUM($L7:$M7)),)</f>
        <v>0</v>
      </c>
      <c r="AA7" s="178">
        <f t="shared" ref="AA7:AA22" si="9">IF($Y7="도비",SUM($L7:$M7),IF($R7="국도비","직접입력",SUM($L7:$M7)-$Z7))</f>
        <v>0</v>
      </c>
      <c r="AB7" s="77" t="str">
        <f t="shared" ref="AB7:AB22" si="10">IF($R7="국도비","ok",IF(($L7+$M7)=($Z7+$AA7),"ok","검토"))</f>
        <v>ok</v>
      </c>
      <c r="AC7" s="75"/>
      <c r="AD7" s="79" t="str">
        <f t="array" ref="AD7">IFERROR(IF($D7="","",INDEX(구분표!$I$2:$I$1001,MATCH(1,(구분표!$B$2:$B$1001='15년일입'!$B7)*(구분표!$C$2:$C$1001='15년일입'!$C7)*(구분표!$A$2:$A$1001='15년일입'!$D7),0))),"@@")</f>
        <v>1901</v>
      </c>
    </row>
    <row r="8" spans="2:30" ht="31.5" customHeight="1">
      <c r="B8" s="72" t="str">
        <f>IFERROR(VLOOKUP('15년일입'!$D8,구분표!$A$2:$C$1001,2,FALSE),"")</f>
        <v>보건복지위원회</v>
      </c>
      <c r="C8" s="72" t="str">
        <f>IFERROR(VLOOKUP('15년일입'!$D8,구분표!$A$2:$C$1001,3,FALSE),"")</f>
        <v>보건복지국</v>
      </c>
      <c r="D8" s="176" t="s">
        <v>293</v>
      </c>
      <c r="E8" s="177" t="s">
        <v>588</v>
      </c>
      <c r="F8" s="177">
        <v>731</v>
      </c>
      <c r="G8" s="176" t="s">
        <v>689</v>
      </c>
      <c r="H8" s="178">
        <v>33642495</v>
      </c>
      <c r="I8" s="178"/>
      <c r="J8" s="178">
        <v>3422638</v>
      </c>
      <c r="K8" s="73">
        <f t="shared" si="1"/>
        <v>37065133</v>
      </c>
      <c r="L8" s="178"/>
      <c r="M8" s="178"/>
      <c r="N8" s="73">
        <f t="shared" si="2"/>
        <v>33642495</v>
      </c>
      <c r="O8" s="74" t="str">
        <f t="shared" si="3"/>
        <v>-</v>
      </c>
      <c r="P8" s="187" t="s">
        <v>701</v>
      </c>
      <c r="Q8" s="75"/>
      <c r="R8" s="189"/>
      <c r="S8" s="75"/>
      <c r="T8" s="78" t="s">
        <v>589</v>
      </c>
      <c r="U8" s="178">
        <f t="shared" si="4"/>
        <v>3422638</v>
      </c>
      <c r="V8" s="178">
        <f t="shared" si="5"/>
        <v>0</v>
      </c>
      <c r="W8" s="77" t="str">
        <f t="shared" si="6"/>
        <v>ok</v>
      </c>
      <c r="X8" s="75"/>
      <c r="Y8" s="76" t="str">
        <f t="shared" si="7"/>
        <v>국비</v>
      </c>
      <c r="Z8" s="178">
        <f t="shared" si="8"/>
        <v>0</v>
      </c>
      <c r="AA8" s="178">
        <f t="shared" si="9"/>
        <v>0</v>
      </c>
      <c r="AB8" s="77" t="str">
        <f t="shared" si="10"/>
        <v>ok</v>
      </c>
      <c r="AC8" s="75"/>
      <c r="AD8" s="79" t="str">
        <f t="array" ref="AD8">IFERROR(IF($D8="","",INDEX(구분표!$I$2:$I$1001,MATCH(1,(구분표!$B$2:$B$1001='15년일입'!$B8)*(구분표!$C$2:$C$1001='15년일입'!$C8)*(구분표!$A$2:$A$1001='15년일입'!$D8),0))),"@@")</f>
        <v>1902</v>
      </c>
    </row>
    <row r="9" spans="2:30" ht="31.5" customHeight="1">
      <c r="B9" s="72" t="str">
        <f>IFERROR(VLOOKUP('15년일입'!$D9,구분표!$A$2:$C$1001,2,FALSE),"")</f>
        <v>보건복지위원회</v>
      </c>
      <c r="C9" s="72" t="str">
        <f>IFERROR(VLOOKUP('15년일입'!$D9,구분표!$A$2:$C$1001,3,FALSE),"")</f>
        <v>보건복지국</v>
      </c>
      <c r="D9" s="176" t="s">
        <v>295</v>
      </c>
      <c r="E9" s="177" t="s">
        <v>588</v>
      </c>
      <c r="F9" s="177">
        <v>732</v>
      </c>
      <c r="G9" s="176" t="s">
        <v>690</v>
      </c>
      <c r="H9" s="178">
        <v>5636188</v>
      </c>
      <c r="I9" s="178">
        <v>-261000</v>
      </c>
      <c r="J9" s="178"/>
      <c r="K9" s="73">
        <f t="shared" si="1"/>
        <v>5375188</v>
      </c>
      <c r="L9" s="178"/>
      <c r="M9" s="178"/>
      <c r="N9" s="73">
        <f t="shared" si="2"/>
        <v>5636188</v>
      </c>
      <c r="O9" s="74" t="str">
        <f t="shared" si="3"/>
        <v>동의필요</v>
      </c>
      <c r="P9" s="187" t="s">
        <v>702</v>
      </c>
      <c r="Q9" s="75"/>
      <c r="R9" s="189"/>
      <c r="S9" s="75"/>
      <c r="T9" s="78" t="s">
        <v>589</v>
      </c>
      <c r="U9" s="178">
        <f t="shared" si="4"/>
        <v>-261000</v>
      </c>
      <c r="V9" s="178">
        <f t="shared" si="5"/>
        <v>0</v>
      </c>
      <c r="W9" s="77" t="str">
        <f t="shared" si="6"/>
        <v>ok</v>
      </c>
      <c r="X9" s="75"/>
      <c r="Y9" s="76" t="str">
        <f t="shared" si="7"/>
        <v>국비</v>
      </c>
      <c r="Z9" s="178">
        <f t="shared" si="8"/>
        <v>0</v>
      </c>
      <c r="AA9" s="178">
        <f t="shared" si="9"/>
        <v>0</v>
      </c>
      <c r="AB9" s="77" t="str">
        <f t="shared" si="10"/>
        <v>ok</v>
      </c>
      <c r="AC9" s="75"/>
      <c r="AD9" s="79" t="str">
        <f t="array" ref="AD9">IFERROR(IF($D9="","",INDEX(구분표!$I$2:$I$1001,MATCH(1,(구분표!$B$2:$B$1001='15년일입'!$B9)*(구분표!$C$2:$C$1001='15년일입'!$C9)*(구분표!$A$2:$A$1001='15년일입'!$D9),0))),"@@")</f>
        <v>1903</v>
      </c>
    </row>
    <row r="10" spans="2:30" ht="31.5" customHeight="1">
      <c r="B10" s="72" t="str">
        <f>IFERROR(VLOOKUP('15년일입'!$D10,구분표!$A$2:$C$1001,2,FALSE),"")</f>
        <v>보건복지위원회</v>
      </c>
      <c r="C10" s="72" t="str">
        <f>IFERROR(VLOOKUP('15년일입'!$D10,구분표!$A$2:$C$1001,3,FALSE),"")</f>
        <v>보건복지국</v>
      </c>
      <c r="D10" s="176" t="s">
        <v>296</v>
      </c>
      <c r="E10" s="177" t="s">
        <v>588</v>
      </c>
      <c r="F10" s="177">
        <v>733</v>
      </c>
      <c r="G10" s="176" t="s">
        <v>691</v>
      </c>
      <c r="H10" s="178">
        <v>2622581</v>
      </c>
      <c r="I10" s="178"/>
      <c r="J10" s="178">
        <v>59004</v>
      </c>
      <c r="K10" s="73">
        <f t="shared" si="1"/>
        <v>2681585</v>
      </c>
      <c r="L10" s="178"/>
      <c r="M10" s="178"/>
      <c r="N10" s="73">
        <f t="shared" si="2"/>
        <v>2622581</v>
      </c>
      <c r="O10" s="74" t="str">
        <f t="shared" si="3"/>
        <v>-</v>
      </c>
      <c r="P10" s="187" t="s">
        <v>703</v>
      </c>
      <c r="Q10" s="75"/>
      <c r="R10" s="189"/>
      <c r="S10" s="75"/>
      <c r="T10" s="78" t="s">
        <v>589</v>
      </c>
      <c r="U10" s="178">
        <f t="shared" si="4"/>
        <v>59004</v>
      </c>
      <c r="V10" s="178">
        <f t="shared" si="5"/>
        <v>0</v>
      </c>
      <c r="W10" s="77" t="str">
        <f t="shared" si="6"/>
        <v>ok</v>
      </c>
      <c r="X10" s="75"/>
      <c r="Y10" s="76" t="str">
        <f t="shared" si="7"/>
        <v>국비</v>
      </c>
      <c r="Z10" s="178">
        <f t="shared" si="8"/>
        <v>0</v>
      </c>
      <c r="AA10" s="178">
        <f t="shared" si="9"/>
        <v>0</v>
      </c>
      <c r="AB10" s="77" t="str">
        <f t="shared" si="10"/>
        <v>ok</v>
      </c>
      <c r="AC10" s="75"/>
      <c r="AD10" s="79" t="str">
        <f t="array" ref="AD10">IFERROR(IF($D10="","",INDEX(구분표!$I$2:$I$1001,MATCH(1,(구분표!$B$2:$B$1001='15년일입'!$B10)*(구분표!$C$2:$C$1001='15년일입'!$C10)*(구분표!$A$2:$A$1001='15년일입'!$D10),0))),"@@")</f>
        <v>1905</v>
      </c>
    </row>
    <row r="11" spans="2:30" ht="31.5" customHeight="1">
      <c r="B11" s="82" t="str">
        <f>IFERROR(VLOOKUP('15년일입'!$D11,구분표!$A$2:$C$1001,2,FALSE),"")</f>
        <v>보건복지위원회</v>
      </c>
      <c r="C11" s="72" t="str">
        <f>IFERROR(VLOOKUP('15년일입'!$D11,구분표!$A$2:$C$1001,3,FALSE),"")</f>
        <v>보건복지국</v>
      </c>
      <c r="D11" s="176" t="s">
        <v>296</v>
      </c>
      <c r="E11" s="177" t="s">
        <v>588</v>
      </c>
      <c r="F11" s="177">
        <v>733</v>
      </c>
      <c r="G11" s="176" t="s">
        <v>692</v>
      </c>
      <c r="H11" s="178">
        <v>347900</v>
      </c>
      <c r="I11" s="178">
        <v>-81900</v>
      </c>
      <c r="J11" s="178"/>
      <c r="K11" s="73">
        <f t="shared" si="1"/>
        <v>266000</v>
      </c>
      <c r="L11" s="178"/>
      <c r="M11" s="178"/>
      <c r="N11" s="73">
        <f t="shared" si="2"/>
        <v>347900</v>
      </c>
      <c r="O11" s="74" t="str">
        <f t="shared" si="3"/>
        <v>동의필요</v>
      </c>
      <c r="P11" s="187" t="s">
        <v>704</v>
      </c>
      <c r="Q11" s="75"/>
      <c r="R11" s="189"/>
      <c r="S11" s="75"/>
      <c r="T11" s="78" t="s">
        <v>589</v>
      </c>
      <c r="U11" s="178">
        <f t="shared" si="4"/>
        <v>-81900</v>
      </c>
      <c r="V11" s="178">
        <f t="shared" si="5"/>
        <v>0</v>
      </c>
      <c r="W11" s="77" t="str">
        <f t="shared" si="6"/>
        <v>ok</v>
      </c>
      <c r="X11" s="75"/>
      <c r="Y11" s="76" t="str">
        <f t="shared" si="7"/>
        <v>국비</v>
      </c>
      <c r="Z11" s="178">
        <f t="shared" si="8"/>
        <v>0</v>
      </c>
      <c r="AA11" s="178">
        <f t="shared" si="9"/>
        <v>0</v>
      </c>
      <c r="AB11" s="77" t="str">
        <f t="shared" si="10"/>
        <v>ok</v>
      </c>
      <c r="AC11" s="75"/>
      <c r="AD11" s="79" t="str">
        <f t="array" ref="AD11">IFERROR(IF($D11="","",INDEX(구분표!$I$2:$I$1001,MATCH(1,(구분표!$B$2:$B$1001='15년일입'!$B11)*(구분표!$C$2:$C$1001='15년일입'!$C11)*(구분표!$A$2:$A$1001='15년일입'!$D11),0))),"@@")</f>
        <v>1905</v>
      </c>
    </row>
    <row r="12" spans="2:30" ht="31.5" customHeight="1">
      <c r="B12" s="83" t="str">
        <f>IFERROR(VLOOKUP('15년일입'!$D12,구분표!$A$2:$C$1001,2,FALSE),"")</f>
        <v>보건복지위원회</v>
      </c>
      <c r="C12" s="83" t="str">
        <f>IFERROR(VLOOKUP('15년일입'!$D12,구분표!$A$2:$C$1001,3,FALSE),"")</f>
        <v>보건복지국</v>
      </c>
      <c r="D12" s="180" t="s">
        <v>296</v>
      </c>
      <c r="E12" s="177" t="s">
        <v>588</v>
      </c>
      <c r="F12" s="179">
        <v>733</v>
      </c>
      <c r="G12" s="180" t="s">
        <v>693</v>
      </c>
      <c r="H12" s="178">
        <v>171108</v>
      </c>
      <c r="I12" s="178">
        <v>-6984</v>
      </c>
      <c r="J12" s="178"/>
      <c r="K12" s="73">
        <f t="shared" si="1"/>
        <v>164124</v>
      </c>
      <c r="L12" s="178"/>
      <c r="M12" s="178"/>
      <c r="N12" s="73">
        <f t="shared" si="2"/>
        <v>171108</v>
      </c>
      <c r="O12" s="74" t="str">
        <f t="shared" si="3"/>
        <v>동의필요</v>
      </c>
      <c r="P12" s="187" t="s">
        <v>705</v>
      </c>
      <c r="Q12" s="75"/>
      <c r="R12" s="189"/>
      <c r="S12" s="75"/>
      <c r="T12" s="78" t="s">
        <v>589</v>
      </c>
      <c r="U12" s="178">
        <f t="shared" si="4"/>
        <v>-6984</v>
      </c>
      <c r="V12" s="178">
        <f t="shared" si="5"/>
        <v>0</v>
      </c>
      <c r="W12" s="77" t="str">
        <f t="shared" si="6"/>
        <v>ok</v>
      </c>
      <c r="X12" s="75"/>
      <c r="Y12" s="76" t="str">
        <f t="shared" si="7"/>
        <v>국비</v>
      </c>
      <c r="Z12" s="178">
        <f t="shared" si="8"/>
        <v>0</v>
      </c>
      <c r="AA12" s="178">
        <f t="shared" si="9"/>
        <v>0</v>
      </c>
      <c r="AB12" s="77" t="str">
        <f t="shared" si="10"/>
        <v>ok</v>
      </c>
      <c r="AC12" s="75"/>
      <c r="AD12" s="79" t="str">
        <f t="array" ref="AD12">IFERROR(IF($D12="","",INDEX(구분표!$I$2:$I$1001,MATCH(1,(구분표!$B$2:$B$1001='15년일입'!$B12)*(구분표!$C$2:$C$1001='15년일입'!$C12)*(구분표!$A$2:$A$1001='15년일입'!$D12),0))),"@@")</f>
        <v>1905</v>
      </c>
    </row>
    <row r="13" spans="2:30" ht="31.5" customHeight="1">
      <c r="B13" s="72" t="str">
        <f>IFERROR(VLOOKUP('15년일입'!$D13,구분표!$A$2:$C$1001,2,FALSE),"")</f>
        <v>보건복지위원회</v>
      </c>
      <c r="C13" s="72" t="str">
        <f>IFERROR(VLOOKUP('15년일입'!$D13,구분표!$A$2:$C$1001,3,FALSE),"")</f>
        <v>보건복지국</v>
      </c>
      <c r="D13" s="176" t="s">
        <v>296</v>
      </c>
      <c r="E13" s="177" t="s">
        <v>588</v>
      </c>
      <c r="F13" s="177">
        <v>734</v>
      </c>
      <c r="G13" s="176" t="s">
        <v>694</v>
      </c>
      <c r="H13" s="178">
        <v>3685458</v>
      </c>
      <c r="I13" s="178"/>
      <c r="J13" s="178">
        <v>59000</v>
      </c>
      <c r="K13" s="73">
        <f t="shared" si="1"/>
        <v>3744458</v>
      </c>
      <c r="L13" s="178"/>
      <c r="M13" s="178"/>
      <c r="N13" s="73">
        <f t="shared" si="2"/>
        <v>3685458</v>
      </c>
      <c r="O13" s="74" t="str">
        <f t="shared" si="3"/>
        <v>-</v>
      </c>
      <c r="P13" s="187" t="s">
        <v>706</v>
      </c>
      <c r="Q13" s="75"/>
      <c r="R13" s="189"/>
      <c r="S13" s="75"/>
      <c r="T13" s="78" t="s">
        <v>675</v>
      </c>
      <c r="U13" s="178">
        <f t="shared" si="4"/>
        <v>59000</v>
      </c>
      <c r="V13" s="178">
        <f t="shared" si="5"/>
        <v>0</v>
      </c>
      <c r="W13" s="77" t="str">
        <f t="shared" si="6"/>
        <v>ok</v>
      </c>
      <c r="X13" s="75"/>
      <c r="Y13" s="76" t="str">
        <f t="shared" si="7"/>
        <v>기금</v>
      </c>
      <c r="Z13" s="178">
        <f t="shared" si="8"/>
        <v>0</v>
      </c>
      <c r="AA13" s="178">
        <f t="shared" si="9"/>
        <v>0</v>
      </c>
      <c r="AB13" s="77" t="str">
        <f t="shared" si="10"/>
        <v>ok</v>
      </c>
      <c r="AC13" s="75"/>
      <c r="AD13" s="79" t="str">
        <f t="array" ref="AD13">IFERROR(IF($D13="","",INDEX(구분표!$I$2:$I$1001,MATCH(1,(구분표!$B$2:$B$1001='15년일입'!$B13)*(구분표!$C$2:$C$1001='15년일입'!$C13)*(구분표!$A$2:$A$1001='15년일입'!$D13),0))),"@@")</f>
        <v>1905</v>
      </c>
    </row>
    <row r="14" spans="2:30" ht="31.5" customHeight="1">
      <c r="B14" s="72" t="str">
        <f>IFERROR(VLOOKUP('15년일입'!$D14,구분표!$A$2:$C$1001,2,FALSE),"")</f>
        <v>보건복지위원회</v>
      </c>
      <c r="C14" s="72" t="str">
        <f>IFERROR(VLOOKUP('15년일입'!$D14,구분표!$A$2:$C$1001,3,FALSE),"")</f>
        <v>보건복지국</v>
      </c>
      <c r="D14" s="176" t="s">
        <v>297</v>
      </c>
      <c r="E14" s="177" t="s">
        <v>588</v>
      </c>
      <c r="F14" s="177">
        <v>734</v>
      </c>
      <c r="G14" s="176" t="s">
        <v>695</v>
      </c>
      <c r="H14" s="178">
        <v>8170178</v>
      </c>
      <c r="I14" s="178"/>
      <c r="J14" s="178">
        <v>380929</v>
      </c>
      <c r="K14" s="73">
        <f t="shared" si="1"/>
        <v>8551107</v>
      </c>
      <c r="L14" s="178"/>
      <c r="M14" s="178"/>
      <c r="N14" s="73">
        <f t="shared" si="2"/>
        <v>8170178</v>
      </c>
      <c r="O14" s="74" t="str">
        <f t="shared" si="3"/>
        <v>-</v>
      </c>
      <c r="P14" s="188" t="s">
        <v>707</v>
      </c>
      <c r="Q14" s="75"/>
      <c r="R14" s="189"/>
      <c r="S14" s="75"/>
      <c r="T14" s="78" t="s">
        <v>589</v>
      </c>
      <c r="U14" s="178">
        <f t="shared" si="4"/>
        <v>380929</v>
      </c>
      <c r="V14" s="178">
        <f t="shared" si="5"/>
        <v>0</v>
      </c>
      <c r="W14" s="77" t="str">
        <f t="shared" si="6"/>
        <v>ok</v>
      </c>
      <c r="X14" s="75"/>
      <c r="Y14" s="76" t="str">
        <f t="shared" si="7"/>
        <v>국비</v>
      </c>
      <c r="Z14" s="178">
        <f t="shared" si="8"/>
        <v>0</v>
      </c>
      <c r="AA14" s="178">
        <f t="shared" si="9"/>
        <v>0</v>
      </c>
      <c r="AB14" s="77" t="str">
        <f t="shared" si="10"/>
        <v>ok</v>
      </c>
      <c r="AC14" s="75"/>
      <c r="AD14" s="79" t="str">
        <f t="array" ref="AD14">IFERROR(IF($D14="","",INDEX(구분표!$I$2:$I$1001,MATCH(1,(구분표!$B$2:$B$1001='15년일입'!$B14)*(구분표!$C$2:$C$1001='15년일입'!$C14)*(구분표!$A$2:$A$1001='15년일입'!$D14),0))),"@@")</f>
        <v>1906</v>
      </c>
    </row>
    <row r="15" spans="2:30" ht="31.5" customHeight="1">
      <c r="B15" s="83" t="str">
        <f>IFERROR(VLOOKUP('15년일입'!$D15,구분표!$A$2:$C$1001,2,FALSE),"")</f>
        <v>보건복지위원회</v>
      </c>
      <c r="C15" s="83" t="str">
        <f>IFERROR(VLOOKUP('15년일입'!$D15,구분표!$A$2:$C$1001,3,FALSE),"")</f>
        <v>보건복지국</v>
      </c>
      <c r="D15" s="180" t="s">
        <v>297</v>
      </c>
      <c r="E15" s="177" t="s">
        <v>588</v>
      </c>
      <c r="F15" s="177">
        <v>734</v>
      </c>
      <c r="G15" s="180" t="s">
        <v>696</v>
      </c>
      <c r="H15" s="178">
        <v>1884921</v>
      </c>
      <c r="I15" s="178">
        <v>-813554</v>
      </c>
      <c r="J15" s="178"/>
      <c r="K15" s="73">
        <f t="shared" si="1"/>
        <v>1071367</v>
      </c>
      <c r="L15" s="178"/>
      <c r="M15" s="178"/>
      <c r="N15" s="73">
        <f t="shared" si="2"/>
        <v>1884921</v>
      </c>
      <c r="O15" s="74" t="str">
        <f t="shared" si="3"/>
        <v>동의필요</v>
      </c>
      <c r="P15" s="188" t="s">
        <v>708</v>
      </c>
      <c r="Q15" s="75"/>
      <c r="R15" s="189"/>
      <c r="S15" s="75"/>
      <c r="T15" s="78" t="s">
        <v>675</v>
      </c>
      <c r="U15" s="178">
        <f t="shared" si="4"/>
        <v>-813554</v>
      </c>
      <c r="V15" s="178">
        <f t="shared" si="5"/>
        <v>0</v>
      </c>
      <c r="W15" s="77" t="str">
        <f t="shared" si="6"/>
        <v>ok</v>
      </c>
      <c r="X15" s="75"/>
      <c r="Y15" s="76" t="str">
        <f t="shared" si="7"/>
        <v>기금</v>
      </c>
      <c r="Z15" s="178">
        <f t="shared" si="8"/>
        <v>0</v>
      </c>
      <c r="AA15" s="178">
        <f t="shared" si="9"/>
        <v>0</v>
      </c>
      <c r="AB15" s="77" t="str">
        <f t="shared" si="10"/>
        <v>ok</v>
      </c>
      <c r="AC15" s="75"/>
      <c r="AD15" s="79" t="str">
        <f t="array" ref="AD15">IFERROR(IF($D15="","",INDEX(구분표!$I$2:$I$1001,MATCH(1,(구분표!$B$2:$B$1001='15년일입'!$B15)*(구분표!$C$2:$C$1001='15년일입'!$C15)*(구분표!$A$2:$A$1001='15년일입'!$D15),0))),"@@")</f>
        <v>1906</v>
      </c>
    </row>
    <row r="16" spans="2:30" ht="31.5" customHeight="1">
      <c r="B16" s="83" t="str">
        <f>IFERROR(VLOOKUP('15년일입'!$D16,구분표!$A$2:$C$1001,2,FALSE),"")</f>
        <v>보건복지위원회</v>
      </c>
      <c r="C16" s="83" t="str">
        <f>IFERROR(VLOOKUP('15년일입'!$D16,구분표!$A$2:$C$1001,3,FALSE),"")</f>
        <v>보건복지국</v>
      </c>
      <c r="D16" s="180" t="s">
        <v>297</v>
      </c>
      <c r="E16" s="177" t="s">
        <v>588</v>
      </c>
      <c r="F16" s="177">
        <v>734</v>
      </c>
      <c r="G16" s="180" t="s">
        <v>697</v>
      </c>
      <c r="H16" s="178">
        <v>229500</v>
      </c>
      <c r="I16" s="178">
        <v>-97500</v>
      </c>
      <c r="J16" s="178"/>
      <c r="K16" s="73">
        <f t="shared" si="1"/>
        <v>132000</v>
      </c>
      <c r="L16" s="178"/>
      <c r="M16" s="178"/>
      <c r="N16" s="73">
        <f t="shared" si="2"/>
        <v>229500</v>
      </c>
      <c r="O16" s="74" t="str">
        <f t="shared" si="3"/>
        <v>동의필요</v>
      </c>
      <c r="P16" s="188" t="s">
        <v>709</v>
      </c>
      <c r="Q16" s="75"/>
      <c r="R16" s="189"/>
      <c r="S16" s="75"/>
      <c r="T16" s="78" t="s">
        <v>675</v>
      </c>
      <c r="U16" s="178">
        <f t="shared" si="4"/>
        <v>-97500</v>
      </c>
      <c r="V16" s="178">
        <f t="shared" si="5"/>
        <v>0</v>
      </c>
      <c r="W16" s="77" t="str">
        <f t="shared" si="6"/>
        <v>ok</v>
      </c>
      <c r="X16" s="75"/>
      <c r="Y16" s="76" t="str">
        <f t="shared" si="7"/>
        <v>기금</v>
      </c>
      <c r="Z16" s="178">
        <f t="shared" si="8"/>
        <v>0</v>
      </c>
      <c r="AA16" s="178">
        <f t="shared" si="9"/>
        <v>0</v>
      </c>
      <c r="AB16" s="77" t="str">
        <f t="shared" si="10"/>
        <v>ok</v>
      </c>
      <c r="AC16" s="75"/>
      <c r="AD16" s="79" t="str">
        <f t="array" ref="AD16">IFERROR(IF($D16="","",INDEX(구분표!$I$2:$I$1001,MATCH(1,(구분표!$B$2:$B$1001='15년일입'!$B16)*(구분표!$C$2:$C$1001='15년일입'!$C16)*(구분표!$A$2:$A$1001='15년일입'!$D16),0))),"@@")</f>
        <v>1906</v>
      </c>
    </row>
    <row r="17" spans="2:30" ht="31.5" customHeight="1">
      <c r="B17" s="83" t="str">
        <f>IFERROR(VLOOKUP('15년일입'!$D17,구분표!$A$2:$C$1001,2,FALSE),"")</f>
        <v>보건복지위원회</v>
      </c>
      <c r="C17" s="83" t="str">
        <f>IFERROR(VLOOKUP('15년일입'!$D17,구분표!$A$2:$C$1001,3,FALSE),"")</f>
        <v>보건복지국</v>
      </c>
      <c r="D17" s="180" t="s">
        <v>297</v>
      </c>
      <c r="E17" s="177" t="s">
        <v>588</v>
      </c>
      <c r="F17" s="177">
        <v>734</v>
      </c>
      <c r="G17" s="180" t="s">
        <v>698</v>
      </c>
      <c r="H17" s="178">
        <v>1134272</v>
      </c>
      <c r="I17" s="178"/>
      <c r="J17" s="178">
        <v>13650</v>
      </c>
      <c r="K17" s="73">
        <f t="shared" si="1"/>
        <v>1147922</v>
      </c>
      <c r="L17" s="178"/>
      <c r="M17" s="178"/>
      <c r="N17" s="73">
        <f t="shared" si="2"/>
        <v>1134272</v>
      </c>
      <c r="O17" s="74" t="str">
        <f t="shared" si="3"/>
        <v>-</v>
      </c>
      <c r="P17" s="188" t="s">
        <v>710</v>
      </c>
      <c r="Q17" s="75"/>
      <c r="R17" s="189"/>
      <c r="S17" s="75"/>
      <c r="T17" s="78" t="s">
        <v>675</v>
      </c>
      <c r="U17" s="178">
        <f t="shared" si="4"/>
        <v>13650</v>
      </c>
      <c r="V17" s="178">
        <f t="shared" si="5"/>
        <v>0</v>
      </c>
      <c r="W17" s="77" t="str">
        <f t="shared" si="6"/>
        <v>ok</v>
      </c>
      <c r="X17" s="75"/>
      <c r="Y17" s="76" t="str">
        <f t="shared" si="7"/>
        <v>기금</v>
      </c>
      <c r="Z17" s="178">
        <f t="shared" si="8"/>
        <v>0</v>
      </c>
      <c r="AA17" s="178">
        <f t="shared" si="9"/>
        <v>0</v>
      </c>
      <c r="AB17" s="77" t="str">
        <f t="shared" si="10"/>
        <v>ok</v>
      </c>
      <c r="AC17" s="75"/>
      <c r="AD17" s="79" t="str">
        <f t="array" ref="AD17">IFERROR(IF($D17="","",INDEX(구분표!$I$2:$I$1001,MATCH(1,(구분표!$B$2:$B$1001='15년일입'!$B17)*(구분표!$C$2:$C$1001='15년일입'!$C17)*(구분표!$A$2:$A$1001='15년일입'!$D17),0))),"@@")</f>
        <v>1906</v>
      </c>
    </row>
    <row r="18" spans="2:30" ht="31.5" customHeight="1">
      <c r="B18" s="83" t="str">
        <f>IFERROR(VLOOKUP('15년일입'!$D18,구분표!$A$2:$C$1001,2,FALSE),"")</f>
        <v>보건복지위원회</v>
      </c>
      <c r="C18" s="83" t="str">
        <f>IFERROR(VLOOKUP('15년일입'!$D18,구분표!$A$2:$C$1001,3,FALSE),"")</f>
        <v>보건복지국</v>
      </c>
      <c r="D18" s="180" t="s">
        <v>297</v>
      </c>
      <c r="E18" s="177" t="s">
        <v>588</v>
      </c>
      <c r="F18" s="179">
        <v>734</v>
      </c>
      <c r="G18" s="180" t="s">
        <v>699</v>
      </c>
      <c r="H18" s="178">
        <v>7003758</v>
      </c>
      <c r="I18" s="178">
        <v>-3182969</v>
      </c>
      <c r="J18" s="178"/>
      <c r="K18" s="73">
        <f t="shared" si="1"/>
        <v>3820789</v>
      </c>
      <c r="L18" s="178"/>
      <c r="M18" s="178"/>
      <c r="N18" s="73">
        <f t="shared" si="2"/>
        <v>7003758</v>
      </c>
      <c r="O18" s="74" t="str">
        <f t="shared" si="3"/>
        <v>동의필요</v>
      </c>
      <c r="P18" s="188" t="s">
        <v>711</v>
      </c>
      <c r="Q18" s="75"/>
      <c r="R18" s="189"/>
      <c r="S18" s="75"/>
      <c r="T18" s="78" t="s">
        <v>675</v>
      </c>
      <c r="U18" s="178">
        <f t="shared" si="4"/>
        <v>-3182969</v>
      </c>
      <c r="V18" s="178">
        <f t="shared" si="5"/>
        <v>0</v>
      </c>
      <c r="W18" s="77" t="str">
        <f t="shared" si="6"/>
        <v>ok</v>
      </c>
      <c r="X18" s="75"/>
      <c r="Y18" s="76" t="str">
        <f t="shared" si="7"/>
        <v>기금</v>
      </c>
      <c r="Z18" s="178">
        <f t="shared" si="8"/>
        <v>0</v>
      </c>
      <c r="AA18" s="178">
        <f t="shared" si="9"/>
        <v>0</v>
      </c>
      <c r="AB18" s="77" t="str">
        <f t="shared" si="10"/>
        <v>ok</v>
      </c>
      <c r="AC18" s="75"/>
      <c r="AD18" s="79" t="str">
        <f t="array" ref="AD18">IFERROR(IF($D18="","",INDEX(구분표!$I$2:$I$1001,MATCH(1,(구분표!$B$2:$B$1001='15년일입'!$B18)*(구분표!$C$2:$C$1001='15년일입'!$C18)*(구분표!$A$2:$A$1001='15년일입'!$D18),0))),"@@")</f>
        <v>1906</v>
      </c>
    </row>
    <row r="19" spans="2:30" ht="31.5" customHeight="1">
      <c r="B19" s="83" t="str">
        <f>IFERROR(VLOOKUP('15년일입'!$D19,구분표!$A$2:$C$1001,2,FALSE),"")</f>
        <v>보건복지위원회</v>
      </c>
      <c r="C19" s="83" t="str">
        <f>IFERROR(VLOOKUP('15년일입'!$D19,구분표!$A$2:$C$1001,3,FALSE),"")</f>
        <v>보건복지국</v>
      </c>
      <c r="D19" s="180" t="s">
        <v>297</v>
      </c>
      <c r="E19" s="177" t="s">
        <v>588</v>
      </c>
      <c r="F19" s="179">
        <v>734</v>
      </c>
      <c r="G19" s="180" t="s">
        <v>700</v>
      </c>
      <c r="H19" s="178">
        <v>325800</v>
      </c>
      <c r="I19" s="178"/>
      <c r="J19" s="178">
        <v>331200</v>
      </c>
      <c r="K19" s="73">
        <f t="shared" si="1"/>
        <v>657000</v>
      </c>
      <c r="L19" s="178"/>
      <c r="M19" s="178"/>
      <c r="N19" s="73">
        <f t="shared" si="2"/>
        <v>325800</v>
      </c>
      <c r="O19" s="74" t="str">
        <f t="shared" si="3"/>
        <v>-</v>
      </c>
      <c r="P19" s="188" t="s">
        <v>712</v>
      </c>
      <c r="Q19" s="75"/>
      <c r="R19" s="189"/>
      <c r="S19" s="75"/>
      <c r="T19" s="78" t="s">
        <v>675</v>
      </c>
      <c r="U19" s="178">
        <f t="shared" si="4"/>
        <v>331200</v>
      </c>
      <c r="V19" s="178">
        <f t="shared" si="5"/>
        <v>0</v>
      </c>
      <c r="W19" s="77" t="str">
        <f t="shared" si="6"/>
        <v>ok</v>
      </c>
      <c r="X19" s="75"/>
      <c r="Y19" s="76" t="str">
        <f t="shared" si="7"/>
        <v>기금</v>
      </c>
      <c r="Z19" s="178">
        <f t="shared" si="8"/>
        <v>0</v>
      </c>
      <c r="AA19" s="178">
        <f t="shared" si="9"/>
        <v>0</v>
      </c>
      <c r="AB19" s="77" t="str">
        <f t="shared" si="10"/>
        <v>ok</v>
      </c>
      <c r="AC19" s="75"/>
      <c r="AD19" s="79" t="str">
        <f t="array" ref="AD19">IFERROR(IF($D19="","",INDEX(구분표!$I$2:$I$1001,MATCH(1,(구분표!$B$2:$B$1001='15년일입'!$B19)*(구분표!$C$2:$C$1001='15년일입'!$C19)*(구분표!$A$2:$A$1001='15년일입'!$D19),0))),"@@")</f>
        <v>1906</v>
      </c>
    </row>
    <row r="20" spans="2:30" ht="31.5" customHeight="1">
      <c r="B20" s="83" t="str">
        <f>IFERROR(VLOOKUP('15년일입'!$D20,구분표!$A$2:$C$1001,2,FALSE),"")</f>
        <v>보건복지위원회</v>
      </c>
      <c r="C20" s="83" t="str">
        <f>IFERROR(VLOOKUP('15년일입'!$D20,구분표!$A$2:$C$1001,3,FALSE),"")</f>
        <v>보건환경연구원</v>
      </c>
      <c r="D20" s="180" t="s">
        <v>870</v>
      </c>
      <c r="E20" s="179" t="s">
        <v>588</v>
      </c>
      <c r="F20" s="179">
        <v>853</v>
      </c>
      <c r="G20" s="180" t="s">
        <v>871</v>
      </c>
      <c r="H20" s="178">
        <v>62223</v>
      </c>
      <c r="I20" s="178"/>
      <c r="J20" s="178">
        <v>332</v>
      </c>
      <c r="K20" s="73">
        <f t="shared" si="1"/>
        <v>62555</v>
      </c>
      <c r="L20" s="178"/>
      <c r="M20" s="178"/>
      <c r="N20" s="73">
        <f t="shared" si="2"/>
        <v>62223</v>
      </c>
      <c r="O20" s="74" t="str">
        <f t="shared" si="3"/>
        <v>-</v>
      </c>
      <c r="P20" s="188" t="s">
        <v>872</v>
      </c>
      <c r="Q20" s="75"/>
      <c r="R20" s="189"/>
      <c r="S20" s="75"/>
      <c r="T20" s="78" t="s">
        <v>589</v>
      </c>
      <c r="U20" s="178">
        <f t="shared" si="4"/>
        <v>332</v>
      </c>
      <c r="V20" s="178">
        <f t="shared" si="5"/>
        <v>0</v>
      </c>
      <c r="W20" s="77" t="str">
        <f t="shared" si="6"/>
        <v>ok</v>
      </c>
      <c r="X20" s="75"/>
      <c r="Y20" s="76" t="str">
        <f t="shared" si="7"/>
        <v>국비</v>
      </c>
      <c r="Z20" s="178">
        <f t="shared" si="8"/>
        <v>0</v>
      </c>
      <c r="AA20" s="178">
        <f t="shared" si="9"/>
        <v>0</v>
      </c>
      <c r="AB20" s="77" t="str">
        <f t="shared" si="10"/>
        <v>ok</v>
      </c>
      <c r="AC20" s="75"/>
      <c r="AD20" s="79" t="str">
        <f t="array" ref="AD20">IFERROR(IF($D20="","",INDEX(구분표!$I$2:$I$1001,MATCH(1,(구분표!$B$2:$B$1001='15년일입'!$B20)*(구분표!$C$2:$C$1001='15년일입'!$C20)*(구분표!$A$2:$A$1001='15년일입'!$D20),0))),"@@")</f>
        <v>2102</v>
      </c>
    </row>
    <row r="21" spans="2:30" ht="31.5" customHeight="1">
      <c r="B21" s="83" t="str">
        <f>IFERROR(VLOOKUP('15년일입'!$D21,구분표!$A$2:$C$1001,2,FALSE),"")</f>
        <v/>
      </c>
      <c r="C21" s="83" t="str">
        <f>IFERROR(VLOOKUP('15년일입'!$D21,구분표!$A$2:$C$1001,3,FALSE),"")</f>
        <v/>
      </c>
      <c r="D21" s="180"/>
      <c r="E21" s="177"/>
      <c r="F21" s="177"/>
      <c r="G21" s="180"/>
      <c r="H21" s="178"/>
      <c r="I21" s="178"/>
      <c r="J21" s="178"/>
      <c r="K21" s="73">
        <f t="shared" si="1"/>
        <v>0</v>
      </c>
      <c r="L21" s="178"/>
      <c r="M21" s="178"/>
      <c r="N21" s="73">
        <f t="shared" si="2"/>
        <v>0</v>
      </c>
      <c r="O21" s="74" t="str">
        <f t="shared" si="3"/>
        <v>-</v>
      </c>
      <c r="P21" s="188"/>
      <c r="Q21" s="75"/>
      <c r="R21" s="189"/>
      <c r="S21" s="75"/>
      <c r="T21" s="78"/>
      <c r="U21" s="178">
        <f t="shared" si="4"/>
        <v>0</v>
      </c>
      <c r="V21" s="178">
        <f t="shared" si="5"/>
        <v>0</v>
      </c>
      <c r="W21" s="77" t="str">
        <f t="shared" si="6"/>
        <v>ok</v>
      </c>
      <c r="X21" s="75"/>
      <c r="Y21" s="76">
        <f t="shared" si="7"/>
        <v>0</v>
      </c>
      <c r="Z21" s="178">
        <f t="shared" si="8"/>
        <v>0</v>
      </c>
      <c r="AA21" s="178">
        <f t="shared" si="9"/>
        <v>0</v>
      </c>
      <c r="AB21" s="77" t="str">
        <f t="shared" si="10"/>
        <v>ok</v>
      </c>
      <c r="AC21" s="75"/>
      <c r="AD21" s="79" t="str">
        <f t="array" ref="AD21">IFERROR(IF($D21="","",INDEX(구분표!$I$2:$I$1001,MATCH(1,(구분표!$B$2:$B$1001='15년일입'!$B21)*(구분표!$C$2:$C$1001='15년일입'!$C21)*(구분표!$A$2:$A$1001='15년일입'!$D21),0))),"@@")</f>
        <v/>
      </c>
    </row>
    <row r="22" spans="2:30" ht="31.5" customHeight="1">
      <c r="B22" s="83" t="str">
        <f>IFERROR(VLOOKUP('15년일입'!$D22,구분표!$A$2:$C$1001,2,FALSE),"")</f>
        <v/>
      </c>
      <c r="C22" s="83" t="str">
        <f>IFERROR(VLOOKUP('15년일입'!$D22,구분표!$A$2:$C$1001,3,FALSE),"")</f>
        <v/>
      </c>
      <c r="D22" s="180"/>
      <c r="E22" s="177"/>
      <c r="F22" s="177"/>
      <c r="G22" s="180"/>
      <c r="H22" s="178"/>
      <c r="I22" s="178"/>
      <c r="J22" s="178"/>
      <c r="K22" s="73">
        <f t="shared" si="1"/>
        <v>0</v>
      </c>
      <c r="L22" s="178"/>
      <c r="M22" s="178"/>
      <c r="N22" s="73">
        <f t="shared" si="2"/>
        <v>0</v>
      </c>
      <c r="O22" s="74" t="str">
        <f t="shared" si="3"/>
        <v>-</v>
      </c>
      <c r="P22" s="188"/>
      <c r="Q22" s="75"/>
      <c r="R22" s="189"/>
      <c r="S22" s="75"/>
      <c r="T22" s="78"/>
      <c r="U22" s="178">
        <f t="shared" si="4"/>
        <v>0</v>
      </c>
      <c r="V22" s="178">
        <f t="shared" si="5"/>
        <v>0</v>
      </c>
      <c r="W22" s="77" t="str">
        <f t="shared" si="6"/>
        <v>ok</v>
      </c>
      <c r="X22" s="75"/>
      <c r="Y22" s="76">
        <f t="shared" si="7"/>
        <v>0</v>
      </c>
      <c r="Z22" s="178">
        <f t="shared" si="8"/>
        <v>0</v>
      </c>
      <c r="AA22" s="178">
        <f t="shared" si="9"/>
        <v>0</v>
      </c>
      <c r="AB22" s="77" t="str">
        <f t="shared" si="10"/>
        <v>ok</v>
      </c>
      <c r="AC22" s="75"/>
      <c r="AD22" s="79" t="str">
        <f t="array" ref="AD22">IFERROR(IF($D22="","",INDEX(구분표!$I$2:$I$1001,MATCH(1,(구분표!$B$2:$B$1001='15년일입'!$B22)*(구분표!$C$2:$C$1001='15년일입'!$C22)*(구분표!$A$2:$A$1001='15년일입'!$D22),0))),"@@")</f>
        <v/>
      </c>
    </row>
    <row r="23" spans="2:30" ht="24" customHeight="1"/>
    <row r="24" spans="2:30" ht="24" customHeight="1"/>
  </sheetData>
  <sheetProtection formatCells="0" formatColumns="0" formatRows="0" autoFilter="0"/>
  <autoFilter ref="B6:AE22"/>
  <mergeCells count="20">
    <mergeCell ref="B1:P1"/>
    <mergeCell ref="B4:B5"/>
    <mergeCell ref="C4:C5"/>
    <mergeCell ref="D4:D5"/>
    <mergeCell ref="E4:E5"/>
    <mergeCell ref="F4:F5"/>
    <mergeCell ref="G4:G5"/>
    <mergeCell ref="H4:H5"/>
    <mergeCell ref="AD4:AD5"/>
    <mergeCell ref="I4:J4"/>
    <mergeCell ref="K4:K5"/>
    <mergeCell ref="L4:M4"/>
    <mergeCell ref="N4:N5"/>
    <mergeCell ref="O4:O5"/>
    <mergeCell ref="P4:P5"/>
    <mergeCell ref="R4:R5"/>
    <mergeCell ref="T4:T5"/>
    <mergeCell ref="U4:W4"/>
    <mergeCell ref="Y4:Y5"/>
    <mergeCell ref="Z4:AB4"/>
  </mergeCells>
  <phoneticPr fontId="2" type="noConversion"/>
  <conditionalFormatting sqref="R7:R644">
    <cfRule type="containsText" dxfId="190" priority="6" operator="containsText" text="국도비">
      <formula>NOT(ISERROR(SEARCH("국도비",R7)))</formula>
    </cfRule>
  </conditionalFormatting>
  <conditionalFormatting sqref="H7:H644">
    <cfRule type="expression" dxfId="189" priority="5">
      <formula>($E7="본예산")</formula>
    </cfRule>
  </conditionalFormatting>
  <conditionalFormatting sqref="Z7:AB644 S7:V644">
    <cfRule type="containsText" dxfId="188" priority="4" operator="containsText" text="직접입력">
      <formula>NOT(ISERROR(SEARCH("직접입력",S7)))</formula>
    </cfRule>
  </conditionalFormatting>
  <printOptions horizontalCentered="1"/>
  <pageMargins left="0.35433070866141736" right="0.31496062992125984" top="0.59055118110236227" bottom="0.39370078740157483" header="0.31496062992125984" footer="0.31496062992125984"/>
  <pageSetup paperSize="9" scale="81" fitToHeight="0" orientation="landscape" horizontalDpi="4294967293" verticalDpi="4294967293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T7:T22</xm:sqref>
        </x14:dataValidation>
        <x14:dataValidation type="list" allowBlank="1" showInputMessage="1" showErrorMessage="1">
          <x14:formula1>
            <xm:f>구분표!$N$2:$N$3</xm:f>
          </x14:formula1>
          <xm:sqref>E7:E22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D113"/>
  <sheetViews>
    <sheetView showGridLines="0" view="pageBreakPreview" zoomScale="80" zoomScaleNormal="70" zoomScaleSheetLayoutView="80" workbookViewId="0">
      <pane xSplit="4" ySplit="6" topLeftCell="E106" activePane="bottomRight" state="frozen"/>
      <selection activeCell="B1" sqref="B1:H1"/>
      <selection pane="topRight" activeCell="B1" sqref="B1:H1"/>
      <selection pane="bottomLeft" activeCell="B1" sqref="B1:H1"/>
      <selection pane="bottomRight" activeCell="I111" sqref="I111"/>
    </sheetView>
  </sheetViews>
  <sheetFormatPr defaultColWidth="8.75" defaultRowHeight="13.5"/>
  <cols>
    <col min="1" max="1" width="1.75" style="38" customWidth="1"/>
    <col min="2" max="2" width="9.875" style="38" customWidth="1"/>
    <col min="3" max="3" width="9.5" style="38" customWidth="1"/>
    <col min="4" max="4" width="13.125" style="38" customWidth="1"/>
    <col min="5" max="5" width="6.25" style="11" customWidth="1"/>
    <col min="6" max="6" width="7.125" style="11" bestFit="1" customWidth="1"/>
    <col min="7" max="7" width="34.625" style="38" customWidth="1"/>
    <col min="8" max="8" width="11.625" style="38" customWidth="1"/>
    <col min="9" max="9" width="13.25" style="38" customWidth="1"/>
    <col min="10" max="11" width="11.625" style="38" customWidth="1"/>
    <col min="12" max="14" width="11.625" style="38" hidden="1" customWidth="1"/>
    <col min="15" max="15" width="8.375" style="11" hidden="1" customWidth="1"/>
    <col min="16" max="16" width="18.625" style="38" customWidth="1"/>
    <col min="17" max="17" width="3" style="38" hidden="1" customWidth="1"/>
    <col min="18" max="18" width="6.125" style="11" hidden="1" customWidth="1"/>
    <col min="19" max="19" width="3" style="38" hidden="1" customWidth="1"/>
    <col min="20" max="20" width="6.125" style="25" hidden="1" customWidth="1"/>
    <col min="21" max="21" width="11.625" style="38" customWidth="1"/>
    <col min="22" max="22" width="12.75" style="38" customWidth="1"/>
    <col min="23" max="23" width="6" style="11" customWidth="1"/>
    <col min="24" max="24" width="3" style="38" customWidth="1"/>
    <col min="25" max="25" width="6.125" style="52" customWidth="1"/>
    <col min="26" max="26" width="11.625" style="38" customWidth="1"/>
    <col min="27" max="27" width="11.125" style="38" customWidth="1"/>
    <col min="28" max="28" width="6" style="11" customWidth="1"/>
    <col min="29" max="29" width="3" style="38" customWidth="1"/>
    <col min="30" max="30" width="11.625" style="38" customWidth="1"/>
    <col min="31" max="31" width="17.375" style="38" customWidth="1"/>
    <col min="32" max="16384" width="8.75" style="38"/>
  </cols>
  <sheetData>
    <row r="1" spans="2:30" ht="32.25" customHeight="1">
      <c r="B1" s="389" t="s">
        <v>567</v>
      </c>
      <c r="C1" s="389"/>
      <c r="D1" s="389"/>
      <c r="E1" s="389"/>
      <c r="F1" s="389"/>
      <c r="G1" s="389"/>
      <c r="H1" s="390"/>
      <c r="I1" s="389"/>
      <c r="J1" s="389"/>
      <c r="K1" s="389"/>
      <c r="L1" s="389"/>
      <c r="M1" s="389"/>
      <c r="N1" s="389"/>
      <c r="O1" s="389"/>
      <c r="P1" s="389"/>
    </row>
    <row r="2" spans="2:30" ht="20.25">
      <c r="B2" s="12" t="s">
        <v>59</v>
      </c>
      <c r="C2" s="12"/>
      <c r="D2" s="12"/>
      <c r="E2" s="59"/>
      <c r="F2" s="59"/>
      <c r="G2" s="12"/>
      <c r="L2" s="26"/>
      <c r="M2" s="26"/>
      <c r="U2" s="26" t="s">
        <v>72</v>
      </c>
      <c r="V2" s="27"/>
      <c r="Z2" s="26" t="s">
        <v>72</v>
      </c>
      <c r="AA2" s="27"/>
    </row>
    <row r="3" spans="2:30" ht="20.25">
      <c r="I3" s="67">
        <f>COUNTA(I7:I111)</f>
        <v>29</v>
      </c>
      <c r="J3" s="67">
        <f>COUNTA(J7:J111)</f>
        <v>75</v>
      </c>
      <c r="K3" s="281">
        <f>I6+J6</f>
        <v>-11613341</v>
      </c>
      <c r="L3" s="67">
        <f>COUNTA(L31:L111)</f>
        <v>1</v>
      </c>
      <c r="M3" s="67">
        <f>COUNTA(M31:M111)</f>
        <v>0</v>
      </c>
      <c r="N3" s="25"/>
      <c r="O3" s="30"/>
      <c r="P3" s="62" t="s">
        <v>9</v>
      </c>
      <c r="U3" s="27" t="str">
        <f>IF(U6='15년일입'!$U$6,"OK","@@")</f>
        <v>OK</v>
      </c>
      <c r="V3" s="281">
        <f>U6+V6</f>
        <v>-11613341</v>
      </c>
      <c r="W3" s="27" t="str">
        <f>IF(COUNTIF(W6:W1004,"@@")&gt;0,"@@","OK")</f>
        <v>OK</v>
      </c>
      <c r="Z3" s="27" t="str">
        <f>IF(Z6='2추일입'!$AA$6,"OK","@@")</f>
        <v>OK</v>
      </c>
      <c r="AA3" s="38">
        <f>SUM(Z6:AA6)</f>
        <v>0</v>
      </c>
      <c r="AB3" s="27" t="str">
        <f>IF(COUNTIF(AB6:AB1004,"@@")&gt;0,"@@","OK")</f>
        <v>OK</v>
      </c>
      <c r="AD3" s="63"/>
    </row>
    <row r="4" spans="2:30" ht="30" customHeight="1">
      <c r="B4" s="391" t="s">
        <v>555</v>
      </c>
      <c r="C4" s="391" t="s">
        <v>141</v>
      </c>
      <c r="D4" s="391" t="s">
        <v>4</v>
      </c>
      <c r="E4" s="393" t="s">
        <v>142</v>
      </c>
      <c r="F4" s="394" t="s">
        <v>5</v>
      </c>
      <c r="G4" s="391" t="s">
        <v>143</v>
      </c>
      <c r="H4" s="394" t="s">
        <v>580</v>
      </c>
      <c r="I4" s="360" t="s">
        <v>581</v>
      </c>
      <c r="J4" s="361"/>
      <c r="K4" s="362" t="s">
        <v>582</v>
      </c>
      <c r="L4" s="380" t="s">
        <v>583</v>
      </c>
      <c r="M4" s="379"/>
      <c r="N4" s="377" t="s">
        <v>584</v>
      </c>
      <c r="O4" s="383" t="s">
        <v>144</v>
      </c>
      <c r="P4" s="384" t="s">
        <v>134</v>
      </c>
      <c r="R4" s="381" t="s">
        <v>554</v>
      </c>
      <c r="T4" s="385" t="s">
        <v>6</v>
      </c>
      <c r="U4" s="376" t="s">
        <v>8</v>
      </c>
      <c r="V4" s="361"/>
      <c r="W4" s="361"/>
      <c r="Y4" s="387" t="s">
        <v>6</v>
      </c>
      <c r="Z4" s="379" t="s">
        <v>79</v>
      </c>
      <c r="AA4" s="379"/>
      <c r="AB4" s="379"/>
      <c r="AD4" s="381" t="s">
        <v>145</v>
      </c>
    </row>
    <row r="5" spans="2:30" ht="18" customHeight="1">
      <c r="B5" s="392"/>
      <c r="C5" s="392"/>
      <c r="D5" s="392"/>
      <c r="E5" s="392"/>
      <c r="F5" s="394"/>
      <c r="G5" s="392"/>
      <c r="H5" s="384"/>
      <c r="I5" s="94" t="s">
        <v>0</v>
      </c>
      <c r="J5" s="94" t="s">
        <v>1</v>
      </c>
      <c r="K5" s="363"/>
      <c r="L5" s="65" t="s">
        <v>0</v>
      </c>
      <c r="M5" s="65" t="s">
        <v>1</v>
      </c>
      <c r="N5" s="378"/>
      <c r="O5" s="383"/>
      <c r="P5" s="384"/>
      <c r="R5" s="382"/>
      <c r="T5" s="386"/>
      <c r="U5" s="94" t="s">
        <v>3</v>
      </c>
      <c r="V5" s="94" t="s">
        <v>2</v>
      </c>
      <c r="W5" s="94" t="s">
        <v>77</v>
      </c>
      <c r="Y5" s="388"/>
      <c r="Z5" s="65" t="s">
        <v>3</v>
      </c>
      <c r="AA5" s="65" t="s">
        <v>2</v>
      </c>
      <c r="AB5" s="65" t="s">
        <v>77</v>
      </c>
      <c r="AD5" s="382"/>
    </row>
    <row r="6" spans="2:30" ht="47.25" customHeight="1">
      <c r="B6" s="175" t="s">
        <v>585</v>
      </c>
      <c r="C6" s="175" t="s">
        <v>585</v>
      </c>
      <c r="D6" s="13"/>
      <c r="E6" s="175" t="s">
        <v>579</v>
      </c>
      <c r="F6" s="14"/>
      <c r="G6" s="175" t="s">
        <v>587</v>
      </c>
      <c r="H6" s="19">
        <f>SUBTOTAL(9,H7:H916)</f>
        <v>116929303</v>
      </c>
      <c r="I6" s="19">
        <f>SUBTOTAL(9,I7:I916)</f>
        <v>-21538359</v>
      </c>
      <c r="J6" s="19">
        <f>SUBTOTAL(9,J7:J916)</f>
        <v>9925018</v>
      </c>
      <c r="K6" s="19">
        <f>SUBTOTAL(9,K7:K916)</f>
        <v>105315962</v>
      </c>
      <c r="L6" s="19">
        <f>SUBTOTAL(9,L31:L916)</f>
        <v>0</v>
      </c>
      <c r="M6" s="19">
        <f>SUBTOTAL(9,M31:M916)</f>
        <v>0</v>
      </c>
      <c r="N6" s="19">
        <f>SUBTOTAL(9,N31:N916)</f>
        <v>42037459</v>
      </c>
      <c r="O6" s="37"/>
      <c r="P6" s="28"/>
      <c r="R6" s="39"/>
      <c r="T6" s="201" t="s">
        <v>590</v>
      </c>
      <c r="U6" s="19">
        <f>SUBTOTAL(9,U7:U916)</f>
        <v>-160654</v>
      </c>
      <c r="V6" s="19">
        <f>SUBTOTAL(9,V7:V916)</f>
        <v>-11452687</v>
      </c>
      <c r="W6" s="29" t="str">
        <f>IF((I6+J6)=(U6+V6),"OK","검토")</f>
        <v>OK</v>
      </c>
      <c r="Y6" s="53"/>
      <c r="Z6" s="19">
        <f>SUBTOTAL(9,Z31:Z916)</f>
        <v>0</v>
      </c>
      <c r="AA6" s="19">
        <f>SUBTOTAL(9,AA31:AA916)</f>
        <v>0</v>
      </c>
      <c r="AB6" s="29" t="str">
        <f>IF((L6+M6)=(Z6+AA6),"OK","검토")</f>
        <v>OK</v>
      </c>
      <c r="AD6" s="29" t="str">
        <f>IF(COUNTIF(AD31:AD733,"@@")&gt;0,"@@","OK")</f>
        <v>@@</v>
      </c>
    </row>
    <row r="7" spans="2:30" s="202" customFormat="1" ht="48" customHeight="1">
      <c r="B7" s="72" t="str">
        <f>IFERROR(VLOOKUP('15년일출'!$D7,구분표!$A$2:$C$1001,2,FALSE),"")</f>
        <v>보건복지위원회</v>
      </c>
      <c r="C7" s="72" t="str">
        <f>IFERROR(VLOOKUP('15년일출'!$D7,구분표!$A$2:$C$1001,3,FALSE),"")</f>
        <v>보건복지국</v>
      </c>
      <c r="D7" s="221" t="s">
        <v>291</v>
      </c>
      <c r="E7" s="248" t="s">
        <v>632</v>
      </c>
      <c r="F7" s="243"/>
      <c r="G7" s="244" t="s">
        <v>713</v>
      </c>
      <c r="H7" s="245">
        <v>0</v>
      </c>
      <c r="I7" s="246"/>
      <c r="J7" s="247">
        <v>16500</v>
      </c>
      <c r="K7" s="249">
        <f t="shared" ref="K7:K71" si="0">SUM(H7+I7+J7)</f>
        <v>16500</v>
      </c>
      <c r="L7" s="250"/>
      <c r="M7" s="250"/>
      <c r="N7" s="249">
        <f t="shared" ref="N7" si="1">SUM(H7+L7+M7)</f>
        <v>0</v>
      </c>
      <c r="O7" s="251" t="str">
        <f t="shared" ref="O7" si="2">IF(I7-L7&lt;0,"동의필요","-")</f>
        <v>-</v>
      </c>
      <c r="P7" s="286" t="s">
        <v>733</v>
      </c>
      <c r="Q7" s="203"/>
      <c r="R7" s="204"/>
      <c r="S7" s="203"/>
      <c r="T7" s="78" t="str">
        <f t="shared" ref="T7:T90" si="3">IF($R7="도비","도비",IF(COUNT(FIND("국비/",$G7)),"국비",IF(COUNT(FIND("지특/",$G7)),"지특",IF(COUNT(FIND("기금/",$G7)),"기금",IF(COUNT(FIND("교부세/",$G7)),"특교",IF(COUNT(FIND("자체/",$G7)),"도비",""))))))</f>
        <v>국비</v>
      </c>
      <c r="U7" s="178">
        <f t="shared" ref="U7:U87" si="4">IF($T7&lt;&gt;"도비",IF($R7="국도비","직접입력",SUM($I7:$J7)),)</f>
        <v>16500</v>
      </c>
      <c r="V7" s="178">
        <f t="shared" ref="V7:V87" si="5">IF($T7="도비",SUM($I7:$J7),IF($R7="국도비","직접입력",SUM($I7:$J7)-$U7))</f>
        <v>0</v>
      </c>
      <c r="W7" s="77" t="str">
        <f t="shared" ref="W7:W87" si="6">IF($R7="국도비","ok",IF(($I7+$J7)=($U7+$V7),"ok","검토"))</f>
        <v>ok</v>
      </c>
      <c r="X7" s="203"/>
      <c r="Y7" s="76" t="str">
        <f t="shared" ref="Y7:Y90" si="7">$T7</f>
        <v>국비</v>
      </c>
      <c r="Z7" s="178">
        <f t="shared" ref="Z7:Z87" si="8">IF($Y7&lt;&gt;"도비",IF($R7="국도비","직접입력",SUM($L7:$M7)),)</f>
        <v>0</v>
      </c>
      <c r="AA7" s="178">
        <f t="shared" ref="AA7:AA87" si="9">IF($Y7="도비",SUM($L7:$M7),IF($R7="국도비","직접입력",SUM($L7:$M7)-$Z7))</f>
        <v>0</v>
      </c>
      <c r="AB7" s="77" t="str">
        <f t="shared" ref="AB7:AB90" si="10">IF($R7="국도비","ok",IF(($L7+$M7)=($Z7+$AA7),"ok","검토"))</f>
        <v>ok</v>
      </c>
      <c r="AC7" s="203"/>
      <c r="AD7" s="79" t="str">
        <f t="array" ref="AD7">IFERROR(IF($D7="","",INDEX(구분표!$I$2:$I$1001,MATCH(1,(구분표!$B$2:$B$1001='15년일출'!$B7)*(구분표!$C$2:$C$1001='15년일출'!$C7)*(구분표!$A$2:$A$1001='15년일출'!$D7),0))),"@@")</f>
        <v>1901</v>
      </c>
    </row>
    <row r="8" spans="2:30" s="202" customFormat="1" ht="48" customHeight="1">
      <c r="B8" s="72" t="str">
        <f>IFERROR(VLOOKUP('15년일출'!$D8,구분표!$A$2:$C$1001,2,FALSE),"")</f>
        <v>보건복지위원회</v>
      </c>
      <c r="C8" s="72" t="str">
        <f>IFERROR(VLOOKUP('15년일출'!$D8,구분표!$A$2:$C$1001,3,FALSE),"")</f>
        <v>보건복지국</v>
      </c>
      <c r="D8" s="176" t="s">
        <v>293</v>
      </c>
      <c r="E8" s="177" t="s">
        <v>588</v>
      </c>
      <c r="F8" s="214">
        <v>750</v>
      </c>
      <c r="G8" s="215" t="s">
        <v>714</v>
      </c>
      <c r="H8" s="223">
        <v>19800</v>
      </c>
      <c r="I8" s="216">
        <v>-24</v>
      </c>
      <c r="J8" s="217"/>
      <c r="K8" s="249">
        <f t="shared" si="0"/>
        <v>19776</v>
      </c>
      <c r="L8" s="207"/>
      <c r="M8" s="207"/>
      <c r="N8" s="206">
        <f t="shared" ref="N8:N13" si="11">SUM(H8+L8+M8)</f>
        <v>19800</v>
      </c>
      <c r="O8" s="208" t="str">
        <f t="shared" ref="O8:O13" si="12">IF(I8-L8&lt;0,"동의필요","-")</f>
        <v>동의필요</v>
      </c>
      <c r="P8" s="287" t="s">
        <v>734</v>
      </c>
      <c r="Q8" s="203"/>
      <c r="R8" s="204"/>
      <c r="S8" s="203"/>
      <c r="T8" s="78" t="str">
        <f t="shared" si="3"/>
        <v>국비</v>
      </c>
      <c r="U8" s="178">
        <v>-12</v>
      </c>
      <c r="V8" s="178">
        <f t="shared" si="5"/>
        <v>-12</v>
      </c>
      <c r="W8" s="77" t="str">
        <f t="shared" si="6"/>
        <v>ok</v>
      </c>
      <c r="X8" s="203"/>
      <c r="Y8" s="76" t="str">
        <f t="shared" si="7"/>
        <v>국비</v>
      </c>
      <c r="Z8" s="178">
        <f t="shared" si="8"/>
        <v>0</v>
      </c>
      <c r="AA8" s="178">
        <f t="shared" si="9"/>
        <v>0</v>
      </c>
      <c r="AB8" s="77" t="str">
        <f t="shared" si="10"/>
        <v>ok</v>
      </c>
      <c r="AC8" s="203"/>
      <c r="AD8" s="79" t="str">
        <f t="array" ref="AD8">IFERROR(IF($D8="","",INDEX(구분표!$I$2:$I$1001,MATCH(1,(구분표!$B$2:$B$1001='15년일출'!$B8)*(구분표!$C$2:$C$1001='15년일출'!$C8)*(구분표!$A$2:$A$1001='15년일출'!$D8),0))),"@@")</f>
        <v>1902</v>
      </c>
    </row>
    <row r="9" spans="2:30" s="202" customFormat="1" ht="48" customHeight="1">
      <c r="B9" s="72" t="str">
        <f>IFERROR(VLOOKUP('15년일출'!$D9,구분표!$A$2:$C$1001,2,FALSE),"")</f>
        <v>보건복지위원회</v>
      </c>
      <c r="C9" s="72" t="str">
        <f>IFERROR(VLOOKUP('15년일출'!$D9,구분표!$A$2:$C$1001,3,FALSE),"")</f>
        <v>보건복지국</v>
      </c>
      <c r="D9" s="176" t="s">
        <v>293</v>
      </c>
      <c r="E9" s="177" t="s">
        <v>588</v>
      </c>
      <c r="F9" s="214">
        <v>750</v>
      </c>
      <c r="G9" s="215" t="s">
        <v>715</v>
      </c>
      <c r="H9" s="223">
        <v>25840675</v>
      </c>
      <c r="I9" s="216"/>
      <c r="J9" s="217">
        <v>2822643</v>
      </c>
      <c r="K9" s="249">
        <f t="shared" si="0"/>
        <v>28663318</v>
      </c>
      <c r="L9" s="207"/>
      <c r="M9" s="207"/>
      <c r="N9" s="206">
        <f t="shared" si="11"/>
        <v>25840675</v>
      </c>
      <c r="O9" s="208" t="str">
        <f t="shared" si="12"/>
        <v>-</v>
      </c>
      <c r="P9" s="287" t="s">
        <v>734</v>
      </c>
      <c r="Q9" s="203"/>
      <c r="R9" s="204"/>
      <c r="S9" s="203"/>
      <c r="T9" s="78" t="str">
        <f t="shared" si="3"/>
        <v>국비</v>
      </c>
      <c r="U9" s="178">
        <v>2226735</v>
      </c>
      <c r="V9" s="178">
        <f t="shared" si="5"/>
        <v>595908</v>
      </c>
      <c r="W9" s="77" t="str">
        <f t="shared" si="6"/>
        <v>ok</v>
      </c>
      <c r="X9" s="203"/>
      <c r="Y9" s="76" t="str">
        <f t="shared" si="7"/>
        <v>국비</v>
      </c>
      <c r="Z9" s="178">
        <f t="shared" si="8"/>
        <v>0</v>
      </c>
      <c r="AA9" s="178">
        <f t="shared" si="9"/>
        <v>0</v>
      </c>
      <c r="AB9" s="77" t="str">
        <f t="shared" si="10"/>
        <v>ok</v>
      </c>
      <c r="AC9" s="203"/>
      <c r="AD9" s="79" t="str">
        <f t="array" ref="AD9">IFERROR(IF($D9="","",INDEX(구분표!$I$2:$I$1001,MATCH(1,(구분표!$B$2:$B$1001='15년일출'!$B9)*(구분표!$C$2:$C$1001='15년일출'!$C9)*(구분표!$A$2:$A$1001='15년일출'!$D9),0))),"@@")</f>
        <v>1902</v>
      </c>
    </row>
    <row r="10" spans="2:30" s="202" customFormat="1" ht="48" customHeight="1">
      <c r="B10" s="72" t="str">
        <f>IFERROR(VLOOKUP('15년일출'!$D10,구분표!$A$2:$C$1001,2,FALSE),"")</f>
        <v>보건복지위원회</v>
      </c>
      <c r="C10" s="72" t="str">
        <f>IFERROR(VLOOKUP('15년일출'!$D10,구분표!$A$2:$C$1001,3,FALSE),"")</f>
        <v>보건복지국</v>
      </c>
      <c r="D10" s="176" t="s">
        <v>293</v>
      </c>
      <c r="E10" s="177" t="s">
        <v>588</v>
      </c>
      <c r="F10" s="214">
        <v>750</v>
      </c>
      <c r="G10" s="215" t="s">
        <v>716</v>
      </c>
      <c r="H10" s="223">
        <v>1089292</v>
      </c>
      <c r="I10" s="216"/>
      <c r="J10" s="217">
        <v>68942</v>
      </c>
      <c r="K10" s="249">
        <f t="shared" si="0"/>
        <v>1158234</v>
      </c>
      <c r="L10" s="207"/>
      <c r="M10" s="207"/>
      <c r="N10" s="206">
        <f t="shared" si="11"/>
        <v>1089292</v>
      </c>
      <c r="O10" s="208" t="str">
        <f t="shared" si="12"/>
        <v>-</v>
      </c>
      <c r="P10" s="287" t="s">
        <v>734</v>
      </c>
      <c r="Q10" s="203"/>
      <c r="R10" s="204"/>
      <c r="S10" s="203"/>
      <c r="T10" s="78" t="str">
        <f t="shared" si="3"/>
        <v>국비</v>
      </c>
      <c r="U10" s="178">
        <v>59950</v>
      </c>
      <c r="V10" s="178">
        <f t="shared" si="5"/>
        <v>8992</v>
      </c>
      <c r="W10" s="77" t="str">
        <f t="shared" si="6"/>
        <v>ok</v>
      </c>
      <c r="X10" s="203"/>
      <c r="Y10" s="76" t="str">
        <f t="shared" si="7"/>
        <v>국비</v>
      </c>
      <c r="Z10" s="178">
        <f t="shared" si="8"/>
        <v>0</v>
      </c>
      <c r="AA10" s="178">
        <f t="shared" si="9"/>
        <v>0</v>
      </c>
      <c r="AB10" s="77" t="str">
        <f t="shared" si="10"/>
        <v>ok</v>
      </c>
      <c r="AC10" s="203"/>
      <c r="AD10" s="79" t="str">
        <f t="array" ref="AD10">IFERROR(IF($D10="","",INDEX(구분표!$I$2:$I$1001,MATCH(1,(구분표!$B$2:$B$1001='15년일출'!$B10)*(구분표!$C$2:$C$1001='15년일출'!$C10)*(구분표!$A$2:$A$1001='15년일출'!$D10),0))),"@@")</f>
        <v>1902</v>
      </c>
    </row>
    <row r="11" spans="2:30" s="202" customFormat="1" ht="48" customHeight="1">
      <c r="B11" s="72" t="str">
        <f>IFERROR(VLOOKUP('15년일출'!$D11,구분표!$A$2:$C$1001,2,FALSE),"")</f>
        <v>보건복지위원회</v>
      </c>
      <c r="C11" s="72" t="str">
        <f>IFERROR(VLOOKUP('15년일출'!$D11,구분표!$A$2:$C$1001,3,FALSE),"")</f>
        <v>보건복지국</v>
      </c>
      <c r="D11" s="176" t="s">
        <v>293</v>
      </c>
      <c r="E11" s="177" t="s">
        <v>588</v>
      </c>
      <c r="F11" s="214">
        <v>750</v>
      </c>
      <c r="G11" s="215" t="s">
        <v>717</v>
      </c>
      <c r="H11" s="223">
        <v>189750</v>
      </c>
      <c r="I11" s="216"/>
      <c r="J11" s="217">
        <v>37950</v>
      </c>
      <c r="K11" s="249">
        <f t="shared" si="0"/>
        <v>227700</v>
      </c>
      <c r="L11" s="207"/>
      <c r="M11" s="207"/>
      <c r="N11" s="206">
        <f t="shared" si="11"/>
        <v>189750</v>
      </c>
      <c r="O11" s="208" t="str">
        <f t="shared" si="12"/>
        <v>-</v>
      </c>
      <c r="P11" s="287" t="s">
        <v>734</v>
      </c>
      <c r="Q11" s="203"/>
      <c r="R11" s="204"/>
      <c r="S11" s="203"/>
      <c r="T11" s="78" t="str">
        <f t="shared" si="3"/>
        <v>국비</v>
      </c>
      <c r="U11" s="178">
        <v>33000</v>
      </c>
      <c r="V11" s="178">
        <f t="shared" si="5"/>
        <v>4950</v>
      </c>
      <c r="W11" s="77" t="str">
        <f t="shared" si="6"/>
        <v>ok</v>
      </c>
      <c r="X11" s="203"/>
      <c r="Y11" s="76" t="str">
        <f t="shared" si="7"/>
        <v>국비</v>
      </c>
      <c r="Z11" s="178">
        <f t="shared" si="8"/>
        <v>0</v>
      </c>
      <c r="AA11" s="178">
        <f t="shared" si="9"/>
        <v>0</v>
      </c>
      <c r="AB11" s="77" t="str">
        <f t="shared" si="10"/>
        <v>ok</v>
      </c>
      <c r="AC11" s="203"/>
      <c r="AD11" s="79" t="str">
        <f t="array" ref="AD11">IFERROR(IF($D11="","",INDEX(구분표!$I$2:$I$1001,MATCH(1,(구분표!$B$2:$B$1001='15년일출'!$B11)*(구분표!$C$2:$C$1001='15년일출'!$C11)*(구분표!$A$2:$A$1001='15년일출'!$D11),0))),"@@")</f>
        <v>1902</v>
      </c>
    </row>
    <row r="12" spans="2:30" s="202" customFormat="1" ht="48" customHeight="1">
      <c r="B12" s="72" t="str">
        <f>IFERROR(VLOOKUP('15년일출'!$D12,구분표!$A$2:$C$1001,2,FALSE),"")</f>
        <v>보건복지위원회</v>
      </c>
      <c r="C12" s="72" t="str">
        <f>IFERROR(VLOOKUP('15년일출'!$D12,구분표!$A$2:$C$1001,3,FALSE),"")</f>
        <v>보건복지국</v>
      </c>
      <c r="D12" s="176" t="s">
        <v>293</v>
      </c>
      <c r="E12" s="177" t="s">
        <v>588</v>
      </c>
      <c r="F12" s="214">
        <v>751</v>
      </c>
      <c r="G12" s="215" t="s">
        <v>746</v>
      </c>
      <c r="H12" s="223">
        <v>2013037</v>
      </c>
      <c r="I12" s="216"/>
      <c r="J12" s="217">
        <v>19890</v>
      </c>
      <c r="K12" s="249">
        <f t="shared" si="0"/>
        <v>2032927</v>
      </c>
      <c r="L12" s="207"/>
      <c r="M12" s="207"/>
      <c r="N12" s="206">
        <f t="shared" si="11"/>
        <v>2013037</v>
      </c>
      <c r="O12" s="208" t="str">
        <f t="shared" si="12"/>
        <v>-</v>
      </c>
      <c r="P12" s="287" t="s">
        <v>735</v>
      </c>
      <c r="Q12" s="203"/>
      <c r="R12" s="204"/>
      <c r="S12" s="203"/>
      <c r="T12" s="78" t="str">
        <f t="shared" si="3"/>
        <v>국비</v>
      </c>
      <c r="U12" s="178">
        <v>17295</v>
      </c>
      <c r="V12" s="178">
        <f t="shared" si="5"/>
        <v>2595</v>
      </c>
      <c r="W12" s="77" t="str">
        <f t="shared" si="6"/>
        <v>ok</v>
      </c>
      <c r="X12" s="203"/>
      <c r="Y12" s="76" t="str">
        <f t="shared" si="7"/>
        <v>국비</v>
      </c>
      <c r="Z12" s="178">
        <f t="shared" si="8"/>
        <v>0</v>
      </c>
      <c r="AA12" s="178">
        <f t="shared" si="9"/>
        <v>0</v>
      </c>
      <c r="AB12" s="77" t="str">
        <f t="shared" si="10"/>
        <v>ok</v>
      </c>
      <c r="AC12" s="203"/>
      <c r="AD12" s="79" t="str">
        <f t="array" ref="AD12">IFERROR(IF($D12="","",INDEX(구분표!$I$2:$I$1001,MATCH(1,(구분표!$B$2:$B$1001='15년일출'!$B12)*(구분표!$C$2:$C$1001='15년일출'!$C12)*(구분표!$A$2:$A$1001='15년일출'!$D12),0))),"@@")</f>
        <v>1902</v>
      </c>
    </row>
    <row r="13" spans="2:30" s="202" customFormat="1" ht="48" customHeight="1">
      <c r="B13" s="72" t="str">
        <f>IFERROR(VLOOKUP('15년일출'!$D13,구분표!$A$2:$C$1001,2,FALSE),"")</f>
        <v>보건복지위원회</v>
      </c>
      <c r="C13" s="72" t="str">
        <f>IFERROR(VLOOKUP('15년일출'!$D13,구분표!$A$2:$C$1001,3,FALSE),"")</f>
        <v>보건복지국</v>
      </c>
      <c r="D13" s="176" t="s">
        <v>293</v>
      </c>
      <c r="E13" s="177" t="s">
        <v>588</v>
      </c>
      <c r="F13" s="214">
        <v>751</v>
      </c>
      <c r="G13" s="215" t="s">
        <v>718</v>
      </c>
      <c r="H13" s="223">
        <v>6128836</v>
      </c>
      <c r="I13" s="216"/>
      <c r="J13" s="217">
        <v>178943</v>
      </c>
      <c r="K13" s="249">
        <f t="shared" si="0"/>
        <v>6307779</v>
      </c>
      <c r="L13" s="207"/>
      <c r="M13" s="207"/>
      <c r="N13" s="206">
        <f t="shared" si="11"/>
        <v>6128836</v>
      </c>
      <c r="O13" s="208" t="str">
        <f t="shared" si="12"/>
        <v>-</v>
      </c>
      <c r="P13" s="287" t="s">
        <v>736</v>
      </c>
      <c r="Q13" s="203"/>
      <c r="R13" s="204"/>
      <c r="S13" s="203"/>
      <c r="T13" s="78" t="str">
        <f t="shared" si="3"/>
        <v>국비</v>
      </c>
      <c r="U13" s="178">
        <v>155603</v>
      </c>
      <c r="V13" s="178">
        <f t="shared" si="5"/>
        <v>23340</v>
      </c>
      <c r="W13" s="77" t="str">
        <f t="shared" si="6"/>
        <v>ok</v>
      </c>
      <c r="X13" s="203"/>
      <c r="Y13" s="76" t="str">
        <f t="shared" si="7"/>
        <v>국비</v>
      </c>
      <c r="Z13" s="178">
        <f t="shared" si="8"/>
        <v>0</v>
      </c>
      <c r="AA13" s="178">
        <f t="shared" si="9"/>
        <v>0</v>
      </c>
      <c r="AB13" s="77" t="str">
        <f t="shared" si="10"/>
        <v>ok</v>
      </c>
      <c r="AC13" s="203"/>
      <c r="AD13" s="79" t="str">
        <f t="array" ref="AD13">IFERROR(IF($D13="","",INDEX(구분표!$I$2:$I$1001,MATCH(1,(구분표!$B$2:$B$1001='15년일출'!$B13)*(구분표!$C$2:$C$1001='15년일출'!$C13)*(구분표!$A$2:$A$1001='15년일출'!$D13),0))),"@@")</f>
        <v>1902</v>
      </c>
    </row>
    <row r="14" spans="2:30" s="202" customFormat="1" ht="48" customHeight="1">
      <c r="B14" s="72" t="str">
        <f>IFERROR(VLOOKUP('15년일출'!$D14,구분표!$A$2:$C$1001,2,FALSE),"")</f>
        <v>보건복지위원회</v>
      </c>
      <c r="C14" s="72" t="str">
        <f>IFERROR(VLOOKUP('15년일출'!$D14,구분표!$A$2:$C$1001,3,FALSE),"")</f>
        <v>보건복지국</v>
      </c>
      <c r="D14" s="176" t="s">
        <v>293</v>
      </c>
      <c r="E14" s="177" t="s">
        <v>588</v>
      </c>
      <c r="F14" s="214">
        <v>752</v>
      </c>
      <c r="G14" s="215" t="s">
        <v>719</v>
      </c>
      <c r="H14" s="223">
        <v>205564</v>
      </c>
      <c r="I14" s="216">
        <v>-205564</v>
      </c>
      <c r="J14" s="217"/>
      <c r="K14" s="249">
        <f t="shared" si="0"/>
        <v>0</v>
      </c>
      <c r="L14" s="207"/>
      <c r="M14" s="207"/>
      <c r="N14" s="206">
        <f t="shared" ref="N14:N30" si="13">SUM(H14+L14+M14)</f>
        <v>205564</v>
      </c>
      <c r="O14" s="208" t="str">
        <f t="shared" ref="O14:O30" si="14">IF(I14-L14&lt;0,"동의필요","-")</f>
        <v>동의필요</v>
      </c>
      <c r="P14" s="287" t="s">
        <v>737</v>
      </c>
      <c r="Q14" s="203"/>
      <c r="R14" s="204"/>
      <c r="S14" s="203"/>
      <c r="T14" s="78" t="str">
        <f t="shared" si="3"/>
        <v>국비</v>
      </c>
      <c r="U14" s="178">
        <v>-178751</v>
      </c>
      <c r="V14" s="178">
        <f t="shared" si="5"/>
        <v>-26813</v>
      </c>
      <c r="W14" s="77" t="str">
        <f t="shared" si="6"/>
        <v>ok</v>
      </c>
      <c r="X14" s="203"/>
      <c r="Y14" s="76" t="str">
        <f t="shared" si="7"/>
        <v>국비</v>
      </c>
      <c r="Z14" s="178">
        <f t="shared" si="8"/>
        <v>0</v>
      </c>
      <c r="AA14" s="178">
        <f t="shared" si="9"/>
        <v>0</v>
      </c>
      <c r="AB14" s="77" t="str">
        <f t="shared" si="10"/>
        <v>ok</v>
      </c>
      <c r="AC14" s="203"/>
      <c r="AD14" s="79" t="str">
        <f t="array" ref="AD14">IFERROR(IF($D14="","",INDEX(구분표!$I$2:$I$1001,MATCH(1,(구분표!$B$2:$B$1001='15년일출'!$B14)*(구분표!$C$2:$C$1001='15년일출'!$C14)*(구분표!$A$2:$A$1001='15년일출'!$D14),0))),"@@")</f>
        <v>1902</v>
      </c>
    </row>
    <row r="15" spans="2:30" s="202" customFormat="1" ht="48" customHeight="1">
      <c r="B15" s="72" t="str">
        <f>IFERROR(VLOOKUP('15년일출'!$D15,구분표!$A$2:$C$1001,2,FALSE),"")</f>
        <v>보건복지위원회</v>
      </c>
      <c r="C15" s="72" t="str">
        <f>IFERROR(VLOOKUP('15년일출'!$D15,구분표!$A$2:$C$1001,3,FALSE),"")</f>
        <v>보건복지국</v>
      </c>
      <c r="D15" s="176" t="s">
        <v>295</v>
      </c>
      <c r="E15" s="177" t="s">
        <v>588</v>
      </c>
      <c r="F15" s="214">
        <v>756</v>
      </c>
      <c r="G15" s="215" t="s">
        <v>748</v>
      </c>
      <c r="H15" s="223">
        <v>4607772</v>
      </c>
      <c r="I15" s="216">
        <v>-261000</v>
      </c>
      <c r="J15" s="217"/>
      <c r="K15" s="249">
        <f t="shared" si="0"/>
        <v>4346772</v>
      </c>
      <c r="L15" s="207"/>
      <c r="M15" s="207"/>
      <c r="N15" s="206">
        <f t="shared" si="13"/>
        <v>4607772</v>
      </c>
      <c r="O15" s="208" t="str">
        <f t="shared" si="14"/>
        <v>동의필요</v>
      </c>
      <c r="P15" s="287" t="s">
        <v>926</v>
      </c>
      <c r="Q15" s="203"/>
      <c r="R15" s="204"/>
      <c r="S15" s="203"/>
      <c r="T15" s="78" t="str">
        <f t="shared" si="3"/>
        <v>국비</v>
      </c>
      <c r="U15" s="178">
        <v>-261000</v>
      </c>
      <c r="V15" s="178">
        <f t="shared" si="5"/>
        <v>0</v>
      </c>
      <c r="W15" s="77" t="str">
        <f t="shared" si="6"/>
        <v>ok</v>
      </c>
      <c r="X15" s="203"/>
      <c r="Y15" s="76" t="str">
        <f t="shared" si="7"/>
        <v>국비</v>
      </c>
      <c r="Z15" s="178">
        <f t="shared" si="8"/>
        <v>0</v>
      </c>
      <c r="AA15" s="178">
        <f t="shared" si="9"/>
        <v>0</v>
      </c>
      <c r="AB15" s="77" t="str">
        <f t="shared" si="10"/>
        <v>ok</v>
      </c>
      <c r="AC15" s="203"/>
      <c r="AD15" s="79" t="str">
        <f t="array" ref="AD15">IFERROR(IF($D15="","",INDEX(구분표!$I$2:$I$1001,MATCH(1,(구분표!$B$2:$B$1001='15년일출'!$B15)*(구분표!$C$2:$C$1001='15년일출'!$C15)*(구분표!$A$2:$A$1001='15년일출'!$D15),0))),"@@")</f>
        <v>1903</v>
      </c>
    </row>
    <row r="16" spans="2:30" s="202" customFormat="1" ht="56.45" customHeight="1">
      <c r="B16" s="72" t="str">
        <f>IFERROR(VLOOKUP('15년일출'!$D16,구분표!$A$2:$C$1001,2,FALSE),"")</f>
        <v>보건복지위원회</v>
      </c>
      <c r="C16" s="72" t="str">
        <f>IFERROR(VLOOKUP('15년일출'!$D16,구분표!$A$2:$C$1001,3,FALSE),"")</f>
        <v>보건복지국</v>
      </c>
      <c r="D16" s="176" t="s">
        <v>295</v>
      </c>
      <c r="E16" s="177" t="s">
        <v>588</v>
      </c>
      <c r="F16" s="214">
        <v>757</v>
      </c>
      <c r="G16" s="215" t="s">
        <v>720</v>
      </c>
      <c r="H16" s="223">
        <v>404670</v>
      </c>
      <c r="I16" s="216">
        <v>-14850</v>
      </c>
      <c r="J16" s="217"/>
      <c r="K16" s="249">
        <f t="shared" si="0"/>
        <v>389820</v>
      </c>
      <c r="L16" s="207"/>
      <c r="M16" s="207"/>
      <c r="N16" s="206">
        <f t="shared" si="13"/>
        <v>404670</v>
      </c>
      <c r="O16" s="208" t="str">
        <f t="shared" si="14"/>
        <v>동의필요</v>
      </c>
      <c r="P16" s="287" t="s">
        <v>738</v>
      </c>
      <c r="Q16" s="203"/>
      <c r="R16" s="204"/>
      <c r="S16" s="203"/>
      <c r="T16" s="78" t="str">
        <f t="shared" si="3"/>
        <v>기금</v>
      </c>
      <c r="U16" s="178">
        <v>-14850</v>
      </c>
      <c r="V16" s="178">
        <f t="shared" si="5"/>
        <v>0</v>
      </c>
      <c r="W16" s="77" t="str">
        <f t="shared" si="6"/>
        <v>ok</v>
      </c>
      <c r="X16" s="203"/>
      <c r="Y16" s="76" t="str">
        <f t="shared" si="7"/>
        <v>기금</v>
      </c>
      <c r="Z16" s="178">
        <f t="shared" si="8"/>
        <v>0</v>
      </c>
      <c r="AA16" s="178">
        <f t="shared" si="9"/>
        <v>0</v>
      </c>
      <c r="AB16" s="77" t="str">
        <f t="shared" si="10"/>
        <v>ok</v>
      </c>
      <c r="AC16" s="203"/>
      <c r="AD16" s="79" t="str">
        <f t="array" ref="AD16">IFERROR(IF($D16="","",INDEX(구분표!$I$2:$I$1001,MATCH(1,(구분표!$B$2:$B$1001='15년일출'!$B16)*(구분표!$C$2:$C$1001='15년일출'!$C16)*(구분표!$A$2:$A$1001='15년일출'!$D16),0))),"@@")</f>
        <v>1903</v>
      </c>
    </row>
    <row r="17" spans="2:30" s="202" customFormat="1" ht="56.45" customHeight="1">
      <c r="B17" s="72" t="str">
        <f>IFERROR(VLOOKUP('15년일출'!$D17,구분표!$A$2:$C$1001,2,FALSE),"")</f>
        <v>보건복지위원회</v>
      </c>
      <c r="C17" s="72" t="str">
        <f>IFERROR(VLOOKUP('15년일출'!$D17,구분표!$A$2:$C$1001,3,FALSE),"")</f>
        <v>보건복지국</v>
      </c>
      <c r="D17" s="176" t="s">
        <v>295</v>
      </c>
      <c r="E17" s="177" t="s">
        <v>588</v>
      </c>
      <c r="F17" s="214">
        <v>757</v>
      </c>
      <c r="G17" s="215" t="s">
        <v>721</v>
      </c>
      <c r="H17" s="223">
        <v>621626</v>
      </c>
      <c r="I17" s="216">
        <v>-12670</v>
      </c>
      <c r="J17" s="217"/>
      <c r="K17" s="249">
        <f t="shared" si="0"/>
        <v>608956</v>
      </c>
      <c r="L17" s="207"/>
      <c r="M17" s="207"/>
      <c r="N17" s="206">
        <f t="shared" si="13"/>
        <v>621626</v>
      </c>
      <c r="O17" s="208" t="str">
        <f t="shared" si="14"/>
        <v>동의필요</v>
      </c>
      <c r="P17" s="287" t="s">
        <v>738</v>
      </c>
      <c r="Q17" s="203"/>
      <c r="R17" s="204"/>
      <c r="S17" s="203"/>
      <c r="T17" s="78" t="str">
        <f t="shared" si="3"/>
        <v>기금</v>
      </c>
      <c r="U17" s="178">
        <v>-12670</v>
      </c>
      <c r="V17" s="178">
        <f t="shared" si="5"/>
        <v>0</v>
      </c>
      <c r="W17" s="77" t="str">
        <f t="shared" si="6"/>
        <v>ok</v>
      </c>
      <c r="X17" s="203"/>
      <c r="Y17" s="76" t="str">
        <f t="shared" si="7"/>
        <v>기금</v>
      </c>
      <c r="Z17" s="178">
        <f t="shared" si="8"/>
        <v>0</v>
      </c>
      <c r="AA17" s="178">
        <f t="shared" si="9"/>
        <v>0</v>
      </c>
      <c r="AB17" s="77" t="str">
        <f t="shared" si="10"/>
        <v>ok</v>
      </c>
      <c r="AC17" s="203"/>
      <c r="AD17" s="79" t="str">
        <f t="array" ref="AD17">IFERROR(IF($D17="","",INDEX(구분표!$I$2:$I$1001,MATCH(1,(구분표!$B$2:$B$1001='15년일출'!$B17)*(구분표!$C$2:$C$1001='15년일출'!$C17)*(구분표!$A$2:$A$1001='15년일출'!$D17),0))),"@@")</f>
        <v>1903</v>
      </c>
    </row>
    <row r="18" spans="2:30" s="202" customFormat="1" ht="48" customHeight="1">
      <c r="B18" s="72" t="str">
        <f>IFERROR(VLOOKUP('15년일출'!$D18,구분표!$A$2:$C$1001,2,FALSE),"")</f>
        <v>보건복지위원회</v>
      </c>
      <c r="C18" s="72" t="str">
        <f>IFERROR(VLOOKUP('15년일출'!$D18,구분표!$A$2:$C$1001,3,FALSE),"")</f>
        <v>보건복지국</v>
      </c>
      <c r="D18" s="176" t="s">
        <v>296</v>
      </c>
      <c r="E18" s="177" t="s">
        <v>588</v>
      </c>
      <c r="F18" s="214">
        <v>774</v>
      </c>
      <c r="G18" s="215" t="s">
        <v>722</v>
      </c>
      <c r="H18" s="223">
        <v>3298094</v>
      </c>
      <c r="I18" s="216"/>
      <c r="J18" s="217">
        <v>93738</v>
      </c>
      <c r="K18" s="249">
        <f t="shared" si="0"/>
        <v>3391832</v>
      </c>
      <c r="L18" s="207"/>
      <c r="M18" s="207"/>
      <c r="N18" s="206">
        <f t="shared" si="13"/>
        <v>3298094</v>
      </c>
      <c r="O18" s="208" t="str">
        <f t="shared" si="14"/>
        <v>-</v>
      </c>
      <c r="P18" s="287" t="s">
        <v>739</v>
      </c>
      <c r="Q18" s="203"/>
      <c r="R18" s="204"/>
      <c r="S18" s="203"/>
      <c r="T18" s="78" t="str">
        <f t="shared" si="3"/>
        <v>국비</v>
      </c>
      <c r="U18" s="178">
        <v>59004</v>
      </c>
      <c r="V18" s="178">
        <f t="shared" si="5"/>
        <v>34734</v>
      </c>
      <c r="W18" s="77" t="str">
        <f t="shared" si="6"/>
        <v>ok</v>
      </c>
      <c r="X18" s="203"/>
      <c r="Y18" s="76" t="str">
        <f t="shared" si="7"/>
        <v>국비</v>
      </c>
      <c r="Z18" s="178">
        <f t="shared" si="8"/>
        <v>0</v>
      </c>
      <c r="AA18" s="178">
        <f t="shared" si="9"/>
        <v>0</v>
      </c>
      <c r="AB18" s="77" t="str">
        <f t="shared" si="10"/>
        <v>ok</v>
      </c>
      <c r="AC18" s="203"/>
      <c r="AD18" s="79" t="str">
        <f t="array" ref="AD18">IFERROR(IF($D18="","",INDEX(구분표!$I$2:$I$1001,MATCH(1,(구분표!$B$2:$B$1001='15년일출'!$B18)*(구분표!$C$2:$C$1001='15년일출'!$C18)*(구분표!$A$2:$A$1001='15년일출'!$D18),0))),"@@")</f>
        <v>1905</v>
      </c>
    </row>
    <row r="19" spans="2:30" s="202" customFormat="1" ht="48" customHeight="1">
      <c r="B19" s="72" t="str">
        <f>IFERROR(VLOOKUP('15년일출'!$D19,구분표!$A$2:$C$1001,2,FALSE),"")</f>
        <v>보건복지위원회</v>
      </c>
      <c r="C19" s="72" t="str">
        <f>IFERROR(VLOOKUP('15년일출'!$D19,구분표!$A$2:$C$1001,3,FALSE),"")</f>
        <v>보건복지국</v>
      </c>
      <c r="D19" s="176" t="s">
        <v>296</v>
      </c>
      <c r="E19" s="177" t="s">
        <v>588</v>
      </c>
      <c r="F19" s="214">
        <v>776</v>
      </c>
      <c r="G19" s="215" t="s">
        <v>723</v>
      </c>
      <c r="H19" s="223">
        <v>164124</v>
      </c>
      <c r="I19" s="216">
        <v>-6984</v>
      </c>
      <c r="J19" s="217"/>
      <c r="K19" s="249">
        <f t="shared" si="0"/>
        <v>157140</v>
      </c>
      <c r="L19" s="207"/>
      <c r="M19" s="207"/>
      <c r="N19" s="206">
        <f t="shared" si="13"/>
        <v>164124</v>
      </c>
      <c r="O19" s="208" t="str">
        <f t="shared" si="14"/>
        <v>동의필요</v>
      </c>
      <c r="P19" s="287" t="s">
        <v>705</v>
      </c>
      <c r="Q19" s="203"/>
      <c r="R19" s="204"/>
      <c r="S19" s="203"/>
      <c r="T19" s="78" t="str">
        <f t="shared" si="3"/>
        <v>국비</v>
      </c>
      <c r="U19" s="178">
        <v>-6984</v>
      </c>
      <c r="V19" s="178">
        <f t="shared" si="5"/>
        <v>0</v>
      </c>
      <c r="W19" s="77" t="str">
        <f t="shared" si="6"/>
        <v>ok</v>
      </c>
      <c r="X19" s="203"/>
      <c r="Y19" s="76" t="str">
        <f t="shared" si="7"/>
        <v>국비</v>
      </c>
      <c r="Z19" s="178">
        <f t="shared" si="8"/>
        <v>0</v>
      </c>
      <c r="AA19" s="178">
        <f t="shared" si="9"/>
        <v>0</v>
      </c>
      <c r="AB19" s="77" t="str">
        <f t="shared" si="10"/>
        <v>ok</v>
      </c>
      <c r="AC19" s="203"/>
      <c r="AD19" s="79" t="str">
        <f t="array" ref="AD19">IFERROR(IF($D19="","",INDEX(구분표!$I$2:$I$1001,MATCH(1,(구분표!$B$2:$B$1001='15년일출'!$B19)*(구분표!$C$2:$C$1001='15년일출'!$C19)*(구분표!$A$2:$A$1001='15년일출'!$D19),0))),"@@")</f>
        <v>1905</v>
      </c>
    </row>
    <row r="20" spans="2:30" s="202" customFormat="1" ht="48" customHeight="1">
      <c r="B20" s="72" t="str">
        <f>IFERROR(VLOOKUP('15년일출'!$D20,구분표!$A$2:$C$1001,2,FALSE),"")</f>
        <v>보건복지위원회</v>
      </c>
      <c r="C20" s="72" t="str">
        <f>IFERROR(VLOOKUP('15년일출'!$D20,구분표!$A$2:$C$1001,3,FALSE),"")</f>
        <v>보건복지국</v>
      </c>
      <c r="D20" s="176" t="s">
        <v>296</v>
      </c>
      <c r="E20" s="177" t="s">
        <v>588</v>
      </c>
      <c r="F20" s="214">
        <v>780</v>
      </c>
      <c r="G20" s="215" t="s">
        <v>724</v>
      </c>
      <c r="H20" s="223">
        <v>889660</v>
      </c>
      <c r="I20" s="216">
        <v>-889660</v>
      </c>
      <c r="J20" s="217"/>
      <c r="K20" s="249">
        <f t="shared" si="0"/>
        <v>0</v>
      </c>
      <c r="L20" s="207"/>
      <c r="M20" s="207"/>
      <c r="N20" s="206">
        <f t="shared" si="13"/>
        <v>889660</v>
      </c>
      <c r="O20" s="208" t="str">
        <f t="shared" si="14"/>
        <v>동의필요</v>
      </c>
      <c r="P20" s="287" t="s">
        <v>740</v>
      </c>
      <c r="Q20" s="203"/>
      <c r="R20" s="204"/>
      <c r="S20" s="203"/>
      <c r="T20" s="78" t="str">
        <f t="shared" si="3"/>
        <v>도비</v>
      </c>
      <c r="U20" s="178">
        <v>0</v>
      </c>
      <c r="V20" s="178">
        <f t="shared" si="5"/>
        <v>-889660</v>
      </c>
      <c r="W20" s="77" t="str">
        <f t="shared" si="6"/>
        <v>ok</v>
      </c>
      <c r="X20" s="203"/>
      <c r="Y20" s="76" t="str">
        <f t="shared" si="7"/>
        <v>도비</v>
      </c>
      <c r="Z20" s="178">
        <f t="shared" si="8"/>
        <v>0</v>
      </c>
      <c r="AA20" s="178">
        <f t="shared" si="9"/>
        <v>0</v>
      </c>
      <c r="AB20" s="77" t="str">
        <f t="shared" si="10"/>
        <v>ok</v>
      </c>
      <c r="AC20" s="203"/>
      <c r="AD20" s="79" t="str">
        <f t="array" ref="AD20">IFERROR(IF($D20="","",INDEX(구분표!$I$2:$I$1001,MATCH(1,(구분표!$B$2:$B$1001='15년일출'!$B20)*(구분표!$C$2:$C$1001='15년일출'!$C20)*(구분표!$A$2:$A$1001='15년일출'!$D20),0))),"@@")</f>
        <v>1905</v>
      </c>
    </row>
    <row r="21" spans="2:30" s="202" customFormat="1" ht="48" customHeight="1">
      <c r="B21" s="72" t="str">
        <f>IFERROR(VLOOKUP('15년일출'!$D21,구분표!$A$2:$C$1001,2,FALSE),"")</f>
        <v>보건복지위원회</v>
      </c>
      <c r="C21" s="72" t="str">
        <f>IFERROR(VLOOKUP('15년일출'!$D21,구분표!$A$2:$C$1001,3,FALSE),"")</f>
        <v>보건복지국</v>
      </c>
      <c r="D21" s="176" t="s">
        <v>296</v>
      </c>
      <c r="E21" s="177" t="s">
        <v>588</v>
      </c>
      <c r="F21" s="214">
        <v>781</v>
      </c>
      <c r="G21" s="242" t="s">
        <v>725</v>
      </c>
      <c r="H21" s="223">
        <v>2956151</v>
      </c>
      <c r="I21" s="216"/>
      <c r="J21" s="283">
        <v>57632</v>
      </c>
      <c r="K21" s="249">
        <f t="shared" si="0"/>
        <v>3013783</v>
      </c>
      <c r="L21" s="207"/>
      <c r="M21" s="207"/>
      <c r="N21" s="206">
        <f t="shared" si="13"/>
        <v>2956151</v>
      </c>
      <c r="O21" s="208" t="str">
        <f t="shared" si="14"/>
        <v>-</v>
      </c>
      <c r="P21" s="287" t="s">
        <v>741</v>
      </c>
      <c r="Q21" s="203"/>
      <c r="R21" s="204"/>
      <c r="S21" s="203"/>
      <c r="T21" s="78" t="str">
        <f t="shared" si="3"/>
        <v>기금</v>
      </c>
      <c r="U21" s="178">
        <v>57632</v>
      </c>
      <c r="V21" s="178">
        <f t="shared" si="5"/>
        <v>0</v>
      </c>
      <c r="W21" s="77" t="str">
        <f t="shared" si="6"/>
        <v>ok</v>
      </c>
      <c r="X21" s="203"/>
      <c r="Y21" s="76" t="str">
        <f t="shared" si="7"/>
        <v>기금</v>
      </c>
      <c r="Z21" s="178">
        <f t="shared" si="8"/>
        <v>0</v>
      </c>
      <c r="AA21" s="178">
        <f t="shared" si="9"/>
        <v>0</v>
      </c>
      <c r="AB21" s="77" t="str">
        <f t="shared" si="10"/>
        <v>ok</v>
      </c>
      <c r="AC21" s="203"/>
      <c r="AD21" s="79" t="str">
        <f t="array" ref="AD21">IFERROR(IF($D21="","",INDEX(구분표!$I$2:$I$1001,MATCH(1,(구분표!$B$2:$B$1001='15년일출'!$B21)*(구분표!$C$2:$C$1001='15년일출'!$C21)*(구분표!$A$2:$A$1001='15년일출'!$D21),0))),"@@")</f>
        <v>1905</v>
      </c>
    </row>
    <row r="22" spans="2:30" s="202" customFormat="1" ht="48" customHeight="1">
      <c r="B22" s="72" t="str">
        <f>IFERROR(VLOOKUP('15년일출'!$D22,구분표!$A$2:$C$1001,2,FALSE),"")</f>
        <v>보건복지위원회</v>
      </c>
      <c r="C22" s="72" t="str">
        <f>IFERROR(VLOOKUP('15년일출'!$D22,구분표!$A$2:$C$1001,3,FALSE),"")</f>
        <v>보건복지국</v>
      </c>
      <c r="D22" s="176" t="s">
        <v>296</v>
      </c>
      <c r="E22" s="177" t="s">
        <v>588</v>
      </c>
      <c r="F22" s="214">
        <v>786</v>
      </c>
      <c r="G22" s="242" t="s">
        <v>908</v>
      </c>
      <c r="H22" s="223">
        <v>11000000</v>
      </c>
      <c r="I22" s="216">
        <v>-11000000</v>
      </c>
      <c r="J22" s="283"/>
      <c r="K22" s="249">
        <f t="shared" si="0"/>
        <v>0</v>
      </c>
      <c r="L22" s="207"/>
      <c r="M22" s="207"/>
      <c r="N22" s="206"/>
      <c r="O22" s="208" t="str">
        <f t="shared" si="14"/>
        <v>동의필요</v>
      </c>
      <c r="P22" s="288" t="s">
        <v>909</v>
      </c>
      <c r="Q22" s="203"/>
      <c r="R22" s="204"/>
      <c r="S22" s="203"/>
      <c r="T22" s="78" t="str">
        <f t="shared" si="3"/>
        <v>도비</v>
      </c>
      <c r="U22" s="178"/>
      <c r="V22" s="178">
        <f t="shared" si="5"/>
        <v>-11000000</v>
      </c>
      <c r="W22" s="77" t="str">
        <f t="shared" si="6"/>
        <v>ok</v>
      </c>
      <c r="X22" s="203"/>
      <c r="Y22" s="76"/>
      <c r="Z22" s="178"/>
      <c r="AA22" s="178"/>
      <c r="AB22" s="77"/>
      <c r="AC22" s="203"/>
      <c r="AD22" s="79"/>
    </row>
    <row r="23" spans="2:30" s="202" customFormat="1" ht="48" customHeight="1">
      <c r="B23" s="72" t="str">
        <f>IFERROR(VLOOKUP('15년일출'!$D23,구분표!$A$2:$C$1001,2,FALSE),"")</f>
        <v>보건복지위원회</v>
      </c>
      <c r="C23" s="72" t="str">
        <f>IFERROR(VLOOKUP('15년일출'!$D23,구분표!$A$2:$C$1001,3,FALSE),"")</f>
        <v>보건복지국</v>
      </c>
      <c r="D23" s="176" t="s">
        <v>296</v>
      </c>
      <c r="E23" s="177" t="s">
        <v>588</v>
      </c>
      <c r="F23" s="214">
        <v>788</v>
      </c>
      <c r="G23" s="215" t="s">
        <v>726</v>
      </c>
      <c r="H23" s="223">
        <v>497000</v>
      </c>
      <c r="I23" s="216">
        <v>-117000</v>
      </c>
      <c r="J23" s="217"/>
      <c r="K23" s="249">
        <f t="shared" si="0"/>
        <v>380000</v>
      </c>
      <c r="L23" s="207"/>
      <c r="M23" s="207"/>
      <c r="N23" s="206">
        <f t="shared" si="13"/>
        <v>497000</v>
      </c>
      <c r="O23" s="208" t="str">
        <f t="shared" si="14"/>
        <v>동의필요</v>
      </c>
      <c r="P23" s="287" t="s">
        <v>742</v>
      </c>
      <c r="Q23" s="203"/>
      <c r="R23" s="204"/>
      <c r="S23" s="203"/>
      <c r="T23" s="78" t="str">
        <f t="shared" si="3"/>
        <v>국비</v>
      </c>
      <c r="U23" s="178">
        <v>-81900</v>
      </c>
      <c r="V23" s="178">
        <f t="shared" si="5"/>
        <v>-35100</v>
      </c>
      <c r="W23" s="77" t="str">
        <f t="shared" si="6"/>
        <v>ok</v>
      </c>
      <c r="X23" s="203"/>
      <c r="Y23" s="76" t="str">
        <f t="shared" si="7"/>
        <v>국비</v>
      </c>
      <c r="Z23" s="178">
        <f t="shared" si="8"/>
        <v>0</v>
      </c>
      <c r="AA23" s="178">
        <f t="shared" si="9"/>
        <v>0</v>
      </c>
      <c r="AB23" s="77" t="str">
        <f t="shared" si="10"/>
        <v>ok</v>
      </c>
      <c r="AC23" s="203"/>
      <c r="AD23" s="79" t="str">
        <f t="array" ref="AD23">IFERROR(IF($D23="","",INDEX(구분표!$I$2:$I$1001,MATCH(1,(구분표!$B$2:$B$1001='15년일출'!$B23)*(구분표!$C$2:$C$1001='15년일출'!$C23)*(구분표!$A$2:$A$1001='15년일출'!$D23),0))),"@@")</f>
        <v>1905</v>
      </c>
    </row>
    <row r="24" spans="2:30" s="202" customFormat="1" ht="48" customHeight="1">
      <c r="B24" s="72" t="str">
        <f>IFERROR(VLOOKUP('15년일출'!$D24,구분표!$A$2:$C$1001,2,FALSE),"")</f>
        <v>보건복지위원회</v>
      </c>
      <c r="C24" s="72" t="str">
        <f>IFERROR(VLOOKUP('15년일출'!$D24,구분표!$A$2:$C$1001,3,FALSE),"")</f>
        <v>보건복지국</v>
      </c>
      <c r="D24" s="176" t="s">
        <v>297</v>
      </c>
      <c r="E24" s="177" t="s">
        <v>588</v>
      </c>
      <c r="F24" s="214">
        <v>794</v>
      </c>
      <c r="G24" s="215" t="s">
        <v>727</v>
      </c>
      <c r="H24" s="223">
        <v>1599608</v>
      </c>
      <c r="I24" s="216">
        <v>-813554</v>
      </c>
      <c r="J24" s="217"/>
      <c r="K24" s="249">
        <f t="shared" si="0"/>
        <v>786054</v>
      </c>
      <c r="L24" s="207"/>
      <c r="M24" s="207"/>
      <c r="N24" s="206">
        <f t="shared" si="13"/>
        <v>1599608</v>
      </c>
      <c r="O24" s="208" t="str">
        <f t="shared" si="14"/>
        <v>동의필요</v>
      </c>
      <c r="P24" s="287" t="s">
        <v>708</v>
      </c>
      <c r="Q24" s="203"/>
      <c r="R24" s="204"/>
      <c r="S24" s="203"/>
      <c r="T24" s="78" t="str">
        <f t="shared" si="3"/>
        <v>기금</v>
      </c>
      <c r="U24" s="178">
        <v>-813554</v>
      </c>
      <c r="V24" s="178">
        <f t="shared" si="5"/>
        <v>0</v>
      </c>
      <c r="W24" s="77" t="str">
        <f t="shared" si="6"/>
        <v>ok</v>
      </c>
      <c r="X24" s="203"/>
      <c r="Y24" s="76" t="str">
        <f t="shared" si="7"/>
        <v>기금</v>
      </c>
      <c r="Z24" s="178">
        <f t="shared" si="8"/>
        <v>0</v>
      </c>
      <c r="AA24" s="178">
        <f t="shared" si="9"/>
        <v>0</v>
      </c>
      <c r="AB24" s="77" t="str">
        <f t="shared" si="10"/>
        <v>ok</v>
      </c>
      <c r="AC24" s="203"/>
      <c r="AD24" s="79" t="str">
        <f t="array" ref="AD24">IFERROR(IF($D24="","",INDEX(구분표!$I$2:$I$1001,MATCH(1,(구분표!$B$2:$B$1001='15년일출'!$B24)*(구분표!$C$2:$C$1001='15년일출'!$C24)*(구분표!$A$2:$A$1001='15년일출'!$D24),0))),"@@")</f>
        <v>1906</v>
      </c>
    </row>
    <row r="25" spans="2:30" s="202" customFormat="1" ht="48" customHeight="1">
      <c r="B25" s="72" t="str">
        <f>IFERROR(VLOOKUP('15년일출'!$D25,구분표!$A$2:$C$1001,2,FALSE),"")</f>
        <v>보건복지위원회</v>
      </c>
      <c r="C25" s="72" t="str">
        <f>IFERROR(VLOOKUP('15년일출'!$D25,구분표!$A$2:$C$1001,3,FALSE),"")</f>
        <v>보건복지국</v>
      </c>
      <c r="D25" s="176" t="s">
        <v>297</v>
      </c>
      <c r="E25" s="177" t="s">
        <v>588</v>
      </c>
      <c r="F25" s="214">
        <v>797</v>
      </c>
      <c r="G25" s="215" t="s">
        <v>728</v>
      </c>
      <c r="H25" s="223">
        <v>651600</v>
      </c>
      <c r="I25" s="216"/>
      <c r="J25" s="217">
        <v>662400</v>
      </c>
      <c r="K25" s="249">
        <f t="shared" si="0"/>
        <v>1314000</v>
      </c>
      <c r="L25" s="207"/>
      <c r="M25" s="207"/>
      <c r="N25" s="206">
        <f t="shared" ref="N25:N29" si="15">SUM(H25+L25+M25)</f>
        <v>651600</v>
      </c>
      <c r="O25" s="208" t="str">
        <f t="shared" ref="O25:O29" si="16">IF(I25-L25&lt;0,"동의필요","-")</f>
        <v>-</v>
      </c>
      <c r="P25" s="287" t="s">
        <v>743</v>
      </c>
      <c r="Q25" s="203"/>
      <c r="R25" s="204"/>
      <c r="S25" s="203"/>
      <c r="T25" s="78" t="str">
        <f t="shared" si="3"/>
        <v>기금</v>
      </c>
      <c r="U25" s="178">
        <v>331200</v>
      </c>
      <c r="V25" s="178">
        <f t="shared" si="5"/>
        <v>331200</v>
      </c>
      <c r="W25" s="77" t="str">
        <f t="shared" si="6"/>
        <v>ok</v>
      </c>
      <c r="X25" s="203"/>
      <c r="Y25" s="76" t="str">
        <f t="shared" si="7"/>
        <v>기금</v>
      </c>
      <c r="Z25" s="178">
        <f t="shared" si="8"/>
        <v>0</v>
      </c>
      <c r="AA25" s="178">
        <f t="shared" si="9"/>
        <v>0</v>
      </c>
      <c r="AB25" s="77" t="str">
        <f t="shared" si="10"/>
        <v>ok</v>
      </c>
      <c r="AC25" s="203"/>
      <c r="AD25" s="79" t="str">
        <f t="array" ref="AD25">IFERROR(IF($D25="","",INDEX(구분표!$I$2:$I$1001,MATCH(1,(구분표!$B$2:$B$1001='15년일출'!$B25)*(구분표!$C$2:$C$1001='15년일출'!$C25)*(구분표!$A$2:$A$1001='15년일출'!$D25),0))),"@@")</f>
        <v>1906</v>
      </c>
    </row>
    <row r="26" spans="2:30" s="202" customFormat="1" ht="48" customHeight="1">
      <c r="B26" s="72" t="str">
        <f>IFERROR(VLOOKUP('15년일출'!$D26,구분표!$A$2:$C$1001,2,FALSE),"")</f>
        <v>보건복지위원회</v>
      </c>
      <c r="C26" s="72" t="str">
        <f>IFERROR(VLOOKUP('15년일출'!$D26,구분표!$A$2:$C$1001,3,FALSE),"")</f>
        <v>보건복지국</v>
      </c>
      <c r="D26" s="176" t="s">
        <v>297</v>
      </c>
      <c r="E26" s="177" t="s">
        <v>588</v>
      </c>
      <c r="F26" s="214">
        <v>799</v>
      </c>
      <c r="G26" s="215" t="s">
        <v>729</v>
      </c>
      <c r="H26" s="223">
        <v>750000</v>
      </c>
      <c r="I26" s="216">
        <v>-350000</v>
      </c>
      <c r="J26" s="217"/>
      <c r="K26" s="249">
        <f t="shared" si="0"/>
        <v>400000</v>
      </c>
      <c r="L26" s="207"/>
      <c r="M26" s="207"/>
      <c r="N26" s="206">
        <f t="shared" si="15"/>
        <v>750000</v>
      </c>
      <c r="O26" s="208" t="str">
        <f t="shared" si="16"/>
        <v>동의필요</v>
      </c>
      <c r="P26" s="287" t="s">
        <v>711</v>
      </c>
      <c r="Q26" s="203"/>
      <c r="R26" s="204"/>
      <c r="S26" s="203"/>
      <c r="T26" s="78" t="str">
        <f t="shared" si="3"/>
        <v>기금</v>
      </c>
      <c r="U26" s="178">
        <v>-300000</v>
      </c>
      <c r="V26" s="178">
        <f t="shared" si="5"/>
        <v>-50000</v>
      </c>
      <c r="W26" s="77" t="str">
        <f t="shared" si="6"/>
        <v>ok</v>
      </c>
      <c r="X26" s="203"/>
      <c r="Y26" s="76" t="str">
        <f t="shared" si="7"/>
        <v>기금</v>
      </c>
      <c r="Z26" s="178">
        <f t="shared" si="8"/>
        <v>0</v>
      </c>
      <c r="AA26" s="178">
        <f t="shared" si="9"/>
        <v>0</v>
      </c>
      <c r="AB26" s="77" t="str">
        <f t="shared" si="10"/>
        <v>ok</v>
      </c>
      <c r="AC26" s="203"/>
      <c r="AD26" s="79" t="str">
        <f t="array" ref="AD26">IFERROR(IF($D26="","",INDEX(구분표!$I$2:$I$1001,MATCH(1,(구분표!$B$2:$B$1001='15년일출'!$B26)*(구분표!$C$2:$C$1001='15년일출'!$C26)*(구분표!$A$2:$A$1001='15년일출'!$D26),0))),"@@")</f>
        <v>1906</v>
      </c>
    </row>
    <row r="27" spans="2:30" s="202" customFormat="1" ht="48" customHeight="1">
      <c r="B27" s="72" t="str">
        <f>IFERROR(VLOOKUP('15년일출'!$D27,구분표!$A$2:$C$1001,2,FALSE),"")</f>
        <v>보건복지위원회</v>
      </c>
      <c r="C27" s="72" t="str">
        <f>IFERROR(VLOOKUP('15년일출'!$D27,구분표!$A$2:$C$1001,3,FALSE),"")</f>
        <v>보건복지국</v>
      </c>
      <c r="D27" s="176" t="s">
        <v>297</v>
      </c>
      <c r="E27" s="177" t="s">
        <v>588</v>
      </c>
      <c r="F27" s="214">
        <v>800</v>
      </c>
      <c r="G27" s="215" t="s">
        <v>730</v>
      </c>
      <c r="H27" s="223">
        <v>6219758</v>
      </c>
      <c r="I27" s="216">
        <v>-2882969</v>
      </c>
      <c r="J27" s="217"/>
      <c r="K27" s="249">
        <f t="shared" si="0"/>
        <v>3336789</v>
      </c>
      <c r="L27" s="207"/>
      <c r="M27" s="207"/>
      <c r="N27" s="206">
        <f t="shared" si="15"/>
        <v>6219758</v>
      </c>
      <c r="O27" s="208" t="str">
        <f t="shared" si="16"/>
        <v>동의필요</v>
      </c>
      <c r="P27" s="287" t="s">
        <v>711</v>
      </c>
      <c r="Q27" s="203"/>
      <c r="R27" s="204"/>
      <c r="S27" s="203"/>
      <c r="T27" s="78" t="str">
        <f t="shared" si="3"/>
        <v>기금</v>
      </c>
      <c r="U27" s="178">
        <v>-2882969</v>
      </c>
      <c r="V27" s="178">
        <f t="shared" si="5"/>
        <v>0</v>
      </c>
      <c r="W27" s="77" t="str">
        <f t="shared" si="6"/>
        <v>ok</v>
      </c>
      <c r="X27" s="203"/>
      <c r="Y27" s="76" t="str">
        <f t="shared" si="7"/>
        <v>기금</v>
      </c>
      <c r="Z27" s="178">
        <f t="shared" si="8"/>
        <v>0</v>
      </c>
      <c r="AA27" s="178">
        <f t="shared" si="9"/>
        <v>0</v>
      </c>
      <c r="AB27" s="77" t="str">
        <f t="shared" si="10"/>
        <v>ok</v>
      </c>
      <c r="AC27" s="203"/>
      <c r="AD27" s="79" t="str">
        <f t="array" ref="AD27">IFERROR(IF($D27="","",INDEX(구분표!$I$2:$I$1001,MATCH(1,(구분표!$B$2:$B$1001='15년일출'!$B27)*(구분표!$C$2:$C$1001='15년일출'!$C27)*(구분표!$A$2:$A$1001='15년일출'!$D27),0))),"@@")</f>
        <v>1906</v>
      </c>
    </row>
    <row r="28" spans="2:30" s="202" customFormat="1" ht="48" customHeight="1">
      <c r="B28" s="72" t="str">
        <f>IFERROR(VLOOKUP('15년일출'!$D28,구분표!$A$2:$C$1001,2,FALSE),"")</f>
        <v>보건복지위원회</v>
      </c>
      <c r="C28" s="72" t="str">
        <f>IFERROR(VLOOKUP('15년일출'!$D28,구분표!$A$2:$C$1001,3,FALSE),"")</f>
        <v>보건복지국</v>
      </c>
      <c r="D28" s="176" t="s">
        <v>297</v>
      </c>
      <c r="E28" s="177" t="s">
        <v>588</v>
      </c>
      <c r="F28" s="214">
        <v>801</v>
      </c>
      <c r="G28" s="215" t="s">
        <v>731</v>
      </c>
      <c r="H28" s="223">
        <v>90000</v>
      </c>
      <c r="I28" s="216"/>
      <c r="J28" s="217">
        <v>13650</v>
      </c>
      <c r="K28" s="249">
        <f t="shared" si="0"/>
        <v>103650</v>
      </c>
      <c r="L28" s="207"/>
      <c r="M28" s="207"/>
      <c r="N28" s="206">
        <f t="shared" si="15"/>
        <v>90000</v>
      </c>
      <c r="O28" s="208" t="str">
        <f t="shared" si="16"/>
        <v>-</v>
      </c>
      <c r="P28" s="287" t="s">
        <v>744</v>
      </c>
      <c r="Q28" s="203"/>
      <c r="R28" s="204"/>
      <c r="S28" s="203"/>
      <c r="T28" s="78" t="str">
        <f t="shared" si="3"/>
        <v>기금</v>
      </c>
      <c r="U28" s="178">
        <v>13650</v>
      </c>
      <c r="V28" s="178">
        <f t="shared" si="5"/>
        <v>0</v>
      </c>
      <c r="W28" s="77" t="str">
        <f t="shared" si="6"/>
        <v>ok</v>
      </c>
      <c r="X28" s="203"/>
      <c r="Y28" s="76" t="str">
        <f t="shared" si="7"/>
        <v>기금</v>
      </c>
      <c r="Z28" s="178">
        <f t="shared" si="8"/>
        <v>0</v>
      </c>
      <c r="AA28" s="178">
        <f t="shared" si="9"/>
        <v>0</v>
      </c>
      <c r="AB28" s="77" t="str">
        <f t="shared" si="10"/>
        <v>ok</v>
      </c>
      <c r="AC28" s="203"/>
      <c r="AD28" s="79" t="str">
        <f t="array" ref="AD28">IFERROR(IF($D28="","",INDEX(구분표!$I$2:$I$1001,MATCH(1,(구분표!$B$2:$B$1001='15년일출'!$B28)*(구분표!$C$2:$C$1001='15년일출'!$C28)*(구분표!$A$2:$A$1001='15년일출'!$D28),0))),"@@")</f>
        <v>1906</v>
      </c>
    </row>
    <row r="29" spans="2:30" s="202" customFormat="1" ht="48" customHeight="1">
      <c r="B29" s="72" t="str">
        <f>IFERROR(VLOOKUP('15년일출'!$D29,구분표!$A$2:$C$1001,2,FALSE),"")</f>
        <v>보건복지위원회</v>
      </c>
      <c r="C29" s="72" t="str">
        <f>IFERROR(VLOOKUP('15년일출'!$D29,구분표!$A$2:$C$1001,3,FALSE),"")</f>
        <v>보건복지국</v>
      </c>
      <c r="D29" s="176" t="s">
        <v>297</v>
      </c>
      <c r="E29" s="177" t="s">
        <v>588</v>
      </c>
      <c r="F29" s="214">
        <v>801</v>
      </c>
      <c r="G29" s="242" t="s">
        <v>732</v>
      </c>
      <c r="H29" s="223">
        <v>229500</v>
      </c>
      <c r="I29" s="216">
        <v>-31500</v>
      </c>
      <c r="J29" s="217"/>
      <c r="K29" s="249">
        <f t="shared" si="0"/>
        <v>198000</v>
      </c>
      <c r="L29" s="207"/>
      <c r="M29" s="207"/>
      <c r="N29" s="206">
        <f t="shared" si="15"/>
        <v>229500</v>
      </c>
      <c r="O29" s="208" t="str">
        <f t="shared" si="16"/>
        <v>동의필요</v>
      </c>
      <c r="P29" s="287" t="s">
        <v>709</v>
      </c>
      <c r="Q29" s="203"/>
      <c r="R29" s="204"/>
      <c r="S29" s="203"/>
      <c r="T29" s="78" t="str">
        <f t="shared" si="3"/>
        <v>기금</v>
      </c>
      <c r="U29" s="178">
        <v>-97500</v>
      </c>
      <c r="V29" s="178">
        <v>66000</v>
      </c>
      <c r="W29" s="77" t="str">
        <f t="shared" si="6"/>
        <v>ok</v>
      </c>
      <c r="X29" s="203"/>
      <c r="Y29" s="76" t="str">
        <f t="shared" si="7"/>
        <v>기금</v>
      </c>
      <c r="Z29" s="178">
        <f t="shared" si="8"/>
        <v>0</v>
      </c>
      <c r="AA29" s="178">
        <f t="shared" si="9"/>
        <v>0</v>
      </c>
      <c r="AB29" s="77" t="str">
        <f t="shared" si="10"/>
        <v>ok</v>
      </c>
      <c r="AC29" s="203"/>
      <c r="AD29" s="79" t="str">
        <f t="array" ref="AD29">IFERROR(IF($D29="","",INDEX(구분표!$I$2:$I$1001,MATCH(1,(구분표!$B$2:$B$1001='15년일출'!$B29)*(구분표!$C$2:$C$1001='15년일출'!$C29)*(구분표!$A$2:$A$1001='15년일출'!$D29),0))),"@@")</f>
        <v>1906</v>
      </c>
    </row>
    <row r="30" spans="2:30" s="202" customFormat="1" ht="48" customHeight="1">
      <c r="B30" s="72" t="str">
        <f>IFERROR(VLOOKUP('15년일출'!$D30,구분표!$A$2:$C$1001,2,FALSE),"")</f>
        <v>보건복지위원회</v>
      </c>
      <c r="C30" s="72" t="str">
        <f>IFERROR(VLOOKUP('15년일출'!$D30,구분표!$A$2:$C$1001,3,FALSE),"")</f>
        <v>보건복지국</v>
      </c>
      <c r="D30" s="176" t="s">
        <v>297</v>
      </c>
      <c r="E30" s="177" t="s">
        <v>588</v>
      </c>
      <c r="F30" s="214">
        <v>803</v>
      </c>
      <c r="G30" s="215" t="s">
        <v>593</v>
      </c>
      <c r="H30" s="223">
        <v>4097843</v>
      </c>
      <c r="I30" s="216"/>
      <c r="J30" s="217">
        <v>119592</v>
      </c>
      <c r="K30" s="249">
        <f t="shared" si="0"/>
        <v>4217435</v>
      </c>
      <c r="L30" s="207"/>
      <c r="M30" s="207"/>
      <c r="N30" s="206">
        <f t="shared" si="13"/>
        <v>4097843</v>
      </c>
      <c r="O30" s="208" t="str">
        <f t="shared" si="14"/>
        <v>-</v>
      </c>
      <c r="P30" s="287" t="s">
        <v>745</v>
      </c>
      <c r="Q30" s="203"/>
      <c r="R30" s="204"/>
      <c r="S30" s="203"/>
      <c r="T30" s="78" t="str">
        <f t="shared" si="3"/>
        <v>국비</v>
      </c>
      <c r="U30" s="178">
        <v>112369</v>
      </c>
      <c r="V30" s="178">
        <f t="shared" si="5"/>
        <v>7223</v>
      </c>
      <c r="W30" s="77" t="str">
        <f t="shared" si="6"/>
        <v>ok</v>
      </c>
      <c r="X30" s="203"/>
      <c r="Y30" s="76" t="str">
        <f t="shared" si="7"/>
        <v>국비</v>
      </c>
      <c r="Z30" s="178">
        <f t="shared" si="8"/>
        <v>0</v>
      </c>
      <c r="AA30" s="178">
        <f t="shared" si="9"/>
        <v>0</v>
      </c>
      <c r="AB30" s="77" t="str">
        <f t="shared" si="10"/>
        <v>ok</v>
      </c>
      <c r="AC30" s="203"/>
      <c r="AD30" s="79" t="str">
        <f t="array" ref="AD30">IFERROR(IF($D30="","",INDEX(구분표!$I$2:$I$1001,MATCH(1,(구분표!$B$2:$B$1001='15년일출'!$B30)*(구분표!$C$2:$C$1001='15년일출'!$C30)*(구분표!$A$2:$A$1001='15년일출'!$D30),0))),"@@")</f>
        <v>1906</v>
      </c>
    </row>
    <row r="31" spans="2:30" s="202" customFormat="1" ht="48" customHeight="1">
      <c r="B31" s="72" t="str">
        <f>IFERROR(VLOOKUP('15년일출'!$D31,구분표!$A$2:$C$1001,2,FALSE),"")</f>
        <v>보건복지위원회</v>
      </c>
      <c r="C31" s="72" t="str">
        <f>IFERROR(VLOOKUP('15년일출'!$D31,구분표!$A$2:$C$1001,3,FALSE),"")</f>
        <v>복지여성실</v>
      </c>
      <c r="D31" s="176" t="s">
        <v>591</v>
      </c>
      <c r="E31" s="177" t="s">
        <v>588</v>
      </c>
      <c r="F31" s="214">
        <v>820</v>
      </c>
      <c r="G31" s="215" t="s">
        <v>749</v>
      </c>
      <c r="H31" s="223">
        <v>10781900</v>
      </c>
      <c r="I31" s="216"/>
      <c r="J31" s="217">
        <v>1220150</v>
      </c>
      <c r="K31" s="249">
        <f t="shared" si="0"/>
        <v>12002050</v>
      </c>
      <c r="L31" s="207"/>
      <c r="M31" s="207"/>
      <c r="N31" s="206">
        <f t="shared" ref="N31:N90" si="17">SUM(H31+L31+M31)</f>
        <v>10781900</v>
      </c>
      <c r="O31" s="208" t="str">
        <f t="shared" ref="O31:O111" si="18">IF(I31-L31&lt;0,"동의필요","-")</f>
        <v>-</v>
      </c>
      <c r="P31" s="287" t="s">
        <v>916</v>
      </c>
      <c r="Q31" s="203"/>
      <c r="R31" s="204"/>
      <c r="S31" s="203"/>
      <c r="T31" s="78" t="str">
        <f t="shared" si="3"/>
        <v>국비</v>
      </c>
      <c r="U31" s="178">
        <v>1061000</v>
      </c>
      <c r="V31" s="178">
        <f t="shared" si="5"/>
        <v>159150</v>
      </c>
      <c r="W31" s="77" t="str">
        <f t="shared" si="6"/>
        <v>ok</v>
      </c>
      <c r="X31" s="203"/>
      <c r="Y31" s="76" t="str">
        <f t="shared" si="7"/>
        <v>국비</v>
      </c>
      <c r="Z31" s="178">
        <f t="shared" si="8"/>
        <v>0</v>
      </c>
      <c r="AA31" s="178">
        <f t="shared" si="9"/>
        <v>0</v>
      </c>
      <c r="AB31" s="77" t="str">
        <f t="shared" si="10"/>
        <v>ok</v>
      </c>
      <c r="AC31" s="203"/>
      <c r="AD31" s="79" t="str">
        <f t="array" ref="AD31">IFERROR(IF($D31="","",INDEX(구분표!$I$2:$I$1001,MATCH(1,(구분표!$B$2:$B$1001='15년일출'!$B31)*(구분표!$C$2:$C$1001='15년일출'!$C31)*(구분표!$A$2:$A$1001='15년일출'!$D31),0))),"@@")</f>
        <v>2001</v>
      </c>
    </row>
    <row r="32" spans="2:30" s="202" customFormat="1" ht="48" customHeight="1">
      <c r="B32" s="72" t="str">
        <f>IFERROR(VLOOKUP('15년일출'!$D32,구분표!$A$2:$C$1001,2,FALSE),"")</f>
        <v>보건복지위원회</v>
      </c>
      <c r="C32" s="72" t="str">
        <f>IFERROR(VLOOKUP('15년일출'!$D32,구분표!$A$2:$C$1001,3,FALSE),"")</f>
        <v>복지여성실</v>
      </c>
      <c r="D32" s="176" t="s">
        <v>591</v>
      </c>
      <c r="E32" s="177" t="s">
        <v>588</v>
      </c>
      <c r="F32" s="214">
        <v>820</v>
      </c>
      <c r="G32" s="215" t="s">
        <v>750</v>
      </c>
      <c r="H32" s="223">
        <v>441232</v>
      </c>
      <c r="I32" s="216"/>
      <c r="J32" s="217">
        <v>48260</v>
      </c>
      <c r="K32" s="249">
        <f t="shared" si="0"/>
        <v>489492</v>
      </c>
      <c r="L32" s="178"/>
      <c r="M32" s="178"/>
      <c r="N32" s="73">
        <f t="shared" si="17"/>
        <v>441232</v>
      </c>
      <c r="O32" s="74" t="str">
        <f t="shared" si="18"/>
        <v>-</v>
      </c>
      <c r="P32" s="287" t="s">
        <v>916</v>
      </c>
      <c r="Q32" s="203"/>
      <c r="R32" s="204"/>
      <c r="S32" s="203"/>
      <c r="T32" s="78" t="str">
        <f t="shared" si="3"/>
        <v>국비</v>
      </c>
      <c r="U32" s="178">
        <v>41965</v>
      </c>
      <c r="V32" s="178">
        <f t="shared" si="5"/>
        <v>6295</v>
      </c>
      <c r="W32" s="77" t="str">
        <f t="shared" si="6"/>
        <v>ok</v>
      </c>
      <c r="X32" s="203"/>
      <c r="Y32" s="76" t="str">
        <f t="shared" si="7"/>
        <v>국비</v>
      </c>
      <c r="Z32" s="178">
        <f t="shared" si="8"/>
        <v>0</v>
      </c>
      <c r="AA32" s="178">
        <f t="shared" si="9"/>
        <v>0</v>
      </c>
      <c r="AB32" s="77" t="str">
        <f t="shared" si="10"/>
        <v>ok</v>
      </c>
      <c r="AC32" s="203"/>
      <c r="AD32" s="79" t="str">
        <f t="array" ref="AD32">IFERROR(IF($D32="","",INDEX(구분표!$I$2:$I$1001,MATCH(1,(구분표!$B$2:$B$1001='15년일출'!$B32)*(구분표!$C$2:$C$1001='15년일출'!$C32)*(구분표!$A$2:$A$1001='15년일출'!$D32),0))),"@@")</f>
        <v>2001</v>
      </c>
    </row>
    <row r="33" spans="2:30" s="202" customFormat="1" ht="48" customHeight="1">
      <c r="B33" s="72" t="str">
        <f>IFERROR(VLOOKUP('15년일출'!$D33,구분표!$A$2:$C$1001,2,FALSE),"")</f>
        <v>보건복지위원회</v>
      </c>
      <c r="C33" s="72" t="str">
        <f>IFERROR(VLOOKUP('15년일출'!$D33,구분표!$A$2:$C$1001,3,FALSE),"")</f>
        <v>복지여성실</v>
      </c>
      <c r="D33" s="176" t="s">
        <v>591</v>
      </c>
      <c r="E33" s="177" t="s">
        <v>588</v>
      </c>
      <c r="F33" s="214">
        <v>823</v>
      </c>
      <c r="G33" s="218" t="s">
        <v>751</v>
      </c>
      <c r="H33" s="224">
        <v>75900</v>
      </c>
      <c r="I33" s="216"/>
      <c r="J33" s="217">
        <v>14850</v>
      </c>
      <c r="K33" s="249">
        <f t="shared" si="0"/>
        <v>90750</v>
      </c>
      <c r="L33" s="178"/>
      <c r="M33" s="178"/>
      <c r="N33" s="73">
        <f t="shared" si="17"/>
        <v>75900</v>
      </c>
      <c r="O33" s="74" t="str">
        <f t="shared" si="18"/>
        <v>-</v>
      </c>
      <c r="P33" s="287" t="s">
        <v>917</v>
      </c>
      <c r="Q33" s="203"/>
      <c r="R33" s="204"/>
      <c r="S33" s="203"/>
      <c r="T33" s="78" t="str">
        <f t="shared" si="3"/>
        <v>기금</v>
      </c>
      <c r="U33" s="178">
        <v>14850</v>
      </c>
      <c r="V33" s="178">
        <f t="shared" si="5"/>
        <v>0</v>
      </c>
      <c r="W33" s="77" t="str">
        <f t="shared" si="6"/>
        <v>ok</v>
      </c>
      <c r="X33" s="203"/>
      <c r="Y33" s="76" t="str">
        <f t="shared" si="7"/>
        <v>기금</v>
      </c>
      <c r="Z33" s="178">
        <f t="shared" si="8"/>
        <v>0</v>
      </c>
      <c r="AA33" s="178">
        <f t="shared" si="9"/>
        <v>0</v>
      </c>
      <c r="AB33" s="77" t="str">
        <f t="shared" si="10"/>
        <v>ok</v>
      </c>
      <c r="AC33" s="203"/>
      <c r="AD33" s="79" t="str">
        <f t="array" ref="AD33">IFERROR(IF($D33="","",INDEX(구분표!$I$2:$I$1001,MATCH(1,(구분표!$B$2:$B$1001='15년일출'!$B33)*(구분표!$C$2:$C$1001='15년일출'!$C33)*(구분표!$A$2:$A$1001='15년일출'!$D33),0))),"@@")</f>
        <v>2001</v>
      </c>
    </row>
    <row r="34" spans="2:30" s="202" customFormat="1" ht="48" customHeight="1">
      <c r="B34" s="72" t="str">
        <f>IFERROR(VLOOKUP('15년일출'!$D34,구분표!$A$2:$C$1001,2,FALSE),"")</f>
        <v>보건복지위원회</v>
      </c>
      <c r="C34" s="72" t="str">
        <f>IFERROR(VLOOKUP('15년일출'!$D34,구분표!$A$2:$C$1001,3,FALSE),"")</f>
        <v>복지여성실</v>
      </c>
      <c r="D34" s="176" t="s">
        <v>591</v>
      </c>
      <c r="E34" s="177" t="s">
        <v>588</v>
      </c>
      <c r="F34" s="214">
        <v>823</v>
      </c>
      <c r="G34" s="218" t="s">
        <v>752</v>
      </c>
      <c r="H34" s="224">
        <v>86530</v>
      </c>
      <c r="I34" s="216"/>
      <c r="J34" s="217">
        <v>12670</v>
      </c>
      <c r="K34" s="249">
        <f t="shared" si="0"/>
        <v>99200</v>
      </c>
      <c r="L34" s="178"/>
      <c r="M34" s="178"/>
      <c r="N34" s="73">
        <f t="shared" si="17"/>
        <v>86530</v>
      </c>
      <c r="O34" s="74" t="str">
        <f t="shared" si="18"/>
        <v>-</v>
      </c>
      <c r="P34" s="287" t="s">
        <v>917</v>
      </c>
      <c r="Q34" s="203"/>
      <c r="R34" s="204"/>
      <c r="S34" s="203"/>
      <c r="T34" s="78" t="str">
        <f t="shared" si="3"/>
        <v>기금</v>
      </c>
      <c r="U34" s="178">
        <v>12670</v>
      </c>
      <c r="V34" s="178">
        <f t="shared" si="5"/>
        <v>0</v>
      </c>
      <c r="W34" s="77" t="str">
        <f t="shared" si="6"/>
        <v>ok</v>
      </c>
      <c r="X34" s="203"/>
      <c r="Y34" s="76" t="str">
        <f t="shared" si="7"/>
        <v>기금</v>
      </c>
      <c r="Z34" s="178">
        <f t="shared" si="8"/>
        <v>0</v>
      </c>
      <c r="AA34" s="178">
        <f t="shared" si="9"/>
        <v>0</v>
      </c>
      <c r="AB34" s="77" t="str">
        <f t="shared" si="10"/>
        <v>ok</v>
      </c>
      <c r="AC34" s="203"/>
      <c r="AD34" s="79" t="str">
        <f t="array" ref="AD34">IFERROR(IF($D34="","",INDEX(구분표!$I$2:$I$1001,MATCH(1,(구분표!$B$2:$B$1001='15년일출'!$B34)*(구분표!$C$2:$C$1001='15년일출'!$C34)*(구분표!$A$2:$A$1001='15년일출'!$D34),0))),"@@")</f>
        <v>2001</v>
      </c>
    </row>
    <row r="35" spans="2:30" s="202" customFormat="1" ht="48" customHeight="1">
      <c r="B35" s="72" t="str">
        <f>IFERROR(VLOOKUP('15년일출'!$D35,구분표!$A$2:$C$1001,2,FALSE),"")</f>
        <v>보건복지위원회</v>
      </c>
      <c r="C35" s="72" t="str">
        <f>IFERROR(VLOOKUP('15년일출'!$D35,구분표!$A$2:$C$1001,3,FALSE),"")</f>
        <v>복지여성실</v>
      </c>
      <c r="D35" s="176" t="s">
        <v>591</v>
      </c>
      <c r="E35" s="177" t="s">
        <v>588</v>
      </c>
      <c r="F35" s="214">
        <v>829</v>
      </c>
      <c r="G35" s="218" t="s">
        <v>753</v>
      </c>
      <c r="H35" s="224">
        <v>889036</v>
      </c>
      <c r="I35" s="216"/>
      <c r="J35" s="217">
        <v>11228</v>
      </c>
      <c r="K35" s="249">
        <f t="shared" si="0"/>
        <v>900264</v>
      </c>
      <c r="L35" s="178"/>
      <c r="M35" s="178"/>
      <c r="N35" s="73">
        <f t="shared" si="17"/>
        <v>889036</v>
      </c>
      <c r="O35" s="74" t="str">
        <f t="shared" si="18"/>
        <v>-</v>
      </c>
      <c r="P35" s="289" t="s">
        <v>918</v>
      </c>
      <c r="Q35" s="203"/>
      <c r="R35" s="204"/>
      <c r="S35" s="203"/>
      <c r="T35" s="78" t="str">
        <f t="shared" si="3"/>
        <v>국비</v>
      </c>
      <c r="U35" s="178">
        <v>9763</v>
      </c>
      <c r="V35" s="178">
        <f t="shared" si="5"/>
        <v>1465</v>
      </c>
      <c r="W35" s="77" t="str">
        <f t="shared" si="6"/>
        <v>ok</v>
      </c>
      <c r="X35" s="203"/>
      <c r="Y35" s="76" t="str">
        <f t="shared" si="7"/>
        <v>국비</v>
      </c>
      <c r="Z35" s="178">
        <f t="shared" si="8"/>
        <v>0</v>
      </c>
      <c r="AA35" s="178">
        <f t="shared" si="9"/>
        <v>0</v>
      </c>
      <c r="AB35" s="77" t="str">
        <f t="shared" si="10"/>
        <v>ok</v>
      </c>
      <c r="AC35" s="203"/>
      <c r="AD35" s="79" t="str">
        <f t="array" ref="AD35">IFERROR(IF($D35="","",INDEX(구분표!$I$2:$I$1001,MATCH(1,(구분표!$B$2:$B$1001='15년일출'!$B35)*(구분표!$C$2:$C$1001='15년일출'!$C35)*(구분표!$A$2:$A$1001='15년일출'!$D35),0))),"@@")</f>
        <v>2001</v>
      </c>
    </row>
    <row r="36" spans="2:30" s="202" customFormat="1" ht="48" customHeight="1">
      <c r="B36" s="72" t="str">
        <f>IFERROR(VLOOKUP('15년일출'!$D36,구분표!$A$2:$C$1001,2,FALSE),"")</f>
        <v>보건복지위원회</v>
      </c>
      <c r="C36" s="72" t="str">
        <f>IFERROR(VLOOKUP('15년일출'!$D36,구분표!$A$2:$C$1001,3,FALSE),"")</f>
        <v>복지여성실</v>
      </c>
      <c r="D36" s="176" t="s">
        <v>591</v>
      </c>
      <c r="E36" s="177" t="s">
        <v>588</v>
      </c>
      <c r="F36" s="214">
        <v>830</v>
      </c>
      <c r="G36" s="218" t="s">
        <v>754</v>
      </c>
      <c r="H36" s="224">
        <v>2274520</v>
      </c>
      <c r="I36" s="216"/>
      <c r="J36" s="217">
        <v>46895</v>
      </c>
      <c r="K36" s="249">
        <f t="shared" si="0"/>
        <v>2321415</v>
      </c>
      <c r="L36" s="178"/>
      <c r="M36" s="178"/>
      <c r="N36" s="73">
        <f t="shared" si="17"/>
        <v>2274520</v>
      </c>
      <c r="O36" s="74" t="str">
        <f t="shared" si="18"/>
        <v>-</v>
      </c>
      <c r="P36" s="289" t="s">
        <v>919</v>
      </c>
      <c r="Q36" s="203"/>
      <c r="R36" s="204"/>
      <c r="S36" s="203"/>
      <c r="T36" s="78" t="str">
        <f t="shared" si="3"/>
        <v>국비</v>
      </c>
      <c r="U36" s="178">
        <v>40778</v>
      </c>
      <c r="V36" s="178">
        <f t="shared" si="5"/>
        <v>6117</v>
      </c>
      <c r="W36" s="77" t="str">
        <f t="shared" si="6"/>
        <v>ok</v>
      </c>
      <c r="X36" s="203"/>
      <c r="Y36" s="76" t="str">
        <f t="shared" si="7"/>
        <v>국비</v>
      </c>
      <c r="Z36" s="178">
        <f t="shared" si="8"/>
        <v>0</v>
      </c>
      <c r="AA36" s="178">
        <f t="shared" si="9"/>
        <v>0</v>
      </c>
      <c r="AB36" s="77" t="str">
        <f t="shared" si="10"/>
        <v>ok</v>
      </c>
      <c r="AC36" s="203"/>
      <c r="AD36" s="79" t="str">
        <f t="array" ref="AD36">IFERROR(IF($D36="","",INDEX(구분표!$I$2:$I$1001,MATCH(1,(구분표!$B$2:$B$1001='15년일출'!$B36)*(구분표!$C$2:$C$1001='15년일출'!$C36)*(구분표!$A$2:$A$1001='15년일출'!$D36),0))),"@@")</f>
        <v>2001</v>
      </c>
    </row>
    <row r="37" spans="2:30" s="202" customFormat="1" ht="48" customHeight="1">
      <c r="B37" s="72" t="str">
        <f>IFERROR(VLOOKUP('15년일출'!$D37,구분표!$A$2:$C$1001,2,FALSE),"")</f>
        <v>보건복지위원회</v>
      </c>
      <c r="C37" s="72" t="str">
        <f>IFERROR(VLOOKUP('15년일출'!$D37,구분표!$A$2:$C$1001,3,FALSE),"")</f>
        <v>복지여성실</v>
      </c>
      <c r="D37" s="176" t="s">
        <v>591</v>
      </c>
      <c r="E37" s="177" t="s">
        <v>588</v>
      </c>
      <c r="F37" s="214">
        <v>830</v>
      </c>
      <c r="G37" s="215" t="s">
        <v>594</v>
      </c>
      <c r="H37" s="223">
        <v>51391</v>
      </c>
      <c r="I37" s="219">
        <v>-51391</v>
      </c>
      <c r="J37" s="217"/>
      <c r="K37" s="249">
        <f t="shared" si="0"/>
        <v>0</v>
      </c>
      <c r="L37" s="178"/>
      <c r="M37" s="178"/>
      <c r="N37" s="73">
        <f t="shared" si="17"/>
        <v>51391</v>
      </c>
      <c r="O37" s="74" t="str">
        <f t="shared" si="18"/>
        <v>동의필요</v>
      </c>
      <c r="P37" s="289" t="s">
        <v>920</v>
      </c>
      <c r="Q37" s="203"/>
      <c r="R37" s="204"/>
      <c r="S37" s="203"/>
      <c r="T37" s="78" t="str">
        <f t="shared" si="3"/>
        <v>국비</v>
      </c>
      <c r="U37" s="178">
        <v>-44688</v>
      </c>
      <c r="V37" s="178">
        <f t="shared" si="5"/>
        <v>-6703</v>
      </c>
      <c r="W37" s="77" t="str">
        <f t="shared" si="6"/>
        <v>ok</v>
      </c>
      <c r="X37" s="203"/>
      <c r="Y37" s="76" t="str">
        <f t="shared" si="7"/>
        <v>국비</v>
      </c>
      <c r="Z37" s="178">
        <f t="shared" si="8"/>
        <v>0</v>
      </c>
      <c r="AA37" s="178">
        <f t="shared" si="9"/>
        <v>0</v>
      </c>
      <c r="AB37" s="77" t="str">
        <f t="shared" si="10"/>
        <v>ok</v>
      </c>
      <c r="AC37" s="203"/>
      <c r="AD37" s="79" t="str">
        <f t="array" ref="AD37">IFERROR(IF($D37="","",INDEX(구분표!$I$2:$I$1001,MATCH(1,(구분표!$B$2:$B$1001='15년일출'!$B37)*(구분표!$C$2:$C$1001='15년일출'!$C37)*(구분표!$A$2:$A$1001='15년일출'!$D37),0))),"@@")</f>
        <v>2001</v>
      </c>
    </row>
    <row r="38" spans="2:30" s="202" customFormat="1" ht="48" customHeight="1">
      <c r="B38" s="72" t="str">
        <f>IFERROR(VLOOKUP('15년일출'!$D38,구분표!$A$2:$C$1001,2,FALSE),"")</f>
        <v>보건복지위원회</v>
      </c>
      <c r="C38" s="72" t="str">
        <f>IFERROR(VLOOKUP('15년일출'!$D38,구분표!$A$2:$C$1001,3,FALSE),"")</f>
        <v>복지여성실</v>
      </c>
      <c r="D38" s="176" t="s">
        <v>595</v>
      </c>
      <c r="E38" s="177" t="s">
        <v>588</v>
      </c>
      <c r="F38" s="214">
        <v>837</v>
      </c>
      <c r="G38" s="220" t="s">
        <v>592</v>
      </c>
      <c r="H38" s="224">
        <v>1211669</v>
      </c>
      <c r="I38" s="216"/>
      <c r="J38" s="217"/>
      <c r="K38" s="249">
        <f t="shared" si="0"/>
        <v>1211669</v>
      </c>
      <c r="L38" s="178"/>
      <c r="M38" s="178"/>
      <c r="N38" s="73">
        <f t="shared" si="17"/>
        <v>1211669</v>
      </c>
      <c r="O38" s="74" t="str">
        <f t="shared" si="18"/>
        <v>-</v>
      </c>
      <c r="P38" s="289" t="s">
        <v>921</v>
      </c>
      <c r="Q38" s="203"/>
      <c r="R38" s="204"/>
      <c r="S38" s="203"/>
      <c r="T38" s="78" t="str">
        <f t="shared" si="3"/>
        <v>기금</v>
      </c>
      <c r="U38" s="178">
        <v>0</v>
      </c>
      <c r="V38" s="178">
        <f t="shared" si="5"/>
        <v>0</v>
      </c>
      <c r="W38" s="77" t="str">
        <f t="shared" si="6"/>
        <v>ok</v>
      </c>
      <c r="X38" s="203"/>
      <c r="Y38" s="76" t="str">
        <f t="shared" si="7"/>
        <v>기금</v>
      </c>
      <c r="Z38" s="178">
        <f t="shared" si="8"/>
        <v>0</v>
      </c>
      <c r="AA38" s="178">
        <f t="shared" si="9"/>
        <v>0</v>
      </c>
      <c r="AB38" s="77" t="str">
        <f t="shared" si="10"/>
        <v>ok</v>
      </c>
      <c r="AC38" s="203"/>
      <c r="AD38" s="79" t="str">
        <f t="array" ref="AD38">IFERROR(IF($D38="","",INDEX(구분표!$I$2:$I$1001,MATCH(1,(구분표!$B$2:$B$1001='15년일출'!$B38)*(구분표!$C$2:$C$1001='15년일출'!$C38)*(구분표!$A$2:$A$1001='15년일출'!$D38),0))),"@@")</f>
        <v>2002</v>
      </c>
    </row>
    <row r="39" spans="2:30" s="202" customFormat="1" ht="48" customHeight="1">
      <c r="B39" s="72" t="str">
        <f>IFERROR(VLOOKUP('15년일출'!$D39,구분표!$A$2:$C$1001,2,FALSE),"")</f>
        <v>보건복지위원회</v>
      </c>
      <c r="C39" s="72" t="str">
        <f>IFERROR(VLOOKUP('15년일출'!$D39,구분표!$A$2:$C$1001,3,FALSE),"")</f>
        <v>복지여성실</v>
      </c>
      <c r="D39" s="176" t="s">
        <v>595</v>
      </c>
      <c r="E39" s="177" t="s">
        <v>588</v>
      </c>
      <c r="F39" s="214">
        <v>838</v>
      </c>
      <c r="G39" s="215" t="s">
        <v>593</v>
      </c>
      <c r="H39" s="223">
        <v>4597561</v>
      </c>
      <c r="I39" s="216"/>
      <c r="J39" s="217">
        <v>285824</v>
      </c>
      <c r="K39" s="249">
        <f t="shared" si="0"/>
        <v>4883385</v>
      </c>
      <c r="L39" s="178"/>
      <c r="M39" s="178"/>
      <c r="N39" s="73">
        <f t="shared" si="17"/>
        <v>4597561</v>
      </c>
      <c r="O39" s="74" t="str">
        <f t="shared" si="18"/>
        <v>-</v>
      </c>
      <c r="P39" s="289" t="s">
        <v>922</v>
      </c>
      <c r="Q39" s="203"/>
      <c r="R39" s="204"/>
      <c r="S39" s="203"/>
      <c r="T39" s="78" t="str">
        <f t="shared" si="3"/>
        <v>국비</v>
      </c>
      <c r="U39" s="178">
        <v>268560</v>
      </c>
      <c r="V39" s="178">
        <f t="shared" si="5"/>
        <v>17264</v>
      </c>
      <c r="W39" s="77" t="str">
        <f t="shared" si="6"/>
        <v>ok</v>
      </c>
      <c r="X39" s="203"/>
      <c r="Y39" s="76" t="str">
        <f t="shared" si="7"/>
        <v>국비</v>
      </c>
      <c r="Z39" s="178">
        <f t="shared" si="8"/>
        <v>0</v>
      </c>
      <c r="AA39" s="178">
        <f t="shared" si="9"/>
        <v>0</v>
      </c>
      <c r="AB39" s="77" t="str">
        <f t="shared" si="10"/>
        <v>ok</v>
      </c>
      <c r="AC39" s="203"/>
      <c r="AD39" s="79" t="str">
        <f t="array" ref="AD39">IFERROR(IF($D39="","",INDEX(구분표!$I$2:$I$1001,MATCH(1,(구분표!$B$2:$B$1001='15년일출'!$B39)*(구분표!$C$2:$C$1001='15년일출'!$C39)*(구분표!$A$2:$A$1001='15년일출'!$D39),0))),"@@")</f>
        <v>2002</v>
      </c>
    </row>
    <row r="40" spans="2:30" s="202" customFormat="1" ht="48" customHeight="1">
      <c r="B40" s="72" t="str">
        <f>IFERROR(VLOOKUP('15년일출'!$D40,구분표!$A$2:$C$1001,2,FALSE),"")</f>
        <v>보건복지위원회</v>
      </c>
      <c r="C40" s="72" t="str">
        <f>IFERROR(VLOOKUP('15년일출'!$D40,구분표!$A$2:$C$1001,3,FALSE),"")</f>
        <v>복지여성실</v>
      </c>
      <c r="D40" s="176" t="s">
        <v>595</v>
      </c>
      <c r="E40" s="177" t="s">
        <v>588</v>
      </c>
      <c r="F40" s="214">
        <v>846</v>
      </c>
      <c r="G40" s="220" t="s">
        <v>755</v>
      </c>
      <c r="H40" s="224">
        <v>1000549</v>
      </c>
      <c r="I40" s="216"/>
      <c r="J40" s="217">
        <v>1368</v>
      </c>
      <c r="K40" s="249">
        <f t="shared" si="0"/>
        <v>1001917</v>
      </c>
      <c r="L40" s="178"/>
      <c r="M40" s="178"/>
      <c r="N40" s="73">
        <f t="shared" si="17"/>
        <v>1000549</v>
      </c>
      <c r="O40" s="74" t="str">
        <f t="shared" si="18"/>
        <v>-</v>
      </c>
      <c r="P40" s="289" t="s">
        <v>923</v>
      </c>
      <c r="Q40" s="203"/>
      <c r="R40" s="204"/>
      <c r="S40" s="203"/>
      <c r="T40" s="78" t="str">
        <f t="shared" si="3"/>
        <v>기금</v>
      </c>
      <c r="U40" s="178">
        <v>1368</v>
      </c>
      <c r="V40" s="178">
        <f t="shared" si="5"/>
        <v>0</v>
      </c>
      <c r="W40" s="77" t="str">
        <f t="shared" si="6"/>
        <v>ok</v>
      </c>
      <c r="X40" s="203"/>
      <c r="Y40" s="76" t="str">
        <f t="shared" si="7"/>
        <v>기금</v>
      </c>
      <c r="Z40" s="178">
        <f t="shared" si="8"/>
        <v>0</v>
      </c>
      <c r="AA40" s="178">
        <f t="shared" si="9"/>
        <v>0</v>
      </c>
      <c r="AB40" s="77" t="str">
        <f t="shared" si="10"/>
        <v>ok</v>
      </c>
      <c r="AC40" s="203"/>
      <c r="AD40" s="79" t="str">
        <f t="array" ref="AD40">IFERROR(IF($D40="","",INDEX(구분표!$I$2:$I$1001,MATCH(1,(구분표!$B$2:$B$1001='15년일출'!$B40)*(구분표!$C$2:$C$1001='15년일출'!$C40)*(구분표!$A$2:$A$1001='15년일출'!$D40),0))),"@@")</f>
        <v>2002</v>
      </c>
    </row>
    <row r="41" spans="2:30" ht="48" customHeight="1">
      <c r="B41" s="72" t="str">
        <f>IFERROR(VLOOKUP('15년일출'!$D41,구분표!$A$2:$C$1001,2,FALSE),"")</f>
        <v>보건복지위원회</v>
      </c>
      <c r="C41" s="72" t="str">
        <f>IFERROR(VLOOKUP('15년일출'!$D41,구분표!$A$2:$C$1001,3,FALSE),"")</f>
        <v>보건환경연구원</v>
      </c>
      <c r="D41" s="180" t="s">
        <v>870</v>
      </c>
      <c r="E41" s="179" t="s">
        <v>588</v>
      </c>
      <c r="F41" s="239">
        <v>866</v>
      </c>
      <c r="G41" s="237" t="s">
        <v>901</v>
      </c>
      <c r="H41" s="178">
        <v>143958</v>
      </c>
      <c r="I41" s="178"/>
      <c r="J41" s="178">
        <v>670</v>
      </c>
      <c r="K41" s="249">
        <f t="shared" si="0"/>
        <v>144628</v>
      </c>
      <c r="L41" s="178"/>
      <c r="M41" s="178"/>
      <c r="N41" s="73"/>
      <c r="O41" s="74"/>
      <c r="P41" s="290" t="s">
        <v>872</v>
      </c>
      <c r="Q41" s="75"/>
      <c r="R41" s="189" t="s">
        <v>747</v>
      </c>
      <c r="S41" s="75"/>
      <c r="T41" s="78" t="str">
        <f t="shared" si="3"/>
        <v>국비</v>
      </c>
      <c r="U41" s="178">
        <v>332</v>
      </c>
      <c r="V41" s="178">
        <v>338</v>
      </c>
      <c r="W41" s="77" t="str">
        <f t="shared" si="6"/>
        <v>ok</v>
      </c>
      <c r="X41" s="75"/>
      <c r="Y41" s="76"/>
      <c r="Z41" s="178"/>
      <c r="AA41" s="178"/>
      <c r="AB41" s="77"/>
      <c r="AC41" s="75"/>
      <c r="AD41" s="79" t="str">
        <f t="array" ref="AD41">IFERROR(IF($D41="","",INDEX(구분표!$I$2:$I$1001,MATCH(1,(구분표!$B$2:$B$1001='15년일출'!$B41)*(구분표!$C$2:$C$1001='15년일출'!$C41)*(구분표!$A$2:$A$1001='15년일출'!$D41),0))),"@@")</f>
        <v>2102</v>
      </c>
    </row>
    <row r="42" spans="2:30" ht="48" customHeight="1">
      <c r="B42" s="72" t="str">
        <f>IFERROR(VLOOKUP('15년일출'!$D42,구분표!$A$2:$C$1001,2,FALSE),"")</f>
        <v>보건복지위원회</v>
      </c>
      <c r="C42" s="72" t="str">
        <f>IFERROR(VLOOKUP('15년일출'!$D42,구분표!$A$2:$C$1001,3,FALSE),"")</f>
        <v>보건복지국</v>
      </c>
      <c r="D42" s="180" t="s">
        <v>291</v>
      </c>
      <c r="E42" s="179" t="s">
        <v>588</v>
      </c>
      <c r="F42" s="239">
        <v>740</v>
      </c>
      <c r="G42" s="237" t="s">
        <v>904</v>
      </c>
      <c r="H42" s="178">
        <v>70000</v>
      </c>
      <c r="I42" s="282">
        <v>-5373</v>
      </c>
      <c r="J42" s="178"/>
      <c r="K42" s="249">
        <f t="shared" si="0"/>
        <v>64627</v>
      </c>
      <c r="L42" s="178"/>
      <c r="M42" s="178"/>
      <c r="N42" s="73"/>
      <c r="O42" s="74"/>
      <c r="P42" s="291" t="s">
        <v>905</v>
      </c>
      <c r="Q42" s="75"/>
      <c r="R42" s="189"/>
      <c r="S42" s="75"/>
      <c r="T42" s="78" t="str">
        <f t="shared" si="3"/>
        <v>도비</v>
      </c>
      <c r="U42" s="178"/>
      <c r="V42" s="178">
        <v>-5373</v>
      </c>
      <c r="W42" s="77" t="str">
        <f t="shared" si="6"/>
        <v>ok</v>
      </c>
      <c r="X42" s="75"/>
      <c r="Y42" s="76"/>
      <c r="Z42" s="178"/>
      <c r="AA42" s="178"/>
      <c r="AB42" s="77"/>
      <c r="AC42" s="75"/>
      <c r="AD42" s="79"/>
    </row>
    <row r="43" spans="2:30" ht="48" customHeight="1">
      <c r="B43" s="72" t="str">
        <f>IFERROR(VLOOKUP('15년일출'!$D43,구분표!$A$2:$C$1001,2,FALSE),"")</f>
        <v>보건복지위원회</v>
      </c>
      <c r="C43" s="72" t="str">
        <f>IFERROR(VLOOKUP('15년일출'!$D43,구분표!$A$2:$C$1001,3,FALSE),"")</f>
        <v>보건복지국</v>
      </c>
      <c r="D43" s="180" t="s">
        <v>291</v>
      </c>
      <c r="E43" s="179" t="s">
        <v>588</v>
      </c>
      <c r="F43" s="239">
        <v>740</v>
      </c>
      <c r="G43" s="237" t="s">
        <v>910</v>
      </c>
      <c r="H43" s="282">
        <v>279000</v>
      </c>
      <c r="I43" s="282">
        <v>-279000</v>
      </c>
      <c r="J43" s="178"/>
      <c r="K43" s="249">
        <f t="shared" si="0"/>
        <v>0</v>
      </c>
      <c r="L43" s="178"/>
      <c r="M43" s="178"/>
      <c r="N43" s="73"/>
      <c r="O43" s="74"/>
      <c r="P43" s="291" t="s">
        <v>911</v>
      </c>
      <c r="Q43" s="75"/>
      <c r="R43" s="189"/>
      <c r="S43" s="75"/>
      <c r="T43" s="78" t="str">
        <f t="shared" si="3"/>
        <v>도비</v>
      </c>
      <c r="U43" s="178"/>
      <c r="V43" s="282">
        <v>-279000</v>
      </c>
      <c r="W43" s="77" t="str">
        <f t="shared" si="6"/>
        <v>ok</v>
      </c>
      <c r="X43" s="75"/>
      <c r="Y43" s="76"/>
      <c r="Z43" s="178"/>
      <c r="AA43" s="178"/>
      <c r="AB43" s="77"/>
      <c r="AC43" s="75"/>
      <c r="AD43" s="79"/>
    </row>
    <row r="44" spans="2:30" ht="48" customHeight="1">
      <c r="B44" s="72" t="str">
        <f>IFERROR(VLOOKUP('15년일출'!$D44,구분표!$A$2:$C$1001,2,FALSE),"")</f>
        <v>보건복지위원회</v>
      </c>
      <c r="C44" s="72" t="str">
        <f>IFERROR(VLOOKUP('15년일출'!$D44,구분표!$A$2:$C$1001,3,FALSE),"")</f>
        <v>보건복지국</v>
      </c>
      <c r="D44" s="180" t="s">
        <v>291</v>
      </c>
      <c r="E44" s="179" t="s">
        <v>588</v>
      </c>
      <c r="F44" s="179">
        <v>744</v>
      </c>
      <c r="G44" s="180" t="s">
        <v>827</v>
      </c>
      <c r="H44" s="178">
        <v>2086566</v>
      </c>
      <c r="I44" s="178"/>
      <c r="J44" s="178">
        <v>27000</v>
      </c>
      <c r="K44" s="249">
        <f t="shared" si="0"/>
        <v>2113566</v>
      </c>
      <c r="L44" s="178"/>
      <c r="M44" s="178"/>
      <c r="N44" s="73">
        <f t="shared" si="17"/>
        <v>2086566</v>
      </c>
      <c r="O44" s="74" t="str">
        <f t="shared" si="18"/>
        <v>-</v>
      </c>
      <c r="P44" s="290" t="s">
        <v>927</v>
      </c>
      <c r="Q44" s="75"/>
      <c r="R44" s="189"/>
      <c r="S44" s="75"/>
      <c r="T44" s="78" t="str">
        <f t="shared" si="3"/>
        <v>도비</v>
      </c>
      <c r="U44" s="178">
        <f t="shared" si="4"/>
        <v>0</v>
      </c>
      <c r="V44" s="178">
        <f t="shared" si="5"/>
        <v>27000</v>
      </c>
      <c r="W44" s="77" t="str">
        <f t="shared" si="6"/>
        <v>ok</v>
      </c>
      <c r="X44" s="75"/>
      <c r="Y44" s="76" t="str">
        <f t="shared" si="7"/>
        <v>도비</v>
      </c>
      <c r="Z44" s="178">
        <f t="shared" si="8"/>
        <v>0</v>
      </c>
      <c r="AA44" s="178">
        <f t="shared" si="9"/>
        <v>0</v>
      </c>
      <c r="AB44" s="77" t="str">
        <f t="shared" si="10"/>
        <v>ok</v>
      </c>
      <c r="AC44" s="75"/>
      <c r="AD44" s="79" t="str">
        <f t="array" ref="AD44">IFERROR(IF($D44="","",INDEX(구분표!$I$2:$I$1001,MATCH(1,(구분표!$B$2:$B$1001='15년일출'!$B44)*(구분표!$C$2:$C$1001='15년일출'!$C44)*(구분표!$A$2:$A$1001='15년일출'!$D44),0))),"@@")</f>
        <v>1901</v>
      </c>
    </row>
    <row r="45" spans="2:30" ht="48" customHeight="1">
      <c r="B45" s="72" t="str">
        <f>IFERROR(VLOOKUP('15년일출'!$D45,구분표!$A$2:$C$1001,2,FALSE),"")</f>
        <v>보건복지위원회</v>
      </c>
      <c r="C45" s="72" t="str">
        <f>IFERROR(VLOOKUP('15년일출'!$D45,구분표!$A$2:$C$1001,3,FALSE),"")</f>
        <v>보건복지국</v>
      </c>
      <c r="D45" s="180" t="s">
        <v>291</v>
      </c>
      <c r="E45" s="179" t="s">
        <v>588</v>
      </c>
      <c r="F45" s="179">
        <v>744</v>
      </c>
      <c r="G45" s="180" t="s">
        <v>828</v>
      </c>
      <c r="H45" s="178">
        <v>20000</v>
      </c>
      <c r="I45" s="178">
        <v>-20000</v>
      </c>
      <c r="J45" s="178"/>
      <c r="K45" s="249">
        <f t="shared" si="0"/>
        <v>0</v>
      </c>
      <c r="L45" s="178"/>
      <c r="M45" s="178"/>
      <c r="N45" s="73">
        <f t="shared" si="17"/>
        <v>20000</v>
      </c>
      <c r="O45" s="74" t="str">
        <f t="shared" si="18"/>
        <v>동의필요</v>
      </c>
      <c r="P45" s="290" t="s">
        <v>807</v>
      </c>
      <c r="Q45" s="75"/>
      <c r="R45" s="189"/>
      <c r="S45" s="75"/>
      <c r="T45" s="78" t="str">
        <f t="shared" si="3"/>
        <v>도비</v>
      </c>
      <c r="U45" s="178">
        <f t="shared" si="4"/>
        <v>0</v>
      </c>
      <c r="V45" s="178">
        <f t="shared" si="5"/>
        <v>-20000</v>
      </c>
      <c r="W45" s="77" t="str">
        <f t="shared" si="6"/>
        <v>ok</v>
      </c>
      <c r="X45" s="75"/>
      <c r="Y45" s="76" t="str">
        <f t="shared" si="7"/>
        <v>도비</v>
      </c>
      <c r="Z45" s="178">
        <f t="shared" si="8"/>
        <v>0</v>
      </c>
      <c r="AA45" s="178">
        <f t="shared" si="9"/>
        <v>0</v>
      </c>
      <c r="AB45" s="77" t="str">
        <f t="shared" si="10"/>
        <v>ok</v>
      </c>
      <c r="AC45" s="75"/>
      <c r="AD45" s="79" t="str">
        <f t="array" ref="AD45">IFERROR(IF($D45="","",INDEX(구분표!$I$2:$I$1001,MATCH(1,(구분표!$B$2:$B$1001='15년일출'!$B45)*(구분표!$C$2:$C$1001='15년일출'!$C45)*(구분표!$A$2:$A$1001='15년일출'!$D45),0))),"@@")</f>
        <v>1901</v>
      </c>
    </row>
    <row r="46" spans="2:30" ht="48" customHeight="1">
      <c r="B46" s="72" t="str">
        <f>IFERROR(VLOOKUP('15년일출'!$D46,구분표!$A$2:$C$1001,2,FALSE),"")</f>
        <v>보건복지위원회</v>
      </c>
      <c r="C46" s="72" t="str">
        <f>IFERROR(VLOOKUP('15년일출'!$D46,구분표!$A$2:$C$1001,3,FALSE),"")</f>
        <v>보건복지국</v>
      </c>
      <c r="D46" s="180" t="s">
        <v>291</v>
      </c>
      <c r="E46" s="179" t="s">
        <v>588</v>
      </c>
      <c r="F46" s="179">
        <v>745</v>
      </c>
      <c r="G46" s="180" t="s">
        <v>829</v>
      </c>
      <c r="H46" s="178">
        <v>10000</v>
      </c>
      <c r="I46" s="178">
        <v>-10000</v>
      </c>
      <c r="J46" s="178"/>
      <c r="K46" s="249">
        <f t="shared" si="0"/>
        <v>0</v>
      </c>
      <c r="L46" s="178"/>
      <c r="M46" s="178"/>
      <c r="N46" s="73">
        <f t="shared" si="17"/>
        <v>10000</v>
      </c>
      <c r="O46" s="74" t="str">
        <f t="shared" si="18"/>
        <v>동의필요</v>
      </c>
      <c r="P46" s="290" t="s">
        <v>928</v>
      </c>
      <c r="Q46" s="75"/>
      <c r="R46" s="189"/>
      <c r="S46" s="75"/>
      <c r="T46" s="78" t="str">
        <f t="shared" si="3"/>
        <v>도비</v>
      </c>
      <c r="U46" s="178">
        <f t="shared" si="4"/>
        <v>0</v>
      </c>
      <c r="V46" s="178">
        <f t="shared" si="5"/>
        <v>-10000</v>
      </c>
      <c r="W46" s="77" t="str">
        <f t="shared" si="6"/>
        <v>ok</v>
      </c>
      <c r="X46" s="75"/>
      <c r="Y46" s="76" t="str">
        <f t="shared" si="7"/>
        <v>도비</v>
      </c>
      <c r="Z46" s="178">
        <f t="shared" si="8"/>
        <v>0</v>
      </c>
      <c r="AA46" s="178">
        <f t="shared" si="9"/>
        <v>0</v>
      </c>
      <c r="AB46" s="77" t="str">
        <f t="shared" si="10"/>
        <v>ok</v>
      </c>
      <c r="AC46" s="75"/>
      <c r="AD46" s="79" t="str">
        <f t="array" ref="AD46">IFERROR(IF($D46="","",INDEX(구분표!$I$2:$I$1001,MATCH(1,(구분표!$B$2:$B$1001='15년일출'!$B46)*(구분표!$C$2:$C$1001='15년일출'!$C46)*(구분표!$A$2:$A$1001='15년일출'!$D46),0))),"@@")</f>
        <v>1901</v>
      </c>
    </row>
    <row r="47" spans="2:30" ht="48" customHeight="1">
      <c r="B47" s="72" t="str">
        <f>IFERROR(VLOOKUP('15년일출'!$D47,구분표!$A$2:$C$1001,2,FALSE),"")</f>
        <v>보건복지위원회</v>
      </c>
      <c r="C47" s="72" t="str">
        <f>IFERROR(VLOOKUP('15년일출'!$D47,구분표!$A$2:$C$1001,3,FALSE),"")</f>
        <v>보건복지국</v>
      </c>
      <c r="D47" s="180" t="s">
        <v>293</v>
      </c>
      <c r="E47" s="179" t="s">
        <v>588</v>
      </c>
      <c r="F47" s="179">
        <v>752</v>
      </c>
      <c r="G47" s="180" t="s">
        <v>830</v>
      </c>
      <c r="H47" s="178">
        <v>75800</v>
      </c>
      <c r="I47" s="178"/>
      <c r="J47" s="178">
        <v>2635</v>
      </c>
      <c r="K47" s="249">
        <f t="shared" si="0"/>
        <v>78435</v>
      </c>
      <c r="L47" s="178"/>
      <c r="M47" s="178"/>
      <c r="N47" s="73">
        <f t="shared" si="17"/>
        <v>75800</v>
      </c>
      <c r="O47" s="74" t="str">
        <f t="shared" si="18"/>
        <v>-</v>
      </c>
      <c r="P47" s="290" t="s">
        <v>929</v>
      </c>
      <c r="Q47" s="75"/>
      <c r="R47" s="189"/>
      <c r="S47" s="75"/>
      <c r="T47" s="78" t="str">
        <f t="shared" si="3"/>
        <v>도비</v>
      </c>
      <c r="U47" s="178">
        <f t="shared" si="4"/>
        <v>0</v>
      </c>
      <c r="V47" s="178">
        <f t="shared" si="5"/>
        <v>2635</v>
      </c>
      <c r="W47" s="77" t="str">
        <f t="shared" si="6"/>
        <v>ok</v>
      </c>
      <c r="X47" s="75"/>
      <c r="Y47" s="76" t="str">
        <f t="shared" si="7"/>
        <v>도비</v>
      </c>
      <c r="Z47" s="178">
        <f t="shared" si="8"/>
        <v>0</v>
      </c>
      <c r="AA47" s="178">
        <f t="shared" si="9"/>
        <v>0</v>
      </c>
      <c r="AB47" s="77" t="str">
        <f t="shared" si="10"/>
        <v>ok</v>
      </c>
      <c r="AC47" s="75"/>
      <c r="AD47" s="79" t="str">
        <f t="array" ref="AD47">IFERROR(IF($D47="","",INDEX(구분표!$I$2:$I$1001,MATCH(1,(구분표!$B$2:$B$1001='15년일출'!$B47)*(구분표!$C$2:$C$1001='15년일출'!$C47)*(구분표!$A$2:$A$1001='15년일출'!$D47),0))),"@@")</f>
        <v>1902</v>
      </c>
    </row>
    <row r="48" spans="2:30" ht="48" customHeight="1">
      <c r="B48" s="72" t="str">
        <f>IFERROR(VLOOKUP('15년일출'!$D48,구분표!$A$2:$C$1001,2,FALSE),"")</f>
        <v>보건복지위원회</v>
      </c>
      <c r="C48" s="72" t="str">
        <f>IFERROR(VLOOKUP('15년일출'!$D48,구분표!$A$2:$C$1001,3,FALSE),"")</f>
        <v>보건복지국</v>
      </c>
      <c r="D48" s="180" t="s">
        <v>293</v>
      </c>
      <c r="E48" s="179" t="s">
        <v>588</v>
      </c>
      <c r="F48" s="179">
        <v>752</v>
      </c>
      <c r="G48" s="180" t="s">
        <v>831</v>
      </c>
      <c r="H48" s="178">
        <v>39910</v>
      </c>
      <c r="I48" s="178"/>
      <c r="J48" s="178">
        <v>2867</v>
      </c>
      <c r="K48" s="249">
        <f t="shared" si="0"/>
        <v>42777</v>
      </c>
      <c r="L48" s="178"/>
      <c r="M48" s="178"/>
      <c r="N48" s="73">
        <f t="shared" si="17"/>
        <v>39910</v>
      </c>
      <c r="O48" s="74" t="str">
        <f t="shared" si="18"/>
        <v>-</v>
      </c>
      <c r="P48" s="290" t="s">
        <v>808</v>
      </c>
      <c r="Q48" s="75"/>
      <c r="R48" s="189"/>
      <c r="S48" s="75"/>
      <c r="T48" s="78" t="str">
        <f t="shared" si="3"/>
        <v>도비</v>
      </c>
      <c r="U48" s="178">
        <f t="shared" si="4"/>
        <v>0</v>
      </c>
      <c r="V48" s="178">
        <f t="shared" si="5"/>
        <v>2867</v>
      </c>
      <c r="W48" s="77" t="str">
        <f t="shared" si="6"/>
        <v>ok</v>
      </c>
      <c r="X48" s="75"/>
      <c r="Y48" s="76" t="str">
        <f t="shared" si="7"/>
        <v>도비</v>
      </c>
      <c r="Z48" s="178">
        <f t="shared" si="8"/>
        <v>0</v>
      </c>
      <c r="AA48" s="178">
        <f t="shared" si="9"/>
        <v>0</v>
      </c>
      <c r="AB48" s="77" t="str">
        <f t="shared" si="10"/>
        <v>ok</v>
      </c>
      <c r="AC48" s="75"/>
      <c r="AD48" s="79" t="str">
        <f t="array" ref="AD48">IFERROR(IF($D48="","",INDEX(구분표!$I$2:$I$1001,MATCH(1,(구분표!$B$2:$B$1001='15년일출'!$B48)*(구분표!$C$2:$C$1001='15년일출'!$C48)*(구분표!$A$2:$A$1001='15년일출'!$D48),0))),"@@")</f>
        <v>1902</v>
      </c>
    </row>
    <row r="49" spans="2:30" ht="48" customHeight="1">
      <c r="B49" s="72" t="str">
        <f>IFERROR(VLOOKUP('15년일출'!$D49,구분표!$A$2:$C$1001,2,FALSE),"")</f>
        <v>보건복지위원회</v>
      </c>
      <c r="C49" s="72" t="str">
        <f>IFERROR(VLOOKUP('15년일출'!$D49,구분표!$A$2:$C$1001,3,FALSE),"")</f>
        <v>보건복지국</v>
      </c>
      <c r="D49" s="180" t="s">
        <v>293</v>
      </c>
      <c r="E49" s="179" t="s">
        <v>588</v>
      </c>
      <c r="F49" s="179">
        <v>747</v>
      </c>
      <c r="G49" s="180" t="s">
        <v>769</v>
      </c>
      <c r="H49" s="178">
        <v>360000</v>
      </c>
      <c r="I49" s="178">
        <v>-360000</v>
      </c>
      <c r="J49" s="178"/>
      <c r="K49" s="249">
        <f t="shared" si="0"/>
        <v>0</v>
      </c>
      <c r="L49" s="178"/>
      <c r="M49" s="178"/>
      <c r="N49" s="73">
        <f t="shared" si="17"/>
        <v>360000</v>
      </c>
      <c r="O49" s="74" t="str">
        <f t="shared" si="18"/>
        <v>동의필요</v>
      </c>
      <c r="P49" s="290" t="s">
        <v>809</v>
      </c>
      <c r="Q49" s="75"/>
      <c r="R49" s="189"/>
      <c r="S49" s="75"/>
      <c r="T49" s="78" t="str">
        <f t="shared" si="3"/>
        <v>도비</v>
      </c>
      <c r="U49" s="178">
        <f t="shared" si="4"/>
        <v>0</v>
      </c>
      <c r="V49" s="178">
        <f t="shared" si="5"/>
        <v>-360000</v>
      </c>
      <c r="W49" s="77" t="str">
        <f t="shared" si="6"/>
        <v>ok</v>
      </c>
      <c r="X49" s="75"/>
      <c r="Y49" s="76" t="str">
        <f t="shared" si="7"/>
        <v>도비</v>
      </c>
      <c r="Z49" s="178">
        <f t="shared" si="8"/>
        <v>0</v>
      </c>
      <c r="AA49" s="178">
        <f t="shared" si="9"/>
        <v>0</v>
      </c>
      <c r="AB49" s="77" t="str">
        <f t="shared" si="10"/>
        <v>ok</v>
      </c>
      <c r="AC49" s="75"/>
      <c r="AD49" s="79" t="str">
        <f t="array" ref="AD49">IFERROR(IF($D49="","",INDEX(구분표!$I$2:$I$1001,MATCH(1,(구분표!$B$2:$B$1001='15년일출'!$B49)*(구분표!$C$2:$C$1001='15년일출'!$C49)*(구분표!$A$2:$A$1001='15년일출'!$D49),0))),"@@")</f>
        <v>1902</v>
      </c>
    </row>
    <row r="50" spans="2:30" ht="48" customHeight="1">
      <c r="B50" s="72" t="str">
        <f>IFERROR(VLOOKUP('15년일출'!$D50,구분표!$A$2:$C$1001,2,FALSE),"")</f>
        <v>보건복지위원회</v>
      </c>
      <c r="C50" s="72" t="str">
        <f>IFERROR(VLOOKUP('15년일출'!$D50,구분표!$A$2:$C$1001,3,FALSE),"")</f>
        <v>보건복지국</v>
      </c>
      <c r="D50" s="180" t="s">
        <v>293</v>
      </c>
      <c r="E50" s="179" t="s">
        <v>588</v>
      </c>
      <c r="F50" s="179">
        <v>747</v>
      </c>
      <c r="G50" s="180" t="s">
        <v>769</v>
      </c>
      <c r="H50" s="178">
        <v>0</v>
      </c>
      <c r="I50" s="178"/>
      <c r="J50" s="178">
        <v>360000</v>
      </c>
      <c r="K50" s="249">
        <f t="shared" si="0"/>
        <v>360000</v>
      </c>
      <c r="L50" s="178"/>
      <c r="M50" s="178"/>
      <c r="N50" s="73">
        <f t="shared" si="17"/>
        <v>0</v>
      </c>
      <c r="O50" s="74" t="str">
        <f t="shared" si="18"/>
        <v>-</v>
      </c>
      <c r="P50" s="290" t="s">
        <v>810</v>
      </c>
      <c r="Q50" s="75"/>
      <c r="R50" s="189"/>
      <c r="S50" s="75"/>
      <c r="T50" s="78" t="str">
        <f t="shared" si="3"/>
        <v>도비</v>
      </c>
      <c r="U50" s="178">
        <f t="shared" si="4"/>
        <v>0</v>
      </c>
      <c r="V50" s="178">
        <f t="shared" si="5"/>
        <v>360000</v>
      </c>
      <c r="W50" s="77" t="str">
        <f t="shared" si="6"/>
        <v>ok</v>
      </c>
      <c r="X50" s="75"/>
      <c r="Y50" s="76" t="str">
        <f t="shared" si="7"/>
        <v>도비</v>
      </c>
      <c r="Z50" s="178">
        <f t="shared" si="8"/>
        <v>0</v>
      </c>
      <c r="AA50" s="178">
        <f t="shared" si="9"/>
        <v>0</v>
      </c>
      <c r="AB50" s="77" t="str">
        <f t="shared" si="10"/>
        <v>ok</v>
      </c>
      <c r="AC50" s="75"/>
      <c r="AD50" s="79" t="str">
        <f t="array" ref="AD50">IFERROR(IF($D50="","",INDEX(구분표!$I$2:$I$1001,MATCH(1,(구분표!$B$2:$B$1001='15년일출'!$B50)*(구분표!$C$2:$C$1001='15년일출'!$C50)*(구분표!$A$2:$A$1001='15년일출'!$D50),0))),"@@")</f>
        <v>1902</v>
      </c>
    </row>
    <row r="51" spans="2:30" ht="48" customHeight="1">
      <c r="B51" s="72" t="str">
        <f>IFERROR(VLOOKUP('15년일출'!$D51,구분표!$A$2:$C$1001,2,FALSE),"")</f>
        <v>보건복지위원회</v>
      </c>
      <c r="C51" s="72" t="str">
        <f>IFERROR(VLOOKUP('15년일출'!$D51,구분표!$A$2:$C$1001,3,FALSE),"")</f>
        <v>보건복지국</v>
      </c>
      <c r="D51" s="180" t="s">
        <v>293</v>
      </c>
      <c r="E51" s="179" t="s">
        <v>588</v>
      </c>
      <c r="F51" s="179">
        <v>747</v>
      </c>
      <c r="G51" s="180" t="s">
        <v>770</v>
      </c>
      <c r="H51" s="178">
        <v>0</v>
      </c>
      <c r="I51" s="178"/>
      <c r="J51" s="178">
        <v>4500</v>
      </c>
      <c r="K51" s="249">
        <f t="shared" si="0"/>
        <v>4500</v>
      </c>
      <c r="L51" s="178"/>
      <c r="M51" s="178"/>
      <c r="N51" s="73">
        <f t="shared" si="17"/>
        <v>0</v>
      </c>
      <c r="O51" s="74" t="str">
        <f t="shared" si="18"/>
        <v>-</v>
      </c>
      <c r="P51" s="290" t="s">
        <v>811</v>
      </c>
      <c r="Q51" s="75"/>
      <c r="R51" s="189"/>
      <c r="S51" s="75"/>
      <c r="T51" s="78" t="str">
        <f t="shared" si="3"/>
        <v>도비</v>
      </c>
      <c r="U51" s="178">
        <f t="shared" si="4"/>
        <v>0</v>
      </c>
      <c r="V51" s="178">
        <f t="shared" si="5"/>
        <v>4500</v>
      </c>
      <c r="W51" s="77" t="str">
        <f t="shared" si="6"/>
        <v>ok</v>
      </c>
      <c r="X51" s="75"/>
      <c r="Y51" s="76" t="str">
        <f t="shared" si="7"/>
        <v>도비</v>
      </c>
      <c r="Z51" s="178">
        <f t="shared" si="8"/>
        <v>0</v>
      </c>
      <c r="AA51" s="178">
        <f t="shared" si="9"/>
        <v>0</v>
      </c>
      <c r="AB51" s="77" t="str">
        <f t="shared" si="10"/>
        <v>ok</v>
      </c>
      <c r="AC51" s="75"/>
      <c r="AD51" s="79" t="str">
        <f t="array" ref="AD51">IFERROR(IF($D51="","",INDEX(구분표!$I$2:$I$1001,MATCH(1,(구분표!$B$2:$B$1001='15년일출'!$B51)*(구분표!$C$2:$C$1001='15년일출'!$C51)*(구분표!$A$2:$A$1001='15년일출'!$D51),0))),"@@")</f>
        <v>1902</v>
      </c>
    </row>
    <row r="52" spans="2:30" ht="48" customHeight="1">
      <c r="B52" s="72" t="str">
        <f>IFERROR(VLOOKUP('15년일출'!$D52,구분표!$A$2:$C$1001,2,FALSE),"")</f>
        <v>보건복지위원회</v>
      </c>
      <c r="C52" s="72" t="str">
        <f>IFERROR(VLOOKUP('15년일출'!$D52,구분표!$A$2:$C$1001,3,FALSE),"")</f>
        <v>보건복지국</v>
      </c>
      <c r="D52" s="180" t="s">
        <v>293</v>
      </c>
      <c r="E52" s="179" t="s">
        <v>588</v>
      </c>
      <c r="F52" s="179">
        <v>751</v>
      </c>
      <c r="G52" s="241" t="s">
        <v>912</v>
      </c>
      <c r="H52" s="178">
        <v>4500</v>
      </c>
      <c r="I52" s="178">
        <v>-4500</v>
      </c>
      <c r="J52" s="178"/>
      <c r="K52" s="249">
        <f t="shared" si="0"/>
        <v>0</v>
      </c>
      <c r="L52" s="178"/>
      <c r="M52" s="178"/>
      <c r="N52" s="73">
        <f t="shared" si="17"/>
        <v>4500</v>
      </c>
      <c r="O52" s="74" t="str">
        <f t="shared" si="18"/>
        <v>동의필요</v>
      </c>
      <c r="P52" s="292" t="s">
        <v>811</v>
      </c>
      <c r="Q52" s="75"/>
      <c r="R52" s="189"/>
      <c r="S52" s="75"/>
      <c r="T52" s="78" t="str">
        <f t="shared" si="3"/>
        <v>도비</v>
      </c>
      <c r="U52" s="178">
        <f t="shared" si="4"/>
        <v>0</v>
      </c>
      <c r="V52" s="178">
        <f t="shared" si="5"/>
        <v>-4500</v>
      </c>
      <c r="W52" s="77" t="str">
        <f t="shared" si="6"/>
        <v>ok</v>
      </c>
      <c r="X52" s="75"/>
      <c r="Y52" s="76" t="str">
        <f t="shared" si="7"/>
        <v>도비</v>
      </c>
      <c r="Z52" s="178">
        <f t="shared" si="8"/>
        <v>0</v>
      </c>
      <c r="AA52" s="178">
        <f t="shared" si="9"/>
        <v>0</v>
      </c>
      <c r="AB52" s="77" t="str">
        <f t="shared" si="10"/>
        <v>ok</v>
      </c>
      <c r="AC52" s="75"/>
      <c r="AD52" s="79" t="str">
        <f t="array" ref="AD52">IFERROR(IF($D52="","",INDEX(구분표!$I$2:$I$1001,MATCH(1,(구분표!$B$2:$B$1001='15년일출'!$B52)*(구분표!$C$2:$C$1001='15년일출'!$C52)*(구분표!$A$2:$A$1001='15년일출'!$D52),0))),"@@")</f>
        <v>1902</v>
      </c>
    </row>
    <row r="53" spans="2:30" ht="48" customHeight="1">
      <c r="B53" s="72" t="str">
        <f>IFERROR(VLOOKUP('15년일출'!$D53,구분표!$A$2:$C$1001,2,FALSE),"")</f>
        <v>보건복지위원회</v>
      </c>
      <c r="C53" s="72" t="str">
        <f>IFERROR(VLOOKUP('15년일출'!$D53,구분표!$A$2:$C$1001,3,FALSE),"")</f>
        <v>보건복지국</v>
      </c>
      <c r="D53" s="180" t="s">
        <v>293</v>
      </c>
      <c r="E53" s="179" t="s">
        <v>588</v>
      </c>
      <c r="F53" s="179">
        <v>751</v>
      </c>
      <c r="G53" s="241" t="s">
        <v>913</v>
      </c>
      <c r="H53" s="178">
        <v>550000</v>
      </c>
      <c r="I53" s="178">
        <v>-55000</v>
      </c>
      <c r="J53" s="178"/>
      <c r="K53" s="249">
        <f t="shared" si="0"/>
        <v>495000</v>
      </c>
      <c r="L53" s="178"/>
      <c r="M53" s="178"/>
      <c r="N53" s="73">
        <f t="shared" ref="N53" si="19">SUM(H53+L53+M53)</f>
        <v>550000</v>
      </c>
      <c r="O53" s="74" t="str">
        <f t="shared" ref="O53" si="20">IF(I53-L53&lt;0,"동의필요","-")</f>
        <v>동의필요</v>
      </c>
      <c r="P53" s="293" t="s">
        <v>914</v>
      </c>
      <c r="Q53" s="75"/>
      <c r="R53" s="189"/>
      <c r="S53" s="75"/>
      <c r="T53" s="78" t="str">
        <f t="shared" si="3"/>
        <v>도비</v>
      </c>
      <c r="U53" s="178">
        <f t="shared" si="4"/>
        <v>0</v>
      </c>
      <c r="V53" s="178">
        <f t="shared" si="5"/>
        <v>-55000</v>
      </c>
      <c r="W53" s="77" t="str">
        <f t="shared" si="6"/>
        <v>ok</v>
      </c>
      <c r="X53" s="75"/>
      <c r="Y53" s="76" t="str">
        <f t="shared" si="7"/>
        <v>도비</v>
      </c>
      <c r="Z53" s="178">
        <f t="shared" si="8"/>
        <v>0</v>
      </c>
      <c r="AA53" s="178">
        <f t="shared" si="9"/>
        <v>0</v>
      </c>
      <c r="AB53" s="77" t="str">
        <f t="shared" si="10"/>
        <v>ok</v>
      </c>
      <c r="AC53" s="75"/>
      <c r="AD53" s="79" t="str">
        <f t="array" ref="AD53">IFERROR(IF($D53="","",INDEX(구분표!$I$2:$I$1001,MATCH(1,(구분표!$B$2:$B$1001='15년일출'!$B53)*(구분표!$C$2:$C$1001='15년일출'!$C53)*(구분표!$A$2:$A$1001='15년일출'!$D53),0))),"@@")</f>
        <v>1902</v>
      </c>
    </row>
    <row r="54" spans="2:30" ht="48" customHeight="1">
      <c r="B54" s="72" t="str">
        <f>IFERROR(VLOOKUP('15년일출'!$D54,구분표!$A$2:$C$1001,2,FALSE),"")</f>
        <v>보건복지위원회</v>
      </c>
      <c r="C54" s="72" t="str">
        <f>IFERROR(VLOOKUP('15년일출'!$D54,구분표!$A$2:$C$1001,3,FALSE),"")</f>
        <v>보건복지국</v>
      </c>
      <c r="D54" s="180" t="s">
        <v>295</v>
      </c>
      <c r="E54" s="179" t="s">
        <v>632</v>
      </c>
      <c r="F54" s="179"/>
      <c r="G54" s="180" t="s">
        <v>771</v>
      </c>
      <c r="H54" s="178"/>
      <c r="I54" s="183"/>
      <c r="J54" s="178">
        <v>30000</v>
      </c>
      <c r="K54" s="249">
        <f t="shared" si="0"/>
        <v>30000</v>
      </c>
      <c r="L54" s="185"/>
      <c r="M54" s="178"/>
      <c r="N54" s="73">
        <f t="shared" si="17"/>
        <v>0</v>
      </c>
      <c r="O54" s="74" t="str">
        <f t="shared" si="18"/>
        <v>-</v>
      </c>
      <c r="P54" s="292" t="s">
        <v>812</v>
      </c>
      <c r="Q54" s="75"/>
      <c r="R54" s="189"/>
      <c r="S54" s="75"/>
      <c r="T54" s="78" t="str">
        <f t="shared" si="3"/>
        <v>도비</v>
      </c>
      <c r="U54" s="178">
        <f t="shared" si="4"/>
        <v>0</v>
      </c>
      <c r="V54" s="178">
        <f t="shared" si="5"/>
        <v>30000</v>
      </c>
      <c r="W54" s="77" t="str">
        <f t="shared" si="6"/>
        <v>ok</v>
      </c>
      <c r="X54" s="75"/>
      <c r="Y54" s="76" t="str">
        <f t="shared" si="7"/>
        <v>도비</v>
      </c>
      <c r="Z54" s="178">
        <f t="shared" si="8"/>
        <v>0</v>
      </c>
      <c r="AA54" s="178">
        <f t="shared" si="9"/>
        <v>0</v>
      </c>
      <c r="AB54" s="77" t="str">
        <f t="shared" si="10"/>
        <v>ok</v>
      </c>
      <c r="AC54" s="75"/>
      <c r="AD54" s="79" t="str">
        <f t="array" ref="AD54">IFERROR(IF($D54="","",INDEX(구분표!$I$2:$I$1001,MATCH(1,(구분표!$B$2:$B$1001='15년일출'!$B54)*(구분표!$C$2:$C$1001='15년일출'!$C54)*(구분표!$A$2:$A$1001='15년일출'!$D54),0))),"@@")</f>
        <v>1903</v>
      </c>
    </row>
    <row r="55" spans="2:30" ht="48" customHeight="1">
      <c r="B55" s="72" t="str">
        <f>IFERROR(VLOOKUP('15년일출'!$D55,구분표!$A$2:$C$1001,2,FALSE),"")</f>
        <v>보건복지위원회</v>
      </c>
      <c r="C55" s="72" t="str">
        <f>IFERROR(VLOOKUP('15년일출'!$D55,구분표!$A$2:$C$1001,3,FALSE),"")</f>
        <v>보건복지국</v>
      </c>
      <c r="D55" s="180" t="s">
        <v>295</v>
      </c>
      <c r="E55" s="179" t="s">
        <v>588</v>
      </c>
      <c r="F55" s="179">
        <v>761</v>
      </c>
      <c r="G55" s="241" t="s">
        <v>832</v>
      </c>
      <c r="H55" s="178">
        <v>2024770</v>
      </c>
      <c r="I55" s="178"/>
      <c r="J55" s="282">
        <v>323350</v>
      </c>
      <c r="K55" s="249">
        <f t="shared" si="0"/>
        <v>2348120</v>
      </c>
      <c r="L55" s="178"/>
      <c r="M55" s="178"/>
      <c r="N55" s="73">
        <f t="shared" si="17"/>
        <v>2024770</v>
      </c>
      <c r="O55" s="74" t="str">
        <f t="shared" si="18"/>
        <v>-</v>
      </c>
      <c r="P55" s="293" t="s">
        <v>925</v>
      </c>
      <c r="Q55" s="75"/>
      <c r="R55" s="189" t="s">
        <v>747</v>
      </c>
      <c r="S55" s="75"/>
      <c r="T55" s="78" t="str">
        <f t="shared" si="3"/>
        <v>국비</v>
      </c>
      <c r="U55" s="178">
        <v>0</v>
      </c>
      <c r="V55" s="282">
        <v>323350</v>
      </c>
      <c r="W55" s="77" t="str">
        <f t="shared" si="6"/>
        <v>ok</v>
      </c>
      <c r="X55" s="75"/>
      <c r="Y55" s="76" t="str">
        <f t="shared" si="7"/>
        <v>국비</v>
      </c>
      <c r="Z55" s="178" t="str">
        <f t="shared" si="8"/>
        <v>직접입력</v>
      </c>
      <c r="AA55" s="178" t="str">
        <f t="shared" si="9"/>
        <v>직접입력</v>
      </c>
      <c r="AB55" s="77" t="str">
        <f t="shared" si="10"/>
        <v>ok</v>
      </c>
      <c r="AC55" s="75"/>
      <c r="AD55" s="79" t="str">
        <f t="array" ref="AD55">IFERROR(IF($D55="","",INDEX(구분표!$I$2:$I$1001,MATCH(1,(구분표!$B$2:$B$1001='15년일출'!$B55)*(구분표!$C$2:$C$1001='15년일출'!$C55)*(구분표!$A$2:$A$1001='15년일출'!$D55),0))),"@@")</f>
        <v>1903</v>
      </c>
    </row>
    <row r="56" spans="2:30" ht="48" customHeight="1">
      <c r="B56" s="72" t="str">
        <f>IFERROR(VLOOKUP('15년일출'!$D56,구분표!$A$2:$C$1001,2,FALSE),"")</f>
        <v>보건복지위원회</v>
      </c>
      <c r="C56" s="72" t="str">
        <f>IFERROR(VLOOKUP('15년일출'!$D56,구분표!$A$2:$C$1001,3,FALSE),"")</f>
        <v>보건복지국</v>
      </c>
      <c r="D56" s="180" t="s">
        <v>295</v>
      </c>
      <c r="E56" s="179" t="s">
        <v>588</v>
      </c>
      <c r="F56" s="179">
        <v>756</v>
      </c>
      <c r="G56" s="180" t="s">
        <v>772</v>
      </c>
      <c r="H56" s="178">
        <v>91080</v>
      </c>
      <c r="I56" s="178">
        <v>-18360</v>
      </c>
      <c r="J56" s="178"/>
      <c r="K56" s="249">
        <f t="shared" si="0"/>
        <v>72720</v>
      </c>
      <c r="L56" s="178"/>
      <c r="M56" s="178"/>
      <c r="N56" s="73">
        <f t="shared" si="17"/>
        <v>91080</v>
      </c>
      <c r="O56" s="74" t="str">
        <f t="shared" si="18"/>
        <v>동의필요</v>
      </c>
      <c r="P56" s="290" t="s">
        <v>813</v>
      </c>
      <c r="Q56" s="75"/>
      <c r="R56" s="189"/>
      <c r="S56" s="75"/>
      <c r="T56" s="78" t="str">
        <f t="shared" si="3"/>
        <v>도비</v>
      </c>
      <c r="U56" s="178">
        <f t="shared" si="4"/>
        <v>0</v>
      </c>
      <c r="V56" s="178">
        <f t="shared" si="5"/>
        <v>-18360</v>
      </c>
      <c r="W56" s="77" t="str">
        <f t="shared" si="6"/>
        <v>ok</v>
      </c>
      <c r="X56" s="75"/>
      <c r="Y56" s="76" t="str">
        <f t="shared" si="7"/>
        <v>도비</v>
      </c>
      <c r="Z56" s="178">
        <f t="shared" si="8"/>
        <v>0</v>
      </c>
      <c r="AA56" s="178">
        <f t="shared" si="9"/>
        <v>0</v>
      </c>
      <c r="AB56" s="77" t="str">
        <f t="shared" si="10"/>
        <v>ok</v>
      </c>
      <c r="AC56" s="75"/>
      <c r="AD56" s="79" t="str">
        <f t="array" ref="AD56">IFERROR(IF($D56="","",INDEX(구분표!$I$2:$I$1001,MATCH(1,(구분표!$B$2:$B$1001='15년일출'!$B56)*(구분표!$C$2:$C$1001='15년일출'!$C56)*(구분표!$A$2:$A$1001='15년일출'!$D56),0))),"@@")</f>
        <v>1903</v>
      </c>
    </row>
    <row r="57" spans="2:30" ht="48" customHeight="1">
      <c r="B57" s="72" t="str">
        <f>IFERROR(VLOOKUP('15년일출'!$D57,구분표!$A$2:$C$1001,2,FALSE),"")</f>
        <v>보건복지위원회</v>
      </c>
      <c r="C57" s="72" t="str">
        <f>IFERROR(VLOOKUP('15년일출'!$D57,구분표!$A$2:$C$1001,3,FALSE),"")</f>
        <v>보건복지국</v>
      </c>
      <c r="D57" s="180" t="s">
        <v>84</v>
      </c>
      <c r="E57" s="179" t="s">
        <v>588</v>
      </c>
      <c r="F57" s="179">
        <v>766</v>
      </c>
      <c r="G57" s="180" t="s">
        <v>931</v>
      </c>
      <c r="H57" s="178">
        <v>304000</v>
      </c>
      <c r="I57" s="178"/>
      <c r="J57" s="178">
        <v>80000</v>
      </c>
      <c r="K57" s="249">
        <f t="shared" si="0"/>
        <v>384000</v>
      </c>
      <c r="L57" s="178"/>
      <c r="M57" s="178"/>
      <c r="N57" s="73">
        <f t="shared" si="17"/>
        <v>304000</v>
      </c>
      <c r="O57" s="74"/>
      <c r="P57" s="290" t="s">
        <v>932</v>
      </c>
      <c r="Q57" s="75"/>
      <c r="R57" s="189"/>
      <c r="S57" s="75"/>
      <c r="T57" s="78" t="str">
        <f t="shared" si="3"/>
        <v>도비</v>
      </c>
      <c r="U57" s="178">
        <f t="shared" si="4"/>
        <v>0</v>
      </c>
      <c r="V57" s="178">
        <f t="shared" si="5"/>
        <v>80000</v>
      </c>
      <c r="W57" s="77" t="str">
        <f t="shared" si="6"/>
        <v>ok</v>
      </c>
      <c r="X57" s="75"/>
      <c r="Y57" s="76" t="str">
        <f t="shared" si="7"/>
        <v>도비</v>
      </c>
      <c r="Z57" s="178">
        <f t="shared" si="8"/>
        <v>0</v>
      </c>
      <c r="AA57" s="178">
        <f t="shared" si="9"/>
        <v>0</v>
      </c>
      <c r="AB57" s="77" t="str">
        <f t="shared" si="10"/>
        <v>ok</v>
      </c>
      <c r="AC57" s="75"/>
      <c r="AD57" s="79"/>
    </row>
    <row r="58" spans="2:30" ht="48" customHeight="1">
      <c r="B58" s="72" t="str">
        <f>IFERROR(VLOOKUP('15년일출'!$D58,구분표!$A$2:$C$1001,2,FALSE),"")</f>
        <v>보건복지위원회</v>
      </c>
      <c r="C58" s="72" t="str">
        <f>IFERROR(VLOOKUP('15년일출'!$D58,구분표!$A$2:$C$1001,3,FALSE),"")</f>
        <v>보건복지국</v>
      </c>
      <c r="D58" s="180" t="s">
        <v>84</v>
      </c>
      <c r="E58" s="179" t="s">
        <v>588</v>
      </c>
      <c r="F58" s="179">
        <v>769</v>
      </c>
      <c r="G58" s="180" t="s">
        <v>773</v>
      </c>
      <c r="H58" s="178">
        <v>148800</v>
      </c>
      <c r="I58" s="178"/>
      <c r="J58" s="183">
        <v>9215</v>
      </c>
      <c r="K58" s="249">
        <f t="shared" si="0"/>
        <v>158015</v>
      </c>
      <c r="L58" s="178"/>
      <c r="M58" s="183"/>
      <c r="N58" s="73">
        <f t="shared" si="17"/>
        <v>148800</v>
      </c>
      <c r="O58" s="74" t="str">
        <f t="shared" si="18"/>
        <v>-</v>
      </c>
      <c r="P58" s="290" t="s">
        <v>814</v>
      </c>
      <c r="Q58" s="75"/>
      <c r="R58" s="189"/>
      <c r="S58" s="75"/>
      <c r="T58" s="78" t="str">
        <f t="shared" si="3"/>
        <v>도비</v>
      </c>
      <c r="U58" s="178">
        <f t="shared" si="4"/>
        <v>0</v>
      </c>
      <c r="V58" s="178">
        <f t="shared" si="5"/>
        <v>9215</v>
      </c>
      <c r="W58" s="77" t="str">
        <f t="shared" si="6"/>
        <v>ok</v>
      </c>
      <c r="X58" s="75"/>
      <c r="Y58" s="76" t="str">
        <f t="shared" si="7"/>
        <v>도비</v>
      </c>
      <c r="Z58" s="178">
        <f t="shared" si="8"/>
        <v>0</v>
      </c>
      <c r="AA58" s="178">
        <f t="shared" si="9"/>
        <v>0</v>
      </c>
      <c r="AB58" s="77" t="str">
        <f t="shared" si="10"/>
        <v>ok</v>
      </c>
      <c r="AC58" s="75"/>
      <c r="AD58" s="79" t="str">
        <f t="array" ref="AD58">IFERROR(IF($D58="","",INDEX(구분표!$I$2:$I$1001,MATCH(1,(구분표!$B$2:$B$1001='15년일출'!$B58)*(구분표!$C$2:$C$1001='15년일출'!$C58)*(구분표!$A$2:$A$1001='15년일출'!$D58),0))),"@@")</f>
        <v>1904</v>
      </c>
    </row>
    <row r="59" spans="2:30" ht="48" customHeight="1">
      <c r="B59" s="72" t="str">
        <f>IFERROR(VLOOKUP('15년일출'!$D59,구분표!$A$2:$C$1001,2,FALSE),"")</f>
        <v>보건복지위원회</v>
      </c>
      <c r="C59" s="72" t="str">
        <f>IFERROR(VLOOKUP('15년일출'!$D59,구분표!$A$2:$C$1001,3,FALSE),"")</f>
        <v>보건복지국</v>
      </c>
      <c r="D59" s="180" t="s">
        <v>84</v>
      </c>
      <c r="E59" s="179" t="s">
        <v>588</v>
      </c>
      <c r="F59" s="179">
        <v>769</v>
      </c>
      <c r="G59" s="180" t="s">
        <v>774</v>
      </c>
      <c r="H59" s="178">
        <v>144880</v>
      </c>
      <c r="I59" s="178"/>
      <c r="J59" s="178">
        <v>9051</v>
      </c>
      <c r="K59" s="249">
        <f t="shared" si="0"/>
        <v>153931</v>
      </c>
      <c r="L59" s="178"/>
      <c r="M59" s="178"/>
      <c r="N59" s="73">
        <f t="shared" si="17"/>
        <v>144880</v>
      </c>
      <c r="O59" s="74" t="str">
        <f t="shared" si="18"/>
        <v>-</v>
      </c>
      <c r="P59" s="290" t="s">
        <v>814</v>
      </c>
      <c r="Q59" s="75"/>
      <c r="R59" s="189"/>
      <c r="S59" s="75"/>
      <c r="T59" s="78" t="str">
        <f t="shared" si="3"/>
        <v>도비</v>
      </c>
      <c r="U59" s="178">
        <f t="shared" si="4"/>
        <v>0</v>
      </c>
      <c r="V59" s="178">
        <f t="shared" si="5"/>
        <v>9051</v>
      </c>
      <c r="W59" s="77" t="str">
        <f t="shared" si="6"/>
        <v>ok</v>
      </c>
      <c r="X59" s="75"/>
      <c r="Y59" s="76" t="str">
        <f t="shared" si="7"/>
        <v>도비</v>
      </c>
      <c r="Z59" s="178">
        <f t="shared" si="8"/>
        <v>0</v>
      </c>
      <c r="AA59" s="178">
        <f t="shared" si="9"/>
        <v>0</v>
      </c>
      <c r="AB59" s="77" t="str">
        <f t="shared" si="10"/>
        <v>ok</v>
      </c>
      <c r="AC59" s="75"/>
      <c r="AD59" s="79" t="str">
        <f t="array" ref="AD59">IFERROR(IF($D59="","",INDEX(구분표!$I$2:$I$1001,MATCH(1,(구분표!$B$2:$B$1001='15년일출'!$B59)*(구분표!$C$2:$C$1001='15년일출'!$C59)*(구분표!$A$2:$A$1001='15년일출'!$D59),0))),"@@")</f>
        <v>1904</v>
      </c>
    </row>
    <row r="60" spans="2:30" ht="48" customHeight="1">
      <c r="B60" s="72" t="str">
        <f>IFERROR(VLOOKUP('15년일출'!$D60,구분표!$A$2:$C$1001,2,FALSE),"")</f>
        <v>보건복지위원회</v>
      </c>
      <c r="C60" s="72" t="str">
        <f>IFERROR(VLOOKUP('15년일출'!$D60,구분표!$A$2:$C$1001,3,FALSE),"")</f>
        <v>보건복지국</v>
      </c>
      <c r="D60" s="180" t="s">
        <v>84</v>
      </c>
      <c r="E60" s="179" t="s">
        <v>588</v>
      </c>
      <c r="F60" s="179">
        <v>769</v>
      </c>
      <c r="G60" s="180" t="s">
        <v>775</v>
      </c>
      <c r="H60" s="182">
        <v>131680</v>
      </c>
      <c r="I60" s="178"/>
      <c r="J60" s="178">
        <v>9494</v>
      </c>
      <c r="K60" s="249">
        <f t="shared" si="0"/>
        <v>141174</v>
      </c>
      <c r="L60" s="178"/>
      <c r="M60" s="178"/>
      <c r="N60" s="73">
        <f t="shared" si="17"/>
        <v>131680</v>
      </c>
      <c r="O60" s="74" t="str">
        <f t="shared" si="18"/>
        <v>-</v>
      </c>
      <c r="P60" s="290" t="s">
        <v>814</v>
      </c>
      <c r="Q60" s="75"/>
      <c r="R60" s="189"/>
      <c r="S60" s="75"/>
      <c r="T60" s="78" t="str">
        <f t="shared" si="3"/>
        <v>도비</v>
      </c>
      <c r="U60" s="178">
        <f t="shared" si="4"/>
        <v>0</v>
      </c>
      <c r="V60" s="178">
        <f t="shared" si="5"/>
        <v>9494</v>
      </c>
      <c r="W60" s="77" t="str">
        <f t="shared" si="6"/>
        <v>ok</v>
      </c>
      <c r="X60" s="75"/>
      <c r="Y60" s="76" t="str">
        <f t="shared" si="7"/>
        <v>도비</v>
      </c>
      <c r="Z60" s="178">
        <f t="shared" si="8"/>
        <v>0</v>
      </c>
      <c r="AA60" s="178">
        <f t="shared" si="9"/>
        <v>0</v>
      </c>
      <c r="AB60" s="77" t="str">
        <f t="shared" si="10"/>
        <v>ok</v>
      </c>
      <c r="AC60" s="75"/>
      <c r="AD60" s="79" t="str">
        <f t="array" ref="AD60">IFERROR(IF($D60="","",INDEX(구분표!$I$2:$I$1001,MATCH(1,(구분표!$B$2:$B$1001='15년일출'!$B60)*(구분표!$C$2:$C$1001='15년일출'!$C60)*(구분표!$A$2:$A$1001='15년일출'!$D60),0))),"@@")</f>
        <v>1904</v>
      </c>
    </row>
    <row r="61" spans="2:30" ht="48" customHeight="1">
      <c r="B61" s="72" t="str">
        <f>IFERROR(VLOOKUP('15년일출'!$D61,구분표!$A$2:$C$1001,2,FALSE),"")</f>
        <v>보건복지위원회</v>
      </c>
      <c r="C61" s="72" t="str">
        <f>IFERROR(VLOOKUP('15년일출'!$D61,구분표!$A$2:$C$1001,3,FALSE),"")</f>
        <v>보건복지국</v>
      </c>
      <c r="D61" s="180" t="s">
        <v>84</v>
      </c>
      <c r="E61" s="179" t="s">
        <v>588</v>
      </c>
      <c r="F61" s="179">
        <v>769</v>
      </c>
      <c r="G61" s="180" t="s">
        <v>776</v>
      </c>
      <c r="H61" s="182">
        <v>102170</v>
      </c>
      <c r="I61" s="178"/>
      <c r="J61" s="178">
        <v>2747</v>
      </c>
      <c r="K61" s="249">
        <f t="shared" si="0"/>
        <v>104917</v>
      </c>
      <c r="L61" s="178"/>
      <c r="M61" s="178"/>
      <c r="N61" s="73">
        <f t="shared" si="17"/>
        <v>102170</v>
      </c>
      <c r="O61" s="74" t="str">
        <f t="shared" si="18"/>
        <v>-</v>
      </c>
      <c r="P61" s="290" t="s">
        <v>814</v>
      </c>
      <c r="Q61" s="75"/>
      <c r="R61" s="189"/>
      <c r="S61" s="75"/>
      <c r="T61" s="78" t="str">
        <f t="shared" si="3"/>
        <v>도비</v>
      </c>
      <c r="U61" s="178">
        <f t="shared" si="4"/>
        <v>0</v>
      </c>
      <c r="V61" s="178">
        <f t="shared" si="5"/>
        <v>2747</v>
      </c>
      <c r="W61" s="77" t="str">
        <f t="shared" si="6"/>
        <v>ok</v>
      </c>
      <c r="X61" s="75"/>
      <c r="Y61" s="76" t="str">
        <f t="shared" si="7"/>
        <v>도비</v>
      </c>
      <c r="Z61" s="178">
        <f t="shared" si="8"/>
        <v>0</v>
      </c>
      <c r="AA61" s="178">
        <f t="shared" si="9"/>
        <v>0</v>
      </c>
      <c r="AB61" s="77" t="str">
        <f t="shared" si="10"/>
        <v>ok</v>
      </c>
      <c r="AC61" s="75"/>
      <c r="AD61" s="79" t="str">
        <f t="array" ref="AD61">IFERROR(IF($D61="","",INDEX(구분표!$I$2:$I$1001,MATCH(1,(구분표!$B$2:$B$1001='15년일출'!$B61)*(구분표!$C$2:$C$1001='15년일출'!$C61)*(구분표!$A$2:$A$1001='15년일출'!$D61),0))),"@@")</f>
        <v>1904</v>
      </c>
    </row>
    <row r="62" spans="2:30" ht="48" customHeight="1">
      <c r="B62" s="72" t="str">
        <f>IFERROR(VLOOKUP('15년일출'!$D62,구분표!$A$2:$C$1001,2,FALSE),"")</f>
        <v>보건복지위원회</v>
      </c>
      <c r="C62" s="72" t="str">
        <f>IFERROR(VLOOKUP('15년일출'!$D62,구분표!$A$2:$C$1001,3,FALSE),"")</f>
        <v>보건복지국</v>
      </c>
      <c r="D62" s="180" t="s">
        <v>84</v>
      </c>
      <c r="E62" s="179" t="s">
        <v>588</v>
      </c>
      <c r="F62" s="179">
        <v>769</v>
      </c>
      <c r="G62" s="180" t="s">
        <v>777</v>
      </c>
      <c r="H62" s="178">
        <v>129430</v>
      </c>
      <c r="I62" s="178"/>
      <c r="J62" s="178">
        <v>10380</v>
      </c>
      <c r="K62" s="249">
        <f t="shared" si="0"/>
        <v>139810</v>
      </c>
      <c r="L62" s="178"/>
      <c r="M62" s="178"/>
      <c r="N62" s="73">
        <f t="shared" si="17"/>
        <v>129430</v>
      </c>
      <c r="O62" s="74" t="str">
        <f t="shared" si="18"/>
        <v>-</v>
      </c>
      <c r="P62" s="290" t="s">
        <v>814</v>
      </c>
      <c r="Q62" s="75"/>
      <c r="R62" s="189"/>
      <c r="S62" s="75"/>
      <c r="T62" s="78" t="str">
        <f t="shared" si="3"/>
        <v>도비</v>
      </c>
      <c r="U62" s="178">
        <f t="shared" si="4"/>
        <v>0</v>
      </c>
      <c r="V62" s="178">
        <f t="shared" si="5"/>
        <v>10380</v>
      </c>
      <c r="W62" s="77" t="str">
        <f t="shared" si="6"/>
        <v>ok</v>
      </c>
      <c r="X62" s="75"/>
      <c r="Y62" s="76" t="str">
        <f t="shared" si="7"/>
        <v>도비</v>
      </c>
      <c r="Z62" s="178">
        <f t="shared" si="8"/>
        <v>0</v>
      </c>
      <c r="AA62" s="178">
        <f t="shared" si="9"/>
        <v>0</v>
      </c>
      <c r="AB62" s="77" t="str">
        <f t="shared" si="10"/>
        <v>ok</v>
      </c>
      <c r="AC62" s="75"/>
      <c r="AD62" s="79" t="str">
        <f t="array" ref="AD62">IFERROR(IF($D62="","",INDEX(구분표!$I$2:$I$1001,MATCH(1,(구분표!$B$2:$B$1001='15년일출'!$B62)*(구분표!$C$2:$C$1001='15년일출'!$C62)*(구분표!$A$2:$A$1001='15년일출'!$D62),0))),"@@")</f>
        <v>1904</v>
      </c>
    </row>
    <row r="63" spans="2:30" ht="48" customHeight="1">
      <c r="B63" s="72" t="str">
        <f>IFERROR(VLOOKUP('15년일출'!$D63,구분표!$A$2:$C$1001,2,FALSE),"")</f>
        <v>보건복지위원회</v>
      </c>
      <c r="C63" s="72" t="str">
        <f>IFERROR(VLOOKUP('15년일출'!$D63,구분표!$A$2:$C$1001,3,FALSE),"")</f>
        <v>보건복지국</v>
      </c>
      <c r="D63" s="180" t="s">
        <v>84</v>
      </c>
      <c r="E63" s="179" t="s">
        <v>588</v>
      </c>
      <c r="F63" s="179">
        <v>769</v>
      </c>
      <c r="G63" s="180" t="s">
        <v>778</v>
      </c>
      <c r="H63" s="178">
        <v>179830</v>
      </c>
      <c r="I63" s="178"/>
      <c r="J63" s="178">
        <v>13732</v>
      </c>
      <c r="K63" s="249">
        <f t="shared" si="0"/>
        <v>193562</v>
      </c>
      <c r="L63" s="178"/>
      <c r="M63" s="178"/>
      <c r="N63" s="73">
        <f t="shared" si="17"/>
        <v>179830</v>
      </c>
      <c r="O63" s="74" t="str">
        <f t="shared" si="18"/>
        <v>-</v>
      </c>
      <c r="P63" s="290" t="s">
        <v>815</v>
      </c>
      <c r="Q63" s="75"/>
      <c r="R63" s="189"/>
      <c r="S63" s="75"/>
      <c r="T63" s="78" t="str">
        <f t="shared" si="3"/>
        <v>도비</v>
      </c>
      <c r="U63" s="178">
        <f t="shared" si="4"/>
        <v>0</v>
      </c>
      <c r="V63" s="178">
        <f t="shared" si="5"/>
        <v>13732</v>
      </c>
      <c r="W63" s="77" t="str">
        <f t="shared" si="6"/>
        <v>ok</v>
      </c>
      <c r="X63" s="75"/>
      <c r="Y63" s="76" t="str">
        <f t="shared" si="7"/>
        <v>도비</v>
      </c>
      <c r="Z63" s="178">
        <f t="shared" si="8"/>
        <v>0</v>
      </c>
      <c r="AA63" s="178">
        <f t="shared" si="9"/>
        <v>0</v>
      </c>
      <c r="AB63" s="77" t="str">
        <f t="shared" si="10"/>
        <v>ok</v>
      </c>
      <c r="AC63" s="75"/>
      <c r="AD63" s="79" t="str">
        <f t="array" ref="AD63">IFERROR(IF($D63="","",INDEX(구분표!$I$2:$I$1001,MATCH(1,(구분표!$B$2:$B$1001='15년일출'!$B63)*(구분표!$C$2:$C$1001='15년일출'!$C63)*(구분표!$A$2:$A$1001='15년일출'!$D63),0))),"@@")</f>
        <v>1904</v>
      </c>
    </row>
    <row r="64" spans="2:30" ht="48" customHeight="1">
      <c r="B64" s="72" t="str">
        <f>IFERROR(VLOOKUP('15년일출'!$D64,구분표!$A$2:$C$1001,2,FALSE),"")</f>
        <v>보건복지위원회</v>
      </c>
      <c r="C64" s="72" t="str">
        <f>IFERROR(VLOOKUP('15년일출'!$D64,구분표!$A$2:$C$1001,3,FALSE),"")</f>
        <v>보건복지국</v>
      </c>
      <c r="D64" s="180" t="s">
        <v>84</v>
      </c>
      <c r="E64" s="179" t="s">
        <v>588</v>
      </c>
      <c r="F64" s="179">
        <v>769</v>
      </c>
      <c r="G64" s="180" t="s">
        <v>779</v>
      </c>
      <c r="H64" s="178">
        <v>115140</v>
      </c>
      <c r="I64" s="178"/>
      <c r="J64" s="183">
        <v>8497</v>
      </c>
      <c r="K64" s="249">
        <f t="shared" si="0"/>
        <v>123637</v>
      </c>
      <c r="L64" s="178"/>
      <c r="M64" s="183"/>
      <c r="N64" s="73">
        <f t="shared" si="17"/>
        <v>115140</v>
      </c>
      <c r="O64" s="74" t="str">
        <f t="shared" si="18"/>
        <v>-</v>
      </c>
      <c r="P64" s="292" t="s">
        <v>814</v>
      </c>
      <c r="Q64" s="75"/>
      <c r="R64" s="189"/>
      <c r="S64" s="75"/>
      <c r="T64" s="78" t="str">
        <f t="shared" si="3"/>
        <v>도비</v>
      </c>
      <c r="U64" s="178">
        <f t="shared" si="4"/>
        <v>0</v>
      </c>
      <c r="V64" s="178">
        <f t="shared" si="5"/>
        <v>8497</v>
      </c>
      <c r="W64" s="77" t="str">
        <f t="shared" si="6"/>
        <v>ok</v>
      </c>
      <c r="X64" s="75"/>
      <c r="Y64" s="76" t="str">
        <f t="shared" si="7"/>
        <v>도비</v>
      </c>
      <c r="Z64" s="178">
        <f t="shared" si="8"/>
        <v>0</v>
      </c>
      <c r="AA64" s="178">
        <f t="shared" si="9"/>
        <v>0</v>
      </c>
      <c r="AB64" s="77" t="str">
        <f t="shared" si="10"/>
        <v>ok</v>
      </c>
      <c r="AC64" s="75"/>
      <c r="AD64" s="79" t="str">
        <f t="array" ref="AD64">IFERROR(IF($D64="","",INDEX(구분표!$I$2:$I$1001,MATCH(1,(구분표!$B$2:$B$1001='15년일출'!$B64)*(구분표!$C$2:$C$1001='15년일출'!$C64)*(구분표!$A$2:$A$1001='15년일출'!$D64),0))),"@@")</f>
        <v>1904</v>
      </c>
    </row>
    <row r="65" spans="2:30" ht="48" customHeight="1">
      <c r="B65" s="72" t="str">
        <f>IFERROR(VLOOKUP('15년일출'!$D65,구분표!$A$2:$C$1001,2,FALSE),"")</f>
        <v>보건복지위원회</v>
      </c>
      <c r="C65" s="72" t="str">
        <f>IFERROR(VLOOKUP('15년일출'!$D65,구분표!$A$2:$C$1001,3,FALSE),"")</f>
        <v>보건복지국</v>
      </c>
      <c r="D65" s="180" t="s">
        <v>84</v>
      </c>
      <c r="E65" s="179" t="s">
        <v>588</v>
      </c>
      <c r="F65" s="179">
        <v>769</v>
      </c>
      <c r="G65" s="180" t="s">
        <v>780</v>
      </c>
      <c r="H65" s="178">
        <v>77490</v>
      </c>
      <c r="I65" s="178"/>
      <c r="J65" s="178">
        <v>6271</v>
      </c>
      <c r="K65" s="249">
        <f t="shared" si="0"/>
        <v>83761</v>
      </c>
      <c r="L65" s="178"/>
      <c r="M65" s="178"/>
      <c r="N65" s="73">
        <f t="shared" si="17"/>
        <v>77490</v>
      </c>
      <c r="O65" s="74" t="str">
        <f t="shared" si="18"/>
        <v>-</v>
      </c>
      <c r="P65" s="290" t="s">
        <v>814</v>
      </c>
      <c r="Q65" s="75"/>
      <c r="R65" s="189"/>
      <c r="S65" s="75"/>
      <c r="T65" s="78" t="str">
        <f t="shared" si="3"/>
        <v>도비</v>
      </c>
      <c r="U65" s="178">
        <f t="shared" si="4"/>
        <v>0</v>
      </c>
      <c r="V65" s="178">
        <f t="shared" si="5"/>
        <v>6271</v>
      </c>
      <c r="W65" s="77" t="str">
        <f t="shared" si="6"/>
        <v>ok</v>
      </c>
      <c r="X65" s="75"/>
      <c r="Y65" s="76" t="str">
        <f t="shared" si="7"/>
        <v>도비</v>
      </c>
      <c r="Z65" s="178">
        <f t="shared" si="8"/>
        <v>0</v>
      </c>
      <c r="AA65" s="178">
        <f t="shared" si="9"/>
        <v>0</v>
      </c>
      <c r="AB65" s="77" t="str">
        <f t="shared" si="10"/>
        <v>ok</v>
      </c>
      <c r="AC65" s="75"/>
      <c r="AD65" s="79" t="str">
        <f t="array" ref="AD65">IFERROR(IF($D65="","",INDEX(구분표!$I$2:$I$1001,MATCH(1,(구분표!$B$2:$B$1001='15년일출'!$B65)*(구분표!$C$2:$C$1001='15년일출'!$C65)*(구분표!$A$2:$A$1001='15년일출'!$D65),0))),"@@")</f>
        <v>1904</v>
      </c>
    </row>
    <row r="66" spans="2:30" ht="48" customHeight="1">
      <c r="B66" s="72" t="str">
        <f>IFERROR(VLOOKUP('15년일출'!$D66,구분표!$A$2:$C$1001,2,FALSE),"")</f>
        <v>보건복지위원회</v>
      </c>
      <c r="C66" s="72" t="str">
        <f>IFERROR(VLOOKUP('15년일출'!$D66,구분표!$A$2:$C$1001,3,FALSE),"")</f>
        <v>보건복지국</v>
      </c>
      <c r="D66" s="180" t="s">
        <v>84</v>
      </c>
      <c r="E66" s="179" t="s">
        <v>588</v>
      </c>
      <c r="F66" s="179">
        <v>769</v>
      </c>
      <c r="G66" s="180" t="s">
        <v>781</v>
      </c>
      <c r="H66" s="178">
        <v>58490</v>
      </c>
      <c r="I66" s="178"/>
      <c r="J66" s="178">
        <v>3604</v>
      </c>
      <c r="K66" s="249">
        <f t="shared" si="0"/>
        <v>62094</v>
      </c>
      <c r="L66" s="178"/>
      <c r="M66" s="178"/>
      <c r="N66" s="73">
        <f t="shared" si="17"/>
        <v>58490</v>
      </c>
      <c r="O66" s="74" t="str">
        <f t="shared" si="18"/>
        <v>-</v>
      </c>
      <c r="P66" s="295" t="s">
        <v>814</v>
      </c>
      <c r="Q66" s="75"/>
      <c r="R66" s="189"/>
      <c r="S66" s="75"/>
      <c r="T66" s="78" t="str">
        <f t="shared" si="3"/>
        <v>도비</v>
      </c>
      <c r="U66" s="178">
        <f t="shared" si="4"/>
        <v>0</v>
      </c>
      <c r="V66" s="178">
        <f t="shared" si="5"/>
        <v>3604</v>
      </c>
      <c r="W66" s="77" t="str">
        <f t="shared" si="6"/>
        <v>ok</v>
      </c>
      <c r="X66" s="75"/>
      <c r="Y66" s="76" t="str">
        <f t="shared" si="7"/>
        <v>도비</v>
      </c>
      <c r="Z66" s="178">
        <f t="shared" si="8"/>
        <v>0</v>
      </c>
      <c r="AA66" s="178">
        <f t="shared" si="9"/>
        <v>0</v>
      </c>
      <c r="AB66" s="77" t="str">
        <f t="shared" si="10"/>
        <v>ok</v>
      </c>
      <c r="AC66" s="75"/>
      <c r="AD66" s="79" t="str">
        <f t="array" ref="AD66">IFERROR(IF($D66="","",INDEX(구분표!$I$2:$I$1001,MATCH(1,(구분표!$B$2:$B$1001='15년일출'!$B66)*(구분표!$C$2:$C$1001='15년일출'!$C66)*(구분표!$A$2:$A$1001='15년일출'!$D66),0))),"@@")</f>
        <v>1904</v>
      </c>
    </row>
    <row r="67" spans="2:30" ht="48" customHeight="1">
      <c r="B67" s="72" t="str">
        <f>IFERROR(VLOOKUP('15년일출'!$D67,구분표!$A$2:$C$1001,2,FALSE),"")</f>
        <v>보건복지위원회</v>
      </c>
      <c r="C67" s="72" t="str">
        <f>IFERROR(VLOOKUP('15년일출'!$D67,구분표!$A$2:$C$1001,3,FALSE),"")</f>
        <v>보건복지국</v>
      </c>
      <c r="D67" s="180" t="s">
        <v>84</v>
      </c>
      <c r="E67" s="179" t="s">
        <v>588</v>
      </c>
      <c r="F67" s="179">
        <v>769</v>
      </c>
      <c r="G67" s="180" t="s">
        <v>782</v>
      </c>
      <c r="H67" s="178">
        <v>348860</v>
      </c>
      <c r="I67" s="178"/>
      <c r="J67" s="178">
        <v>26758</v>
      </c>
      <c r="K67" s="249">
        <f t="shared" si="0"/>
        <v>375618</v>
      </c>
      <c r="L67" s="178"/>
      <c r="M67" s="178"/>
      <c r="N67" s="73">
        <f t="shared" si="17"/>
        <v>348860</v>
      </c>
      <c r="O67" s="74" t="str">
        <f t="shared" si="18"/>
        <v>-</v>
      </c>
      <c r="P67" s="290" t="s">
        <v>815</v>
      </c>
      <c r="Q67" s="75"/>
      <c r="R67" s="189"/>
      <c r="S67" s="75"/>
      <c r="T67" s="78" t="str">
        <f t="shared" si="3"/>
        <v>도비</v>
      </c>
      <c r="U67" s="178">
        <f t="shared" si="4"/>
        <v>0</v>
      </c>
      <c r="V67" s="178">
        <f t="shared" si="5"/>
        <v>26758</v>
      </c>
      <c r="W67" s="77" t="str">
        <f t="shared" si="6"/>
        <v>ok</v>
      </c>
      <c r="X67" s="75"/>
      <c r="Y67" s="76" t="str">
        <f t="shared" si="7"/>
        <v>도비</v>
      </c>
      <c r="Z67" s="178">
        <f t="shared" si="8"/>
        <v>0</v>
      </c>
      <c r="AA67" s="178">
        <f t="shared" si="9"/>
        <v>0</v>
      </c>
      <c r="AB67" s="77" t="str">
        <f t="shared" si="10"/>
        <v>ok</v>
      </c>
      <c r="AC67" s="75"/>
      <c r="AD67" s="79" t="str">
        <f t="array" ref="AD67">IFERROR(IF($D67="","",INDEX(구분표!$I$2:$I$1001,MATCH(1,(구분표!$B$2:$B$1001='15년일출'!$B67)*(구분표!$C$2:$C$1001='15년일출'!$C67)*(구분표!$A$2:$A$1001='15년일출'!$D67),0))),"@@")</f>
        <v>1904</v>
      </c>
    </row>
    <row r="68" spans="2:30" ht="48" customHeight="1">
      <c r="B68" s="72" t="str">
        <f>IFERROR(VLOOKUP('15년일출'!$D68,구분표!$A$2:$C$1001,2,FALSE),"")</f>
        <v>보건복지위원회</v>
      </c>
      <c r="C68" s="72" t="str">
        <f>IFERROR(VLOOKUP('15년일출'!$D68,구분표!$A$2:$C$1001,3,FALSE),"")</f>
        <v>보건복지국</v>
      </c>
      <c r="D68" s="180" t="s">
        <v>84</v>
      </c>
      <c r="E68" s="179" t="s">
        <v>588</v>
      </c>
      <c r="F68" s="179">
        <v>769</v>
      </c>
      <c r="G68" s="180" t="s">
        <v>783</v>
      </c>
      <c r="H68" s="178">
        <v>176050</v>
      </c>
      <c r="I68" s="178"/>
      <c r="J68" s="178">
        <v>20005</v>
      </c>
      <c r="K68" s="249">
        <f t="shared" si="0"/>
        <v>196055</v>
      </c>
      <c r="L68" s="178"/>
      <c r="M68" s="178"/>
      <c r="N68" s="73">
        <f t="shared" si="17"/>
        <v>176050</v>
      </c>
      <c r="O68" s="74" t="str">
        <f t="shared" si="18"/>
        <v>-</v>
      </c>
      <c r="P68" s="290" t="s">
        <v>814</v>
      </c>
      <c r="Q68" s="75"/>
      <c r="R68" s="189"/>
      <c r="S68" s="75"/>
      <c r="T68" s="78" t="str">
        <f t="shared" si="3"/>
        <v>도비</v>
      </c>
      <c r="U68" s="178">
        <f t="shared" si="4"/>
        <v>0</v>
      </c>
      <c r="V68" s="178">
        <f t="shared" si="5"/>
        <v>20005</v>
      </c>
      <c r="W68" s="77" t="str">
        <f t="shared" si="6"/>
        <v>ok</v>
      </c>
      <c r="X68" s="75"/>
      <c r="Y68" s="76" t="str">
        <f t="shared" si="7"/>
        <v>도비</v>
      </c>
      <c r="Z68" s="178">
        <f t="shared" si="8"/>
        <v>0</v>
      </c>
      <c r="AA68" s="178">
        <f t="shared" si="9"/>
        <v>0</v>
      </c>
      <c r="AB68" s="77" t="str">
        <f t="shared" si="10"/>
        <v>ok</v>
      </c>
      <c r="AC68" s="75"/>
      <c r="AD68" s="79" t="str">
        <f t="array" ref="AD68">IFERROR(IF($D68="","",INDEX(구분표!$I$2:$I$1001,MATCH(1,(구분표!$B$2:$B$1001='15년일출'!$B68)*(구분표!$C$2:$C$1001='15년일출'!$C68)*(구분표!$A$2:$A$1001='15년일출'!$D68),0))),"@@")</f>
        <v>1904</v>
      </c>
    </row>
    <row r="69" spans="2:30" ht="48" customHeight="1">
      <c r="B69" s="72" t="str">
        <f>IFERROR(VLOOKUP('15년일출'!$D69,구분표!$A$2:$C$1001,2,FALSE),"")</f>
        <v>보건복지위원회</v>
      </c>
      <c r="C69" s="72" t="str">
        <f>IFERROR(VLOOKUP('15년일출'!$D69,구분표!$A$2:$C$1001,3,FALSE),"")</f>
        <v>보건복지국</v>
      </c>
      <c r="D69" s="180" t="s">
        <v>84</v>
      </c>
      <c r="E69" s="179" t="s">
        <v>588</v>
      </c>
      <c r="F69" s="179">
        <v>769</v>
      </c>
      <c r="G69" s="180" t="s">
        <v>784</v>
      </c>
      <c r="H69" s="178">
        <v>40490</v>
      </c>
      <c r="I69" s="178"/>
      <c r="J69" s="178">
        <v>2659</v>
      </c>
      <c r="K69" s="249">
        <f t="shared" si="0"/>
        <v>43149</v>
      </c>
      <c r="L69" s="178"/>
      <c r="M69" s="178"/>
      <c r="N69" s="73">
        <f t="shared" si="17"/>
        <v>40490</v>
      </c>
      <c r="O69" s="74" t="str">
        <f t="shared" si="18"/>
        <v>-</v>
      </c>
      <c r="P69" s="290" t="s">
        <v>814</v>
      </c>
      <c r="Q69" s="75"/>
      <c r="R69" s="189"/>
      <c r="S69" s="75"/>
      <c r="T69" s="78" t="str">
        <f t="shared" si="3"/>
        <v>도비</v>
      </c>
      <c r="U69" s="178">
        <f t="shared" si="4"/>
        <v>0</v>
      </c>
      <c r="V69" s="178">
        <f t="shared" si="5"/>
        <v>2659</v>
      </c>
      <c r="W69" s="77" t="str">
        <f t="shared" si="6"/>
        <v>ok</v>
      </c>
      <c r="X69" s="75"/>
      <c r="Y69" s="76" t="str">
        <f t="shared" si="7"/>
        <v>도비</v>
      </c>
      <c r="Z69" s="178">
        <f t="shared" si="8"/>
        <v>0</v>
      </c>
      <c r="AA69" s="178">
        <f t="shared" si="9"/>
        <v>0</v>
      </c>
      <c r="AB69" s="77" t="str">
        <f t="shared" si="10"/>
        <v>ok</v>
      </c>
      <c r="AC69" s="75"/>
      <c r="AD69" s="79" t="str">
        <f t="array" ref="AD69">IFERROR(IF($D69="","",INDEX(구분표!$I$2:$I$1001,MATCH(1,(구분표!$B$2:$B$1001='15년일출'!$B69)*(구분표!$C$2:$C$1001='15년일출'!$C69)*(구분표!$A$2:$A$1001='15년일출'!$D69),0))),"@@")</f>
        <v>1904</v>
      </c>
    </row>
    <row r="70" spans="2:30" ht="48" customHeight="1">
      <c r="B70" s="72" t="str">
        <f>IFERROR(VLOOKUP('15년일출'!$D70,구분표!$A$2:$C$1001,2,FALSE),"")</f>
        <v>보건복지위원회</v>
      </c>
      <c r="C70" s="72" t="str">
        <f>IFERROR(VLOOKUP('15년일출'!$D70,구분표!$A$2:$C$1001,3,FALSE),"")</f>
        <v>보건복지국</v>
      </c>
      <c r="D70" s="180" t="s">
        <v>84</v>
      </c>
      <c r="E70" s="179" t="s">
        <v>588</v>
      </c>
      <c r="F70" s="179">
        <v>769</v>
      </c>
      <c r="G70" s="180" t="s">
        <v>785</v>
      </c>
      <c r="H70" s="181">
        <v>51190</v>
      </c>
      <c r="I70" s="178"/>
      <c r="J70" s="178">
        <v>5158</v>
      </c>
      <c r="K70" s="249">
        <f t="shared" si="0"/>
        <v>56348</v>
      </c>
      <c r="L70" s="178"/>
      <c r="M70" s="178"/>
      <c r="N70" s="73">
        <f t="shared" si="17"/>
        <v>51190</v>
      </c>
      <c r="O70" s="74" t="str">
        <f t="shared" si="18"/>
        <v>-</v>
      </c>
      <c r="P70" s="290" t="s">
        <v>814</v>
      </c>
      <c r="Q70" s="75"/>
      <c r="R70" s="189"/>
      <c r="S70" s="75"/>
      <c r="T70" s="78" t="str">
        <f t="shared" si="3"/>
        <v>도비</v>
      </c>
      <c r="U70" s="178">
        <f t="shared" si="4"/>
        <v>0</v>
      </c>
      <c r="V70" s="178">
        <f t="shared" si="5"/>
        <v>5158</v>
      </c>
      <c r="W70" s="77" t="str">
        <f t="shared" si="6"/>
        <v>ok</v>
      </c>
      <c r="X70" s="75"/>
      <c r="Y70" s="76" t="str">
        <f t="shared" si="7"/>
        <v>도비</v>
      </c>
      <c r="Z70" s="178">
        <f t="shared" si="8"/>
        <v>0</v>
      </c>
      <c r="AA70" s="178">
        <f t="shared" si="9"/>
        <v>0</v>
      </c>
      <c r="AB70" s="77" t="str">
        <f t="shared" si="10"/>
        <v>ok</v>
      </c>
      <c r="AC70" s="75"/>
      <c r="AD70" s="79" t="str">
        <f t="array" ref="AD70">IFERROR(IF($D70="","",INDEX(구분표!$I$2:$I$1001,MATCH(1,(구분표!$B$2:$B$1001='15년일출'!$B70)*(구분표!$C$2:$C$1001='15년일출'!$C70)*(구분표!$A$2:$A$1001='15년일출'!$D70),0))),"@@")</f>
        <v>1904</v>
      </c>
    </row>
    <row r="71" spans="2:30" ht="48" customHeight="1">
      <c r="B71" s="72" t="str">
        <f>IFERROR(VLOOKUP('15년일출'!$D71,구분표!$A$2:$C$1001,2,FALSE),"")</f>
        <v>보건복지위원회</v>
      </c>
      <c r="C71" s="72" t="str">
        <f>IFERROR(VLOOKUP('15년일출'!$D71,구분표!$A$2:$C$1001,3,FALSE),"")</f>
        <v>보건복지국</v>
      </c>
      <c r="D71" s="180" t="s">
        <v>84</v>
      </c>
      <c r="E71" s="179" t="s">
        <v>588</v>
      </c>
      <c r="F71" s="179">
        <v>769</v>
      </c>
      <c r="G71" s="180" t="s">
        <v>786</v>
      </c>
      <c r="H71" s="178">
        <v>123110</v>
      </c>
      <c r="I71" s="178"/>
      <c r="J71" s="178">
        <v>5332</v>
      </c>
      <c r="K71" s="249">
        <f t="shared" si="0"/>
        <v>128442</v>
      </c>
      <c r="L71" s="178"/>
      <c r="M71" s="178"/>
      <c r="N71" s="73">
        <f t="shared" si="17"/>
        <v>123110</v>
      </c>
      <c r="O71" s="74" t="str">
        <f t="shared" si="18"/>
        <v>-</v>
      </c>
      <c r="P71" s="290" t="s">
        <v>814</v>
      </c>
      <c r="Q71" s="75"/>
      <c r="R71" s="189"/>
      <c r="S71" s="75"/>
      <c r="T71" s="78" t="str">
        <f t="shared" si="3"/>
        <v>도비</v>
      </c>
      <c r="U71" s="178">
        <f t="shared" si="4"/>
        <v>0</v>
      </c>
      <c r="V71" s="178">
        <f t="shared" si="5"/>
        <v>5332</v>
      </c>
      <c r="W71" s="77" t="str">
        <f t="shared" si="6"/>
        <v>ok</v>
      </c>
      <c r="X71" s="75"/>
      <c r="Y71" s="76" t="str">
        <f t="shared" si="7"/>
        <v>도비</v>
      </c>
      <c r="Z71" s="178">
        <f t="shared" si="8"/>
        <v>0</v>
      </c>
      <c r="AA71" s="178">
        <f t="shared" si="9"/>
        <v>0</v>
      </c>
      <c r="AB71" s="77" t="str">
        <f t="shared" si="10"/>
        <v>ok</v>
      </c>
      <c r="AC71" s="75"/>
      <c r="AD71" s="79" t="str">
        <f t="array" ref="AD71">IFERROR(IF($D71="","",INDEX(구분표!$I$2:$I$1001,MATCH(1,(구분표!$B$2:$B$1001='15년일출'!$B71)*(구분표!$C$2:$C$1001='15년일출'!$C71)*(구분표!$A$2:$A$1001='15년일출'!$D71),0))),"@@")</f>
        <v>1904</v>
      </c>
    </row>
    <row r="72" spans="2:30" ht="48" customHeight="1">
      <c r="B72" s="72" t="str">
        <f>IFERROR(VLOOKUP('15년일출'!$D72,구분표!$A$2:$C$1001,2,FALSE),"")</f>
        <v>보건복지위원회</v>
      </c>
      <c r="C72" s="72" t="str">
        <f>IFERROR(VLOOKUP('15년일출'!$D72,구분표!$A$2:$C$1001,3,FALSE),"")</f>
        <v>보건복지국</v>
      </c>
      <c r="D72" s="180" t="s">
        <v>84</v>
      </c>
      <c r="E72" s="179" t="s">
        <v>588</v>
      </c>
      <c r="F72" s="179">
        <v>769</v>
      </c>
      <c r="G72" s="180" t="s">
        <v>787</v>
      </c>
      <c r="H72" s="181">
        <v>174000</v>
      </c>
      <c r="I72" s="178"/>
      <c r="J72" s="178">
        <v>10466</v>
      </c>
      <c r="K72" s="249">
        <f t="shared" ref="K72:K111" si="21">SUM(H72+I72+J72)</f>
        <v>184466</v>
      </c>
      <c r="L72" s="178"/>
      <c r="M72" s="178"/>
      <c r="N72" s="73">
        <f t="shared" si="17"/>
        <v>174000</v>
      </c>
      <c r="O72" s="74" t="str">
        <f t="shared" si="18"/>
        <v>-</v>
      </c>
      <c r="P72" s="290" t="s">
        <v>814</v>
      </c>
      <c r="Q72" s="75"/>
      <c r="R72" s="189"/>
      <c r="S72" s="75"/>
      <c r="T72" s="78" t="str">
        <f t="shared" si="3"/>
        <v>도비</v>
      </c>
      <c r="U72" s="178">
        <f t="shared" si="4"/>
        <v>0</v>
      </c>
      <c r="V72" s="178">
        <f t="shared" si="5"/>
        <v>10466</v>
      </c>
      <c r="W72" s="77" t="str">
        <f t="shared" si="6"/>
        <v>ok</v>
      </c>
      <c r="X72" s="75"/>
      <c r="Y72" s="76" t="str">
        <f t="shared" si="7"/>
        <v>도비</v>
      </c>
      <c r="Z72" s="178">
        <f t="shared" si="8"/>
        <v>0</v>
      </c>
      <c r="AA72" s="178">
        <f t="shared" si="9"/>
        <v>0</v>
      </c>
      <c r="AB72" s="77" t="str">
        <f t="shared" si="10"/>
        <v>ok</v>
      </c>
      <c r="AC72" s="75"/>
      <c r="AD72" s="79" t="str">
        <f t="array" ref="AD72">IFERROR(IF($D72="","",INDEX(구분표!$I$2:$I$1001,MATCH(1,(구분표!$B$2:$B$1001='15년일출'!$B72)*(구분표!$C$2:$C$1001='15년일출'!$C72)*(구분표!$A$2:$A$1001='15년일출'!$D72),0))),"@@")</f>
        <v>1904</v>
      </c>
    </row>
    <row r="73" spans="2:30" ht="48" customHeight="1">
      <c r="B73" s="72" t="str">
        <f>IFERROR(VLOOKUP('15년일출'!$D73,구분표!$A$2:$C$1001,2,FALSE),"")</f>
        <v>보건복지위원회</v>
      </c>
      <c r="C73" s="72" t="str">
        <f>IFERROR(VLOOKUP('15년일출'!$D73,구분표!$A$2:$C$1001,3,FALSE),"")</f>
        <v>보건복지국</v>
      </c>
      <c r="D73" s="180" t="s">
        <v>84</v>
      </c>
      <c r="E73" s="179" t="s">
        <v>588</v>
      </c>
      <c r="F73" s="179">
        <v>769</v>
      </c>
      <c r="G73" s="180" t="s">
        <v>788</v>
      </c>
      <c r="H73" s="178">
        <v>50000</v>
      </c>
      <c r="I73" s="178"/>
      <c r="J73" s="178">
        <v>3967</v>
      </c>
      <c r="K73" s="249">
        <f t="shared" si="21"/>
        <v>53967</v>
      </c>
      <c r="L73" s="178"/>
      <c r="M73" s="178"/>
      <c r="N73" s="73">
        <f t="shared" si="17"/>
        <v>50000</v>
      </c>
      <c r="O73" s="74" t="str">
        <f t="shared" si="18"/>
        <v>-</v>
      </c>
      <c r="P73" s="296" t="s">
        <v>814</v>
      </c>
      <c r="Q73" s="75"/>
      <c r="R73" s="189"/>
      <c r="S73" s="75"/>
      <c r="T73" s="78" t="str">
        <f t="shared" si="3"/>
        <v>도비</v>
      </c>
      <c r="U73" s="178">
        <f t="shared" si="4"/>
        <v>0</v>
      </c>
      <c r="V73" s="178">
        <f t="shared" si="5"/>
        <v>3967</v>
      </c>
      <c r="W73" s="77" t="str">
        <f t="shared" si="6"/>
        <v>ok</v>
      </c>
      <c r="X73" s="75"/>
      <c r="Y73" s="76" t="str">
        <f t="shared" si="7"/>
        <v>도비</v>
      </c>
      <c r="Z73" s="178">
        <f t="shared" si="8"/>
        <v>0</v>
      </c>
      <c r="AA73" s="178">
        <f t="shared" si="9"/>
        <v>0</v>
      </c>
      <c r="AB73" s="77" t="str">
        <f t="shared" si="10"/>
        <v>ok</v>
      </c>
      <c r="AC73" s="75"/>
      <c r="AD73" s="79" t="str">
        <f t="array" ref="AD73">IFERROR(IF($D73="","",INDEX(구분표!$I$2:$I$1001,MATCH(1,(구분표!$B$2:$B$1001='15년일출'!$B73)*(구분표!$C$2:$C$1001='15년일출'!$C73)*(구분표!$A$2:$A$1001='15년일출'!$D73),0))),"@@")</f>
        <v>1904</v>
      </c>
    </row>
    <row r="74" spans="2:30" ht="48" customHeight="1">
      <c r="B74" s="72" t="str">
        <f>IFERROR(VLOOKUP('15년일출'!$D74,구분표!$A$2:$C$1001,2,FALSE),"")</f>
        <v>보건복지위원회</v>
      </c>
      <c r="C74" s="72" t="str">
        <f>IFERROR(VLOOKUP('15년일출'!$D74,구분표!$A$2:$C$1001,3,FALSE),"")</f>
        <v>보건복지국</v>
      </c>
      <c r="D74" s="180" t="s">
        <v>84</v>
      </c>
      <c r="E74" s="179" t="s">
        <v>588</v>
      </c>
      <c r="F74" s="179">
        <v>769</v>
      </c>
      <c r="G74" s="180" t="s">
        <v>789</v>
      </c>
      <c r="H74" s="178">
        <v>50000</v>
      </c>
      <c r="I74" s="178"/>
      <c r="J74" s="178">
        <v>3427</v>
      </c>
      <c r="K74" s="249">
        <f t="shared" si="21"/>
        <v>53427</v>
      </c>
      <c r="L74" s="178"/>
      <c r="M74" s="178"/>
      <c r="N74" s="73">
        <f t="shared" si="17"/>
        <v>50000</v>
      </c>
      <c r="O74" s="74" t="str">
        <f t="shared" si="18"/>
        <v>-</v>
      </c>
      <c r="P74" s="296" t="s">
        <v>814</v>
      </c>
      <c r="Q74" s="75"/>
      <c r="R74" s="189"/>
      <c r="S74" s="75"/>
      <c r="T74" s="78" t="str">
        <f t="shared" si="3"/>
        <v>도비</v>
      </c>
      <c r="U74" s="178">
        <f t="shared" si="4"/>
        <v>0</v>
      </c>
      <c r="V74" s="178">
        <f t="shared" si="5"/>
        <v>3427</v>
      </c>
      <c r="W74" s="77" t="str">
        <f t="shared" si="6"/>
        <v>ok</v>
      </c>
      <c r="X74" s="75"/>
      <c r="Y74" s="76" t="str">
        <f t="shared" si="7"/>
        <v>도비</v>
      </c>
      <c r="Z74" s="178">
        <f t="shared" si="8"/>
        <v>0</v>
      </c>
      <c r="AA74" s="178">
        <f t="shared" si="9"/>
        <v>0</v>
      </c>
      <c r="AB74" s="77" t="str">
        <f t="shared" si="10"/>
        <v>ok</v>
      </c>
      <c r="AC74" s="75"/>
      <c r="AD74" s="79" t="str">
        <f t="array" ref="AD74">IFERROR(IF($D74="","",INDEX(구분표!$I$2:$I$1001,MATCH(1,(구분표!$B$2:$B$1001='15년일출'!$B74)*(구분표!$C$2:$C$1001='15년일출'!$C74)*(구분표!$A$2:$A$1001='15년일출'!$D74),0))),"@@")</f>
        <v>1904</v>
      </c>
    </row>
    <row r="75" spans="2:30" ht="48" customHeight="1">
      <c r="B75" s="72" t="str">
        <f>IFERROR(VLOOKUP('15년일출'!$D75,구분표!$A$2:$C$1001,2,FALSE),"")</f>
        <v>보건복지위원회</v>
      </c>
      <c r="C75" s="72" t="str">
        <f>IFERROR(VLOOKUP('15년일출'!$D75,구분표!$A$2:$C$1001,3,FALSE),"")</f>
        <v>보건복지국</v>
      </c>
      <c r="D75" s="180" t="s">
        <v>84</v>
      </c>
      <c r="E75" s="179" t="s">
        <v>588</v>
      </c>
      <c r="F75" s="179">
        <v>769</v>
      </c>
      <c r="G75" s="180" t="s">
        <v>790</v>
      </c>
      <c r="H75" s="178">
        <v>78840</v>
      </c>
      <c r="I75" s="178"/>
      <c r="J75" s="178">
        <v>4800</v>
      </c>
      <c r="K75" s="249">
        <f t="shared" si="21"/>
        <v>83640</v>
      </c>
      <c r="L75" s="178"/>
      <c r="M75" s="178"/>
      <c r="N75" s="73">
        <f t="shared" si="17"/>
        <v>78840</v>
      </c>
      <c r="O75" s="74" t="str">
        <f t="shared" si="18"/>
        <v>-</v>
      </c>
      <c r="P75" s="292" t="s">
        <v>814</v>
      </c>
      <c r="Q75" s="75"/>
      <c r="R75" s="189"/>
      <c r="S75" s="75"/>
      <c r="T75" s="78" t="str">
        <f t="shared" si="3"/>
        <v>도비</v>
      </c>
      <c r="U75" s="178">
        <f t="shared" si="4"/>
        <v>0</v>
      </c>
      <c r="V75" s="178">
        <f t="shared" si="5"/>
        <v>4800</v>
      </c>
      <c r="W75" s="77" t="str">
        <f t="shared" si="6"/>
        <v>ok</v>
      </c>
      <c r="X75" s="75"/>
      <c r="Y75" s="76" t="str">
        <f t="shared" si="7"/>
        <v>도비</v>
      </c>
      <c r="Z75" s="178">
        <f t="shared" si="8"/>
        <v>0</v>
      </c>
      <c r="AA75" s="178">
        <f t="shared" si="9"/>
        <v>0</v>
      </c>
      <c r="AB75" s="77" t="str">
        <f t="shared" si="10"/>
        <v>ok</v>
      </c>
      <c r="AC75" s="75"/>
      <c r="AD75" s="79" t="str">
        <f t="array" ref="AD75">IFERROR(IF($D75="","",INDEX(구분표!$I$2:$I$1001,MATCH(1,(구분표!$B$2:$B$1001='15년일출'!$B75)*(구분표!$C$2:$C$1001='15년일출'!$C75)*(구분표!$A$2:$A$1001='15년일출'!$D75),0))),"@@")</f>
        <v>1904</v>
      </c>
    </row>
    <row r="76" spans="2:30" ht="48" customHeight="1">
      <c r="B76" s="72" t="str">
        <f>IFERROR(VLOOKUP('15년일출'!$D76,구분표!$A$2:$C$1001,2,FALSE),"")</f>
        <v>보건복지위원회</v>
      </c>
      <c r="C76" s="72" t="str">
        <f>IFERROR(VLOOKUP('15년일출'!$D76,구분표!$A$2:$C$1001,3,FALSE),"")</f>
        <v>보건복지국</v>
      </c>
      <c r="D76" s="180" t="s">
        <v>84</v>
      </c>
      <c r="E76" s="179" t="s">
        <v>588</v>
      </c>
      <c r="F76" s="179">
        <v>769</v>
      </c>
      <c r="G76" s="180" t="s">
        <v>791</v>
      </c>
      <c r="H76" s="178">
        <v>85000</v>
      </c>
      <c r="I76" s="178"/>
      <c r="J76" s="178">
        <v>4810</v>
      </c>
      <c r="K76" s="249">
        <f t="shared" si="21"/>
        <v>89810</v>
      </c>
      <c r="L76" s="178"/>
      <c r="M76" s="178"/>
      <c r="N76" s="73">
        <f t="shared" si="17"/>
        <v>85000</v>
      </c>
      <c r="O76" s="74" t="str">
        <f t="shared" si="18"/>
        <v>-</v>
      </c>
      <c r="P76" s="292" t="s">
        <v>814</v>
      </c>
      <c r="Q76" s="75"/>
      <c r="R76" s="189"/>
      <c r="S76" s="75"/>
      <c r="T76" s="78" t="str">
        <f t="shared" si="3"/>
        <v>도비</v>
      </c>
      <c r="U76" s="178">
        <f t="shared" si="4"/>
        <v>0</v>
      </c>
      <c r="V76" s="178">
        <f t="shared" si="5"/>
        <v>4810</v>
      </c>
      <c r="W76" s="77" t="str">
        <f t="shared" si="6"/>
        <v>ok</v>
      </c>
      <c r="X76" s="75"/>
      <c r="Y76" s="76" t="str">
        <f t="shared" si="7"/>
        <v>도비</v>
      </c>
      <c r="Z76" s="178">
        <f t="shared" si="8"/>
        <v>0</v>
      </c>
      <c r="AA76" s="178">
        <f t="shared" si="9"/>
        <v>0</v>
      </c>
      <c r="AB76" s="77" t="str">
        <f t="shared" si="10"/>
        <v>ok</v>
      </c>
      <c r="AC76" s="75"/>
      <c r="AD76" s="79" t="str">
        <f t="array" ref="AD76">IFERROR(IF($D76="","",INDEX(구분표!$I$2:$I$1001,MATCH(1,(구분표!$B$2:$B$1001='15년일출'!$B76)*(구분표!$C$2:$C$1001='15년일출'!$C76)*(구분표!$A$2:$A$1001='15년일출'!$D76),0))),"@@")</f>
        <v>1904</v>
      </c>
    </row>
    <row r="77" spans="2:30" ht="48" customHeight="1">
      <c r="B77" s="72" t="str">
        <f>IFERROR(VLOOKUP('15년일출'!$D77,구분표!$A$2:$C$1001,2,FALSE),"")</f>
        <v>보건복지위원회</v>
      </c>
      <c r="C77" s="72" t="str">
        <f>IFERROR(VLOOKUP('15년일출'!$D77,구분표!$A$2:$C$1001,3,FALSE),"")</f>
        <v>보건복지국</v>
      </c>
      <c r="D77" s="180" t="s">
        <v>84</v>
      </c>
      <c r="E77" s="179" t="s">
        <v>588</v>
      </c>
      <c r="F77" s="179">
        <v>769</v>
      </c>
      <c r="G77" s="180" t="s">
        <v>792</v>
      </c>
      <c r="H77" s="178">
        <v>27530</v>
      </c>
      <c r="I77" s="178"/>
      <c r="J77" s="178">
        <v>1806</v>
      </c>
      <c r="K77" s="249">
        <f t="shared" si="21"/>
        <v>29336</v>
      </c>
      <c r="L77" s="178"/>
      <c r="M77" s="178"/>
      <c r="N77" s="73">
        <f t="shared" si="17"/>
        <v>27530</v>
      </c>
      <c r="O77" s="74" t="str">
        <f t="shared" si="18"/>
        <v>-</v>
      </c>
      <c r="P77" s="292" t="s">
        <v>814</v>
      </c>
      <c r="Q77" s="75"/>
      <c r="R77" s="189"/>
      <c r="S77" s="75"/>
      <c r="T77" s="78" t="str">
        <f t="shared" si="3"/>
        <v>도비</v>
      </c>
      <c r="U77" s="178">
        <f t="shared" si="4"/>
        <v>0</v>
      </c>
      <c r="V77" s="178">
        <f t="shared" si="5"/>
        <v>1806</v>
      </c>
      <c r="W77" s="77" t="str">
        <f t="shared" si="6"/>
        <v>ok</v>
      </c>
      <c r="X77" s="75"/>
      <c r="Y77" s="76" t="str">
        <f t="shared" si="7"/>
        <v>도비</v>
      </c>
      <c r="Z77" s="178">
        <f t="shared" si="8"/>
        <v>0</v>
      </c>
      <c r="AA77" s="178">
        <f t="shared" si="9"/>
        <v>0</v>
      </c>
      <c r="AB77" s="77" t="str">
        <f t="shared" si="10"/>
        <v>ok</v>
      </c>
      <c r="AC77" s="75"/>
      <c r="AD77" s="79" t="str">
        <f t="array" ref="AD77">IFERROR(IF($D77="","",INDEX(구분표!$I$2:$I$1001,MATCH(1,(구분표!$B$2:$B$1001='15년일출'!$B77)*(구분표!$C$2:$C$1001='15년일출'!$C77)*(구분표!$A$2:$A$1001='15년일출'!$D77),0))),"@@")</f>
        <v>1904</v>
      </c>
    </row>
    <row r="78" spans="2:30" ht="48" customHeight="1">
      <c r="B78" s="72" t="str">
        <f>IFERROR(VLOOKUP('15년일출'!$D78,구분표!$A$2:$C$1001,2,FALSE),"")</f>
        <v>보건복지위원회</v>
      </c>
      <c r="C78" s="72" t="str">
        <f>IFERROR(VLOOKUP('15년일출'!$D78,구분표!$A$2:$C$1001,3,FALSE),"")</f>
        <v>보건복지국</v>
      </c>
      <c r="D78" s="180" t="s">
        <v>84</v>
      </c>
      <c r="E78" s="179" t="s">
        <v>588</v>
      </c>
      <c r="F78" s="179">
        <v>769</v>
      </c>
      <c r="G78" s="180" t="s">
        <v>793</v>
      </c>
      <c r="H78" s="178">
        <v>80000</v>
      </c>
      <c r="I78" s="178"/>
      <c r="J78" s="178">
        <v>5468</v>
      </c>
      <c r="K78" s="249">
        <f t="shared" si="21"/>
        <v>85468</v>
      </c>
      <c r="L78" s="178"/>
      <c r="M78" s="178"/>
      <c r="N78" s="73">
        <f t="shared" si="17"/>
        <v>80000</v>
      </c>
      <c r="O78" s="74" t="str">
        <f t="shared" si="18"/>
        <v>-</v>
      </c>
      <c r="P78" s="296" t="s">
        <v>814</v>
      </c>
      <c r="Q78" s="75"/>
      <c r="R78" s="189"/>
      <c r="S78" s="75"/>
      <c r="T78" s="78" t="str">
        <f t="shared" si="3"/>
        <v>도비</v>
      </c>
      <c r="U78" s="178">
        <f t="shared" si="4"/>
        <v>0</v>
      </c>
      <c r="V78" s="178">
        <f t="shared" si="5"/>
        <v>5468</v>
      </c>
      <c r="W78" s="77" t="str">
        <f t="shared" si="6"/>
        <v>ok</v>
      </c>
      <c r="X78" s="75"/>
      <c r="Y78" s="76" t="str">
        <f t="shared" si="7"/>
        <v>도비</v>
      </c>
      <c r="Z78" s="178">
        <f t="shared" si="8"/>
        <v>0</v>
      </c>
      <c r="AA78" s="178">
        <f t="shared" si="9"/>
        <v>0</v>
      </c>
      <c r="AB78" s="77" t="str">
        <f t="shared" si="10"/>
        <v>ok</v>
      </c>
      <c r="AC78" s="75"/>
      <c r="AD78" s="79" t="str">
        <f t="array" ref="AD78">IFERROR(IF($D78="","",INDEX(구분표!$I$2:$I$1001,MATCH(1,(구분표!$B$2:$B$1001='15년일출'!$B78)*(구분표!$C$2:$C$1001='15년일출'!$C78)*(구분표!$A$2:$A$1001='15년일출'!$D78),0))),"@@")</f>
        <v>1904</v>
      </c>
    </row>
    <row r="79" spans="2:30" ht="48" customHeight="1">
      <c r="B79" s="72" t="str">
        <f>IFERROR(VLOOKUP('15년일출'!$D79,구분표!$A$2:$C$1001,2,FALSE),"")</f>
        <v>보건복지위원회</v>
      </c>
      <c r="C79" s="72" t="str">
        <f>IFERROR(VLOOKUP('15년일출'!$D79,구분표!$A$2:$C$1001,3,FALSE),"")</f>
        <v>보건복지국</v>
      </c>
      <c r="D79" s="180" t="s">
        <v>84</v>
      </c>
      <c r="E79" s="179" t="s">
        <v>588</v>
      </c>
      <c r="F79" s="179">
        <v>769</v>
      </c>
      <c r="G79" s="180" t="s">
        <v>794</v>
      </c>
      <c r="H79" s="178">
        <v>50000</v>
      </c>
      <c r="I79" s="178"/>
      <c r="J79" s="178">
        <v>30000</v>
      </c>
      <c r="K79" s="249">
        <f t="shared" si="21"/>
        <v>80000</v>
      </c>
      <c r="L79" s="178"/>
      <c r="M79" s="178"/>
      <c r="N79" s="73">
        <f t="shared" si="17"/>
        <v>50000</v>
      </c>
      <c r="O79" s="74" t="str">
        <f t="shared" si="18"/>
        <v>-</v>
      </c>
      <c r="P79" s="296" t="s">
        <v>814</v>
      </c>
      <c r="Q79" s="75"/>
      <c r="R79" s="189"/>
      <c r="S79" s="75"/>
      <c r="T79" s="78" t="str">
        <f t="shared" si="3"/>
        <v>도비</v>
      </c>
      <c r="U79" s="178">
        <f t="shared" si="4"/>
        <v>0</v>
      </c>
      <c r="V79" s="178">
        <f t="shared" si="5"/>
        <v>30000</v>
      </c>
      <c r="W79" s="77" t="str">
        <f t="shared" si="6"/>
        <v>ok</v>
      </c>
      <c r="X79" s="75"/>
      <c r="Y79" s="76" t="str">
        <f t="shared" si="7"/>
        <v>도비</v>
      </c>
      <c r="Z79" s="178">
        <f t="shared" si="8"/>
        <v>0</v>
      </c>
      <c r="AA79" s="178">
        <f t="shared" si="9"/>
        <v>0</v>
      </c>
      <c r="AB79" s="77" t="str">
        <f t="shared" si="10"/>
        <v>ok</v>
      </c>
      <c r="AC79" s="75"/>
      <c r="AD79" s="79" t="str">
        <f t="array" ref="AD79">IFERROR(IF($D79="","",INDEX(구분표!$I$2:$I$1001,MATCH(1,(구분표!$B$2:$B$1001='15년일출'!$B79)*(구분표!$C$2:$C$1001='15년일출'!$C79)*(구분표!$A$2:$A$1001='15년일출'!$D79),0))),"@@")</f>
        <v>1904</v>
      </c>
    </row>
    <row r="80" spans="2:30" ht="48" customHeight="1">
      <c r="B80" s="72" t="str">
        <f>IFERROR(VLOOKUP('15년일출'!$D80,구분표!$A$2:$C$1001,2,FALSE),"")</f>
        <v>보건복지위원회</v>
      </c>
      <c r="C80" s="72" t="str">
        <f>IFERROR(VLOOKUP('15년일출'!$D80,구분표!$A$2:$C$1001,3,FALSE),"")</f>
        <v>보건복지국</v>
      </c>
      <c r="D80" s="180" t="s">
        <v>84</v>
      </c>
      <c r="E80" s="179" t="s">
        <v>588</v>
      </c>
      <c r="F80" s="179">
        <v>769</v>
      </c>
      <c r="G80" s="180" t="s">
        <v>795</v>
      </c>
      <c r="H80" s="178">
        <v>50000</v>
      </c>
      <c r="I80" s="178"/>
      <c r="J80" s="178">
        <v>2629</v>
      </c>
      <c r="K80" s="249">
        <f t="shared" si="21"/>
        <v>52629</v>
      </c>
      <c r="L80" s="178"/>
      <c r="M80" s="178"/>
      <c r="N80" s="73">
        <f t="shared" si="17"/>
        <v>50000</v>
      </c>
      <c r="O80" s="74" t="str">
        <f t="shared" si="18"/>
        <v>-</v>
      </c>
      <c r="P80" s="296" t="s">
        <v>814</v>
      </c>
      <c r="Q80" s="75"/>
      <c r="R80" s="189"/>
      <c r="S80" s="75"/>
      <c r="T80" s="78" t="str">
        <f t="shared" si="3"/>
        <v>도비</v>
      </c>
      <c r="U80" s="178">
        <f t="shared" si="4"/>
        <v>0</v>
      </c>
      <c r="V80" s="178">
        <f t="shared" si="5"/>
        <v>2629</v>
      </c>
      <c r="W80" s="77" t="str">
        <f t="shared" si="6"/>
        <v>ok</v>
      </c>
      <c r="X80" s="75"/>
      <c r="Y80" s="76" t="str">
        <f t="shared" si="7"/>
        <v>도비</v>
      </c>
      <c r="Z80" s="178">
        <f t="shared" si="8"/>
        <v>0</v>
      </c>
      <c r="AA80" s="178">
        <f t="shared" si="9"/>
        <v>0</v>
      </c>
      <c r="AB80" s="77" t="str">
        <f t="shared" si="10"/>
        <v>ok</v>
      </c>
      <c r="AC80" s="75"/>
      <c r="AD80" s="79" t="str">
        <f t="array" ref="AD80">IFERROR(IF($D80="","",INDEX(구분표!$I$2:$I$1001,MATCH(1,(구분표!$B$2:$B$1001='15년일출'!$B80)*(구분표!$C$2:$C$1001='15년일출'!$C80)*(구분표!$A$2:$A$1001='15년일출'!$D80),0))),"@@")</f>
        <v>1904</v>
      </c>
    </row>
    <row r="81" spans="2:30" ht="48" customHeight="1">
      <c r="B81" s="72" t="str">
        <f>IFERROR(VLOOKUP('15년일출'!$D81,구분표!$A$2:$C$1001,2,FALSE),"")</f>
        <v>보건복지위원회</v>
      </c>
      <c r="C81" s="72" t="str">
        <f>IFERROR(VLOOKUP('15년일출'!$D81,구분표!$A$2:$C$1001,3,FALSE),"")</f>
        <v>보건복지국</v>
      </c>
      <c r="D81" s="180" t="s">
        <v>84</v>
      </c>
      <c r="E81" s="179" t="s">
        <v>588</v>
      </c>
      <c r="F81" s="179">
        <v>769</v>
      </c>
      <c r="G81" s="180" t="s">
        <v>796</v>
      </c>
      <c r="H81" s="178">
        <v>239410</v>
      </c>
      <c r="I81" s="178"/>
      <c r="J81" s="178">
        <v>8273</v>
      </c>
      <c r="K81" s="249">
        <f t="shared" si="21"/>
        <v>247683</v>
      </c>
      <c r="L81" s="178"/>
      <c r="M81" s="178"/>
      <c r="N81" s="73">
        <f t="shared" si="17"/>
        <v>239410</v>
      </c>
      <c r="O81" s="74" t="str">
        <f t="shared" si="18"/>
        <v>-</v>
      </c>
      <c r="P81" s="296" t="s">
        <v>814</v>
      </c>
      <c r="Q81" s="75"/>
      <c r="R81" s="189"/>
      <c r="S81" s="75"/>
      <c r="T81" s="78" t="str">
        <f t="shared" si="3"/>
        <v>도비</v>
      </c>
      <c r="U81" s="178">
        <f t="shared" si="4"/>
        <v>0</v>
      </c>
      <c r="V81" s="178">
        <f t="shared" si="5"/>
        <v>8273</v>
      </c>
      <c r="W81" s="77" t="str">
        <f t="shared" si="6"/>
        <v>ok</v>
      </c>
      <c r="X81" s="75"/>
      <c r="Y81" s="76" t="str">
        <f t="shared" si="7"/>
        <v>도비</v>
      </c>
      <c r="Z81" s="178">
        <f t="shared" si="8"/>
        <v>0</v>
      </c>
      <c r="AA81" s="178">
        <f t="shared" si="9"/>
        <v>0</v>
      </c>
      <c r="AB81" s="77" t="str">
        <f t="shared" si="10"/>
        <v>ok</v>
      </c>
      <c r="AC81" s="75"/>
      <c r="AD81" s="79" t="str">
        <f t="array" ref="AD81">IFERROR(IF($D81="","",INDEX(구분표!$I$2:$I$1001,MATCH(1,(구분표!$B$2:$B$1001='15년일출'!$B81)*(구분표!$C$2:$C$1001='15년일출'!$C81)*(구분표!$A$2:$A$1001='15년일출'!$D81),0))),"@@")</f>
        <v>1904</v>
      </c>
    </row>
    <row r="82" spans="2:30" ht="48" customHeight="1">
      <c r="B82" s="72" t="str">
        <f>IFERROR(VLOOKUP('15년일출'!$D82,구분표!$A$2:$C$1001,2,FALSE),"")</f>
        <v>보건복지위원회</v>
      </c>
      <c r="C82" s="72" t="str">
        <f>IFERROR(VLOOKUP('15년일출'!$D82,구분표!$A$2:$C$1001,3,FALSE),"")</f>
        <v>보건복지국</v>
      </c>
      <c r="D82" s="180" t="s">
        <v>84</v>
      </c>
      <c r="E82" s="179" t="s">
        <v>588</v>
      </c>
      <c r="F82" s="179">
        <v>769</v>
      </c>
      <c r="G82" s="180" t="s">
        <v>797</v>
      </c>
      <c r="H82" s="178">
        <v>20000</v>
      </c>
      <c r="I82" s="178"/>
      <c r="J82" s="178">
        <v>2000</v>
      </c>
      <c r="K82" s="249">
        <f t="shared" si="21"/>
        <v>22000</v>
      </c>
      <c r="L82" s="178"/>
      <c r="M82" s="178"/>
      <c r="N82" s="73">
        <f t="shared" si="17"/>
        <v>20000</v>
      </c>
      <c r="O82" s="74" t="str">
        <f t="shared" si="18"/>
        <v>-</v>
      </c>
      <c r="P82" s="296" t="s">
        <v>814</v>
      </c>
      <c r="Q82" s="75"/>
      <c r="R82" s="189"/>
      <c r="S82" s="75"/>
      <c r="T82" s="78" t="str">
        <f t="shared" si="3"/>
        <v>도비</v>
      </c>
      <c r="U82" s="178">
        <f t="shared" si="4"/>
        <v>0</v>
      </c>
      <c r="V82" s="178">
        <f t="shared" si="5"/>
        <v>2000</v>
      </c>
      <c r="W82" s="77" t="str">
        <f t="shared" si="6"/>
        <v>ok</v>
      </c>
      <c r="X82" s="75"/>
      <c r="Y82" s="76" t="str">
        <f t="shared" si="7"/>
        <v>도비</v>
      </c>
      <c r="Z82" s="178">
        <f t="shared" si="8"/>
        <v>0</v>
      </c>
      <c r="AA82" s="178">
        <f t="shared" si="9"/>
        <v>0</v>
      </c>
      <c r="AB82" s="77" t="str">
        <f t="shared" si="10"/>
        <v>ok</v>
      </c>
      <c r="AC82" s="75"/>
      <c r="AD82" s="79" t="str">
        <f t="array" ref="AD82">IFERROR(IF($D82="","",INDEX(구분표!$I$2:$I$1001,MATCH(1,(구분표!$B$2:$B$1001='15년일출'!$B82)*(구분표!$C$2:$C$1001='15년일출'!$C82)*(구분표!$A$2:$A$1001='15년일출'!$D82),0))),"@@")</f>
        <v>1904</v>
      </c>
    </row>
    <row r="83" spans="2:30" ht="48" customHeight="1">
      <c r="B83" s="72" t="str">
        <f>IFERROR(VLOOKUP('15년일출'!$D83,구분표!$A$2:$C$1001,2,FALSE),"")</f>
        <v>보건복지위원회</v>
      </c>
      <c r="C83" s="72" t="str">
        <f>IFERROR(VLOOKUP('15년일출'!$D83,구분표!$A$2:$C$1001,3,FALSE),"")</f>
        <v>보건복지국</v>
      </c>
      <c r="D83" s="180" t="s">
        <v>84</v>
      </c>
      <c r="E83" s="179" t="s">
        <v>588</v>
      </c>
      <c r="F83" s="179">
        <v>770</v>
      </c>
      <c r="G83" s="180" t="s">
        <v>798</v>
      </c>
      <c r="H83" s="178">
        <v>26000</v>
      </c>
      <c r="I83" s="178"/>
      <c r="J83" s="178">
        <v>1800</v>
      </c>
      <c r="K83" s="249">
        <f t="shared" si="21"/>
        <v>27800</v>
      </c>
      <c r="L83" s="178"/>
      <c r="M83" s="178"/>
      <c r="N83" s="73">
        <f t="shared" si="17"/>
        <v>26000</v>
      </c>
      <c r="O83" s="74" t="str">
        <f t="shared" si="18"/>
        <v>-</v>
      </c>
      <c r="P83" s="296" t="s">
        <v>814</v>
      </c>
      <c r="Q83" s="75"/>
      <c r="R83" s="189"/>
      <c r="S83" s="75"/>
      <c r="T83" s="78" t="str">
        <f t="shared" si="3"/>
        <v>도비</v>
      </c>
      <c r="U83" s="178">
        <f t="shared" si="4"/>
        <v>0</v>
      </c>
      <c r="V83" s="178">
        <f t="shared" si="5"/>
        <v>1800</v>
      </c>
      <c r="W83" s="77" t="str">
        <f t="shared" si="6"/>
        <v>ok</v>
      </c>
      <c r="X83" s="75"/>
      <c r="Y83" s="76" t="str">
        <f t="shared" si="7"/>
        <v>도비</v>
      </c>
      <c r="Z83" s="178">
        <f t="shared" si="8"/>
        <v>0</v>
      </c>
      <c r="AA83" s="178">
        <f t="shared" si="9"/>
        <v>0</v>
      </c>
      <c r="AB83" s="77" t="str">
        <f t="shared" si="10"/>
        <v>ok</v>
      </c>
      <c r="AC83" s="75"/>
      <c r="AD83" s="79" t="str">
        <f t="array" ref="AD83">IFERROR(IF($D83="","",INDEX(구분표!$I$2:$I$1001,MATCH(1,(구분표!$B$2:$B$1001='15년일출'!$B83)*(구분표!$C$2:$C$1001='15년일출'!$C83)*(구분표!$A$2:$A$1001='15년일출'!$D83),0))),"@@")</f>
        <v>1904</v>
      </c>
    </row>
    <row r="84" spans="2:30" ht="48" customHeight="1">
      <c r="B84" s="72" t="str">
        <f>IFERROR(VLOOKUP('15년일출'!$D84,구분표!$A$2:$C$1001,2,FALSE),"")</f>
        <v>보건복지위원회</v>
      </c>
      <c r="C84" s="72" t="str">
        <f>IFERROR(VLOOKUP('15년일출'!$D84,구분표!$A$2:$C$1001,3,FALSE),"")</f>
        <v>보건복지국</v>
      </c>
      <c r="D84" s="180" t="s">
        <v>84</v>
      </c>
      <c r="E84" s="179" t="s">
        <v>588</v>
      </c>
      <c r="F84" s="179">
        <v>768</v>
      </c>
      <c r="G84" s="180" t="s">
        <v>799</v>
      </c>
      <c r="H84" s="178">
        <v>697540</v>
      </c>
      <c r="I84" s="178"/>
      <c r="J84" s="178">
        <v>163303</v>
      </c>
      <c r="K84" s="249">
        <f t="shared" si="21"/>
        <v>860843</v>
      </c>
      <c r="L84" s="178"/>
      <c r="M84" s="178"/>
      <c r="N84" s="73">
        <f t="shared" si="17"/>
        <v>697540</v>
      </c>
      <c r="O84" s="74" t="str">
        <f t="shared" si="18"/>
        <v>-</v>
      </c>
      <c r="P84" s="296" t="s">
        <v>816</v>
      </c>
      <c r="Q84" s="75"/>
      <c r="R84" s="189"/>
      <c r="S84" s="75"/>
      <c r="T84" s="78" t="str">
        <f t="shared" si="3"/>
        <v>도비</v>
      </c>
      <c r="U84" s="178">
        <f t="shared" si="4"/>
        <v>0</v>
      </c>
      <c r="V84" s="178">
        <f t="shared" si="5"/>
        <v>163303</v>
      </c>
      <c r="W84" s="77" t="str">
        <f t="shared" si="6"/>
        <v>ok</v>
      </c>
      <c r="X84" s="75"/>
      <c r="Y84" s="76" t="str">
        <f t="shared" si="7"/>
        <v>도비</v>
      </c>
      <c r="Z84" s="178">
        <f t="shared" si="8"/>
        <v>0</v>
      </c>
      <c r="AA84" s="178">
        <f t="shared" si="9"/>
        <v>0</v>
      </c>
      <c r="AB84" s="77" t="str">
        <f t="shared" si="10"/>
        <v>ok</v>
      </c>
      <c r="AC84" s="75"/>
      <c r="AD84" s="79" t="str">
        <f t="array" ref="AD84">IFERROR(IF($D84="","",INDEX(구분표!$I$2:$I$1001,MATCH(1,(구분표!$B$2:$B$1001='15년일출'!$B84)*(구분표!$C$2:$C$1001='15년일출'!$C84)*(구분표!$A$2:$A$1001='15년일출'!$D84),0))),"@@")</f>
        <v>1904</v>
      </c>
    </row>
    <row r="85" spans="2:30" ht="48" customHeight="1">
      <c r="B85" s="72" t="str">
        <f>IFERROR(VLOOKUP('15년일출'!$D85,구분표!$A$2:$C$1001,2,FALSE),"")</f>
        <v>보건복지위원회</v>
      </c>
      <c r="C85" s="72" t="str">
        <f>IFERROR(VLOOKUP('15년일출'!$D85,구분표!$A$2:$C$1001,3,FALSE),"")</f>
        <v>보건복지국</v>
      </c>
      <c r="D85" s="180" t="s">
        <v>84</v>
      </c>
      <c r="E85" s="179" t="s">
        <v>632</v>
      </c>
      <c r="F85" s="179"/>
      <c r="G85" s="180" t="s">
        <v>800</v>
      </c>
      <c r="H85" s="178"/>
      <c r="I85" s="178"/>
      <c r="J85" s="178">
        <v>50000</v>
      </c>
      <c r="K85" s="249">
        <f t="shared" si="21"/>
        <v>50000</v>
      </c>
      <c r="L85" s="185"/>
      <c r="M85" s="178"/>
      <c r="N85" s="73">
        <f t="shared" si="17"/>
        <v>0</v>
      </c>
      <c r="O85" s="74" t="str">
        <f t="shared" si="18"/>
        <v>-</v>
      </c>
      <c r="P85" s="296" t="s">
        <v>817</v>
      </c>
      <c r="Q85" s="75"/>
      <c r="R85" s="189"/>
      <c r="S85" s="75"/>
      <c r="T85" s="78" t="str">
        <f t="shared" si="3"/>
        <v>도비</v>
      </c>
      <c r="U85" s="178">
        <f t="shared" si="4"/>
        <v>0</v>
      </c>
      <c r="V85" s="178">
        <f t="shared" si="5"/>
        <v>50000</v>
      </c>
      <c r="W85" s="77" t="str">
        <f t="shared" si="6"/>
        <v>ok</v>
      </c>
      <c r="X85" s="75"/>
      <c r="Y85" s="76" t="str">
        <f t="shared" si="7"/>
        <v>도비</v>
      </c>
      <c r="Z85" s="178">
        <f t="shared" si="8"/>
        <v>0</v>
      </c>
      <c r="AA85" s="178">
        <f t="shared" si="9"/>
        <v>0</v>
      </c>
      <c r="AB85" s="77" t="str">
        <f t="shared" si="10"/>
        <v>ok</v>
      </c>
      <c r="AC85" s="75"/>
      <c r="AD85" s="79" t="str">
        <f t="array" ref="AD85">IFERROR(IF($D85="","",INDEX(구분표!$I$2:$I$1001,MATCH(1,(구분표!$B$2:$B$1001='15년일출'!$B85)*(구분표!$C$2:$C$1001='15년일출'!$C85)*(구분표!$A$2:$A$1001='15년일출'!$D85),0))),"@@")</f>
        <v>1904</v>
      </c>
    </row>
    <row r="86" spans="2:30" ht="48" customHeight="1">
      <c r="B86" s="72" t="str">
        <f>IFERROR(VLOOKUP('15년일출'!$D86,구분표!$A$2:$C$1001,2,FALSE),"")</f>
        <v>보건복지위원회</v>
      </c>
      <c r="C86" s="72" t="str">
        <f>IFERROR(VLOOKUP('15년일출'!$D86,구분표!$A$2:$C$1001,3,FALSE),"")</f>
        <v>보건복지국</v>
      </c>
      <c r="D86" s="180" t="s">
        <v>84</v>
      </c>
      <c r="E86" s="179" t="s">
        <v>632</v>
      </c>
      <c r="F86" s="179"/>
      <c r="G86" s="180" t="s">
        <v>801</v>
      </c>
      <c r="H86" s="178"/>
      <c r="I86" s="178"/>
      <c r="J86" s="178">
        <v>160000</v>
      </c>
      <c r="K86" s="249">
        <f t="shared" si="21"/>
        <v>160000</v>
      </c>
      <c r="L86" s="178"/>
      <c r="M86" s="178"/>
      <c r="N86" s="73">
        <f t="shared" si="17"/>
        <v>0</v>
      </c>
      <c r="O86" s="74" t="str">
        <f t="shared" si="18"/>
        <v>-</v>
      </c>
      <c r="P86" s="296" t="s">
        <v>818</v>
      </c>
      <c r="Q86" s="75"/>
      <c r="R86" s="189"/>
      <c r="S86" s="75"/>
      <c r="T86" s="78" t="str">
        <f t="shared" si="3"/>
        <v>도비</v>
      </c>
      <c r="U86" s="178">
        <f t="shared" si="4"/>
        <v>0</v>
      </c>
      <c r="V86" s="178">
        <f t="shared" si="5"/>
        <v>160000</v>
      </c>
      <c r="W86" s="77" t="str">
        <f t="shared" si="6"/>
        <v>ok</v>
      </c>
      <c r="X86" s="75"/>
      <c r="Y86" s="76" t="str">
        <f t="shared" si="7"/>
        <v>도비</v>
      </c>
      <c r="Z86" s="178">
        <f t="shared" si="8"/>
        <v>0</v>
      </c>
      <c r="AA86" s="178">
        <f t="shared" si="9"/>
        <v>0</v>
      </c>
      <c r="AB86" s="77" t="str">
        <f t="shared" si="10"/>
        <v>ok</v>
      </c>
      <c r="AC86" s="75"/>
      <c r="AD86" s="79" t="str">
        <f t="array" ref="AD86">IFERROR(IF($D86="","",INDEX(구분표!$I$2:$I$1001,MATCH(1,(구분표!$B$2:$B$1001='15년일출'!$B86)*(구분표!$C$2:$C$1001='15년일출'!$C86)*(구분표!$A$2:$A$1001='15년일출'!$D86),0))),"@@")</f>
        <v>1904</v>
      </c>
    </row>
    <row r="87" spans="2:30" ht="48" customHeight="1">
      <c r="B87" s="72" t="str">
        <f>IFERROR(VLOOKUP('15년일출'!$D87,구분표!$A$2:$C$1001,2,FALSE),"")</f>
        <v>보건복지위원회</v>
      </c>
      <c r="C87" s="72" t="str">
        <f>IFERROR(VLOOKUP('15년일출'!$D87,구분표!$A$2:$C$1001,3,FALSE),"")</f>
        <v>보건복지국</v>
      </c>
      <c r="D87" s="180" t="s">
        <v>84</v>
      </c>
      <c r="E87" s="179" t="s">
        <v>632</v>
      </c>
      <c r="F87" s="179"/>
      <c r="G87" s="180" t="s">
        <v>802</v>
      </c>
      <c r="H87" s="178"/>
      <c r="I87" s="178"/>
      <c r="J87" s="178">
        <v>83778</v>
      </c>
      <c r="K87" s="249">
        <f t="shared" si="21"/>
        <v>83778</v>
      </c>
      <c r="L87" s="178"/>
      <c r="M87" s="178"/>
      <c r="N87" s="73">
        <f t="shared" si="17"/>
        <v>0</v>
      </c>
      <c r="O87" s="74" t="str">
        <f t="shared" si="18"/>
        <v>-</v>
      </c>
      <c r="P87" s="296" t="s">
        <v>819</v>
      </c>
      <c r="Q87" s="75"/>
      <c r="R87" s="189"/>
      <c r="S87" s="75"/>
      <c r="T87" s="78" t="str">
        <f t="shared" si="3"/>
        <v>도비</v>
      </c>
      <c r="U87" s="178">
        <f t="shared" si="4"/>
        <v>0</v>
      </c>
      <c r="V87" s="178">
        <f t="shared" si="5"/>
        <v>83778</v>
      </c>
      <c r="W87" s="77" t="str">
        <f t="shared" si="6"/>
        <v>ok</v>
      </c>
      <c r="X87" s="75"/>
      <c r="Y87" s="76" t="str">
        <f t="shared" si="7"/>
        <v>도비</v>
      </c>
      <c r="Z87" s="178">
        <f t="shared" si="8"/>
        <v>0</v>
      </c>
      <c r="AA87" s="178">
        <f t="shared" si="9"/>
        <v>0</v>
      </c>
      <c r="AB87" s="77" t="str">
        <f t="shared" si="10"/>
        <v>ok</v>
      </c>
      <c r="AC87" s="75"/>
      <c r="AD87" s="79" t="str">
        <f t="array" ref="AD87">IFERROR(IF($D87="","",INDEX(구분표!$I$2:$I$1001,MATCH(1,(구분표!$B$2:$B$1001='15년일출'!$B87)*(구분표!$C$2:$C$1001='15년일출'!$C87)*(구분표!$A$2:$A$1001='15년일출'!$D87),0))),"@@")</f>
        <v>1904</v>
      </c>
    </row>
    <row r="88" spans="2:30" ht="84" customHeight="1">
      <c r="B88" s="72" t="str">
        <f>IFERROR(VLOOKUP('15년일출'!$D88,구분표!$A$2:$C$1001,2,FALSE),"")</f>
        <v>보건복지위원회</v>
      </c>
      <c r="C88" s="72" t="str">
        <f>IFERROR(VLOOKUP('15년일출'!$D88,구분표!$A$2:$C$1001,3,FALSE),"")</f>
        <v>보건복지국</v>
      </c>
      <c r="D88" s="180" t="s">
        <v>892</v>
      </c>
      <c r="E88" s="179" t="s">
        <v>632</v>
      </c>
      <c r="F88" s="179"/>
      <c r="G88" s="241" t="s">
        <v>893</v>
      </c>
      <c r="H88" s="178">
        <v>0</v>
      </c>
      <c r="I88" s="178"/>
      <c r="J88" s="178">
        <v>300000</v>
      </c>
      <c r="K88" s="249">
        <f t="shared" si="21"/>
        <v>300000</v>
      </c>
      <c r="L88" s="178"/>
      <c r="M88" s="178"/>
      <c r="N88" s="73">
        <f t="shared" si="17"/>
        <v>0</v>
      </c>
      <c r="O88" s="74" t="str">
        <f t="shared" si="18"/>
        <v>-</v>
      </c>
      <c r="P88" s="296" t="s">
        <v>820</v>
      </c>
      <c r="Q88" s="75"/>
      <c r="R88" s="189"/>
      <c r="S88" s="75"/>
      <c r="T88" s="78" t="str">
        <f t="shared" si="3"/>
        <v>도비</v>
      </c>
      <c r="U88" s="178">
        <f t="shared" ref="U88" si="22">IF($T88&lt;&gt;"도비",IF($R88="국도비","직접입력",SUM($I88:$J88)),)</f>
        <v>0</v>
      </c>
      <c r="V88" s="178">
        <f t="shared" ref="V88:V90" si="23">IF($T88="도비",SUM($I88:$J88),IF($R88="국도비","직접입력",SUM($I88:$J88)-$U88))</f>
        <v>300000</v>
      </c>
      <c r="W88" s="77" t="str">
        <f t="shared" ref="W88:W111" si="24">IF($R88="국도비","ok",IF(($I88+$J88)=($U88+$V88),"ok","검토"))</f>
        <v>ok</v>
      </c>
      <c r="X88" s="75"/>
      <c r="Y88" s="76" t="str">
        <f t="shared" si="7"/>
        <v>도비</v>
      </c>
      <c r="Z88" s="178">
        <f t="shared" ref="Z88:Z90" si="25">IF($Y88&lt;&gt;"도비",IF($R88="국도비","직접입력",SUM($L88:$M88)),)</f>
        <v>0</v>
      </c>
      <c r="AA88" s="178">
        <f t="shared" ref="AA88:AA90" si="26">IF($Y88="도비",SUM($L88:$M88),IF($R88="국도비","직접입력",SUM($L88:$M88)-$Z88))</f>
        <v>0</v>
      </c>
      <c r="AB88" s="77" t="str">
        <f t="shared" si="10"/>
        <v>ok</v>
      </c>
      <c r="AC88" s="75"/>
      <c r="AD88" s="79" t="str">
        <f t="array" ref="AD88">IFERROR(IF($D88="","",INDEX([1]구분표!$I$2:$I$1001,MATCH(1,([1]구분표!$B$2:$B$1001='[1]15년일출'!$B97)*([1]구분표!$C$2:$C$1001='[1]15년일출'!$C97)*([1]구분표!$A$2:$A$1001='[1]15년일출'!$D97),0))),"@@")</f>
        <v>@@</v>
      </c>
    </row>
    <row r="89" spans="2:30" ht="48" customHeight="1">
      <c r="B89" s="72" t="str">
        <f>IFERROR(VLOOKUP('15년일출'!$D89,구분표!$A$2:$C$1001,2,FALSE),"")</f>
        <v>보건복지위원회</v>
      </c>
      <c r="C89" s="72" t="str">
        <f>IFERROR(VLOOKUP('15년일출'!$D89,구분표!$A$2:$C$1001,3,FALSE),"")</f>
        <v>보건복지국</v>
      </c>
      <c r="D89" s="180" t="s">
        <v>894</v>
      </c>
      <c r="E89" s="179" t="s">
        <v>632</v>
      </c>
      <c r="F89" s="179"/>
      <c r="G89" s="237" t="s">
        <v>895</v>
      </c>
      <c r="H89" s="178">
        <v>0</v>
      </c>
      <c r="I89" s="178"/>
      <c r="J89" s="178">
        <v>119500</v>
      </c>
      <c r="K89" s="249">
        <f t="shared" si="21"/>
        <v>119500</v>
      </c>
      <c r="L89" s="178"/>
      <c r="M89" s="178"/>
      <c r="N89" s="73">
        <f t="shared" si="17"/>
        <v>0</v>
      </c>
      <c r="O89" s="74" t="str">
        <f t="shared" si="18"/>
        <v>-</v>
      </c>
      <c r="P89" s="296" t="s">
        <v>821</v>
      </c>
      <c r="Q89" s="75"/>
      <c r="R89" s="189"/>
      <c r="S89" s="75"/>
      <c r="T89" s="78" t="str">
        <f t="shared" si="3"/>
        <v>도비</v>
      </c>
      <c r="U89" s="178">
        <f t="shared" ref="U89:U90" si="27">IF($T89&lt;&gt;"도비",IF($R89="국도비","직접입력",SUM($I89:$J89)),)</f>
        <v>0</v>
      </c>
      <c r="V89" s="178">
        <f t="shared" si="23"/>
        <v>119500</v>
      </c>
      <c r="W89" s="77" t="str">
        <f t="shared" si="24"/>
        <v>ok</v>
      </c>
      <c r="X89" s="75"/>
      <c r="Y89" s="76" t="str">
        <f t="shared" si="7"/>
        <v>도비</v>
      </c>
      <c r="Z89" s="178">
        <f t="shared" si="25"/>
        <v>0</v>
      </c>
      <c r="AA89" s="178">
        <f t="shared" si="26"/>
        <v>0</v>
      </c>
      <c r="AB89" s="77" t="str">
        <f t="shared" si="10"/>
        <v>ok</v>
      </c>
      <c r="AC89" s="75"/>
      <c r="AD89" s="79" t="str">
        <f t="array" ref="AD89">IFERROR(IF($D89="","",INDEX([1]구분표!$I$2:$I$1001,MATCH(1,([1]구분표!$B$2:$B$1001='[1]15년일출'!$B99)*([1]구분표!$C$2:$C$1001='[1]15년일출'!$C99)*([1]구분표!$A$2:$A$1001='[1]15년일출'!$D99),0))),"@@")</f>
        <v>@@</v>
      </c>
    </row>
    <row r="90" spans="2:30" ht="48" customHeight="1">
      <c r="B90" s="72" t="str">
        <f>IFERROR(VLOOKUP('15년일출'!$D90,구분표!$A$2:$C$1001,2,FALSE),"")</f>
        <v>보건복지위원회</v>
      </c>
      <c r="C90" s="72" t="str">
        <f>IFERROR(VLOOKUP('15년일출'!$D90,구분표!$A$2:$C$1001,3,FALSE),"")</f>
        <v>보건복지국</v>
      </c>
      <c r="D90" s="180" t="s">
        <v>896</v>
      </c>
      <c r="E90" s="179" t="s">
        <v>632</v>
      </c>
      <c r="F90" s="179"/>
      <c r="G90" s="237" t="s">
        <v>897</v>
      </c>
      <c r="H90" s="178">
        <v>0</v>
      </c>
      <c r="I90" s="178"/>
      <c r="J90" s="178">
        <v>100000</v>
      </c>
      <c r="K90" s="249">
        <f t="shared" si="21"/>
        <v>100000</v>
      </c>
      <c r="L90" s="178"/>
      <c r="M90" s="178"/>
      <c r="N90" s="73">
        <f t="shared" si="17"/>
        <v>0</v>
      </c>
      <c r="O90" s="74" t="str">
        <f t="shared" si="18"/>
        <v>-</v>
      </c>
      <c r="P90" s="297" t="s">
        <v>898</v>
      </c>
      <c r="Q90" s="75"/>
      <c r="R90" s="189"/>
      <c r="S90" s="75"/>
      <c r="T90" s="78" t="str">
        <f t="shared" si="3"/>
        <v>도비</v>
      </c>
      <c r="U90" s="178">
        <f t="shared" si="27"/>
        <v>0</v>
      </c>
      <c r="V90" s="178">
        <f t="shared" si="23"/>
        <v>100000</v>
      </c>
      <c r="W90" s="77" t="str">
        <f t="shared" si="24"/>
        <v>ok</v>
      </c>
      <c r="X90" s="75"/>
      <c r="Y90" s="76" t="str">
        <f t="shared" si="7"/>
        <v>도비</v>
      </c>
      <c r="Z90" s="178">
        <f t="shared" si="25"/>
        <v>0</v>
      </c>
      <c r="AA90" s="178">
        <f t="shared" si="26"/>
        <v>0</v>
      </c>
      <c r="AB90" s="77" t="str">
        <f t="shared" si="10"/>
        <v>ok</v>
      </c>
      <c r="AC90" s="75"/>
      <c r="AD90" s="79" t="str">
        <f t="array" ref="AD90">IFERROR(IF($D90="","",INDEX([1]구분표!$I$2:$I$1001,MATCH(1,([1]구분표!$B$2:$B$1001='[1]15년일출'!$B100)*([1]구분표!$C$2:$C$1001='[1]15년일출'!$C100)*([1]구분표!$A$2:$A$1001='[1]15년일출'!$D100),0))),"@@")</f>
        <v>@@</v>
      </c>
    </row>
    <row r="91" spans="2:30" ht="48" customHeight="1">
      <c r="B91" s="72" t="str">
        <f>IFERROR(VLOOKUP('15년일출'!$D91,구분표!$A$2:$C$1001,2,FALSE),"")</f>
        <v>보건복지위원회</v>
      </c>
      <c r="C91" s="72" t="str">
        <f>IFERROR(VLOOKUP('15년일출'!$D91,구분표!$A$2:$C$1001,3,FALSE),"")</f>
        <v>보건복지국</v>
      </c>
      <c r="D91" s="180" t="s">
        <v>296</v>
      </c>
      <c r="E91" s="179" t="s">
        <v>588</v>
      </c>
      <c r="F91" s="179">
        <v>787</v>
      </c>
      <c r="G91" s="241" t="s">
        <v>933</v>
      </c>
      <c r="H91" s="178">
        <v>373000</v>
      </c>
      <c r="I91" s="183">
        <v>-36500</v>
      </c>
      <c r="J91" s="183"/>
      <c r="K91" s="249">
        <f t="shared" si="21"/>
        <v>336500</v>
      </c>
      <c r="L91" s="186"/>
      <c r="M91" s="185"/>
      <c r="N91" s="73">
        <f t="shared" ref="N91:N111" si="28">SUM(H91+L91+M91)</f>
        <v>373000</v>
      </c>
      <c r="O91" s="74" t="str">
        <f t="shared" si="18"/>
        <v>동의필요</v>
      </c>
      <c r="P91" s="295" t="s">
        <v>934</v>
      </c>
      <c r="Q91" s="75"/>
      <c r="R91" s="189"/>
      <c r="S91" s="75"/>
      <c r="T91" s="78" t="str">
        <f t="shared" ref="T91:T111" si="29">IF($R91="도비","도비",IF(COUNT(FIND("국비/",$G91)),"국비",IF(COUNT(FIND("지특/",$G91)),"지특",IF(COUNT(FIND("기금/",$G91)),"기금",IF(COUNT(FIND("교부세/",$G91)),"특교",IF(COUNT(FIND("자체/",$G91)),"도비",""))))))</f>
        <v>도비</v>
      </c>
      <c r="U91" s="178">
        <f t="shared" ref="U91:U99" si="30">IF($T91&lt;&gt;"도비",IF($R91="국도비","직접입력",SUM($I91:$J91)),)</f>
        <v>0</v>
      </c>
      <c r="V91" s="178">
        <f t="shared" ref="V91:V99" si="31">IF($T91="도비",SUM($I91:$J91),IF($R91="국도비","직접입력",SUM($I91:$J91)-$U91))</f>
        <v>-36500</v>
      </c>
      <c r="W91" s="77" t="str">
        <f t="shared" si="24"/>
        <v>ok</v>
      </c>
      <c r="X91" s="75"/>
      <c r="Y91" s="76" t="str">
        <f t="shared" ref="Y91:Y111" si="32">$T91</f>
        <v>도비</v>
      </c>
      <c r="Z91" s="178">
        <f t="shared" ref="Z91:Z111" si="33">IF($Y91&lt;&gt;"도비",IF($R91="국도비","직접입력",SUM($L91:$M91)),)</f>
        <v>0</v>
      </c>
      <c r="AA91" s="178">
        <f t="shared" ref="AA91:AA111" si="34">IF($Y91="도비",SUM($L91:$M91),IF($R91="국도비","직접입력",SUM($L91:$M91)-$Z91))</f>
        <v>0</v>
      </c>
      <c r="AB91" s="77" t="str">
        <f t="shared" ref="AB91:AB111" si="35">IF($R91="국도비","ok",IF(($L91+$M91)=($Z91+$AA91),"ok","검토"))</f>
        <v>ok</v>
      </c>
      <c r="AC91" s="75"/>
      <c r="AD91" s="79" t="str">
        <f t="array" ref="AD91">IFERROR(IF($D91="","",INDEX(구분표!$I$2:$I$1001,MATCH(1,(구분표!$B$2:$B$1001='15년일출'!$B91)*(구분표!$C$2:$C$1001='15년일출'!$C91)*(구분표!$A$2:$A$1001='15년일출'!$D91),0))),"@@")</f>
        <v>1905</v>
      </c>
    </row>
    <row r="92" spans="2:30" ht="48" customHeight="1">
      <c r="B92" s="72" t="str">
        <f>IFERROR(VLOOKUP('15년일출'!$D92,구분표!$A$2:$C$1001,2,FALSE),"")</f>
        <v>보건복지위원회</v>
      </c>
      <c r="C92" s="72" t="str">
        <f>IFERROR(VLOOKUP('15년일출'!$D92,구분표!$A$2:$C$1001,3,FALSE),"")</f>
        <v>보건복지국</v>
      </c>
      <c r="D92" s="180" t="s">
        <v>297</v>
      </c>
      <c r="E92" s="179" t="s">
        <v>588</v>
      </c>
      <c r="F92" s="179">
        <v>797</v>
      </c>
      <c r="G92" s="241" t="s">
        <v>915</v>
      </c>
      <c r="H92" s="178">
        <v>4930000</v>
      </c>
      <c r="I92" s="183">
        <v>-2130000</v>
      </c>
      <c r="J92" s="183"/>
      <c r="K92" s="249">
        <f t="shared" si="21"/>
        <v>2800000</v>
      </c>
      <c r="L92" s="186"/>
      <c r="M92" s="185"/>
      <c r="N92" s="73">
        <f t="shared" si="28"/>
        <v>4930000</v>
      </c>
      <c r="O92" s="74" t="str">
        <f t="shared" si="18"/>
        <v>동의필요</v>
      </c>
      <c r="P92" s="295" t="s">
        <v>930</v>
      </c>
      <c r="Q92" s="75"/>
      <c r="R92" s="189"/>
      <c r="S92" s="75"/>
      <c r="T92" s="78" t="str">
        <f t="shared" si="29"/>
        <v>도비</v>
      </c>
      <c r="U92" s="178">
        <f t="shared" si="30"/>
        <v>0</v>
      </c>
      <c r="V92" s="178">
        <f t="shared" si="31"/>
        <v>-2130000</v>
      </c>
      <c r="W92" s="77" t="str">
        <f t="shared" si="24"/>
        <v>ok</v>
      </c>
      <c r="X92" s="75"/>
      <c r="Y92" s="76" t="str">
        <f t="shared" si="32"/>
        <v>도비</v>
      </c>
      <c r="Z92" s="178">
        <f t="shared" si="33"/>
        <v>0</v>
      </c>
      <c r="AA92" s="178">
        <f t="shared" si="34"/>
        <v>0</v>
      </c>
      <c r="AB92" s="77" t="str">
        <f t="shared" si="35"/>
        <v>ok</v>
      </c>
      <c r="AC92" s="75"/>
      <c r="AD92" s="79"/>
    </row>
    <row r="93" spans="2:30" ht="48" customHeight="1">
      <c r="B93" s="72" t="str">
        <f>IFERROR(VLOOKUP('15년일출'!$D93,구분표!$A$2:$C$1001,2,FALSE),"")</f>
        <v>보건복지위원회</v>
      </c>
      <c r="C93" s="72" t="str">
        <f>IFERROR(VLOOKUP('15년일출'!$D93,구분표!$A$2:$C$1001,3,FALSE),"")</f>
        <v>보건복지국</v>
      </c>
      <c r="D93" s="180" t="s">
        <v>297</v>
      </c>
      <c r="E93" s="179" t="s">
        <v>588</v>
      </c>
      <c r="F93" s="179">
        <v>796</v>
      </c>
      <c r="G93" s="241" t="s">
        <v>899</v>
      </c>
      <c r="H93" s="178">
        <v>38025</v>
      </c>
      <c r="I93" s="183"/>
      <c r="J93" s="284">
        <v>324987</v>
      </c>
      <c r="K93" s="249">
        <f t="shared" si="21"/>
        <v>363012</v>
      </c>
      <c r="L93" s="186"/>
      <c r="M93" s="185"/>
      <c r="N93" s="73">
        <f t="shared" ref="N93" si="36">SUM(H93+L93+M93)</f>
        <v>38025</v>
      </c>
      <c r="O93" s="74" t="str">
        <f t="shared" ref="O93" si="37">IF(I93-L93&lt;0,"동의필요","-")</f>
        <v>-</v>
      </c>
      <c r="P93" s="295" t="s">
        <v>900</v>
      </c>
      <c r="Q93" s="75"/>
      <c r="R93" s="189"/>
      <c r="S93" s="75"/>
      <c r="T93" s="78" t="str">
        <f t="shared" si="29"/>
        <v>도비</v>
      </c>
      <c r="U93" s="178">
        <f t="shared" si="30"/>
        <v>0</v>
      </c>
      <c r="V93" s="178">
        <f t="shared" si="31"/>
        <v>324987</v>
      </c>
      <c r="W93" s="77" t="str">
        <f t="shared" si="24"/>
        <v>ok</v>
      </c>
      <c r="X93" s="75"/>
      <c r="Y93" s="76" t="str">
        <f t="shared" si="32"/>
        <v>도비</v>
      </c>
      <c r="Z93" s="178">
        <f t="shared" si="33"/>
        <v>0</v>
      </c>
      <c r="AA93" s="178">
        <f t="shared" si="34"/>
        <v>0</v>
      </c>
      <c r="AB93" s="77" t="str">
        <f t="shared" si="35"/>
        <v>ok</v>
      </c>
      <c r="AC93" s="75"/>
      <c r="AD93" s="79" t="str">
        <f t="array" ref="AD93">IFERROR(IF($D93="","",INDEX(구분표!$I$2:$I$1001,MATCH(1,(구분표!$B$2:$B$1001='15년일출'!$B93)*(구분표!$C$2:$C$1001='15년일출'!$C93)*(구분표!$A$2:$A$1001='15년일출'!$D93),0))),"@@")</f>
        <v>1906</v>
      </c>
    </row>
    <row r="94" spans="2:30" ht="48" customHeight="1">
      <c r="B94" s="72" t="str">
        <f>IFERROR(VLOOKUP('15년일출'!$D94,구분표!$A$2:$C$1001,2,FALSE),"")</f>
        <v>보건복지위원회</v>
      </c>
      <c r="C94" s="72" t="str">
        <f>IFERROR(VLOOKUP('15년일출'!$D94,구분표!$A$2:$C$1001,3,FALSE),"")</f>
        <v>보건복지국</v>
      </c>
      <c r="D94" s="180" t="s">
        <v>297</v>
      </c>
      <c r="E94" s="179" t="s">
        <v>588</v>
      </c>
      <c r="F94" s="179">
        <v>801</v>
      </c>
      <c r="G94" s="241" t="s">
        <v>834</v>
      </c>
      <c r="H94" s="178">
        <v>400000</v>
      </c>
      <c r="I94" s="183"/>
      <c r="J94" s="284">
        <v>100000</v>
      </c>
      <c r="K94" s="249">
        <f t="shared" si="21"/>
        <v>500000</v>
      </c>
      <c r="L94" s="186"/>
      <c r="M94" s="185"/>
      <c r="N94" s="73">
        <f t="shared" si="28"/>
        <v>400000</v>
      </c>
      <c r="O94" s="74" t="str">
        <f t="shared" si="18"/>
        <v>-</v>
      </c>
      <c r="P94" s="298" t="s">
        <v>903</v>
      </c>
      <c r="Q94" s="75"/>
      <c r="R94" s="189"/>
      <c r="S94" s="75"/>
      <c r="T94" s="78" t="str">
        <f t="shared" si="29"/>
        <v>도비</v>
      </c>
      <c r="U94" s="178">
        <f t="shared" si="30"/>
        <v>0</v>
      </c>
      <c r="V94" s="178">
        <f t="shared" si="31"/>
        <v>100000</v>
      </c>
      <c r="W94" s="77" t="str">
        <f t="shared" si="24"/>
        <v>ok</v>
      </c>
      <c r="X94" s="75"/>
      <c r="Y94" s="76" t="str">
        <f t="shared" si="32"/>
        <v>도비</v>
      </c>
      <c r="Z94" s="178">
        <f t="shared" si="33"/>
        <v>0</v>
      </c>
      <c r="AA94" s="178">
        <f t="shared" si="34"/>
        <v>0</v>
      </c>
      <c r="AB94" s="77" t="str">
        <f t="shared" si="35"/>
        <v>ok</v>
      </c>
      <c r="AC94" s="75"/>
      <c r="AD94" s="79" t="str">
        <f t="array" ref="AD94">IFERROR(IF($D94="","",INDEX(구분표!$I$2:$I$1001,MATCH(1,(구분표!$B$2:$B$1001='15년일출'!$B94)*(구분표!$C$2:$C$1001='15년일출'!$C94)*(구분표!$A$2:$A$1001='15년일출'!$D94),0))),"@@")</f>
        <v>1906</v>
      </c>
    </row>
    <row r="95" spans="2:30" ht="48" customHeight="1">
      <c r="B95" s="72" t="str">
        <f>IFERROR(VLOOKUP('15년일출'!$D95,구분표!$A$2:$C$1001,2,FALSE),"")</f>
        <v>보건복지위원회</v>
      </c>
      <c r="C95" s="72" t="str">
        <f>IFERROR(VLOOKUP('15년일출'!$D95,구분표!$A$2:$C$1001,3,FALSE),"")</f>
        <v>보건복지국</v>
      </c>
      <c r="D95" s="180" t="s">
        <v>297</v>
      </c>
      <c r="E95" s="179" t="s">
        <v>632</v>
      </c>
      <c r="F95" s="179"/>
      <c r="G95" s="180" t="s">
        <v>833</v>
      </c>
      <c r="H95" s="178"/>
      <c r="I95" s="183"/>
      <c r="J95" s="284">
        <v>126880</v>
      </c>
      <c r="K95" s="249">
        <f t="shared" si="21"/>
        <v>126880</v>
      </c>
      <c r="L95" s="186"/>
      <c r="M95" s="185"/>
      <c r="N95" s="73">
        <f t="shared" si="28"/>
        <v>0</v>
      </c>
      <c r="O95" s="74" t="str">
        <f t="shared" si="18"/>
        <v>-</v>
      </c>
      <c r="P95" s="295" t="s">
        <v>822</v>
      </c>
      <c r="Q95" s="75"/>
      <c r="R95" s="189"/>
      <c r="S95" s="75"/>
      <c r="T95" s="78" t="str">
        <f t="shared" si="29"/>
        <v>도비</v>
      </c>
      <c r="U95" s="178">
        <f t="shared" si="30"/>
        <v>0</v>
      </c>
      <c r="V95" s="178">
        <f t="shared" si="31"/>
        <v>126880</v>
      </c>
      <c r="W95" s="77" t="str">
        <f t="shared" si="24"/>
        <v>ok</v>
      </c>
      <c r="X95" s="75"/>
      <c r="Y95" s="76" t="str">
        <f t="shared" si="32"/>
        <v>도비</v>
      </c>
      <c r="Z95" s="178">
        <f t="shared" si="33"/>
        <v>0</v>
      </c>
      <c r="AA95" s="178">
        <f t="shared" si="34"/>
        <v>0</v>
      </c>
      <c r="AB95" s="77" t="str">
        <f t="shared" si="35"/>
        <v>ok</v>
      </c>
      <c r="AC95" s="75"/>
      <c r="AD95" s="79" t="str">
        <f t="array" ref="AD95">IFERROR(IF($D95="","",INDEX(구분표!$I$2:$I$1001,MATCH(1,(구분표!$B$2:$B$1001='15년일출'!$B95)*(구분표!$C$2:$C$1001='15년일출'!$C95)*(구분표!$A$2:$A$1001='15년일출'!$D95),0))),"@@")</f>
        <v>1906</v>
      </c>
    </row>
    <row r="96" spans="2:30" ht="48" customHeight="1">
      <c r="B96" s="72" t="str">
        <f>IFERROR(VLOOKUP('15년일출'!$D96,구분표!$A$2:$C$1001,2,FALSE),"")</f>
        <v>보건복지위원회</v>
      </c>
      <c r="C96" s="72" t="str">
        <f>IFERROR(VLOOKUP('15년일출'!$D96,구분표!$A$2:$C$1001,3,FALSE),"")</f>
        <v>보건복지국</v>
      </c>
      <c r="D96" s="180" t="s">
        <v>297</v>
      </c>
      <c r="E96" s="179" t="s">
        <v>588</v>
      </c>
      <c r="F96" s="179">
        <v>805</v>
      </c>
      <c r="G96" s="180" t="s">
        <v>803</v>
      </c>
      <c r="H96" s="178">
        <v>3000000</v>
      </c>
      <c r="I96" s="183">
        <v>-1000000</v>
      </c>
      <c r="J96" s="183"/>
      <c r="K96" s="249">
        <f t="shared" si="21"/>
        <v>2000000</v>
      </c>
      <c r="L96" s="186"/>
      <c r="M96" s="185"/>
      <c r="N96" s="73">
        <f t="shared" si="28"/>
        <v>3000000</v>
      </c>
      <c r="O96" s="74" t="str">
        <f t="shared" si="18"/>
        <v>동의필요</v>
      </c>
      <c r="P96" s="295" t="s">
        <v>823</v>
      </c>
      <c r="Q96" s="75"/>
      <c r="R96" s="189" t="s">
        <v>747</v>
      </c>
      <c r="S96" s="75"/>
      <c r="T96" s="78" t="str">
        <f t="shared" si="29"/>
        <v>기금</v>
      </c>
      <c r="U96" s="178">
        <v>0</v>
      </c>
      <c r="V96" s="178">
        <v>-1000000</v>
      </c>
      <c r="W96" s="77" t="str">
        <f t="shared" si="24"/>
        <v>ok</v>
      </c>
      <c r="X96" s="75"/>
      <c r="Y96" s="76" t="str">
        <f t="shared" si="32"/>
        <v>기금</v>
      </c>
      <c r="Z96" s="178" t="str">
        <f t="shared" si="33"/>
        <v>직접입력</v>
      </c>
      <c r="AA96" s="178" t="str">
        <f t="shared" si="34"/>
        <v>직접입력</v>
      </c>
      <c r="AB96" s="77" t="str">
        <f t="shared" si="35"/>
        <v>ok</v>
      </c>
      <c r="AC96" s="75"/>
      <c r="AD96" s="79" t="str">
        <f t="array" ref="AD96">IFERROR(IF($D96="","",INDEX(구분표!$I$2:$I$1001,MATCH(1,(구분표!$B$2:$B$1001='15년일출'!$B96)*(구분표!$C$2:$C$1001='15년일출'!$C96)*(구분표!$A$2:$A$1001='15년일출'!$D96),0))),"@@")</f>
        <v>1906</v>
      </c>
    </row>
    <row r="97" spans="2:30" ht="48" customHeight="1">
      <c r="B97" s="72" t="str">
        <f>IFERROR(VLOOKUP('15년일출'!$D97,구분표!$A$2:$C$1001,2,FALSE),"")</f>
        <v>보건복지위원회</v>
      </c>
      <c r="C97" s="72" t="str">
        <f>IFERROR(VLOOKUP('15년일출'!$D97,구분표!$A$2:$C$1001,3,FALSE),"")</f>
        <v>보건복지국</v>
      </c>
      <c r="D97" s="180" t="s">
        <v>297</v>
      </c>
      <c r="E97" s="179" t="s">
        <v>588</v>
      </c>
      <c r="F97" s="179">
        <v>796</v>
      </c>
      <c r="G97" s="241" t="s">
        <v>804</v>
      </c>
      <c r="H97" s="178">
        <v>130000</v>
      </c>
      <c r="I97" s="178">
        <v>-130000</v>
      </c>
      <c r="J97" s="178"/>
      <c r="K97" s="249">
        <f t="shared" si="21"/>
        <v>0</v>
      </c>
      <c r="L97" s="185"/>
      <c r="M97" s="185"/>
      <c r="N97" s="73">
        <f t="shared" si="28"/>
        <v>130000</v>
      </c>
      <c r="O97" s="74" t="str">
        <f t="shared" si="18"/>
        <v>동의필요</v>
      </c>
      <c r="P97" s="295" t="s">
        <v>824</v>
      </c>
      <c r="Q97" s="75"/>
      <c r="R97" s="189"/>
      <c r="S97" s="75"/>
      <c r="T97" s="78" t="str">
        <f t="shared" si="29"/>
        <v>도비</v>
      </c>
      <c r="U97" s="178">
        <f t="shared" si="30"/>
        <v>0</v>
      </c>
      <c r="V97" s="178">
        <f t="shared" si="31"/>
        <v>-130000</v>
      </c>
      <c r="W97" s="77" t="str">
        <f t="shared" si="24"/>
        <v>ok</v>
      </c>
      <c r="X97" s="75"/>
      <c r="Y97" s="76" t="str">
        <f t="shared" si="32"/>
        <v>도비</v>
      </c>
      <c r="Z97" s="178">
        <f t="shared" si="33"/>
        <v>0</v>
      </c>
      <c r="AA97" s="178">
        <f t="shared" si="34"/>
        <v>0</v>
      </c>
      <c r="AB97" s="77" t="str">
        <f t="shared" si="35"/>
        <v>ok</v>
      </c>
      <c r="AC97" s="75"/>
      <c r="AD97" s="79" t="str">
        <f t="array" ref="AD97">IFERROR(IF($D97="","",INDEX(구분표!$I$2:$I$1001,MATCH(1,(구분표!$B$2:$B$1001='15년일출'!$B97)*(구분표!$C$2:$C$1001='15년일출'!$C97)*(구분표!$A$2:$A$1001='15년일출'!$D97),0))),"@@")</f>
        <v>1906</v>
      </c>
    </row>
    <row r="98" spans="2:30" ht="48" customHeight="1">
      <c r="B98" s="72" t="str">
        <f>IFERROR(VLOOKUP('15년일출'!$D98,구분표!$A$2:$C$1001,2,FALSE),"")</f>
        <v>보건복지위원회</v>
      </c>
      <c r="C98" s="72" t="str">
        <f>IFERROR(VLOOKUP('15년일출'!$D98,구분표!$A$2:$C$1001,3,FALSE),"")</f>
        <v>보건복지국</v>
      </c>
      <c r="D98" s="180" t="s">
        <v>297</v>
      </c>
      <c r="E98" s="179" t="s">
        <v>588</v>
      </c>
      <c r="F98" s="179">
        <v>797</v>
      </c>
      <c r="G98" s="180" t="s">
        <v>805</v>
      </c>
      <c r="H98" s="178">
        <v>800000</v>
      </c>
      <c r="I98" s="178">
        <v>-200000</v>
      </c>
      <c r="J98" s="178"/>
      <c r="K98" s="249">
        <f t="shared" si="21"/>
        <v>600000</v>
      </c>
      <c r="L98" s="178"/>
      <c r="M98" s="178"/>
      <c r="N98" s="73">
        <f t="shared" si="28"/>
        <v>800000</v>
      </c>
      <c r="O98" s="74" t="str">
        <f t="shared" si="18"/>
        <v>동의필요</v>
      </c>
      <c r="P98" s="299" t="s">
        <v>825</v>
      </c>
      <c r="Q98" s="75"/>
      <c r="R98" s="189"/>
      <c r="S98" s="75"/>
      <c r="T98" s="78" t="str">
        <f t="shared" si="29"/>
        <v>도비</v>
      </c>
      <c r="U98" s="178">
        <f t="shared" si="30"/>
        <v>0</v>
      </c>
      <c r="V98" s="178">
        <f t="shared" si="31"/>
        <v>-200000</v>
      </c>
      <c r="W98" s="77" t="str">
        <f t="shared" si="24"/>
        <v>ok</v>
      </c>
      <c r="X98" s="75"/>
      <c r="Y98" s="76" t="str">
        <f t="shared" si="32"/>
        <v>도비</v>
      </c>
      <c r="Z98" s="178">
        <f t="shared" si="33"/>
        <v>0</v>
      </c>
      <c r="AA98" s="178">
        <f t="shared" si="34"/>
        <v>0</v>
      </c>
      <c r="AB98" s="77" t="str">
        <f t="shared" si="35"/>
        <v>ok</v>
      </c>
      <c r="AC98" s="75"/>
      <c r="AD98" s="79" t="str">
        <f t="array" ref="AD98">IFERROR(IF($D98="","",INDEX(구분표!$I$2:$I$1001,MATCH(1,(구분표!$B$2:$B$1001='15년일출'!$B98)*(구분표!$C$2:$C$1001='15년일출'!$C98)*(구분표!$A$2:$A$1001='15년일출'!$D98),0))),"@@")</f>
        <v>1906</v>
      </c>
    </row>
    <row r="99" spans="2:30" ht="48" customHeight="1">
      <c r="B99" s="72" t="str">
        <f>IFERROR(VLOOKUP('15년일출'!$D99,구분표!$A$2:$C$1001,2,FALSE),"")</f>
        <v>보건복지위원회</v>
      </c>
      <c r="C99" s="72" t="str">
        <f>IFERROR(VLOOKUP('15년일출'!$D99,구분표!$A$2:$C$1001,3,FALSE),"")</f>
        <v>보건복지국</v>
      </c>
      <c r="D99" s="180" t="s">
        <v>298</v>
      </c>
      <c r="E99" s="179" t="s">
        <v>588</v>
      </c>
      <c r="F99" s="179">
        <v>808</v>
      </c>
      <c r="G99" s="241" t="s">
        <v>806</v>
      </c>
      <c r="H99" s="178">
        <v>20000</v>
      </c>
      <c r="I99" s="178"/>
      <c r="J99" s="282">
        <v>30000</v>
      </c>
      <c r="K99" s="249">
        <f t="shared" si="21"/>
        <v>50000</v>
      </c>
      <c r="L99" s="178"/>
      <c r="M99" s="178"/>
      <c r="N99" s="73">
        <f t="shared" si="28"/>
        <v>20000</v>
      </c>
      <c r="O99" s="74" t="str">
        <f t="shared" si="18"/>
        <v>-</v>
      </c>
      <c r="P99" s="299" t="s">
        <v>826</v>
      </c>
      <c r="Q99" s="75"/>
      <c r="R99" s="189"/>
      <c r="S99" s="75"/>
      <c r="T99" s="78" t="str">
        <f t="shared" si="29"/>
        <v>도비</v>
      </c>
      <c r="U99" s="178">
        <f t="shared" si="30"/>
        <v>0</v>
      </c>
      <c r="V99" s="178">
        <f t="shared" si="31"/>
        <v>30000</v>
      </c>
      <c r="W99" s="77" t="str">
        <f t="shared" si="24"/>
        <v>ok</v>
      </c>
      <c r="X99" s="75"/>
      <c r="Y99" s="76" t="str">
        <f t="shared" si="32"/>
        <v>도비</v>
      </c>
      <c r="Z99" s="178">
        <f t="shared" si="33"/>
        <v>0</v>
      </c>
      <c r="AA99" s="178">
        <f t="shared" si="34"/>
        <v>0</v>
      </c>
      <c r="AB99" s="77" t="str">
        <f t="shared" si="35"/>
        <v>ok</v>
      </c>
      <c r="AC99" s="75"/>
      <c r="AD99" s="79" t="str">
        <f t="array" ref="AD99">IFERROR(IF($D99="","",INDEX(구분표!$I$2:$I$1001,MATCH(1,(구분표!$B$2:$B$1001='15년일출'!$B99)*(구분표!$C$2:$C$1001='15년일출'!$C99)*(구분표!$A$2:$A$1001='15년일출'!$D99),0))),"@@")</f>
        <v>1907</v>
      </c>
    </row>
    <row r="100" spans="2:30" s="202" customFormat="1" ht="48" customHeight="1">
      <c r="B100" s="72" t="str">
        <f>IFERROR(VLOOKUP('15년일출'!$D100,구분표!$A$2:$C$1001,2,FALSE),"")</f>
        <v>보건복지위원회</v>
      </c>
      <c r="C100" s="72" t="str">
        <f>IFERROR(VLOOKUP('15년일출'!$D100,구분표!$A$2:$C$1001,3,FALSE),"")</f>
        <v>복지여성실</v>
      </c>
      <c r="D100" s="176" t="s">
        <v>595</v>
      </c>
      <c r="E100" s="177" t="s">
        <v>588</v>
      </c>
      <c r="F100" s="214">
        <v>846</v>
      </c>
      <c r="G100" s="220" t="s">
        <v>758</v>
      </c>
      <c r="H100" s="224">
        <v>502460</v>
      </c>
      <c r="I100" s="219">
        <v>-502460</v>
      </c>
      <c r="J100" s="217"/>
      <c r="K100" s="249">
        <f t="shared" si="21"/>
        <v>0</v>
      </c>
      <c r="L100" s="178"/>
      <c r="M100" s="178"/>
      <c r="N100" s="73">
        <f t="shared" si="28"/>
        <v>502460</v>
      </c>
      <c r="O100" s="74" t="str">
        <f t="shared" ref="O100:O101" si="38">IF(I100-L100&lt;0,"동의필요","-")</f>
        <v>동의필요</v>
      </c>
      <c r="P100" s="289" t="s">
        <v>924</v>
      </c>
      <c r="Q100" s="203"/>
      <c r="R100" s="204"/>
      <c r="S100" s="203"/>
      <c r="T100" s="78" t="str">
        <f t="shared" si="29"/>
        <v>도비</v>
      </c>
      <c r="U100" s="178">
        <v>0</v>
      </c>
      <c r="V100" s="178">
        <f t="shared" ref="V100:V104" si="39">IF($T100="도비",SUM($I100:$J100),IF($R100="국도비","직접입력",SUM($I100:$J100)-$U100))</f>
        <v>-502460</v>
      </c>
      <c r="W100" s="77" t="str">
        <f t="shared" si="24"/>
        <v>ok</v>
      </c>
      <c r="X100" s="203"/>
      <c r="Y100" s="76" t="str">
        <f t="shared" si="32"/>
        <v>도비</v>
      </c>
      <c r="Z100" s="178">
        <f t="shared" si="33"/>
        <v>0</v>
      </c>
      <c r="AA100" s="178">
        <f t="shared" si="34"/>
        <v>0</v>
      </c>
      <c r="AB100" s="77" t="str">
        <f t="shared" si="35"/>
        <v>ok</v>
      </c>
      <c r="AC100" s="203"/>
      <c r="AD100" s="79" t="str">
        <f t="array" ref="AD100">IFERROR(IF($D100="","",INDEX(구분표!$I$2:$I$1001,MATCH(1,(구분표!$B$2:$B$1001='15년일출'!$B100)*(구분표!$C$2:$C$1001='15년일출'!$C100)*(구분표!$A$2:$A$1001='15년일출'!$D100),0))),"@@")</f>
        <v>2002</v>
      </c>
    </row>
    <row r="101" spans="2:30" ht="48" customHeight="1">
      <c r="B101" s="72" t="str">
        <f>IFERROR(VLOOKUP('15년일출'!$D101,구분표!$A$2:$C$1001,2,FALSE),"")</f>
        <v>보건복지위원회</v>
      </c>
      <c r="C101" s="72" t="str">
        <f>IFERROR(VLOOKUP('15년일출'!$D101,구분표!$A$2:$C$1001,3,FALSE),"")</f>
        <v>복지여성실</v>
      </c>
      <c r="D101" s="180" t="s">
        <v>591</v>
      </c>
      <c r="E101" s="179" t="s">
        <v>569</v>
      </c>
      <c r="F101" s="179">
        <v>833</v>
      </c>
      <c r="G101" s="180" t="s">
        <v>756</v>
      </c>
      <c r="H101" s="182">
        <v>1217530</v>
      </c>
      <c r="I101" s="178"/>
      <c r="J101" s="178">
        <v>30000</v>
      </c>
      <c r="K101" s="249">
        <f t="shared" si="21"/>
        <v>1247530</v>
      </c>
      <c r="L101" s="178"/>
      <c r="M101" s="178"/>
      <c r="N101" s="73">
        <f t="shared" si="28"/>
        <v>1217530</v>
      </c>
      <c r="O101" s="74" t="str">
        <f t="shared" si="38"/>
        <v>-</v>
      </c>
      <c r="P101" s="290" t="s">
        <v>601</v>
      </c>
      <c r="Q101" s="75"/>
      <c r="R101" s="189"/>
      <c r="S101" s="75"/>
      <c r="T101" s="78" t="str">
        <f t="shared" si="29"/>
        <v>도비</v>
      </c>
      <c r="U101" s="178">
        <f t="shared" ref="U101:U105" si="40">IF($T101&lt;&gt;"도비",IF($R101="국도비","직접입력",SUM($I101:$J101)),)</f>
        <v>0</v>
      </c>
      <c r="V101" s="178">
        <f t="shared" si="39"/>
        <v>30000</v>
      </c>
      <c r="W101" s="77" t="str">
        <f t="shared" si="24"/>
        <v>ok</v>
      </c>
      <c r="X101" s="75"/>
      <c r="Y101" s="76" t="str">
        <f t="shared" si="32"/>
        <v>도비</v>
      </c>
      <c r="Z101" s="178">
        <f t="shared" si="33"/>
        <v>0</v>
      </c>
      <c r="AA101" s="178">
        <f t="shared" si="34"/>
        <v>0</v>
      </c>
      <c r="AB101" s="77" t="str">
        <f t="shared" si="35"/>
        <v>ok</v>
      </c>
      <c r="AC101" s="75"/>
      <c r="AD101" s="79" t="str">
        <f t="array" ref="AD101">IFERROR(IF($D101="","",INDEX(구분표!$I$2:$I$1001,MATCH(1,(구분표!$B$2:$B$1001='15년일출'!$B101)*(구분표!$C$2:$C$1001='15년일출'!$C101)*(구분표!$A$2:$A$1001='15년일출'!$D101),0))),"@@")</f>
        <v>2001</v>
      </c>
    </row>
    <row r="102" spans="2:30" ht="48" customHeight="1">
      <c r="B102" s="72" t="str">
        <f>IFERROR(VLOOKUP('15년일출'!$D102,구분표!$A$2:$C$1001,2,FALSE),"")</f>
        <v>보건복지위원회</v>
      </c>
      <c r="C102" s="72" t="str">
        <f>IFERROR(VLOOKUP('15년일출'!$D102,구분표!$A$2:$C$1001,3,FALSE),"")</f>
        <v>복지여성실</v>
      </c>
      <c r="D102" s="176" t="s">
        <v>595</v>
      </c>
      <c r="E102" s="179" t="s">
        <v>569</v>
      </c>
      <c r="F102" s="179">
        <v>839</v>
      </c>
      <c r="G102" s="241" t="s">
        <v>906</v>
      </c>
      <c r="H102" s="285">
        <v>150000</v>
      </c>
      <c r="I102" s="178">
        <v>-150000</v>
      </c>
      <c r="J102" s="178"/>
      <c r="K102" s="249">
        <f t="shared" si="21"/>
        <v>0</v>
      </c>
      <c r="L102" s="178"/>
      <c r="M102" s="178"/>
      <c r="N102" s="73">
        <f t="shared" si="28"/>
        <v>150000</v>
      </c>
      <c r="O102" s="74"/>
      <c r="P102" s="291" t="s">
        <v>907</v>
      </c>
      <c r="Q102" s="75"/>
      <c r="R102" s="189"/>
      <c r="S102" s="75"/>
      <c r="T102" s="78" t="str">
        <f t="shared" si="29"/>
        <v>도비</v>
      </c>
      <c r="U102" s="178">
        <f t="shared" si="40"/>
        <v>0</v>
      </c>
      <c r="V102" s="178">
        <f t="shared" si="39"/>
        <v>-150000</v>
      </c>
      <c r="W102" s="77" t="str">
        <f t="shared" si="24"/>
        <v>ok</v>
      </c>
      <c r="X102" s="75"/>
      <c r="Y102" s="76" t="str">
        <f t="shared" si="32"/>
        <v>도비</v>
      </c>
      <c r="Z102" s="178">
        <f t="shared" si="33"/>
        <v>0</v>
      </c>
      <c r="AA102" s="178">
        <f t="shared" si="34"/>
        <v>0</v>
      </c>
      <c r="AB102" s="77" t="str">
        <f t="shared" si="35"/>
        <v>ok</v>
      </c>
      <c r="AC102" s="75"/>
      <c r="AD102" s="79"/>
    </row>
    <row r="103" spans="2:30" ht="48" customHeight="1">
      <c r="B103" s="72" t="str">
        <f>IFERROR(VLOOKUP('15년일출'!$D103,구분표!$A$2:$C$1001,2,FALSE),"")</f>
        <v>보건복지위원회</v>
      </c>
      <c r="C103" s="72" t="str">
        <f>IFERROR(VLOOKUP('15년일출'!$D103,구분표!$A$2:$C$1001,3,FALSE),"")</f>
        <v>복지여성실</v>
      </c>
      <c r="D103" s="176" t="s">
        <v>321</v>
      </c>
      <c r="E103" s="179" t="s">
        <v>569</v>
      </c>
      <c r="F103" s="177">
        <v>848</v>
      </c>
      <c r="G103" s="237" t="s">
        <v>883</v>
      </c>
      <c r="H103" s="182">
        <v>186000</v>
      </c>
      <c r="I103" s="178"/>
      <c r="J103" s="178">
        <v>24000</v>
      </c>
      <c r="K103" s="249">
        <f t="shared" si="21"/>
        <v>210000</v>
      </c>
      <c r="L103" s="178"/>
      <c r="M103" s="178"/>
      <c r="N103" s="73"/>
      <c r="O103" s="74"/>
      <c r="P103" s="292" t="s">
        <v>603</v>
      </c>
      <c r="Q103" s="75"/>
      <c r="R103" s="189"/>
      <c r="S103" s="75"/>
      <c r="T103" s="78" t="str">
        <f t="shared" si="29"/>
        <v>도비</v>
      </c>
      <c r="U103" s="178">
        <f t="shared" si="40"/>
        <v>0</v>
      </c>
      <c r="V103" s="178">
        <f t="shared" si="39"/>
        <v>24000</v>
      </c>
      <c r="W103" s="77" t="str">
        <f t="shared" si="24"/>
        <v>ok</v>
      </c>
      <c r="X103" s="75"/>
      <c r="Y103" s="76" t="str">
        <f t="shared" si="32"/>
        <v>도비</v>
      </c>
      <c r="Z103" s="178">
        <f t="shared" si="33"/>
        <v>0</v>
      </c>
      <c r="AA103" s="178">
        <f t="shared" si="34"/>
        <v>0</v>
      </c>
      <c r="AB103" s="77" t="str">
        <f t="shared" si="35"/>
        <v>ok</v>
      </c>
      <c r="AC103" s="75"/>
      <c r="AD103" s="79" t="str">
        <f t="array" ref="AD103">IFERROR(IF($D103="","",INDEX(구분표!$I$2:$I$1001,MATCH(1,(구분표!$B$2:$B$1001='15년일출'!$B103)*(구분표!$C$2:$C$1001='15년일출'!$C103)*(구분표!$A$2:$A$1001='15년일출'!$D103),0))),"@@")</f>
        <v>2002</v>
      </c>
    </row>
    <row r="104" spans="2:30" ht="48" customHeight="1">
      <c r="B104" s="72" t="str">
        <f>IFERROR(VLOOKUP('15년일출'!$D104,구분표!$A$2:$C$1001,2,FALSE),"")</f>
        <v>보건복지위원회</v>
      </c>
      <c r="C104" s="72" t="str">
        <f>IFERROR(VLOOKUP('15년일출'!$D104,구분표!$A$2:$C$1001,3,FALSE),"")</f>
        <v>복지여성실</v>
      </c>
      <c r="D104" s="180" t="s">
        <v>591</v>
      </c>
      <c r="E104" s="179" t="s">
        <v>569</v>
      </c>
      <c r="F104" s="209">
        <v>821</v>
      </c>
      <c r="G104" s="210" t="s">
        <v>757</v>
      </c>
      <c r="H104" s="225">
        <v>43600</v>
      </c>
      <c r="I104" s="211"/>
      <c r="J104" s="211">
        <v>56400</v>
      </c>
      <c r="K104" s="249">
        <f t="shared" si="21"/>
        <v>100000</v>
      </c>
      <c r="L104" s="211"/>
      <c r="M104" s="211"/>
      <c r="N104" s="212">
        <f t="shared" ref="N104" si="41">SUM(H104+L104+M104)</f>
        <v>43600</v>
      </c>
      <c r="O104" s="213" t="str">
        <f t="shared" ref="O104" si="42">IF(I104-L104&lt;0,"동의필요","-")</f>
        <v>-</v>
      </c>
      <c r="P104" s="300" t="s">
        <v>602</v>
      </c>
      <c r="Q104" s="81"/>
      <c r="R104" s="256"/>
      <c r="S104" s="75"/>
      <c r="T104" s="78" t="str">
        <f t="shared" si="29"/>
        <v>도비</v>
      </c>
      <c r="U104" s="207">
        <f t="shared" si="40"/>
        <v>0</v>
      </c>
      <c r="V104" s="207">
        <f t="shared" si="39"/>
        <v>56400</v>
      </c>
      <c r="W104" s="77" t="str">
        <f t="shared" si="24"/>
        <v>ok</v>
      </c>
      <c r="X104" s="81"/>
      <c r="Y104" s="255" t="str">
        <f t="shared" si="32"/>
        <v>도비</v>
      </c>
      <c r="Z104" s="178">
        <f t="shared" si="33"/>
        <v>0</v>
      </c>
      <c r="AA104" s="178">
        <f t="shared" si="34"/>
        <v>0</v>
      </c>
      <c r="AB104" s="77" t="str">
        <f t="shared" si="35"/>
        <v>ok</v>
      </c>
      <c r="AC104" s="75"/>
      <c r="AD104" s="79" t="str">
        <f t="array" ref="AD104">IFERROR(IF($D104="","",INDEX(구분표!$I$2:$I$1001,MATCH(1,(구분표!$B$2:$B$1001='15년일출'!$B104)*(구분표!$C$2:$C$1001='15년일출'!$C104)*(구분표!$A$2:$A$1001='15년일출'!$D104),0))),"@@")</f>
        <v>2001</v>
      </c>
    </row>
    <row r="105" spans="2:30" ht="85.15" customHeight="1">
      <c r="B105" s="72" t="str">
        <f>IFERROR(VLOOKUP('15년일출'!$D105,구분표!$A$2:$C$1001,2,FALSE),"")</f>
        <v>보건복지위원회</v>
      </c>
      <c r="C105" s="72" t="str">
        <f>IFERROR(VLOOKUP('15년일출'!$D105,구분표!$A$2:$C$1001,3,FALSE),"")</f>
        <v>복지여성실</v>
      </c>
      <c r="D105" s="221" t="s">
        <v>321</v>
      </c>
      <c r="E105" s="209" t="s">
        <v>569</v>
      </c>
      <c r="F105" s="222">
        <v>845</v>
      </c>
      <c r="G105" s="302" t="s">
        <v>884</v>
      </c>
      <c r="H105" s="225">
        <v>278526</v>
      </c>
      <c r="I105" s="211"/>
      <c r="J105" s="211">
        <v>490674</v>
      </c>
      <c r="K105" s="249">
        <f t="shared" si="21"/>
        <v>769200</v>
      </c>
      <c r="L105" s="211"/>
      <c r="M105" s="211"/>
      <c r="N105" s="212"/>
      <c r="O105" s="213"/>
      <c r="P105" s="292" t="s">
        <v>604</v>
      </c>
      <c r="Q105" s="75"/>
      <c r="R105" s="189"/>
      <c r="S105" s="69"/>
      <c r="T105" s="71" t="str">
        <f>IF($R105="도비","도비",IF(COUNT(FIND("국비/",$G105)),"국비",IF(COUNT(FIND("지특/",$G105)),"지특",IF(COUNT(FIND("기금/",$G105)),"기금",IF(COUNT(FIND("교부세/",$G105)),"특교",IF(COUNT(FIND("자체/",$G105)),"도비",""))))))</f>
        <v>도비</v>
      </c>
      <c r="U105" s="178">
        <f t="shared" si="40"/>
        <v>0</v>
      </c>
      <c r="V105" s="178">
        <f>IF($T105="도비",SUM($I105:$J105),IF($R105="국도비","직접입력",SUM($I105:$J105)-$U105))</f>
        <v>490674</v>
      </c>
      <c r="W105" s="77" t="str">
        <f t="shared" si="24"/>
        <v>ok</v>
      </c>
      <c r="X105" s="75"/>
      <c r="Y105" s="76" t="str">
        <f>$T105</f>
        <v>도비</v>
      </c>
      <c r="Z105" s="178">
        <f t="shared" si="33"/>
        <v>0</v>
      </c>
      <c r="AA105" s="178">
        <f t="shared" si="34"/>
        <v>0</v>
      </c>
      <c r="AB105" s="70" t="str">
        <f>IF($R105="국도비","ok",IF(($L105+$M105)=($Z105+$AA105),"ok","검토"))</f>
        <v>ok</v>
      </c>
      <c r="AC105" s="69"/>
      <c r="AD105" s="79" t="str">
        <f t="array" ref="AD105">IFERROR(IF($D105="","",INDEX(구분표!$I$2:$I$1001,MATCH(1,(구분표!$B$2:$B$1001='15년일출'!$B105)*(구분표!$C$2:$C$1001='15년일출'!$C105)*(구분표!$A$2:$A$1001='15년일출'!$D105),0))),"@@")</f>
        <v>2002</v>
      </c>
    </row>
    <row r="106" spans="2:30" ht="48" customHeight="1">
      <c r="B106" s="72" t="str">
        <f>IFERROR(VLOOKUP('15년일출'!$D106,구분표!$A$2:$C$1001,2,FALSE),"")</f>
        <v>보건복지위원회</v>
      </c>
      <c r="C106" s="72" t="str">
        <f>IFERROR(VLOOKUP('15년일출'!$D106,구분표!$A$2:$C$1001,3,FALSE),"")</f>
        <v>복지여성실</v>
      </c>
      <c r="D106" s="237" t="s">
        <v>321</v>
      </c>
      <c r="E106" s="239" t="s">
        <v>632</v>
      </c>
      <c r="F106" s="261"/>
      <c r="G106" s="237" t="s">
        <v>875</v>
      </c>
      <c r="H106" s="184">
        <v>0</v>
      </c>
      <c r="I106" s="184"/>
      <c r="J106" s="184">
        <v>5000</v>
      </c>
      <c r="K106" s="249">
        <f t="shared" si="21"/>
        <v>5000</v>
      </c>
      <c r="L106" s="184"/>
      <c r="M106" s="184"/>
      <c r="N106" s="229">
        <v>0</v>
      </c>
      <c r="O106" s="230" t="s">
        <v>876</v>
      </c>
      <c r="P106" s="294"/>
      <c r="Q106" s="80"/>
      <c r="R106" s="190"/>
      <c r="S106" s="80"/>
      <c r="T106" s="78" t="s">
        <v>630</v>
      </c>
      <c r="U106" s="184">
        <v>0</v>
      </c>
      <c r="V106" s="184">
        <v>5000</v>
      </c>
      <c r="W106" s="77" t="str">
        <f t="shared" si="24"/>
        <v>ok</v>
      </c>
      <c r="X106" s="80"/>
      <c r="Y106" s="232" t="s">
        <v>630</v>
      </c>
      <c r="Z106" s="184">
        <v>0</v>
      </c>
      <c r="AA106" s="184">
        <v>0</v>
      </c>
      <c r="AB106" s="231" t="s">
        <v>877</v>
      </c>
      <c r="AC106" s="80"/>
      <c r="AD106" s="233" t="s">
        <v>364</v>
      </c>
    </row>
    <row r="107" spans="2:30" ht="48" customHeight="1">
      <c r="B107" s="72" t="str">
        <f>IFERROR(VLOOKUP('15년일출'!$D107,구분표!$A$2:$C$1001,2,FALSE),"")</f>
        <v>보건복지위원회</v>
      </c>
      <c r="C107" s="72" t="str">
        <f>IFERROR(VLOOKUP('15년일출'!$D107,구분표!$A$2:$C$1001,3,FALSE),"")</f>
        <v>복지여성실</v>
      </c>
      <c r="D107" s="269" t="s">
        <v>885</v>
      </c>
      <c r="E107" s="270" t="s">
        <v>886</v>
      </c>
      <c r="F107" s="271">
        <v>831</v>
      </c>
      <c r="G107" s="180" t="s">
        <v>931</v>
      </c>
      <c r="H107" s="278">
        <v>171000</v>
      </c>
      <c r="I107" s="278"/>
      <c r="J107" s="278">
        <v>45000</v>
      </c>
      <c r="K107" s="249">
        <f t="shared" si="21"/>
        <v>216000</v>
      </c>
      <c r="L107" s="306"/>
      <c r="M107" s="306"/>
      <c r="N107" s="307"/>
      <c r="O107" s="308"/>
      <c r="P107" s="294" t="s">
        <v>932</v>
      </c>
      <c r="Q107" s="279"/>
      <c r="R107" s="309"/>
      <c r="S107" s="279"/>
      <c r="T107" s="78" t="s">
        <v>630</v>
      </c>
      <c r="U107" s="184">
        <v>0</v>
      </c>
      <c r="V107" s="278">
        <v>45000</v>
      </c>
      <c r="W107" s="77" t="str">
        <f t="shared" si="24"/>
        <v>ok</v>
      </c>
      <c r="X107" s="279"/>
      <c r="Y107" s="277"/>
      <c r="Z107" s="278"/>
      <c r="AA107" s="278"/>
      <c r="AB107" s="276"/>
      <c r="AC107" s="279"/>
      <c r="AD107" s="280"/>
    </row>
    <row r="108" spans="2:30" ht="48" customHeight="1">
      <c r="B108" s="72" t="str">
        <f>IFERROR(VLOOKUP('15년일출'!$D108,구분표!$A$2:$C$1001,2,FALSE),"")</f>
        <v>보건복지위원회</v>
      </c>
      <c r="C108" s="72" t="str">
        <f>IFERROR(VLOOKUP('15년일출'!$D108,구분표!$A$2:$C$1001,3,FALSE),"")</f>
        <v>복지여성실</v>
      </c>
      <c r="D108" s="269" t="s">
        <v>885</v>
      </c>
      <c r="E108" s="270" t="s">
        <v>886</v>
      </c>
      <c r="F108" s="271">
        <v>833</v>
      </c>
      <c r="G108" s="237" t="s">
        <v>887</v>
      </c>
      <c r="H108" s="258">
        <v>199000</v>
      </c>
      <c r="I108" s="207"/>
      <c r="J108" s="207">
        <v>11000</v>
      </c>
      <c r="K108" s="249">
        <f t="shared" si="21"/>
        <v>210000</v>
      </c>
      <c r="L108" s="250"/>
      <c r="M108" s="250"/>
      <c r="N108" s="249"/>
      <c r="O108" s="251"/>
      <c r="P108" s="290" t="s">
        <v>888</v>
      </c>
      <c r="Q108" s="81"/>
      <c r="R108" s="256"/>
      <c r="S108" s="81"/>
      <c r="T108" s="259" t="s">
        <v>889</v>
      </c>
      <c r="U108" s="207"/>
      <c r="V108" s="207">
        <v>11000</v>
      </c>
      <c r="W108" s="77" t="str">
        <f t="shared" si="24"/>
        <v>ok</v>
      </c>
      <c r="X108" s="81"/>
      <c r="Y108" s="255" t="s">
        <v>889</v>
      </c>
      <c r="Z108" s="207">
        <v>0</v>
      </c>
      <c r="AA108" s="207">
        <v>0</v>
      </c>
      <c r="AB108" s="254" t="str">
        <f t="shared" ref="AB108:AB110" si="43">IF($R108="국도비","ok",IF(($L108+$M108)=($Z108+$AA108),"ok","검토"))</f>
        <v>ok</v>
      </c>
      <c r="AC108" s="81"/>
      <c r="AD108" s="260">
        <f t="array" ref="AD108">IFERROR(IF($D108="","",INDEX([2]구분표!$I$2:$I$1001,MATCH(1,([2]구분표!$B$2:$B$1001='[2]15년일출'!$B116)*([2]구분표!$C$2:$C$1001='[2]15년일출'!$C116)*([2]구분표!$A$2:$A$1001='[2]15년일출'!$D116),0))),"@@")</f>
        <v>0</v>
      </c>
    </row>
    <row r="109" spans="2:30" ht="48" customHeight="1">
      <c r="B109" s="72" t="str">
        <f>IFERROR(VLOOKUP('15년일출'!$D109,구분표!$A$2:$C$1001,2,FALSE),"")</f>
        <v>보건복지위원회</v>
      </c>
      <c r="C109" s="72" t="str">
        <f>IFERROR(VLOOKUP('15년일출'!$D109,구분표!$A$2:$C$1001,3,FALSE),"")</f>
        <v>복지여성실</v>
      </c>
      <c r="D109" s="273" t="s">
        <v>885</v>
      </c>
      <c r="E109" s="274" t="s">
        <v>890</v>
      </c>
      <c r="F109" s="274" t="s">
        <v>891</v>
      </c>
      <c r="G109" s="237" t="s">
        <v>802</v>
      </c>
      <c r="H109" s="310"/>
      <c r="I109" s="310"/>
      <c r="J109" s="310">
        <v>24000</v>
      </c>
      <c r="K109" s="249">
        <f t="shared" si="21"/>
        <v>24000</v>
      </c>
      <c r="L109" s="24" t="s">
        <v>819</v>
      </c>
      <c r="M109" s="24"/>
      <c r="N109" s="24"/>
      <c r="O109" s="275"/>
      <c r="P109" s="301" t="s">
        <v>819</v>
      </c>
      <c r="Q109" s="80"/>
      <c r="R109" s="190"/>
      <c r="S109" s="80"/>
      <c r="T109" s="259" t="s">
        <v>630</v>
      </c>
      <c r="U109" s="184">
        <v>0</v>
      </c>
      <c r="V109" s="184">
        <v>24000</v>
      </c>
      <c r="W109" s="77" t="str">
        <f t="shared" si="24"/>
        <v>ok</v>
      </c>
      <c r="X109" s="272"/>
      <c r="Y109" s="277" t="s">
        <v>630</v>
      </c>
      <c r="Z109" s="278">
        <v>0</v>
      </c>
      <c r="AA109" s="278">
        <v>0</v>
      </c>
      <c r="AB109" s="276" t="s">
        <v>877</v>
      </c>
      <c r="AC109" s="279"/>
      <c r="AD109" s="280" t="s">
        <v>363</v>
      </c>
    </row>
    <row r="110" spans="2:30" ht="48" customHeight="1">
      <c r="B110" s="72" t="str">
        <f>IFERROR(VLOOKUP('15년일출'!$D110,구분표!$A$2:$C$1001,2,FALSE),"")</f>
        <v>보건복지위원회</v>
      </c>
      <c r="C110" s="72" t="str">
        <f>IFERROR(VLOOKUP('15년일출'!$D110,구분표!$A$2:$C$1001,3,FALSE),"")</f>
        <v>복지여성실</v>
      </c>
      <c r="D110" s="304" t="s">
        <v>878</v>
      </c>
      <c r="E110" s="239" t="s">
        <v>632</v>
      </c>
      <c r="F110" s="305" t="s">
        <v>880</v>
      </c>
      <c r="G110" s="303" t="s">
        <v>881</v>
      </c>
      <c r="H110" s="263"/>
      <c r="I110" s="250"/>
      <c r="J110" s="250">
        <v>160000</v>
      </c>
      <c r="K110" s="249">
        <f t="shared" si="21"/>
        <v>160000</v>
      </c>
      <c r="L110" s="211"/>
      <c r="M110" s="211"/>
      <c r="N110" s="212"/>
      <c r="O110" s="213"/>
      <c r="P110" s="296" t="s">
        <v>882</v>
      </c>
      <c r="Q110" s="264"/>
      <c r="R110" s="265"/>
      <c r="S110" s="264"/>
      <c r="T110" s="266" t="s">
        <v>879</v>
      </c>
      <c r="U110" s="250"/>
      <c r="V110" s="250">
        <v>160000</v>
      </c>
      <c r="W110" s="77" t="str">
        <f t="shared" si="24"/>
        <v>ok</v>
      </c>
      <c r="X110" s="264"/>
      <c r="Y110" s="267" t="s">
        <v>879</v>
      </c>
      <c r="Z110" s="207">
        <v>0</v>
      </c>
      <c r="AA110" s="207">
        <v>0</v>
      </c>
      <c r="AB110" s="254" t="str">
        <f t="shared" si="43"/>
        <v>ok</v>
      </c>
      <c r="AC110" s="264"/>
      <c r="AD110" s="268">
        <f t="array" ref="AD110">IFERROR(IF($D110="","",INDEX([3]구분표!$I$2:$I$1001,MATCH(1,([3]구분표!$B$2:$B$1001='[3]15년일출'!$B118)*([3]구분표!$C$2:$C$1001='[3]15년일출'!$C118)*([3]구분표!$A$2:$A$1001='[3]15년일출'!$D118),0))),"@@")</f>
        <v>0</v>
      </c>
    </row>
    <row r="111" spans="2:30" s="202" customFormat="1" ht="109.15" customHeight="1">
      <c r="B111" s="72" t="str">
        <f>IFERROR(VLOOKUP('15년일출'!$D111,구분표!$A$2:$C$1001,2,FALSE),"")</f>
        <v>보건복지위원회</v>
      </c>
      <c r="C111" s="72" t="str">
        <f>IFERROR(VLOOKUP('15년일출'!$D111,구분표!$A$2:$C$1001,3,FALSE),"")</f>
        <v>보건환경연구원</v>
      </c>
      <c r="D111" s="176" t="s">
        <v>873</v>
      </c>
      <c r="E111" s="177" t="s">
        <v>632</v>
      </c>
      <c r="F111" s="214"/>
      <c r="G111" s="242" t="s">
        <v>874</v>
      </c>
      <c r="H111" s="223">
        <v>0</v>
      </c>
      <c r="I111" s="216"/>
      <c r="J111" s="217">
        <v>744000</v>
      </c>
      <c r="K111" s="249">
        <f t="shared" si="21"/>
        <v>744000</v>
      </c>
      <c r="L111" s="207"/>
      <c r="M111" s="207"/>
      <c r="N111" s="206">
        <f t="shared" si="28"/>
        <v>0</v>
      </c>
      <c r="O111" s="208" t="str">
        <f t="shared" si="18"/>
        <v>-</v>
      </c>
      <c r="P111" s="287"/>
      <c r="Q111" s="203"/>
      <c r="R111" s="204"/>
      <c r="S111" s="203"/>
      <c r="T111" s="78" t="str">
        <f t="shared" si="29"/>
        <v>도비</v>
      </c>
      <c r="U111" s="178">
        <v>0</v>
      </c>
      <c r="V111" s="178">
        <f t="shared" ref="V111" si="44">IF($T111="도비",SUM($I111:$J111),IF($R111="국도비","직접입력",SUM($I111:$J111)-$U111))</f>
        <v>744000</v>
      </c>
      <c r="W111" s="77" t="str">
        <f t="shared" si="24"/>
        <v>ok</v>
      </c>
      <c r="X111" s="203"/>
      <c r="Y111" s="76" t="str">
        <f t="shared" si="32"/>
        <v>도비</v>
      </c>
      <c r="Z111" s="178">
        <f t="shared" si="33"/>
        <v>0</v>
      </c>
      <c r="AA111" s="178">
        <f t="shared" si="34"/>
        <v>0</v>
      </c>
      <c r="AB111" s="77" t="str">
        <f t="shared" si="35"/>
        <v>ok</v>
      </c>
      <c r="AC111" s="203"/>
      <c r="AD111" s="79" t="str">
        <f t="array" ref="AD111">IFERROR(IF($D111="","",INDEX(구분표!$I$2:$I$1001,MATCH(1,(구분표!$B$2:$B$1001='15년일출'!$B111)*(구분표!$C$2:$C$1001='15년일출'!$C111)*(구분표!$A$2:$A$1001='15년일출'!$D111),0))),"@@")</f>
        <v>2104</v>
      </c>
    </row>
    <row r="112" spans="2:30" ht="24" customHeight="1"/>
    <row r="113" ht="24" customHeight="1"/>
  </sheetData>
  <sheetProtection formatCells="0" formatColumns="0" formatRows="0" autoFilter="0"/>
  <autoFilter ref="B6:AE111"/>
  <mergeCells count="20">
    <mergeCell ref="B1:P1"/>
    <mergeCell ref="B4:B5"/>
    <mergeCell ref="C4:C5"/>
    <mergeCell ref="D4:D5"/>
    <mergeCell ref="E4:E5"/>
    <mergeCell ref="F4:F5"/>
    <mergeCell ref="G4:G5"/>
    <mergeCell ref="H4:H5"/>
    <mergeCell ref="AD4:AD5"/>
    <mergeCell ref="I4:J4"/>
    <mergeCell ref="K4:K5"/>
    <mergeCell ref="L4:M4"/>
    <mergeCell ref="N4:N5"/>
    <mergeCell ref="O4:O5"/>
    <mergeCell ref="P4:P5"/>
    <mergeCell ref="R4:R5"/>
    <mergeCell ref="T4:T5"/>
    <mergeCell ref="U4:W4"/>
    <mergeCell ref="Y4:Y5"/>
    <mergeCell ref="Z4:AB4"/>
  </mergeCells>
  <phoneticPr fontId="2" type="noConversion"/>
  <conditionalFormatting sqref="R94:R99 R31:R52 R54:R92 R112:R733 R110">
    <cfRule type="containsText" dxfId="187" priority="180" operator="containsText" text="국도비">
      <formula>NOT(ISERROR(SEARCH("국도비",R31)))</formula>
    </cfRule>
  </conditionalFormatting>
  <conditionalFormatting sqref="H94:H99 H31:H52 H24 H104:H107 H54:H92 H112:H733 H110">
    <cfRule type="expression" dxfId="186" priority="179">
      <formula>($E24="본예산")</formula>
    </cfRule>
  </conditionalFormatting>
  <conditionalFormatting sqref="Z94:AB99 S94:V99 S110:V110 S31:V42 S43:U43 S54:V54 Z31:AB52 S44:V52 S55:U55 Z54:AB92 Z112:AB733 S112:V733 Z110:AB110 S56:V92">
    <cfRule type="containsText" dxfId="185" priority="178" operator="containsText" text="직접입력">
      <formula>NOT(ISERROR(SEARCH("직접입력",S31)))</formula>
    </cfRule>
  </conditionalFormatting>
  <conditionalFormatting sqref="R14">
    <cfRule type="containsText" dxfId="184" priority="165" operator="containsText" text="국도비">
      <formula>NOT(ISERROR(SEARCH("국도비",R14)))</formula>
    </cfRule>
  </conditionalFormatting>
  <conditionalFormatting sqref="H14">
    <cfRule type="expression" dxfId="183" priority="164">
      <formula>($E14="본예산")</formula>
    </cfRule>
  </conditionalFormatting>
  <conditionalFormatting sqref="S14:V14 Z14:AB14">
    <cfRule type="containsText" dxfId="182" priority="163" operator="containsText" text="직접입력">
      <formula>NOT(ISERROR(SEARCH("직접입력",S14)))</formula>
    </cfRule>
  </conditionalFormatting>
  <conditionalFormatting sqref="R15">
    <cfRule type="containsText" dxfId="181" priority="162" operator="containsText" text="국도비">
      <formula>NOT(ISERROR(SEARCH("국도비",R15)))</formula>
    </cfRule>
  </conditionalFormatting>
  <conditionalFormatting sqref="H15">
    <cfRule type="expression" dxfId="180" priority="161">
      <formula>($E15="본예산")</formula>
    </cfRule>
  </conditionalFormatting>
  <conditionalFormatting sqref="S15:V15 Z15:AB15">
    <cfRule type="containsText" dxfId="179" priority="160" operator="containsText" text="직접입력">
      <formula>NOT(ISERROR(SEARCH("직접입력",S15)))</formula>
    </cfRule>
  </conditionalFormatting>
  <conditionalFormatting sqref="R16">
    <cfRule type="containsText" dxfId="178" priority="144" operator="containsText" text="국도비">
      <formula>NOT(ISERROR(SEARCH("국도비",R16)))</formula>
    </cfRule>
  </conditionalFormatting>
  <conditionalFormatting sqref="H16">
    <cfRule type="expression" dxfId="177" priority="143">
      <formula>($E16="본예산")</formula>
    </cfRule>
  </conditionalFormatting>
  <conditionalFormatting sqref="S16:V16 Z16:AB16">
    <cfRule type="containsText" dxfId="176" priority="142" operator="containsText" text="직접입력">
      <formula>NOT(ISERROR(SEARCH("직접입력",S16)))</formula>
    </cfRule>
  </conditionalFormatting>
  <conditionalFormatting sqref="R17">
    <cfRule type="containsText" dxfId="175" priority="141" operator="containsText" text="국도비">
      <formula>NOT(ISERROR(SEARCH("국도비",R17)))</formula>
    </cfRule>
  </conditionalFormatting>
  <conditionalFormatting sqref="H17">
    <cfRule type="expression" dxfId="174" priority="140">
      <formula>($E17="본예산")</formula>
    </cfRule>
  </conditionalFormatting>
  <conditionalFormatting sqref="S17:V17 Z17:AB17">
    <cfRule type="containsText" dxfId="173" priority="139" operator="containsText" text="직접입력">
      <formula>NOT(ISERROR(SEARCH("직접입력",S17)))</formula>
    </cfRule>
  </conditionalFormatting>
  <conditionalFormatting sqref="R18">
    <cfRule type="containsText" dxfId="172" priority="138" operator="containsText" text="국도비">
      <formula>NOT(ISERROR(SEARCH("국도비",R18)))</formula>
    </cfRule>
  </conditionalFormatting>
  <conditionalFormatting sqref="H18">
    <cfRule type="expression" dxfId="171" priority="137">
      <formula>($E18="본예산")</formula>
    </cfRule>
  </conditionalFormatting>
  <conditionalFormatting sqref="S18:V18 Z18:AB18">
    <cfRule type="containsText" dxfId="170" priority="136" operator="containsText" text="직접입력">
      <formula>NOT(ISERROR(SEARCH("직접입력",S18)))</formula>
    </cfRule>
  </conditionalFormatting>
  <conditionalFormatting sqref="R30">
    <cfRule type="containsText" dxfId="169" priority="135" operator="containsText" text="국도비">
      <formula>NOT(ISERROR(SEARCH("국도비",R30)))</formula>
    </cfRule>
  </conditionalFormatting>
  <conditionalFormatting sqref="H30">
    <cfRule type="expression" dxfId="168" priority="134">
      <formula>($E30="본예산")</formula>
    </cfRule>
  </conditionalFormatting>
  <conditionalFormatting sqref="S30:V30 Z30:AB30">
    <cfRule type="containsText" dxfId="167" priority="133" operator="containsText" text="직접입력">
      <formula>NOT(ISERROR(SEARCH("직접입력",S30)))</formula>
    </cfRule>
  </conditionalFormatting>
  <conditionalFormatting sqref="R8">
    <cfRule type="containsText" dxfId="166" priority="129" operator="containsText" text="국도비">
      <formula>NOT(ISERROR(SEARCH("국도비",R8)))</formula>
    </cfRule>
  </conditionalFormatting>
  <conditionalFormatting sqref="H8">
    <cfRule type="expression" dxfId="165" priority="128">
      <formula>($E8="본예산")</formula>
    </cfRule>
  </conditionalFormatting>
  <conditionalFormatting sqref="S8:V8 Z8:AB8">
    <cfRule type="containsText" dxfId="164" priority="127" operator="containsText" text="직접입력">
      <formula>NOT(ISERROR(SEARCH("직접입력",S8)))</formula>
    </cfRule>
  </conditionalFormatting>
  <conditionalFormatting sqref="R9">
    <cfRule type="containsText" dxfId="163" priority="126" operator="containsText" text="국도비">
      <formula>NOT(ISERROR(SEARCH("국도비",R9)))</formula>
    </cfRule>
  </conditionalFormatting>
  <conditionalFormatting sqref="H9">
    <cfRule type="expression" dxfId="162" priority="125">
      <formula>($E9="본예산")</formula>
    </cfRule>
  </conditionalFormatting>
  <conditionalFormatting sqref="S9:V9 Z9:AB9">
    <cfRule type="containsText" dxfId="161" priority="124" operator="containsText" text="직접입력">
      <formula>NOT(ISERROR(SEARCH("직접입력",S9)))</formula>
    </cfRule>
  </conditionalFormatting>
  <conditionalFormatting sqref="R10">
    <cfRule type="containsText" dxfId="160" priority="123" operator="containsText" text="국도비">
      <formula>NOT(ISERROR(SEARCH("국도비",R10)))</formula>
    </cfRule>
  </conditionalFormatting>
  <conditionalFormatting sqref="H10">
    <cfRule type="expression" dxfId="159" priority="122">
      <formula>($E10="본예산")</formula>
    </cfRule>
  </conditionalFormatting>
  <conditionalFormatting sqref="S10:V10 Z10:AB10">
    <cfRule type="containsText" dxfId="158" priority="121" operator="containsText" text="직접입력">
      <formula>NOT(ISERROR(SEARCH("직접입력",S10)))</formula>
    </cfRule>
  </conditionalFormatting>
  <conditionalFormatting sqref="R11">
    <cfRule type="containsText" dxfId="157" priority="120" operator="containsText" text="국도비">
      <formula>NOT(ISERROR(SEARCH("국도비",R11)))</formula>
    </cfRule>
  </conditionalFormatting>
  <conditionalFormatting sqref="H11">
    <cfRule type="expression" dxfId="156" priority="119">
      <formula>($E11="본예산")</formula>
    </cfRule>
  </conditionalFormatting>
  <conditionalFormatting sqref="S11:V11 Z11:AB11">
    <cfRule type="containsText" dxfId="155" priority="118" operator="containsText" text="직접입력">
      <formula>NOT(ISERROR(SEARCH("직접입력",S11)))</formula>
    </cfRule>
  </conditionalFormatting>
  <conditionalFormatting sqref="R12">
    <cfRule type="containsText" dxfId="154" priority="117" operator="containsText" text="국도비">
      <formula>NOT(ISERROR(SEARCH("국도비",R12)))</formula>
    </cfRule>
  </conditionalFormatting>
  <conditionalFormatting sqref="H12">
    <cfRule type="expression" dxfId="153" priority="116">
      <formula>($E12="본예산")</formula>
    </cfRule>
  </conditionalFormatting>
  <conditionalFormatting sqref="S12:V12 Z12:AB12">
    <cfRule type="containsText" dxfId="152" priority="115" operator="containsText" text="직접입력">
      <formula>NOT(ISERROR(SEARCH("직접입력",S12)))</formula>
    </cfRule>
  </conditionalFormatting>
  <conditionalFormatting sqref="R13">
    <cfRule type="containsText" dxfId="151" priority="114" operator="containsText" text="국도비">
      <formula>NOT(ISERROR(SEARCH("국도비",R13)))</formula>
    </cfRule>
  </conditionalFormatting>
  <conditionalFormatting sqref="H13">
    <cfRule type="expression" dxfId="150" priority="113">
      <formula>($E13="본예산")</formula>
    </cfRule>
  </conditionalFormatting>
  <conditionalFormatting sqref="S13:V13 Z13:AB13">
    <cfRule type="containsText" dxfId="149" priority="112" operator="containsText" text="직접입력">
      <formula>NOT(ISERROR(SEARCH("직접입력",S13)))</formula>
    </cfRule>
  </conditionalFormatting>
  <conditionalFormatting sqref="R25">
    <cfRule type="containsText" dxfId="148" priority="111" operator="containsText" text="국도비">
      <formula>NOT(ISERROR(SEARCH("국도비",R25)))</formula>
    </cfRule>
  </conditionalFormatting>
  <conditionalFormatting sqref="H25">
    <cfRule type="expression" dxfId="147" priority="110">
      <formula>($E25="본예산")</formula>
    </cfRule>
  </conditionalFormatting>
  <conditionalFormatting sqref="S25:V25 Z25:AB25">
    <cfRule type="containsText" dxfId="146" priority="109" operator="containsText" text="직접입력">
      <formula>NOT(ISERROR(SEARCH("직접입력",S25)))</formula>
    </cfRule>
  </conditionalFormatting>
  <conditionalFormatting sqref="R26">
    <cfRule type="containsText" dxfId="145" priority="108" operator="containsText" text="국도비">
      <formula>NOT(ISERROR(SEARCH("국도비",R26)))</formula>
    </cfRule>
  </conditionalFormatting>
  <conditionalFormatting sqref="H26">
    <cfRule type="expression" dxfId="144" priority="107">
      <formula>($E26="본예산")</formula>
    </cfRule>
  </conditionalFormatting>
  <conditionalFormatting sqref="S26:V26 Z26:AB26">
    <cfRule type="containsText" dxfId="143" priority="106" operator="containsText" text="직접입력">
      <formula>NOT(ISERROR(SEARCH("직접입력",S26)))</formula>
    </cfRule>
  </conditionalFormatting>
  <conditionalFormatting sqref="R27">
    <cfRule type="containsText" dxfId="142" priority="105" operator="containsText" text="국도비">
      <formula>NOT(ISERROR(SEARCH("국도비",R27)))</formula>
    </cfRule>
  </conditionalFormatting>
  <conditionalFormatting sqref="H27">
    <cfRule type="expression" dxfId="141" priority="104">
      <formula>($E27="본예산")</formula>
    </cfRule>
  </conditionalFormatting>
  <conditionalFormatting sqref="S27:V27 Z27:AB27">
    <cfRule type="containsText" dxfId="140" priority="103" operator="containsText" text="직접입력">
      <formula>NOT(ISERROR(SEARCH("직접입력",S27)))</formula>
    </cfRule>
  </conditionalFormatting>
  <conditionalFormatting sqref="R28">
    <cfRule type="containsText" dxfId="139" priority="102" operator="containsText" text="국도비">
      <formula>NOT(ISERROR(SEARCH("국도비",R28)))</formula>
    </cfRule>
  </conditionalFormatting>
  <conditionalFormatting sqref="H28">
    <cfRule type="expression" dxfId="138" priority="101">
      <formula>($E28="본예산")</formula>
    </cfRule>
  </conditionalFormatting>
  <conditionalFormatting sqref="S28:V28 Z28:AB28">
    <cfRule type="containsText" dxfId="137" priority="100" operator="containsText" text="직접입력">
      <formula>NOT(ISERROR(SEARCH("직접입력",S28)))</formula>
    </cfRule>
  </conditionalFormatting>
  <conditionalFormatting sqref="R29">
    <cfRule type="containsText" dxfId="136" priority="99" operator="containsText" text="국도비">
      <formula>NOT(ISERROR(SEARCH("국도비",R29)))</formula>
    </cfRule>
  </conditionalFormatting>
  <conditionalFormatting sqref="H29">
    <cfRule type="expression" dxfId="135" priority="98">
      <formula>($E29="본예산")</formula>
    </cfRule>
  </conditionalFormatting>
  <conditionalFormatting sqref="S29:V29 Z29:AB29">
    <cfRule type="containsText" dxfId="134" priority="97" operator="containsText" text="직접입력">
      <formula>NOT(ISERROR(SEARCH("직접입력",S29)))</formula>
    </cfRule>
  </conditionalFormatting>
  <conditionalFormatting sqref="R19">
    <cfRule type="containsText" dxfId="133" priority="96" operator="containsText" text="국도비">
      <formula>NOT(ISERROR(SEARCH("국도비",R19)))</formula>
    </cfRule>
  </conditionalFormatting>
  <conditionalFormatting sqref="H19">
    <cfRule type="expression" dxfId="132" priority="95">
      <formula>($E19="본예산")</formula>
    </cfRule>
  </conditionalFormatting>
  <conditionalFormatting sqref="S19:V19 Z19:AB19">
    <cfRule type="containsText" dxfId="131" priority="94" operator="containsText" text="직접입력">
      <formula>NOT(ISERROR(SEARCH("직접입력",S19)))</formula>
    </cfRule>
  </conditionalFormatting>
  <conditionalFormatting sqref="R20">
    <cfRule type="containsText" dxfId="130" priority="93" operator="containsText" text="국도비">
      <formula>NOT(ISERROR(SEARCH("국도비",R20)))</formula>
    </cfRule>
  </conditionalFormatting>
  <conditionalFormatting sqref="H20">
    <cfRule type="expression" dxfId="129" priority="92">
      <formula>($E20="본예산")</formula>
    </cfRule>
  </conditionalFormatting>
  <conditionalFormatting sqref="S20:V20 Z20:AB20">
    <cfRule type="containsText" dxfId="128" priority="91" operator="containsText" text="직접입력">
      <formula>NOT(ISERROR(SEARCH("직접입력",S20)))</formula>
    </cfRule>
  </conditionalFormatting>
  <conditionalFormatting sqref="R21:R22">
    <cfRule type="containsText" dxfId="127" priority="90" operator="containsText" text="국도비">
      <formula>NOT(ISERROR(SEARCH("국도비",R21)))</formula>
    </cfRule>
  </conditionalFormatting>
  <conditionalFormatting sqref="H21:H22">
    <cfRule type="expression" dxfId="126" priority="89">
      <formula>($E21="본예산")</formula>
    </cfRule>
  </conditionalFormatting>
  <conditionalFormatting sqref="Z21:AB22 S21:V22">
    <cfRule type="containsText" dxfId="125" priority="88" operator="containsText" text="직접입력">
      <formula>NOT(ISERROR(SEARCH("직접입력",S21)))</formula>
    </cfRule>
  </conditionalFormatting>
  <conditionalFormatting sqref="R23">
    <cfRule type="containsText" dxfId="124" priority="87" operator="containsText" text="국도비">
      <formula>NOT(ISERROR(SEARCH("국도비",R23)))</formula>
    </cfRule>
  </conditionalFormatting>
  <conditionalFormatting sqref="H23">
    <cfRule type="expression" dxfId="123" priority="86">
      <formula>($E23="본예산")</formula>
    </cfRule>
  </conditionalFormatting>
  <conditionalFormatting sqref="S23:V23 Z23:AB23">
    <cfRule type="containsText" dxfId="122" priority="85" operator="containsText" text="직접입력">
      <formula>NOT(ISERROR(SEARCH("직접입력",S23)))</formula>
    </cfRule>
  </conditionalFormatting>
  <conditionalFormatting sqref="R24">
    <cfRule type="containsText" dxfId="121" priority="84" operator="containsText" text="국도비">
      <formula>NOT(ISERROR(SEARCH("국도비",R24)))</formula>
    </cfRule>
  </conditionalFormatting>
  <conditionalFormatting sqref="S24:V24 Z24:AB24">
    <cfRule type="containsText" dxfId="120" priority="82" operator="containsText" text="직접입력">
      <formula>NOT(ISERROR(SEARCH("직접입력",S24)))</formula>
    </cfRule>
  </conditionalFormatting>
  <conditionalFormatting sqref="R7">
    <cfRule type="containsText" dxfId="119" priority="75" operator="containsText" text="국도비">
      <formula>NOT(ISERROR(SEARCH("국도비",R7)))</formula>
    </cfRule>
  </conditionalFormatting>
  <conditionalFormatting sqref="H7">
    <cfRule type="expression" dxfId="118" priority="74">
      <formula>($E7="본예산")</formula>
    </cfRule>
  </conditionalFormatting>
  <conditionalFormatting sqref="S7:V7 Z7:AB7">
    <cfRule type="containsText" dxfId="117" priority="73" operator="containsText" text="직접입력">
      <formula>NOT(ISERROR(SEARCH("직접입력",S7)))</formula>
    </cfRule>
  </conditionalFormatting>
  <conditionalFormatting sqref="R111">
    <cfRule type="containsText" dxfId="116" priority="60" operator="containsText" text="국도비">
      <formula>NOT(ISERROR(SEARCH("국도비",R111)))</formula>
    </cfRule>
  </conditionalFormatting>
  <conditionalFormatting sqref="H111">
    <cfRule type="expression" dxfId="115" priority="59">
      <formula>($E111="본예산")</formula>
    </cfRule>
  </conditionalFormatting>
  <conditionalFormatting sqref="S111:V111 Z111:AB111">
    <cfRule type="containsText" dxfId="114" priority="58" operator="containsText" text="직접입력">
      <formula>NOT(ISERROR(SEARCH("직접입력",S111)))</formula>
    </cfRule>
  </conditionalFormatting>
  <conditionalFormatting sqref="R100 R104">
    <cfRule type="containsText" dxfId="113" priority="40" operator="containsText" text="국도비">
      <formula>NOT(ISERROR(SEARCH("국도비",R100)))</formula>
    </cfRule>
  </conditionalFormatting>
  <conditionalFormatting sqref="H100">
    <cfRule type="expression" dxfId="112" priority="39">
      <formula>($E100="본예산")</formula>
    </cfRule>
  </conditionalFormatting>
  <conditionalFormatting sqref="S100:V100 Z100:AB100 Z104:AB104 S104:V104">
    <cfRule type="containsText" dxfId="111" priority="38" operator="containsText" text="직접입력">
      <formula>NOT(ISERROR(SEARCH("직접입력",S100)))</formula>
    </cfRule>
  </conditionalFormatting>
  <conditionalFormatting sqref="R105">
    <cfRule type="containsText" dxfId="110" priority="37" operator="containsText" text="국도비">
      <formula>NOT(ISERROR(SEARCH("국도비",R105)))</formula>
    </cfRule>
  </conditionalFormatting>
  <conditionalFormatting sqref="S105:V105 Z105:AB105">
    <cfRule type="containsText" dxfId="109" priority="36" operator="containsText" text="직접입력">
      <formula>NOT(ISERROR(SEARCH("직접입력",S105)))</formula>
    </cfRule>
  </conditionalFormatting>
  <conditionalFormatting sqref="R101:R102">
    <cfRule type="containsText" dxfId="108" priority="35" operator="containsText" text="국도비">
      <formula>NOT(ISERROR(SEARCH("국도비",R101)))</formula>
    </cfRule>
  </conditionalFormatting>
  <conditionalFormatting sqref="H101:H102">
    <cfRule type="expression" dxfId="107" priority="34">
      <formula>($E101="본예산")</formula>
    </cfRule>
  </conditionalFormatting>
  <conditionalFormatting sqref="Z101:AB102 S101:V102">
    <cfRule type="containsText" dxfId="106" priority="33" operator="containsText" text="직접입력">
      <formula>NOT(ISERROR(SEARCH("직접입력",S101)))</formula>
    </cfRule>
  </conditionalFormatting>
  <conditionalFormatting sqref="R103">
    <cfRule type="containsText" dxfId="105" priority="32" operator="containsText" text="국도비">
      <formula>NOT(ISERROR(SEARCH("국도비",R103)))</formula>
    </cfRule>
  </conditionalFormatting>
  <conditionalFormatting sqref="H103">
    <cfRule type="expression" dxfId="104" priority="31">
      <formula>($E103="본예산")</formula>
    </cfRule>
  </conditionalFormatting>
  <conditionalFormatting sqref="S103:V103 Z103:AB103">
    <cfRule type="containsText" dxfId="103" priority="30" operator="containsText" text="직접입력">
      <formula>NOT(ISERROR(SEARCH("직접입력",S103)))</formula>
    </cfRule>
  </conditionalFormatting>
  <conditionalFormatting sqref="R106:R107">
    <cfRule type="containsText" dxfId="102" priority="18" operator="containsText" text="국도비">
      <formula>NOT(ISERROR(SEARCH("국도비",R106)))</formula>
    </cfRule>
  </conditionalFormatting>
  <conditionalFormatting sqref="Z106:AB107 S106:V106 S107:U107">
    <cfRule type="containsText" dxfId="101" priority="17" operator="containsText" text="직접입력">
      <formula>NOT(ISERROR(SEARCH("직접입력",S106)))</formula>
    </cfRule>
  </conditionalFormatting>
  <conditionalFormatting sqref="R108:R109">
    <cfRule type="containsText" dxfId="100" priority="15" operator="containsText" text="국도비">
      <formula>NOT(ISERROR(SEARCH("국도비",R108)))</formula>
    </cfRule>
  </conditionalFormatting>
  <conditionalFormatting sqref="S108:V109 Z108:AB109">
    <cfRule type="containsText" dxfId="99" priority="14" operator="containsText" text="직접입력">
      <formula>NOT(ISERROR(SEARCH("직접입력",S108)))</formula>
    </cfRule>
  </conditionalFormatting>
  <conditionalFormatting sqref="H108:H109">
    <cfRule type="expression" dxfId="98" priority="13">
      <formula>($E108="본예산")</formula>
    </cfRule>
  </conditionalFormatting>
  <conditionalFormatting sqref="R93">
    <cfRule type="containsText" dxfId="97" priority="6" operator="containsText" text="국도비">
      <formula>NOT(ISERROR(SEARCH("국도비",R93)))</formula>
    </cfRule>
  </conditionalFormatting>
  <conditionalFormatting sqref="H93">
    <cfRule type="expression" dxfId="96" priority="5">
      <formula>($E93="본예산")</formula>
    </cfRule>
  </conditionalFormatting>
  <conditionalFormatting sqref="Z93:AB93 S93:V93">
    <cfRule type="containsText" dxfId="95" priority="4" operator="containsText" text="직접입력">
      <formula>NOT(ISERROR(SEARCH("직접입력",S93)))</formula>
    </cfRule>
  </conditionalFormatting>
  <conditionalFormatting sqref="R53">
    <cfRule type="containsText" dxfId="94" priority="3" operator="containsText" text="국도비">
      <formula>NOT(ISERROR(SEARCH("국도비",R53)))</formula>
    </cfRule>
  </conditionalFormatting>
  <conditionalFormatting sqref="H53">
    <cfRule type="expression" dxfId="93" priority="2">
      <formula>($E53="본예산")</formula>
    </cfRule>
  </conditionalFormatting>
  <conditionalFormatting sqref="Z53:AB53 S53:V53">
    <cfRule type="containsText" dxfId="92" priority="1" operator="containsText" text="직접입력">
      <formula>NOT(ISERROR(SEARCH("직접입력",S53)))</formula>
    </cfRule>
  </conditionalFormatting>
  <printOptions horizontalCentered="1"/>
  <pageMargins left="0.47244094488188981" right="0.47244094488188981" top="0.59055118110236227" bottom="0.39370078740157483" header="0.31496062992125984" footer="0.31496062992125984"/>
  <pageSetup paperSize="9" scale="73" fitToHeight="0" orientation="landscape" horizontalDpi="4294967293" verticalDpi="4294967293" r:id="rId1"/>
  <headerFooter alignWithMargins="0">
    <oddFooter>&amp;C&amp;P</oddFooter>
  </headerFooter>
  <rowBreaks count="2" manualBreakCount="2">
    <brk id="81" min="1" max="21" man="1"/>
    <brk id="90" min="1" max="21" man="1"/>
  </row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구분표!$N$2:$N$3</xm:f>
          </x14:formula1>
          <xm:sqref>E111 E91:E105 E7:E87</xm:sqref>
        </x14:dataValidation>
        <x14:dataValidation type="list" allowBlank="1" showInputMessage="1" showErrorMessage="1">
          <x14:formula1>
            <xm:f>[3]구분표!#REF!</xm:f>
          </x14:formula1>
          <xm:sqref>E110 E106</xm:sqref>
        </x14:dataValidation>
        <x14:dataValidation type="list" allowBlank="1" showInputMessage="1" showErrorMessage="1">
          <x14:formula1>
            <xm:f>[4]구분표!#REF!</xm:f>
          </x14:formula1>
          <xm:sqref>E107:E109</xm:sqref>
        </x14:dataValidation>
        <x14:dataValidation type="list" allowBlank="1" showInputMessage="1" showErrorMessage="1">
          <x14:formula1>
            <xm:f>[1]구분표!#REF!</xm:f>
          </x14:formula1>
          <xm:sqref>E88:E90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559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21</v>
      </c>
      <c r="C3" s="100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33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33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45" customHeight="1" thickBot="1">
      <c r="B7" s="111" t="s">
        <v>39</v>
      </c>
      <c r="C7" s="112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>
        <f>E25+D25</f>
        <v>0</v>
      </c>
      <c r="J7" s="115">
        <f>F25+G25</f>
        <v>0</v>
      </c>
      <c r="K7" s="116">
        <f>I7-J7</f>
        <v>0</v>
      </c>
      <c r="L7" s="117" t="s">
        <v>40</v>
      </c>
      <c r="M7" s="118">
        <f>D24+E24</f>
        <v>0</v>
      </c>
      <c r="N7" s="119">
        <f>F24+G24</f>
        <v>0</v>
      </c>
      <c r="O7" s="120">
        <v>0</v>
      </c>
      <c r="P7" s="120">
        <v>0</v>
      </c>
    </row>
    <row r="8" spans="2:16" ht="45" hidden="1" customHeight="1" thickBot="1">
      <c r="B8" s="121" t="s">
        <v>41</v>
      </c>
      <c r="C8" s="112">
        <v>0</v>
      </c>
      <c r="D8" s="20"/>
      <c r="E8" s="20"/>
      <c r="F8" s="20"/>
      <c r="G8" s="20"/>
      <c r="H8" s="113">
        <f>C8-F8+G8</f>
        <v>0</v>
      </c>
      <c r="I8" s="122">
        <f>D7+E7</f>
        <v>0</v>
      </c>
      <c r="J8" s="123">
        <f>F7+G7</f>
        <v>0</v>
      </c>
      <c r="K8" s="124">
        <f>I8-J8</f>
        <v>0</v>
      </c>
      <c r="L8" s="125"/>
      <c r="M8" s="126"/>
      <c r="N8" s="127"/>
      <c r="O8" s="128"/>
      <c r="P8" s="128"/>
    </row>
    <row r="9" spans="2:16" ht="45" customHeight="1">
      <c r="B9" s="129" t="s">
        <v>98</v>
      </c>
      <c r="C9" s="130"/>
      <c r="D9" s="20">
        <f>SUMIFS('2추일입'!$M$7:$M$645,'2추일입'!$A$7:$A$645,'2추총괄표'!$B9)</f>
        <v>0</v>
      </c>
      <c r="E9" s="20">
        <f>SUMIFS('2추일입'!$N$7:$N$645,'2추일입'!$A$7:$A$645,'2추총괄표'!$B9)</f>
        <v>0</v>
      </c>
      <c r="F9" s="20">
        <f>SUMIFS('2추일출'!$M$25:$M$657,'2추일출'!$A$25:$A$657,'2추총괄표'!$B9)</f>
        <v>0</v>
      </c>
      <c r="G9" s="20">
        <f>SUMIFS('2추일출'!$N$25:$N$657,'2추일출'!$A$25:$A$657,'2추총괄표'!$B9)</f>
        <v>0</v>
      </c>
      <c r="H9" s="113">
        <f>C9+F9+G9</f>
        <v>0</v>
      </c>
      <c r="I9" s="345" t="s">
        <v>42</v>
      </c>
      <c r="J9" s="346"/>
      <c r="K9" s="104"/>
      <c r="N9" s="131" t="s">
        <v>43</v>
      </c>
    </row>
    <row r="10" spans="2:16" ht="45" customHeight="1" thickBot="1">
      <c r="B10" s="129" t="s">
        <v>99</v>
      </c>
      <c r="C10" s="112"/>
      <c r="D10" s="20">
        <f>SUMIFS('2추일입'!$M$7:$M$645,'2추일입'!$A$7:$A$645,'2추총괄표'!$B10)</f>
        <v>0</v>
      </c>
      <c r="E10" s="20">
        <f>SUMIFS('2추일입'!$N$7:$N$645,'2추일입'!$A$7:$A$645,'2추총괄표'!$B10)</f>
        <v>0</v>
      </c>
      <c r="F10" s="20">
        <f>SUMIFS('2추일출'!$M$25:$M$657,'2추일출'!$A$25:$A$657,'2추총괄표'!$B10)</f>
        <v>0</v>
      </c>
      <c r="G10" s="20">
        <f>SUMIFS('2추일출'!$N$25:$N$657,'2추일출'!$A$25:$A$657,'2추총괄표'!$B10)</f>
        <v>0</v>
      </c>
      <c r="H10" s="113">
        <f t="shared" ref="H10:H18" si="1">C10+F10+G10</f>
        <v>0</v>
      </c>
      <c r="I10" s="132" t="e">
        <f>#REF!+#REF!</f>
        <v>#REF!</v>
      </c>
      <c r="J10" s="133" t="e">
        <f>#REF!+#REF!</f>
        <v>#REF!</v>
      </c>
      <c r="K10" s="104"/>
      <c r="N10" s="134">
        <f>M7-N7</f>
        <v>0</v>
      </c>
    </row>
    <row r="11" spans="2:16" ht="45" customHeight="1">
      <c r="B11" s="129" t="s">
        <v>100</v>
      </c>
      <c r="C11" s="112"/>
      <c r="D11" s="20">
        <f>SUMIFS('2추일입'!$M$7:$M$645,'2추일입'!$A$7:$A$645,'2추총괄표'!$B11)</f>
        <v>0</v>
      </c>
      <c r="E11" s="20">
        <f>SUMIFS('2추일입'!$N$7:$N$645,'2추일입'!$A$7:$A$645,'2추총괄표'!$B11)</f>
        <v>0</v>
      </c>
      <c r="F11" s="20">
        <f>SUMIFS('2추일출'!$M$25:$M$657,'2추일출'!$A$25:$A$657,'2추총괄표'!$B11)</f>
        <v>0</v>
      </c>
      <c r="G11" s="20">
        <f>SUMIFS('2추일출'!$N$25:$N$657,'2추일출'!$A$25:$A$657,'2추총괄표'!$B11)</f>
        <v>0</v>
      </c>
      <c r="H11" s="113">
        <f t="shared" si="1"/>
        <v>0</v>
      </c>
      <c r="J11" s="135"/>
      <c r="K11" s="136"/>
    </row>
    <row r="12" spans="2:16" ht="45" customHeight="1">
      <c r="B12" s="129" t="s">
        <v>101</v>
      </c>
      <c r="C12" s="112"/>
      <c r="D12" s="20">
        <f>SUMIFS('2추일입'!$M$7:$M$645,'2추일입'!$A$7:$A$645,'2추총괄표'!$B12)</f>
        <v>0</v>
      </c>
      <c r="E12" s="20">
        <f>SUMIFS('2추일입'!$N$7:$N$645,'2추일입'!$A$7:$A$645,'2추총괄표'!$B12)</f>
        <v>0</v>
      </c>
      <c r="F12" s="20">
        <f>SUMIFS('2추일출'!$M$25:$M$657,'2추일출'!$A$25:$A$657,'2추총괄표'!$B12)</f>
        <v>0</v>
      </c>
      <c r="G12" s="20">
        <f>SUMIFS('2추일출'!$N$25:$N$657,'2추일출'!$A$25:$A$657,'2추총괄표'!$B12)</f>
        <v>0</v>
      </c>
      <c r="H12" s="113">
        <f t="shared" si="1"/>
        <v>0</v>
      </c>
      <c r="J12" s="137"/>
      <c r="L12" s="138"/>
      <c r="M12" s="138"/>
    </row>
    <row r="13" spans="2:16" ht="45" customHeight="1">
      <c r="B13" s="129" t="s">
        <v>102</v>
      </c>
      <c r="C13" s="112"/>
      <c r="D13" s="20">
        <f>SUMIFS('2추일입'!$M$7:$M$645,'2추일입'!$A$7:$A$645,'2추총괄표'!$B13)</f>
        <v>0</v>
      </c>
      <c r="E13" s="20">
        <f>SUMIFS('2추일입'!$N$7:$N$645,'2추일입'!$A$7:$A$645,'2추총괄표'!$B13)</f>
        <v>0</v>
      </c>
      <c r="F13" s="20">
        <f>SUMIFS('2추일출'!$M$25:$M$657,'2추일출'!$A$25:$A$657,'2추총괄표'!$B13)</f>
        <v>0</v>
      </c>
      <c r="G13" s="20">
        <f>SUMIFS('2추일출'!$N$25:$N$657,'2추일출'!$A$25:$A$657,'2추총괄표'!$B13)</f>
        <v>0</v>
      </c>
      <c r="H13" s="113">
        <f t="shared" si="1"/>
        <v>0</v>
      </c>
      <c r="K13" s="15"/>
      <c r="L13" s="16"/>
      <c r="N13" s="96" t="s">
        <v>44</v>
      </c>
    </row>
    <row r="14" spans="2:16" s="141" customFormat="1" ht="45" customHeight="1">
      <c r="B14" s="129" t="s">
        <v>103</v>
      </c>
      <c r="C14" s="139"/>
      <c r="D14" s="20">
        <f>SUMIFS('2추일입'!$M$7:$M$645,'2추일입'!$A$7:$A$645,'2추총괄표'!$B14)</f>
        <v>0</v>
      </c>
      <c r="E14" s="20">
        <f>SUMIFS('2추일입'!$N$7:$N$645,'2추일입'!$A$7:$A$645,'2추총괄표'!$B14)</f>
        <v>0</v>
      </c>
      <c r="F14" s="20">
        <f>SUMIFS('2추일출'!$M$25:$M$657,'2추일출'!$A$25:$A$657,'2추총괄표'!$B14)</f>
        <v>0</v>
      </c>
      <c r="G14" s="20">
        <f>SUMIFS('2추일출'!$N$25:$N$657,'2추일출'!$A$25:$A$657,'2추총괄표'!$B14)</f>
        <v>0</v>
      </c>
      <c r="H14" s="113">
        <f t="shared" si="1"/>
        <v>0</v>
      </c>
      <c r="I14" s="140"/>
      <c r="J14" s="140"/>
      <c r="K14" s="15"/>
      <c r="L14" s="16"/>
      <c r="M14" s="126"/>
      <c r="N14" s="127">
        <f>N10-K7</f>
        <v>0</v>
      </c>
      <c r="O14" s="140"/>
      <c r="P14" s="140"/>
    </row>
    <row r="15" spans="2:16" s="141" customFormat="1" ht="45" customHeight="1">
      <c r="B15" s="129" t="s">
        <v>69</v>
      </c>
      <c r="C15" s="139"/>
      <c r="D15" s="20">
        <f>SUMIFS('2추일입'!$M$7:$M$645,'2추일입'!$A$7:$A$645,'2추총괄표'!$B15)</f>
        <v>0</v>
      </c>
      <c r="E15" s="20">
        <f>SUMIFS('2추일입'!$N$7:$N$645,'2추일입'!$A$7:$A$645,'2추총괄표'!$B15)</f>
        <v>0</v>
      </c>
      <c r="F15" s="20">
        <f>SUMIFS('2추일출'!$M$25:$M$657,'2추일출'!$A$25:$A$657,'2추총괄표'!$B15)</f>
        <v>0</v>
      </c>
      <c r="G15" s="20">
        <f>SUMIFS('2추일출'!$N$25:$N$657,'2추일출'!$A$25:$A$657,'2추총괄표'!$B15)</f>
        <v>0</v>
      </c>
      <c r="H15" s="113">
        <f t="shared" si="1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45" customHeight="1">
      <c r="B16" s="129" t="s">
        <v>104</v>
      </c>
      <c r="C16" s="139"/>
      <c r="D16" s="20">
        <f>SUMIFS('2추일입'!$M$7:$M$645,'2추일입'!$A$7:$A$645,'2추총괄표'!$B16)</f>
        <v>0</v>
      </c>
      <c r="E16" s="20">
        <f>SUMIFS('2추일입'!$N$7:$N$645,'2추일입'!$A$7:$A$645,'2추총괄표'!$B16)</f>
        <v>0</v>
      </c>
      <c r="F16" s="20">
        <f>SUMIFS('2추일출'!$M$25:$M$657,'2추일출'!$A$25:$A$657,'2추총괄표'!$B16)</f>
        <v>0</v>
      </c>
      <c r="G16" s="20">
        <f>SUMIFS('2추일출'!$N$25:$N$657,'2추일출'!$A$25:$A$657,'2추총괄표'!$B16)</f>
        <v>0</v>
      </c>
      <c r="H16" s="113">
        <f t="shared" si="1"/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45" customHeight="1">
      <c r="B17" s="142" t="s">
        <v>105</v>
      </c>
      <c r="C17" s="143"/>
      <c r="D17" s="20">
        <f>SUMIFS('2추일입'!$M$7:$M$645,'2추일입'!$A$7:$A$645,'2추총괄표'!$B17)</f>
        <v>0</v>
      </c>
      <c r="E17" s="20">
        <f>SUMIFS('2추일입'!$N$7:$N$645,'2추일입'!$A$7:$A$645,'2추총괄표'!$B17)</f>
        <v>0</v>
      </c>
      <c r="F17" s="20">
        <f>SUMIFS('2추일출'!$M$25:$M$657,'2추일출'!$A$25:$A$657,'2추총괄표'!$B17)</f>
        <v>0</v>
      </c>
      <c r="G17" s="20">
        <f>SUMIFS('2추일출'!$N$25:$N$657,'2추일출'!$A$25:$A$657,'2추총괄표'!$B17)</f>
        <v>0</v>
      </c>
      <c r="H17" s="113">
        <f t="shared" si="1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s="141" customFormat="1" ht="45" customHeight="1" thickBot="1">
      <c r="B18" s="146" t="s">
        <v>551</v>
      </c>
      <c r="C18" s="147"/>
      <c r="D18" s="21">
        <f>SUMIFS('2추일입'!$M$7:$M$645,'2추일입'!$A$7:$A$645,'2추총괄표'!$B18)</f>
        <v>0</v>
      </c>
      <c r="E18" s="21">
        <f>SUMIFS('2추일입'!$N$7:$N$645,'2추일입'!$A$7:$A$645,'2추총괄표'!$B18)</f>
        <v>0</v>
      </c>
      <c r="F18" s="21">
        <f>SUMIFS('2추일출'!$M$25:$M$657,'2추일출'!$A$25:$A$657,'2추총괄표'!$B18)</f>
        <v>0</v>
      </c>
      <c r="G18" s="21">
        <f>SUMIFS('2추일출'!$N$25:$N$657,'2추일출'!$A$25:$A$657,'2추총괄표'!$B18)</f>
        <v>0</v>
      </c>
      <c r="H18" s="148">
        <f t="shared" si="1"/>
        <v>0</v>
      </c>
      <c r="I18" s="140"/>
      <c r="J18" s="140"/>
      <c r="K18" s="15"/>
      <c r="L18" s="16"/>
      <c r="M18" s="140"/>
      <c r="N18" s="140"/>
      <c r="O18" s="140"/>
      <c r="P18" s="140"/>
    </row>
    <row r="19" spans="2:16" ht="18" customHeight="1">
      <c r="B19" s="102"/>
      <c r="C19" s="102"/>
      <c r="D19" s="102"/>
      <c r="E19" s="102"/>
      <c r="F19" s="102"/>
      <c r="G19" s="102"/>
      <c r="H19" s="102"/>
      <c r="K19" s="15"/>
      <c r="L19" s="16"/>
    </row>
    <row r="20" spans="2:16" ht="20.25">
      <c r="B20" s="149" t="s">
        <v>45</v>
      </c>
      <c r="C20" s="99"/>
      <c r="D20" s="99"/>
      <c r="E20" s="99"/>
      <c r="F20" s="99"/>
      <c r="G20" s="99"/>
      <c r="H20" s="150"/>
      <c r="K20" s="15"/>
      <c r="L20" s="16"/>
    </row>
    <row r="21" spans="2:16" ht="19.5" thickBot="1">
      <c r="B21" s="101"/>
      <c r="C21" s="102"/>
      <c r="D21" s="102"/>
      <c r="E21" s="102"/>
      <c r="F21" s="102"/>
      <c r="G21" s="102"/>
      <c r="H21" s="103" t="s">
        <v>15</v>
      </c>
    </row>
    <row r="22" spans="2:16" ht="33" customHeight="1">
      <c r="B22" s="337" t="s">
        <v>46</v>
      </c>
      <c r="C22" s="339" t="s">
        <v>47</v>
      </c>
      <c r="D22" s="341" t="s">
        <v>27</v>
      </c>
      <c r="E22" s="342"/>
      <c r="F22" s="341" t="s">
        <v>28</v>
      </c>
      <c r="G22" s="342"/>
      <c r="H22" s="343" t="s">
        <v>29</v>
      </c>
    </row>
    <row r="23" spans="2:16" ht="33" customHeight="1">
      <c r="B23" s="338"/>
      <c r="C23" s="340"/>
      <c r="D23" s="106" t="s">
        <v>35</v>
      </c>
      <c r="E23" s="106" t="s">
        <v>36</v>
      </c>
      <c r="F23" s="106" t="s">
        <v>35</v>
      </c>
      <c r="G23" s="106" t="s">
        <v>36</v>
      </c>
      <c r="H23" s="344"/>
      <c r="I23" s="96" t="s">
        <v>48</v>
      </c>
    </row>
    <row r="24" spans="2:16" ht="45" customHeight="1">
      <c r="B24" s="111" t="s">
        <v>49</v>
      </c>
      <c r="C24" s="112">
        <f t="shared" ref="C24:G24" si="2">SUM(C25:C26)</f>
        <v>0</v>
      </c>
      <c r="D24" s="20">
        <f t="shared" si="2"/>
        <v>0</v>
      </c>
      <c r="E24" s="112">
        <f t="shared" si="2"/>
        <v>0</v>
      </c>
      <c r="F24" s="20">
        <f t="shared" si="2"/>
        <v>0</v>
      </c>
      <c r="G24" s="112">
        <f t="shared" si="2"/>
        <v>0</v>
      </c>
      <c r="H24" s="113">
        <f>SUM(H25:H26)</f>
        <v>0</v>
      </c>
      <c r="I24" s="104">
        <f>C24+D24+E24</f>
        <v>0</v>
      </c>
      <c r="J24" s="104">
        <f>I24-H24</f>
        <v>0</v>
      </c>
      <c r="K24" s="104" t="s">
        <v>50</v>
      </c>
    </row>
    <row r="25" spans="2:16" ht="45" customHeight="1">
      <c r="B25" s="111" t="s">
        <v>16</v>
      </c>
      <c r="C25" s="112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13">
        <f>C25+F25+G25</f>
        <v>0</v>
      </c>
      <c r="I25" s="104">
        <f>C25+D25+E25</f>
        <v>0</v>
      </c>
      <c r="J25" s="104">
        <f>I25-H25</f>
        <v>0</v>
      </c>
      <c r="K25" s="104" t="s">
        <v>50</v>
      </c>
    </row>
    <row r="26" spans="2:16" ht="45" customHeight="1" thickBot="1">
      <c r="B26" s="151" t="s">
        <v>51</v>
      </c>
      <c r="C26" s="152"/>
      <c r="D26" s="21"/>
      <c r="E26" s="21"/>
      <c r="F26" s="21"/>
      <c r="G26" s="21"/>
      <c r="H26" s="148">
        <f>C26+F26+G26</f>
        <v>0</v>
      </c>
      <c r="I26" s="104">
        <f>C26+D26+E26</f>
        <v>0</v>
      </c>
      <c r="J26" s="104">
        <f>I26-H26</f>
        <v>0</v>
      </c>
      <c r="K26" s="104" t="s">
        <v>50</v>
      </c>
    </row>
    <row r="27" spans="2:16" ht="9" customHeight="1">
      <c r="B27" s="102"/>
      <c r="C27" s="102"/>
      <c r="D27" s="102"/>
      <c r="E27" s="102"/>
      <c r="F27" s="102"/>
      <c r="G27" s="102"/>
      <c r="H27" s="102"/>
    </row>
    <row r="28" spans="2:16" ht="20.25" hidden="1" customHeight="1"/>
    <row r="29" spans="2:16" ht="20.25" hidden="1" customHeight="1"/>
    <row r="30" spans="2:16" ht="14.25" hidden="1">
      <c r="B30" s="153" t="s">
        <v>17</v>
      </c>
      <c r="C30" s="154" t="s">
        <v>52</v>
      </c>
      <c r="D30" s="155" t="s">
        <v>53</v>
      </c>
      <c r="E30" s="154" t="s">
        <v>54</v>
      </c>
      <c r="G30" s="96"/>
      <c r="H30" s="96"/>
      <c r="O30" s="58"/>
      <c r="P30" s="58"/>
    </row>
    <row r="31" spans="2:16" ht="15" hidden="1">
      <c r="B31" s="156" t="s">
        <v>18</v>
      </c>
      <c r="C31" s="157">
        <v>39922113</v>
      </c>
      <c r="D31" s="158"/>
      <c r="E31" s="158">
        <f>SUM(C31:D31)</f>
        <v>39922113</v>
      </c>
      <c r="G31" s="96"/>
      <c r="H31" s="96"/>
      <c r="O31" s="58"/>
      <c r="P31" s="58"/>
    </row>
    <row r="32" spans="2:16" ht="15" hidden="1">
      <c r="B32" s="156" t="s">
        <v>19</v>
      </c>
      <c r="C32" s="157">
        <v>3302571667</v>
      </c>
      <c r="D32" s="157">
        <v>1780946434</v>
      </c>
      <c r="E32" s="158">
        <f t="shared" ref="E32:E41" si="3">SUM(C32:D32)</f>
        <v>5083518101</v>
      </c>
      <c r="G32" s="96"/>
      <c r="H32" s="96"/>
      <c r="O32" s="58"/>
      <c r="P32" s="58"/>
    </row>
    <row r="33" spans="2:16" ht="15" hidden="1">
      <c r="B33" s="156" t="s">
        <v>10</v>
      </c>
      <c r="C33" s="157">
        <v>155329320</v>
      </c>
      <c r="D33" s="157">
        <v>384743740</v>
      </c>
      <c r="E33" s="158">
        <f t="shared" si="3"/>
        <v>540073060</v>
      </c>
      <c r="G33" s="96"/>
      <c r="H33" s="96"/>
      <c r="O33" s="58"/>
      <c r="P33" s="58"/>
    </row>
    <row r="34" spans="2:16" ht="15" hidden="1">
      <c r="B34" s="159" t="s">
        <v>95</v>
      </c>
      <c r="C34" s="157">
        <v>1142858974</v>
      </c>
      <c r="D34" s="158"/>
      <c r="E34" s="158">
        <f t="shared" si="3"/>
        <v>1142858974</v>
      </c>
      <c r="G34" s="96"/>
      <c r="H34" s="96"/>
      <c r="O34" s="58"/>
      <c r="P34" s="58"/>
    </row>
    <row r="35" spans="2:16" ht="15" hidden="1">
      <c r="B35" s="156" t="s">
        <v>14</v>
      </c>
      <c r="C35" s="157">
        <v>224243208</v>
      </c>
      <c r="D35" s="157">
        <v>52484400</v>
      </c>
      <c r="E35" s="158">
        <f t="shared" si="3"/>
        <v>276727608</v>
      </c>
      <c r="G35" s="96"/>
      <c r="H35" s="96"/>
      <c r="O35" s="58"/>
      <c r="P35" s="58"/>
    </row>
    <row r="36" spans="2:16" ht="15" hidden="1">
      <c r="B36" s="159" t="s">
        <v>96</v>
      </c>
      <c r="C36" s="157">
        <v>466978999</v>
      </c>
      <c r="D36" s="158"/>
      <c r="E36" s="158">
        <f t="shared" si="3"/>
        <v>466978999</v>
      </c>
      <c r="G36" s="96"/>
      <c r="H36" s="96"/>
      <c r="O36" s="58"/>
      <c r="P36" s="58"/>
    </row>
    <row r="37" spans="2:16" ht="15" hidden="1">
      <c r="B37" s="159" t="s">
        <v>97</v>
      </c>
      <c r="C37" s="157">
        <v>3254006708</v>
      </c>
      <c r="D37" s="158"/>
      <c r="E37" s="158">
        <f t="shared" si="3"/>
        <v>3254006708</v>
      </c>
      <c r="G37" s="96"/>
      <c r="H37" s="96"/>
      <c r="O37" s="58"/>
      <c r="P37" s="58"/>
    </row>
    <row r="38" spans="2:16" ht="15" hidden="1">
      <c r="B38" s="156" t="s">
        <v>11</v>
      </c>
      <c r="C38" s="157">
        <v>1220859831</v>
      </c>
      <c r="D38" s="158"/>
      <c r="E38" s="158">
        <f t="shared" si="3"/>
        <v>1220859831</v>
      </c>
      <c r="G38" s="96"/>
      <c r="H38" s="96"/>
      <c r="O38" s="58"/>
      <c r="P38" s="58"/>
    </row>
    <row r="39" spans="2:16" ht="15" hidden="1">
      <c r="B39" s="156" t="s">
        <v>12</v>
      </c>
      <c r="C39" s="157">
        <v>866963933</v>
      </c>
      <c r="D39" s="157">
        <v>28360000</v>
      </c>
      <c r="E39" s="158">
        <f t="shared" si="3"/>
        <v>895323933</v>
      </c>
      <c r="G39" s="96"/>
      <c r="H39" s="96"/>
      <c r="O39" s="58"/>
      <c r="P39" s="58"/>
    </row>
    <row r="40" spans="2:16" ht="15" hidden="1">
      <c r="B40" s="156" t="s">
        <v>13</v>
      </c>
      <c r="C40" s="157">
        <v>4882582917</v>
      </c>
      <c r="D40" s="158"/>
      <c r="E40" s="158">
        <f t="shared" si="3"/>
        <v>4882582917</v>
      </c>
      <c r="G40" s="96"/>
      <c r="H40" s="96"/>
      <c r="O40" s="58"/>
      <c r="P40" s="58"/>
    </row>
    <row r="41" spans="2:16" ht="15" hidden="1">
      <c r="B41" s="156" t="s">
        <v>20</v>
      </c>
      <c r="C41" s="158">
        <f>SUM(C31:C40)</f>
        <v>15556317670</v>
      </c>
      <c r="D41" s="158">
        <f>SUM(D31:D40)</f>
        <v>2246534574</v>
      </c>
      <c r="E41" s="158">
        <f t="shared" si="3"/>
        <v>17802852244</v>
      </c>
      <c r="G41" s="96"/>
      <c r="H41" s="96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36" t="s">
        <v>56</v>
      </c>
    </row>
    <row r="290" spans="9:11">
      <c r="I290" s="160"/>
      <c r="K290" s="96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96" hidden="1" customWidth="1"/>
    <col min="10" max="10" width="16" style="96" hidden="1" customWidth="1"/>
    <col min="11" max="11" width="14.625" style="96" hidden="1" customWidth="1"/>
    <col min="12" max="12" width="21.75" style="96" hidden="1" customWidth="1"/>
    <col min="13" max="14" width="14.75" style="96" hidden="1" customWidth="1"/>
    <col min="15" max="15" width="12.25" style="96" hidden="1" customWidth="1"/>
    <col min="16" max="16" width="13.375" style="96" hidden="1" customWidth="1"/>
    <col min="17" max="16384" width="9" style="58"/>
  </cols>
  <sheetData>
    <row r="1" spans="2:16" ht="33" customHeight="1">
      <c r="B1" s="347" t="s">
        <v>560</v>
      </c>
      <c r="C1" s="348"/>
      <c r="D1" s="348"/>
      <c r="E1" s="348"/>
      <c r="F1" s="348"/>
      <c r="G1" s="348"/>
      <c r="H1" s="348"/>
    </row>
    <row r="2" spans="2:16" ht="12.75" customHeight="1">
      <c r="B2" s="97"/>
      <c r="C2" s="98"/>
      <c r="D2" s="98"/>
      <c r="E2" s="98"/>
      <c r="F2" s="98"/>
      <c r="G2" s="98"/>
      <c r="H2" s="98"/>
    </row>
    <row r="3" spans="2:16" ht="23.25" customHeight="1">
      <c r="B3" s="99" t="s">
        <v>131</v>
      </c>
      <c r="C3" s="100"/>
      <c r="D3" s="161"/>
      <c r="E3" s="55">
        <f>SUM(D7:E7)</f>
        <v>0</v>
      </c>
      <c r="F3" s="55"/>
      <c r="G3" s="55">
        <f>SUM(F7:G7)</f>
        <v>0</v>
      </c>
    </row>
    <row r="4" spans="2:16" s="102" customFormat="1" ht="18" customHeight="1" thickBot="1">
      <c r="B4" s="101"/>
      <c r="H4" s="103" t="s">
        <v>22</v>
      </c>
      <c r="I4" s="104"/>
      <c r="J4" s="104"/>
      <c r="K4" s="104"/>
      <c r="L4" s="104"/>
      <c r="M4" s="105" t="s">
        <v>23</v>
      </c>
      <c r="N4" s="104"/>
      <c r="O4" s="105" t="s">
        <v>24</v>
      </c>
      <c r="P4" s="105"/>
    </row>
    <row r="5" spans="2:16" ht="24" customHeight="1">
      <c r="B5" s="349" t="s">
        <v>25</v>
      </c>
      <c r="C5" s="351" t="s">
        <v>26</v>
      </c>
      <c r="D5" s="353" t="s">
        <v>27</v>
      </c>
      <c r="E5" s="353"/>
      <c r="F5" s="353" t="s">
        <v>28</v>
      </c>
      <c r="G5" s="353"/>
      <c r="H5" s="354" t="s">
        <v>29</v>
      </c>
      <c r="I5" s="331" t="s">
        <v>30</v>
      </c>
      <c r="J5" s="331"/>
      <c r="K5" s="327" t="s">
        <v>31</v>
      </c>
      <c r="L5" s="329" t="s">
        <v>32</v>
      </c>
      <c r="M5" s="331" t="s">
        <v>33</v>
      </c>
      <c r="N5" s="332"/>
      <c r="O5" s="333" t="s">
        <v>34</v>
      </c>
      <c r="P5" s="334"/>
    </row>
    <row r="6" spans="2:16" ht="24" customHeight="1">
      <c r="B6" s="350"/>
      <c r="C6" s="352"/>
      <c r="D6" s="106" t="s">
        <v>35</v>
      </c>
      <c r="E6" s="106" t="s">
        <v>36</v>
      </c>
      <c r="F6" s="106" t="s">
        <v>35</v>
      </c>
      <c r="G6" s="106" t="s">
        <v>36</v>
      </c>
      <c r="H6" s="355"/>
      <c r="I6" s="107" t="s">
        <v>37</v>
      </c>
      <c r="J6" s="108" t="s">
        <v>38</v>
      </c>
      <c r="K6" s="328"/>
      <c r="L6" s="330"/>
      <c r="M6" s="109" t="s">
        <v>37</v>
      </c>
      <c r="N6" s="110" t="s">
        <v>38</v>
      </c>
      <c r="O6" s="335"/>
      <c r="P6" s="336"/>
    </row>
    <row r="7" spans="2:16" ht="38.25" customHeight="1" thickBot="1">
      <c r="B7" s="111" t="s">
        <v>39</v>
      </c>
      <c r="C7" s="112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3">
        <f t="shared" si="0"/>
        <v>0</v>
      </c>
      <c r="I7" s="114" t="e">
        <f>#REF!+#REF!</f>
        <v>#REF!</v>
      </c>
      <c r="J7" s="115" t="e">
        <f>#REF!+#REF!</f>
        <v>#REF!</v>
      </c>
      <c r="K7" s="116" t="e">
        <f>I7-J7</f>
        <v>#REF!</v>
      </c>
      <c r="L7" s="117" t="s">
        <v>40</v>
      </c>
      <c r="M7" s="118" t="e">
        <f>#REF!+#REF!</f>
        <v>#REF!</v>
      </c>
      <c r="N7" s="119" t="e">
        <f>#REF!+#REF!</f>
        <v>#REF!</v>
      </c>
      <c r="O7" s="120">
        <v>0</v>
      </c>
      <c r="P7" s="120">
        <v>0</v>
      </c>
    </row>
    <row r="8" spans="2:16" ht="38.25" customHeight="1">
      <c r="B8" s="129" t="s">
        <v>122</v>
      </c>
      <c r="C8" s="130"/>
      <c r="D8" s="20">
        <f>SUMIFS('2추일입'!$M$7:$M$645,'2추일입'!$B$7:$B$645,'2추총괄표(실국별)'!$B8)</f>
        <v>0</v>
      </c>
      <c r="E8" s="20">
        <f>SUMIFS('2추일입'!$N$7:$N$645,'2추일입'!$B$7:$B$645,'2추총괄표(실국별)'!$B8)</f>
        <v>0</v>
      </c>
      <c r="F8" s="20">
        <f>SUMIFS('2추일출'!$M$25:$M$657,'2추일출'!$B$25:$B$657,'2추총괄표(실국별)'!$B8)</f>
        <v>0</v>
      </c>
      <c r="G8" s="20">
        <f>SUMIFS('2추일출'!$N$25:$N$657,'2추일출'!$B$25:$B$657,'2추총괄표(실국별)'!$B8)</f>
        <v>0</v>
      </c>
      <c r="H8" s="113">
        <f>C8+F8+G8</f>
        <v>0</v>
      </c>
      <c r="I8" s="345" t="s">
        <v>42</v>
      </c>
      <c r="J8" s="346"/>
      <c r="K8" s="104"/>
      <c r="N8" s="131" t="s">
        <v>43</v>
      </c>
    </row>
    <row r="9" spans="2:16" ht="38.25" customHeight="1" thickBot="1">
      <c r="B9" s="129" t="s">
        <v>109</v>
      </c>
      <c r="C9" s="112"/>
      <c r="D9" s="20">
        <f>SUMIFS('2추일입'!$M$7:$M$645,'2추일입'!$B$7:$B$645,'2추총괄표(실국별)'!$B9)</f>
        <v>0</v>
      </c>
      <c r="E9" s="20">
        <f>SUMIFS('2추일입'!$N$7:$N$645,'2추일입'!$B$7:$B$645,'2추총괄표(실국별)'!$B9)</f>
        <v>0</v>
      </c>
      <c r="F9" s="20">
        <f>SUMIFS('2추일출'!$M$25:$M$657,'2추일출'!$B$25:$B$657,'2추총괄표(실국별)'!$B9)</f>
        <v>0</v>
      </c>
      <c r="G9" s="20">
        <f>SUMIFS('2추일출'!$N$25:$N$657,'2추일출'!$B$25:$B$657,'2추총괄표(실국별)'!$B9)</f>
        <v>0</v>
      </c>
      <c r="H9" s="113">
        <f t="shared" ref="H9" si="1">C9+F9+G9</f>
        <v>0</v>
      </c>
      <c r="I9" s="132" t="e">
        <f>#REF!+#REF!</f>
        <v>#REF!</v>
      </c>
      <c r="J9" s="133" t="e">
        <f>#REF!+#REF!</f>
        <v>#REF!</v>
      </c>
      <c r="K9" s="104"/>
      <c r="N9" s="134" t="e">
        <f>#REF!-#REF!</f>
        <v>#REF!</v>
      </c>
    </row>
    <row r="10" spans="2:16" ht="38.25" customHeight="1" thickBot="1">
      <c r="B10" s="129" t="s">
        <v>110</v>
      </c>
      <c r="C10" s="112"/>
      <c r="D10" s="20">
        <f>SUMIFS('2추일입'!$M$7:$M$645,'2추일입'!$B$7:$B$645,'2추총괄표(실국별)'!$B10)</f>
        <v>0</v>
      </c>
      <c r="E10" s="20">
        <f>SUMIFS('2추일입'!$N$7:$N$645,'2추일입'!$B$7:$B$645,'2추총괄표(실국별)'!$B10)</f>
        <v>0</v>
      </c>
      <c r="F10" s="20">
        <f>SUMIFS('2추일출'!$M$25:$M$657,'2추일출'!$B$25:$B$657,'2추총괄표(실국별)'!$B10)</f>
        <v>0</v>
      </c>
      <c r="G10" s="20">
        <f>SUMIFS('2추일출'!$N$25:$N$657,'2추일출'!$B$25:$B$657,'2추총괄표(실국별)'!$B10)</f>
        <v>0</v>
      </c>
      <c r="H10" s="113">
        <f t="shared" ref="H10:H30" si="2">C10+F10+G10</f>
        <v>0</v>
      </c>
      <c r="I10" s="132" t="e">
        <f>#REF!+#REF!</f>
        <v>#REF!</v>
      </c>
      <c r="J10" s="133" t="e">
        <f>#REF!+#REF!</f>
        <v>#REF!</v>
      </c>
      <c r="K10" s="104"/>
      <c r="N10" s="134" t="e">
        <f>#REF!-#REF!</f>
        <v>#REF!</v>
      </c>
    </row>
    <row r="11" spans="2:16" ht="38.25" customHeight="1">
      <c r="B11" s="129" t="s">
        <v>111</v>
      </c>
      <c r="C11" s="112"/>
      <c r="D11" s="20">
        <f>SUMIFS('2추일입'!$M$7:$M$645,'2추일입'!$B$7:$B$645,'2추총괄표(실국별)'!$B11)</f>
        <v>0</v>
      </c>
      <c r="E11" s="20">
        <f>SUMIFS('2추일입'!$N$7:$N$645,'2추일입'!$B$7:$B$645,'2추총괄표(실국별)'!$B11)</f>
        <v>0</v>
      </c>
      <c r="F11" s="20">
        <f>SUMIFS('2추일출'!$M$25:$M$657,'2추일출'!$B$25:$B$657,'2추총괄표(실국별)'!$B11)</f>
        <v>0</v>
      </c>
      <c r="G11" s="20">
        <f>SUMIFS('2추일출'!$N$25:$N$657,'2추일출'!$B$25:$B$657,'2추총괄표(실국별)'!$B11)</f>
        <v>0</v>
      </c>
      <c r="H11" s="113">
        <f t="shared" si="2"/>
        <v>0</v>
      </c>
      <c r="J11" s="135"/>
      <c r="K11" s="136"/>
    </row>
    <row r="12" spans="2:16" ht="38.25" customHeight="1">
      <c r="B12" s="129" t="s">
        <v>189</v>
      </c>
      <c r="C12" s="112"/>
      <c r="D12" s="20">
        <f>SUMIFS('2추일입'!$M$7:$M$645,'2추일입'!$B$7:$B$645,'2추총괄표(실국별)'!$B12)</f>
        <v>0</v>
      </c>
      <c r="E12" s="20">
        <f>SUMIFS('2추일입'!$N$7:$N$645,'2추일입'!$B$7:$B$645,'2추총괄표(실국별)'!$B12)</f>
        <v>0</v>
      </c>
      <c r="F12" s="20">
        <f>SUMIFS('2추일출'!$M$25:$M$657,'2추일출'!$B$25:$B$657,'2추총괄표(실국별)'!$B12)</f>
        <v>0</v>
      </c>
      <c r="G12" s="20">
        <f>SUMIFS('2추일출'!$N$25:$N$657,'2추일출'!$B$25:$B$657,'2추총괄표(실국별)'!$B12)</f>
        <v>0</v>
      </c>
      <c r="H12" s="113">
        <f t="shared" si="2"/>
        <v>0</v>
      </c>
      <c r="J12" s="137"/>
      <c r="L12" s="138"/>
      <c r="M12" s="138"/>
    </row>
    <row r="13" spans="2:16" ht="38.25" customHeight="1">
      <c r="B13" s="129" t="s">
        <v>112</v>
      </c>
      <c r="C13" s="112"/>
      <c r="D13" s="20">
        <f>SUMIFS('2추일입'!$M$7:$M$645,'2추일입'!$B$7:$B$645,'2추총괄표(실국별)'!$B13)</f>
        <v>0</v>
      </c>
      <c r="E13" s="20">
        <f>SUMIFS('2추일입'!$N$7:$N$645,'2추일입'!$B$7:$B$645,'2추총괄표(실국별)'!$B13)</f>
        <v>0</v>
      </c>
      <c r="F13" s="20">
        <f>SUMIFS('2추일출'!$M$25:$M$657,'2추일출'!$B$25:$B$657,'2추총괄표(실국별)'!$B13)</f>
        <v>0</v>
      </c>
      <c r="G13" s="20">
        <f>SUMIFS('2추일출'!$N$25:$N$657,'2추일출'!$B$25:$B$657,'2추총괄표(실국별)'!$B13)</f>
        <v>0</v>
      </c>
      <c r="H13" s="113">
        <f t="shared" si="2"/>
        <v>0</v>
      </c>
      <c r="K13" s="15"/>
      <c r="L13" s="16"/>
      <c r="N13" s="96" t="s">
        <v>44</v>
      </c>
    </row>
    <row r="14" spans="2:16" s="141" customFormat="1" ht="38.25" customHeight="1">
      <c r="B14" s="129" t="s">
        <v>65</v>
      </c>
      <c r="C14" s="139"/>
      <c r="D14" s="20">
        <f>SUMIFS('2추일입'!$M$7:$M$645,'2추일입'!$B$7:$B$645,'2추총괄표(실국별)'!$B14)</f>
        <v>0</v>
      </c>
      <c r="E14" s="20">
        <f>SUMIFS('2추일입'!$N$7:$N$645,'2추일입'!$B$7:$B$645,'2추총괄표(실국별)'!$B14)</f>
        <v>0</v>
      </c>
      <c r="F14" s="20">
        <f>SUMIFS('2추일출'!$M$25:$M$657,'2추일출'!$B$25:$B$657,'2추총괄표(실국별)'!$B14)</f>
        <v>0</v>
      </c>
      <c r="G14" s="20">
        <f>SUMIFS('2추일출'!$N$25:$N$657,'2추일출'!$B$25:$B$657,'2추총괄표(실국별)'!$B14)</f>
        <v>0</v>
      </c>
      <c r="H14" s="113">
        <f t="shared" si="2"/>
        <v>0</v>
      </c>
      <c r="I14" s="140"/>
      <c r="J14" s="140"/>
      <c r="K14" s="15"/>
      <c r="L14" s="16"/>
      <c r="M14" s="126"/>
      <c r="N14" s="127" t="e">
        <f>N10-#REF!</f>
        <v>#REF!</v>
      </c>
      <c r="O14" s="140"/>
      <c r="P14" s="140"/>
    </row>
    <row r="15" spans="2:16" s="141" customFormat="1" ht="38.25" customHeight="1">
      <c r="B15" s="129" t="s">
        <v>218</v>
      </c>
      <c r="C15" s="139"/>
      <c r="D15" s="20">
        <f>SUMIFS('2추일입'!$M$7:$M$645,'2추일입'!$B$7:$B$645,'2추총괄표(실국별)'!$B15)</f>
        <v>0</v>
      </c>
      <c r="E15" s="20">
        <f>SUMIFS('2추일입'!$N$7:$N$645,'2추일입'!$B$7:$B$645,'2추총괄표(실국별)'!$B15)</f>
        <v>0</v>
      </c>
      <c r="F15" s="20">
        <f>SUMIFS('2추일출'!$M$25:$M$657,'2추일출'!$B$25:$B$657,'2추총괄표(실국별)'!$B15)</f>
        <v>0</v>
      </c>
      <c r="G15" s="20">
        <f>SUMIFS('2추일출'!$N$25:$N$657,'2추일출'!$B$25:$B$657,'2추총괄표(실국별)'!$B15)</f>
        <v>0</v>
      </c>
      <c r="H15" s="113">
        <f t="shared" si="2"/>
        <v>0</v>
      </c>
      <c r="I15" s="140"/>
      <c r="J15" s="140"/>
      <c r="K15" s="15"/>
      <c r="L15" s="16"/>
      <c r="M15" s="140"/>
      <c r="N15" s="140"/>
      <c r="O15" s="140"/>
      <c r="P15" s="140"/>
    </row>
    <row r="16" spans="2:16" s="141" customFormat="1" ht="38.25" customHeight="1">
      <c r="B16" s="129" t="s">
        <v>225</v>
      </c>
      <c r="C16" s="139"/>
      <c r="D16" s="20">
        <f>SUMIFS('2추일입'!$M$7:$M$645,'2추일입'!$B$7:$B$645,'2추총괄표(실국별)'!$B16)</f>
        <v>0</v>
      </c>
      <c r="E16" s="20">
        <f>SUMIFS('2추일입'!$N$7:$N$645,'2추일입'!$B$7:$B$645,'2추총괄표(실국별)'!$B16)</f>
        <v>0</v>
      </c>
      <c r="F16" s="20">
        <f>SUMIFS('2추일출'!$M$25:$M$657,'2추일출'!$B$25:$B$657,'2추총괄표(실국별)'!$B16)</f>
        <v>0</v>
      </c>
      <c r="G16" s="20">
        <f>SUMIFS('2추일출'!$N$25:$N$657,'2추일출'!$B$25:$B$657,'2추총괄표(실국별)'!$B16)</f>
        <v>0</v>
      </c>
      <c r="H16" s="113">
        <f t="shared" ref="H16:H23" si="3">C16+F16+G16</f>
        <v>0</v>
      </c>
      <c r="I16" s="140"/>
      <c r="J16" s="140"/>
      <c r="K16" s="15"/>
      <c r="L16" s="16"/>
      <c r="M16" s="140"/>
      <c r="N16" s="140"/>
      <c r="O16" s="140"/>
      <c r="P16" s="140"/>
    </row>
    <row r="17" spans="2:16" s="145" customFormat="1" ht="38.25" customHeight="1">
      <c r="B17" s="142" t="s">
        <v>62</v>
      </c>
      <c r="C17" s="143"/>
      <c r="D17" s="20">
        <f>SUMIFS('2추일입'!$M$7:$M$645,'2추일입'!$B$7:$B$645,'2추총괄표(실국별)'!$B17)</f>
        <v>0</v>
      </c>
      <c r="E17" s="20">
        <f>SUMIFS('2추일입'!$N$7:$N$645,'2추일입'!$B$7:$B$645,'2추총괄표(실국별)'!$B17)</f>
        <v>0</v>
      </c>
      <c r="F17" s="20">
        <f>SUMIFS('2추일출'!$M$25:$M$657,'2추일출'!$B$25:$B$657,'2추총괄표(실국별)'!$B17)</f>
        <v>0</v>
      </c>
      <c r="G17" s="20">
        <f>SUMIFS('2추일출'!$N$25:$N$657,'2추일출'!$B$25:$B$657,'2추총괄표(실국별)'!$B17)</f>
        <v>0</v>
      </c>
      <c r="H17" s="113">
        <f t="shared" si="3"/>
        <v>0</v>
      </c>
      <c r="I17" s="144"/>
      <c r="J17" s="144"/>
      <c r="K17" s="15"/>
      <c r="L17" s="16"/>
      <c r="M17" s="144"/>
      <c r="N17" s="144"/>
      <c r="O17" s="144"/>
      <c r="P17" s="144"/>
    </row>
    <row r="18" spans="2:16" ht="38.25" customHeight="1" thickBot="1">
      <c r="B18" s="129" t="s">
        <v>123</v>
      </c>
      <c r="C18" s="112"/>
      <c r="D18" s="20">
        <f>SUMIFS('2추일입'!$M$7:$M$645,'2추일입'!$B$7:$B$645,'2추총괄표(실국별)'!$B18)</f>
        <v>0</v>
      </c>
      <c r="E18" s="20">
        <f>SUMIFS('2추일입'!$N$7:$N$645,'2추일입'!$B$7:$B$645,'2추총괄표(실국별)'!$B18)</f>
        <v>0</v>
      </c>
      <c r="F18" s="20">
        <f>SUMIFS('2추일출'!$M$25:$M$657,'2추일출'!$B$25:$B$657,'2추총괄표(실국별)'!$B18)</f>
        <v>0</v>
      </c>
      <c r="G18" s="20">
        <f>SUMIFS('2추일출'!$N$25:$N$657,'2추일출'!$B$25:$B$657,'2추총괄표(실국별)'!$B18)</f>
        <v>0</v>
      </c>
      <c r="H18" s="113">
        <f t="shared" si="3"/>
        <v>0</v>
      </c>
      <c r="I18" s="132" t="e">
        <f>#REF!+#REF!</f>
        <v>#REF!</v>
      </c>
      <c r="J18" s="133" t="e">
        <f>#REF!+#REF!</f>
        <v>#REF!</v>
      </c>
      <c r="K18" s="104"/>
      <c r="N18" s="134" t="e">
        <f>#REF!-#REF!</f>
        <v>#REF!</v>
      </c>
    </row>
    <row r="19" spans="2:16" ht="38.25" customHeight="1">
      <c r="B19" s="129" t="s">
        <v>117</v>
      </c>
      <c r="C19" s="112"/>
      <c r="D19" s="20">
        <f>SUMIFS('2추일입'!$M$7:$M$645,'2추일입'!$B$7:$B$645,'2추총괄표(실국별)'!$B19)</f>
        <v>0</v>
      </c>
      <c r="E19" s="20">
        <f>SUMIFS('2추일입'!$N$7:$N$645,'2추일입'!$B$7:$B$645,'2추총괄표(실국별)'!$B19)</f>
        <v>0</v>
      </c>
      <c r="F19" s="20">
        <f>SUMIFS('2추일출'!$M$25:$M$657,'2추일출'!$B$25:$B$657,'2추총괄표(실국별)'!$B19)</f>
        <v>0</v>
      </c>
      <c r="G19" s="20">
        <f>SUMIFS('2추일출'!$N$25:$N$657,'2추일출'!$B$25:$B$657,'2추총괄표(실국별)'!$B19)</f>
        <v>0</v>
      </c>
      <c r="H19" s="113">
        <f t="shared" si="3"/>
        <v>0</v>
      </c>
      <c r="J19" s="135"/>
      <c r="K19" s="136"/>
    </row>
    <row r="20" spans="2:16" ht="38.25" customHeight="1">
      <c r="B20" s="129" t="s">
        <v>113</v>
      </c>
      <c r="C20" s="112"/>
      <c r="D20" s="20">
        <f>SUMIFS('2추일입'!$M$7:$M$645,'2추일입'!$B$7:$B$645,'2추총괄표(실국별)'!$B20)</f>
        <v>0</v>
      </c>
      <c r="E20" s="20">
        <f>SUMIFS('2추일입'!$N$7:$N$645,'2추일입'!$B$7:$B$645,'2추총괄표(실국별)'!$B20)</f>
        <v>0</v>
      </c>
      <c r="F20" s="20">
        <f>SUMIFS('2추일출'!$M$25:$M$657,'2추일출'!$B$25:$B$657,'2추총괄표(실국별)'!$B20)</f>
        <v>0</v>
      </c>
      <c r="G20" s="20">
        <f>SUMIFS('2추일출'!$N$25:$N$657,'2추일출'!$B$25:$B$657,'2추총괄표(실국별)'!$B20)</f>
        <v>0</v>
      </c>
      <c r="H20" s="113">
        <f t="shared" si="3"/>
        <v>0</v>
      </c>
      <c r="J20" s="137"/>
      <c r="L20" s="138"/>
      <c r="M20" s="138"/>
    </row>
    <row r="21" spans="2:16" ht="38.25" customHeight="1">
      <c r="B21" s="129" t="s">
        <v>114</v>
      </c>
      <c r="C21" s="112"/>
      <c r="D21" s="20">
        <f>SUMIFS('2추일입'!$M$7:$M$645,'2추일입'!$B$7:$B$645,'2추총괄표(실국별)'!$B21)</f>
        <v>0</v>
      </c>
      <c r="E21" s="20">
        <f>SUMIFS('2추일입'!$N$7:$N$645,'2추일입'!$B$7:$B$645,'2추총괄표(실국별)'!$B21)</f>
        <v>0</v>
      </c>
      <c r="F21" s="20">
        <f>SUMIFS('2추일출'!$M$25:$M$657,'2추일출'!$B$25:$B$657,'2추총괄표(실국별)'!$B21)</f>
        <v>0</v>
      </c>
      <c r="G21" s="20">
        <f>SUMIFS('2추일출'!$N$25:$N$657,'2추일출'!$B$25:$B$657,'2추총괄표(실국별)'!$B21)</f>
        <v>0</v>
      </c>
      <c r="H21" s="113">
        <f t="shared" si="3"/>
        <v>0</v>
      </c>
      <c r="K21" s="15"/>
      <c r="L21" s="16"/>
      <c r="N21" s="96" t="s">
        <v>44</v>
      </c>
    </row>
    <row r="22" spans="2:16" s="141" customFormat="1" ht="38.25" customHeight="1">
      <c r="B22" s="129" t="s">
        <v>115</v>
      </c>
      <c r="C22" s="139"/>
      <c r="D22" s="20">
        <f>SUMIFS('2추일입'!$M$7:$M$645,'2추일입'!$B$7:$B$645,'2추총괄표(실국별)'!$B22)</f>
        <v>0</v>
      </c>
      <c r="E22" s="20">
        <f>SUMIFS('2추일입'!$N$7:$N$645,'2추일입'!$B$7:$B$645,'2추총괄표(실국별)'!$B22)</f>
        <v>0</v>
      </c>
      <c r="F22" s="20">
        <f>SUMIFS('2추일출'!$M$25:$M$657,'2추일출'!$B$25:$B$657,'2추총괄표(실국별)'!$B22)</f>
        <v>0</v>
      </c>
      <c r="G22" s="20">
        <f>SUMIFS('2추일출'!$N$25:$N$657,'2추일출'!$B$25:$B$657,'2추총괄표(실국별)'!$B22)</f>
        <v>0</v>
      </c>
      <c r="H22" s="113">
        <f t="shared" si="3"/>
        <v>0</v>
      </c>
      <c r="I22" s="140"/>
      <c r="J22" s="140"/>
      <c r="K22" s="15"/>
      <c r="L22" s="16"/>
      <c r="M22" s="126"/>
      <c r="N22" s="127" t="e">
        <f>N18-#REF!</f>
        <v>#REF!</v>
      </c>
      <c r="O22" s="140"/>
      <c r="P22" s="140"/>
    </row>
    <row r="23" spans="2:16" s="141" customFormat="1" ht="38.25" customHeight="1">
      <c r="B23" s="129" t="s">
        <v>388</v>
      </c>
      <c r="C23" s="139"/>
      <c r="D23" s="20">
        <f>SUMIFS('2추일입'!$M$7:$M$645,'2추일입'!$B$7:$B$645,'2추총괄표(실국별)'!$B23)</f>
        <v>0</v>
      </c>
      <c r="E23" s="20">
        <f>SUMIFS('2추일입'!$N$7:$N$645,'2추일입'!$B$7:$B$645,'2추총괄표(실국별)'!$B23)</f>
        <v>0</v>
      </c>
      <c r="F23" s="20">
        <f>SUMIFS('2추일출'!$M$25:$M$657,'2추일출'!$B$25:$B$657,'2추총괄표(실국별)'!$B23)</f>
        <v>0</v>
      </c>
      <c r="G23" s="20">
        <f>SUMIFS('2추일출'!$N$25:$N$657,'2추일출'!$B$25:$B$657,'2추총괄표(실국별)'!$B23)</f>
        <v>0</v>
      </c>
      <c r="H23" s="113">
        <f t="shared" si="3"/>
        <v>0</v>
      </c>
      <c r="I23" s="140"/>
      <c r="J23" s="140"/>
      <c r="K23" s="15"/>
      <c r="L23" s="16"/>
      <c r="M23" s="140"/>
      <c r="N23" s="140"/>
      <c r="O23" s="140"/>
      <c r="P23" s="140"/>
    </row>
    <row r="24" spans="2:16" s="141" customFormat="1" ht="38.25" customHeight="1">
      <c r="B24" s="129" t="s">
        <v>395</v>
      </c>
      <c r="C24" s="139"/>
      <c r="D24" s="20">
        <f>SUMIFS('2추일입'!$M$7:$M$645,'2추일입'!$B$7:$B$645,'2추총괄표(실국별)'!$B24)</f>
        <v>0</v>
      </c>
      <c r="E24" s="20">
        <f>SUMIFS('2추일입'!$N$7:$N$645,'2추일입'!$B$7:$B$645,'2추총괄표(실국별)'!$B24)</f>
        <v>0</v>
      </c>
      <c r="F24" s="20">
        <f>SUMIFS('2추일출'!$M$25:$M$657,'2추일출'!$B$25:$B$657,'2추총괄표(실국별)'!$B24)</f>
        <v>0</v>
      </c>
      <c r="G24" s="20">
        <f>SUMIFS('2추일출'!$N$25:$N$657,'2추일출'!$B$25:$B$657,'2추총괄표(실국별)'!$B24)</f>
        <v>0</v>
      </c>
      <c r="H24" s="113">
        <f t="shared" si="2"/>
        <v>0</v>
      </c>
      <c r="I24" s="140"/>
      <c r="J24" s="140"/>
      <c r="K24" s="15"/>
      <c r="L24" s="16"/>
      <c r="M24" s="140"/>
      <c r="N24" s="140"/>
      <c r="O24" s="140"/>
      <c r="P24" s="140"/>
    </row>
    <row r="25" spans="2:16" s="145" customFormat="1" ht="38.25" customHeight="1">
      <c r="B25" s="142" t="s">
        <v>397</v>
      </c>
      <c r="C25" s="143"/>
      <c r="D25" s="20">
        <f>SUMIFS('2추일입'!$M$7:$M$645,'2추일입'!$B$7:$B$645,'2추총괄표(실국별)'!$B25)</f>
        <v>0</v>
      </c>
      <c r="E25" s="20">
        <f>SUMIFS('2추일입'!$N$7:$N$645,'2추일입'!$B$7:$B$645,'2추총괄표(실국별)'!$B25)</f>
        <v>0</v>
      </c>
      <c r="F25" s="20">
        <f>SUMIFS('2추일출'!$M$25:$M$657,'2추일출'!$B$25:$B$657,'2추총괄표(실국별)'!$B25)</f>
        <v>0</v>
      </c>
      <c r="G25" s="20">
        <f>SUMIFS('2추일출'!$N$25:$N$657,'2추일출'!$B$25:$B$657,'2추총괄표(실국별)'!$B25)</f>
        <v>0</v>
      </c>
      <c r="H25" s="113">
        <f t="shared" si="2"/>
        <v>0</v>
      </c>
      <c r="I25" s="144"/>
      <c r="J25" s="144"/>
      <c r="K25" s="15"/>
      <c r="L25" s="16"/>
      <c r="M25" s="144"/>
      <c r="N25" s="144"/>
      <c r="O25" s="144"/>
      <c r="P25" s="144"/>
    </row>
    <row r="26" spans="2:16" ht="38.25" customHeight="1" thickBot="1">
      <c r="B26" s="129" t="s">
        <v>404</v>
      </c>
      <c r="C26" s="112"/>
      <c r="D26" s="20">
        <f>SUMIFS('2추일입'!$M$7:$M$645,'2추일입'!$B$7:$B$645,'2추총괄표(실국별)'!$B26)</f>
        <v>0</v>
      </c>
      <c r="E26" s="20">
        <f>SUMIFS('2추일입'!$N$7:$N$645,'2추일입'!$B$7:$B$645,'2추총괄표(실국별)'!$B26)</f>
        <v>0</v>
      </c>
      <c r="F26" s="20">
        <f>SUMIFS('2추일출'!$M$25:$M$657,'2추일출'!$B$25:$B$657,'2추총괄표(실국별)'!$B26)</f>
        <v>0</v>
      </c>
      <c r="G26" s="20">
        <f>SUMIFS('2추일출'!$N$25:$N$657,'2추일출'!$B$25:$B$657,'2추총괄표(실국별)'!$B26)</f>
        <v>0</v>
      </c>
      <c r="H26" s="113">
        <f t="shared" si="2"/>
        <v>0</v>
      </c>
      <c r="I26" s="132" t="e">
        <f>#REF!+#REF!</f>
        <v>#REF!</v>
      </c>
      <c r="J26" s="133" t="e">
        <f>#REF!+#REF!</f>
        <v>#REF!</v>
      </c>
      <c r="K26" s="104"/>
      <c r="N26" s="134">
        <f>M2-N2</f>
        <v>0</v>
      </c>
    </row>
    <row r="27" spans="2:16" ht="38.25" customHeight="1">
      <c r="B27" s="129" t="s">
        <v>70</v>
      </c>
      <c r="C27" s="112"/>
      <c r="D27" s="20">
        <f>SUMIFS('2추일입'!$M$7:$M$645,'2추일입'!$B$7:$B$645,'2추총괄표(실국별)'!$B27)</f>
        <v>0</v>
      </c>
      <c r="E27" s="20">
        <f>SUMIFS('2추일입'!$N$7:$N$645,'2추일입'!$B$7:$B$645,'2추총괄표(실국별)'!$B27)</f>
        <v>0</v>
      </c>
      <c r="F27" s="20">
        <f>SUMIFS('2추일출'!$M$25:$M$657,'2추일출'!$B$25:$B$657,'2추총괄표(실국별)'!$B27)</f>
        <v>0</v>
      </c>
      <c r="G27" s="20">
        <f>SUMIFS('2추일출'!$N$25:$N$657,'2추일출'!$B$25:$B$657,'2추총괄표(실국별)'!$B27)</f>
        <v>0</v>
      </c>
      <c r="H27" s="113">
        <f t="shared" si="2"/>
        <v>0</v>
      </c>
      <c r="J27" s="135"/>
      <c r="K27" s="136"/>
    </row>
    <row r="28" spans="2:16" ht="38.25" customHeight="1">
      <c r="B28" s="129" t="s">
        <v>327</v>
      </c>
      <c r="C28" s="112"/>
      <c r="D28" s="20">
        <f>SUMIFS('2추일입'!$M$7:$M$645,'2추일입'!$B$7:$B$645,'2추총괄표(실국별)'!$B28)</f>
        <v>0</v>
      </c>
      <c r="E28" s="20">
        <f>SUMIFS('2추일입'!$N$7:$N$645,'2추일입'!$B$7:$B$645,'2추총괄표(실국별)'!$B28)</f>
        <v>0</v>
      </c>
      <c r="F28" s="20">
        <f>SUMIFS('2추일출'!$M$25:$M$657,'2추일출'!$B$25:$B$657,'2추총괄표(실국별)'!$B28)</f>
        <v>0</v>
      </c>
      <c r="G28" s="20">
        <f>SUMIFS('2추일출'!$N$25:$N$657,'2추일출'!$B$25:$B$657,'2추총괄표(실국별)'!$B28)</f>
        <v>0</v>
      </c>
      <c r="H28" s="113">
        <f t="shared" si="2"/>
        <v>0</v>
      </c>
      <c r="J28" s="137"/>
      <c r="L28" s="138"/>
      <c r="M28" s="138"/>
    </row>
    <row r="29" spans="2:16" ht="38.25" customHeight="1">
      <c r="B29" s="129" t="s">
        <v>342</v>
      </c>
      <c r="C29" s="112"/>
      <c r="D29" s="20">
        <f>SUMIFS('2추일입'!$M$7:$M$645,'2추일입'!$B$7:$B$645,'2추총괄표(실국별)'!$B29)</f>
        <v>0</v>
      </c>
      <c r="E29" s="20">
        <f>SUMIFS('2추일입'!$N$7:$N$645,'2추일입'!$B$7:$B$645,'2추총괄표(실국별)'!$B29)</f>
        <v>0</v>
      </c>
      <c r="F29" s="20">
        <f>SUMIFS('2추일출'!$M$25:$M$657,'2추일출'!$B$25:$B$657,'2추총괄표(실국별)'!$B29)</f>
        <v>0</v>
      </c>
      <c r="G29" s="20">
        <f>SUMIFS('2추일출'!$N$25:$N$657,'2추일출'!$B$25:$B$657,'2추총괄표(실국별)'!$B29)</f>
        <v>0</v>
      </c>
      <c r="H29" s="113">
        <f t="shared" si="2"/>
        <v>0</v>
      </c>
      <c r="K29" s="15"/>
      <c r="L29" s="16"/>
      <c r="N29" s="96" t="s">
        <v>44</v>
      </c>
    </row>
    <row r="30" spans="2:16" s="141" customFormat="1" ht="38.25" customHeight="1">
      <c r="B30" s="129" t="s">
        <v>67</v>
      </c>
      <c r="C30" s="139"/>
      <c r="D30" s="20">
        <f>SUMIFS('2추일입'!$M$7:$M$645,'2추일입'!$B$7:$B$645,'2추총괄표(실국별)'!$B30)</f>
        <v>0</v>
      </c>
      <c r="E30" s="20">
        <f>SUMIFS('2추일입'!$N$7:$N$645,'2추일입'!$B$7:$B$645,'2추총괄표(실국별)'!$B30)</f>
        <v>0</v>
      </c>
      <c r="F30" s="20">
        <f>SUMIFS('2추일출'!$M$25:$M$657,'2추일출'!$B$25:$B$657,'2추총괄표(실국별)'!$B30)</f>
        <v>0</v>
      </c>
      <c r="G30" s="20">
        <f>SUMIFS('2추일출'!$N$25:$N$657,'2추일출'!$B$25:$B$657,'2추총괄표(실국별)'!$B30)</f>
        <v>0</v>
      </c>
      <c r="H30" s="113">
        <f t="shared" si="2"/>
        <v>0</v>
      </c>
      <c r="I30" s="140"/>
      <c r="J30" s="140"/>
      <c r="K30" s="15"/>
      <c r="L30" s="16"/>
      <c r="M30" s="126"/>
      <c r="N30" s="127">
        <f>N26-K2</f>
        <v>0</v>
      </c>
      <c r="O30" s="140"/>
      <c r="P30" s="140"/>
    </row>
    <row r="31" spans="2:16" ht="38.25" customHeight="1" thickBot="1">
      <c r="B31" s="129" t="s">
        <v>370</v>
      </c>
      <c r="C31" s="112"/>
      <c r="D31" s="20">
        <f>SUMIFS('2추일입'!$M$7:$M$645,'2추일입'!$B$7:$B$645,'2추총괄표(실국별)'!$B31)</f>
        <v>0</v>
      </c>
      <c r="E31" s="20">
        <f>SUMIFS('2추일입'!$N$7:$N$645,'2추일입'!$B$7:$B$645,'2추총괄표(실국별)'!$B31)</f>
        <v>0</v>
      </c>
      <c r="F31" s="20">
        <f>SUMIFS('2추일출'!$M$25:$M$657,'2추일출'!$B$25:$B$657,'2추총괄표(실국별)'!$B31)</f>
        <v>0</v>
      </c>
      <c r="G31" s="20">
        <f>SUMIFS('2추일출'!$N$25:$N$657,'2추일출'!$B$25:$B$657,'2추총괄표(실국별)'!$B31)</f>
        <v>0</v>
      </c>
      <c r="H31" s="113">
        <f t="shared" ref="H31:H33" si="4">C31+F31+G31</f>
        <v>0</v>
      </c>
      <c r="I31" s="132" t="e">
        <f>#REF!+#REF!</f>
        <v>#REF!</v>
      </c>
      <c r="J31" s="133" t="e">
        <f>#REF!+#REF!</f>
        <v>#REF!</v>
      </c>
      <c r="K31" s="104"/>
      <c r="N31" s="134" t="e">
        <f>M7-N7</f>
        <v>#REF!</v>
      </c>
    </row>
    <row r="32" spans="2:16" ht="38.25" customHeight="1">
      <c r="B32" s="129" t="s">
        <v>380</v>
      </c>
      <c r="C32" s="112"/>
      <c r="D32" s="20">
        <f>SUMIFS('2추일입'!$M$7:$M$645,'2추일입'!$B$7:$B$645,'2추총괄표(실국별)'!$B32)</f>
        <v>0</v>
      </c>
      <c r="E32" s="20">
        <f>SUMIFS('2추일입'!$N$7:$N$645,'2추일입'!$B$7:$B$645,'2추총괄표(실국별)'!$B32)</f>
        <v>0</v>
      </c>
      <c r="F32" s="20">
        <f>SUMIFS('2추일출'!$M$25:$M$657,'2추일출'!$B$25:$B$657,'2추총괄표(실국별)'!$B32)</f>
        <v>0</v>
      </c>
      <c r="G32" s="20">
        <f>SUMIFS('2추일출'!$N$25:$N$657,'2추일출'!$B$25:$B$657,'2추총괄표(실국별)'!$B32)</f>
        <v>0</v>
      </c>
      <c r="H32" s="113">
        <f t="shared" si="4"/>
        <v>0</v>
      </c>
      <c r="J32" s="135"/>
      <c r="K32" s="136"/>
    </row>
    <row r="33" spans="2:16" ht="38.25" customHeight="1" thickBot="1">
      <c r="B33" s="146" t="s">
        <v>406</v>
      </c>
      <c r="C33" s="152"/>
      <c r="D33" s="21">
        <f>SUMIFS('2추일입'!$M$7:$M$645,'2추일입'!$B$7:$B$645,'2추총괄표(실국별)'!$B33)</f>
        <v>0</v>
      </c>
      <c r="E33" s="21">
        <f>SUMIFS('2추일입'!$N$7:$N$645,'2추일입'!$B$7:$B$645,'2추총괄표(실국별)'!$B33)</f>
        <v>0</v>
      </c>
      <c r="F33" s="21">
        <f>SUMIFS('2추일출'!$M$25:$M$657,'2추일출'!$B$25:$B$657,'2추총괄표(실국별)'!$B33)</f>
        <v>0</v>
      </c>
      <c r="G33" s="21">
        <f>SUMIFS('2추일출'!$N$25:$N$657,'2추일출'!$B$25:$B$657,'2추총괄표(실국별)'!$B33)</f>
        <v>0</v>
      </c>
      <c r="H33" s="148">
        <f t="shared" si="4"/>
        <v>0</v>
      </c>
      <c r="J33" s="137"/>
      <c r="L33" s="138"/>
      <c r="M33" s="138"/>
    </row>
    <row r="34" spans="2:16" ht="18" customHeight="1">
      <c r="B34" s="102"/>
      <c r="C34" s="102"/>
      <c r="D34" s="102"/>
      <c r="E34" s="102"/>
      <c r="F34" s="102"/>
      <c r="G34" s="102"/>
      <c r="H34" s="102"/>
      <c r="K34" s="15"/>
      <c r="L34" s="16"/>
    </row>
    <row r="35" spans="2:16" ht="20.25" customHeight="1"/>
    <row r="36" spans="2:16" ht="20.25" customHeight="1"/>
    <row r="37" spans="2:16" ht="14.25">
      <c r="B37" s="153" t="s">
        <v>17</v>
      </c>
      <c r="C37" s="154" t="s">
        <v>52</v>
      </c>
      <c r="D37" s="155" t="s">
        <v>53</v>
      </c>
      <c r="E37" s="154" t="s">
        <v>54</v>
      </c>
      <c r="G37" s="96"/>
      <c r="H37" s="96"/>
      <c r="O37" s="58"/>
      <c r="P37" s="58"/>
    </row>
    <row r="38" spans="2:16" ht="15">
      <c r="B38" s="156" t="s">
        <v>122</v>
      </c>
      <c r="C38" s="157">
        <v>914581</v>
      </c>
      <c r="D38" s="158"/>
      <c r="E38" s="158">
        <f>SUM(C38:D38)</f>
        <v>914581</v>
      </c>
      <c r="G38" s="96"/>
      <c r="H38" s="96"/>
      <c r="O38" s="58"/>
      <c r="P38" s="58"/>
    </row>
    <row r="39" spans="2:16" ht="15">
      <c r="B39" s="156" t="s">
        <v>109</v>
      </c>
      <c r="C39" s="157">
        <v>3119807801</v>
      </c>
      <c r="D39" s="157">
        <v>1780946434</v>
      </c>
      <c r="E39" s="158">
        <f t="shared" ref="E39:E66" si="5">SUM(C39:D39)</f>
        <v>4900754235</v>
      </c>
      <c r="H39" s="96"/>
      <c r="O39" s="58"/>
      <c r="P39" s="58"/>
    </row>
    <row r="40" spans="2:16" ht="15">
      <c r="B40" s="156" t="s">
        <v>110</v>
      </c>
      <c r="C40" s="157">
        <v>190109521</v>
      </c>
      <c r="D40" s="157">
        <v>28360000</v>
      </c>
      <c r="E40" s="158">
        <f t="shared" si="5"/>
        <v>218469521</v>
      </c>
      <c r="H40" s="96"/>
      <c r="O40" s="58"/>
      <c r="P40" s="58"/>
    </row>
    <row r="41" spans="2:16" ht="15">
      <c r="B41" s="159" t="s">
        <v>111</v>
      </c>
      <c r="C41" s="157">
        <v>544196314</v>
      </c>
      <c r="D41" s="158"/>
      <c r="E41" s="158">
        <f t="shared" si="5"/>
        <v>544196314</v>
      </c>
      <c r="G41" s="96"/>
      <c r="H41" s="96"/>
      <c r="O41" s="58"/>
      <c r="P41" s="58"/>
    </row>
    <row r="42" spans="2:16" ht="15">
      <c r="B42" s="156" t="s">
        <v>112</v>
      </c>
      <c r="C42" s="157">
        <v>224243208</v>
      </c>
      <c r="D42" s="157">
        <v>52484400</v>
      </c>
      <c r="E42" s="158">
        <f t="shared" si="5"/>
        <v>276727608</v>
      </c>
      <c r="H42" s="96"/>
      <c r="O42" s="58"/>
      <c r="P42" s="58"/>
    </row>
    <row r="43" spans="2:16" ht="15">
      <c r="B43" s="159" t="s">
        <v>65</v>
      </c>
      <c r="C43" s="157">
        <v>249710070</v>
      </c>
      <c r="D43" s="158"/>
      <c r="E43" s="158">
        <f t="shared" si="5"/>
        <v>249710070</v>
      </c>
      <c r="G43" s="96"/>
      <c r="H43" s="96"/>
      <c r="O43" s="58"/>
      <c r="P43" s="58"/>
    </row>
    <row r="44" spans="2:16" ht="15">
      <c r="B44" s="159" t="s">
        <v>113</v>
      </c>
      <c r="C44" s="157">
        <v>2571625696</v>
      </c>
      <c r="D44" s="158"/>
      <c r="E44" s="158">
        <f t="shared" si="5"/>
        <v>2571625696</v>
      </c>
      <c r="G44" s="96"/>
      <c r="H44" s="96"/>
      <c r="O44" s="58"/>
      <c r="P44" s="58"/>
    </row>
    <row r="45" spans="2:16" ht="15">
      <c r="B45" s="156" t="s">
        <v>114</v>
      </c>
      <c r="C45" s="157">
        <v>94671441</v>
      </c>
      <c r="D45" s="158"/>
      <c r="E45" s="158">
        <f t="shared" si="5"/>
        <v>94671441</v>
      </c>
      <c r="G45" s="96"/>
      <c r="H45" s="96"/>
      <c r="O45" s="58"/>
      <c r="P45" s="58"/>
    </row>
    <row r="46" spans="2:16" ht="15">
      <c r="B46" s="156" t="s">
        <v>106</v>
      </c>
      <c r="C46" s="157">
        <v>107956457</v>
      </c>
      <c r="E46" s="158">
        <f t="shared" si="5"/>
        <v>107956457</v>
      </c>
      <c r="H46" s="96"/>
      <c r="O46" s="58"/>
      <c r="P46" s="58"/>
    </row>
    <row r="47" spans="2:16" ht="15">
      <c r="B47" s="156" t="s">
        <v>115</v>
      </c>
      <c r="C47" s="157">
        <v>1879955306</v>
      </c>
      <c r="D47" s="158"/>
      <c r="E47" s="158">
        <f t="shared" si="5"/>
        <v>1879955306</v>
      </c>
      <c r="G47" s="96"/>
      <c r="H47" s="96"/>
      <c r="O47" s="58"/>
      <c r="P47" s="58"/>
    </row>
    <row r="48" spans="2:16" ht="15">
      <c r="B48" s="156" t="s">
        <v>120</v>
      </c>
      <c r="C48" s="157">
        <v>475412376</v>
      </c>
      <c r="D48" s="158"/>
      <c r="E48" s="158">
        <f t="shared" si="5"/>
        <v>475412376</v>
      </c>
      <c r="G48" s="96"/>
      <c r="H48" s="96"/>
      <c r="O48" s="58"/>
      <c r="P48" s="58"/>
    </row>
    <row r="49" spans="2:5" ht="15">
      <c r="B49" s="156" t="s">
        <v>116</v>
      </c>
      <c r="C49" s="157">
        <v>148252370</v>
      </c>
      <c r="D49" s="157">
        <v>384743740</v>
      </c>
      <c r="E49" s="158">
        <f t="shared" si="5"/>
        <v>532996110</v>
      </c>
    </row>
    <row r="50" spans="2:5" ht="15">
      <c r="B50" s="156" t="s">
        <v>123</v>
      </c>
      <c r="C50" s="157">
        <v>9607826</v>
      </c>
      <c r="E50" s="158">
        <f t="shared" si="5"/>
        <v>9607826</v>
      </c>
    </row>
    <row r="51" spans="2:5" ht="15">
      <c r="B51" s="156" t="s">
        <v>117</v>
      </c>
      <c r="C51" s="157">
        <v>384069</v>
      </c>
      <c r="E51" s="158">
        <f t="shared" si="5"/>
        <v>384069</v>
      </c>
    </row>
    <row r="52" spans="2:5" ht="15">
      <c r="B52" s="156" t="s">
        <v>70</v>
      </c>
      <c r="C52" s="157">
        <v>1353512493</v>
      </c>
      <c r="E52" s="158">
        <f t="shared" si="5"/>
        <v>1353512493</v>
      </c>
    </row>
    <row r="53" spans="2:5" ht="15">
      <c r="B53" s="156" t="s">
        <v>107</v>
      </c>
      <c r="C53" s="157">
        <v>69450506</v>
      </c>
      <c r="E53" s="158">
        <f t="shared" si="5"/>
        <v>69450506</v>
      </c>
    </row>
    <row r="54" spans="2:5" ht="15">
      <c r="B54" s="156" t="s">
        <v>108</v>
      </c>
      <c r="C54" s="157">
        <v>173302168</v>
      </c>
      <c r="E54" s="158">
        <f t="shared" si="5"/>
        <v>173302168</v>
      </c>
    </row>
    <row r="55" spans="2:5" ht="15">
      <c r="B55" s="156" t="s">
        <v>118</v>
      </c>
      <c r="C55" s="157">
        <v>2325292998</v>
      </c>
      <c r="E55" s="158">
        <f t="shared" si="5"/>
        <v>2325292998</v>
      </c>
    </row>
    <row r="56" spans="2:5" ht="15">
      <c r="B56" s="156" t="s">
        <v>67</v>
      </c>
      <c r="C56" s="157">
        <v>193048941</v>
      </c>
      <c r="E56" s="158">
        <f t="shared" si="5"/>
        <v>193048941</v>
      </c>
    </row>
    <row r="57" spans="2:5" ht="15">
      <c r="B57" s="156" t="s">
        <v>119</v>
      </c>
      <c r="C57" s="157">
        <v>866196185</v>
      </c>
      <c r="E57" s="158">
        <f t="shared" si="5"/>
        <v>866196185</v>
      </c>
    </row>
    <row r="58" spans="2:5" ht="15">
      <c r="B58" s="156" t="s">
        <v>124</v>
      </c>
      <c r="C58" s="157">
        <v>1402108</v>
      </c>
      <c r="E58" s="158">
        <f t="shared" si="5"/>
        <v>1402108</v>
      </c>
    </row>
    <row r="59" spans="2:5" ht="15">
      <c r="B59" s="156" t="s">
        <v>62</v>
      </c>
      <c r="C59" s="157">
        <v>29930218</v>
      </c>
      <c r="E59" s="158">
        <f t="shared" si="5"/>
        <v>29930218</v>
      </c>
    </row>
    <row r="60" spans="2:5" ht="15">
      <c r="B60" s="156" t="s">
        <v>125</v>
      </c>
      <c r="C60" s="157">
        <v>39275302</v>
      </c>
      <c r="E60" s="158">
        <f t="shared" si="5"/>
        <v>39275302</v>
      </c>
    </row>
    <row r="61" spans="2:5" ht="15">
      <c r="B61" s="156" t="s">
        <v>126</v>
      </c>
      <c r="C61" s="157">
        <v>8910247</v>
      </c>
      <c r="E61" s="158">
        <f t="shared" si="5"/>
        <v>8910247</v>
      </c>
    </row>
    <row r="62" spans="2:5" ht="15">
      <c r="B62" s="156" t="s">
        <v>127</v>
      </c>
      <c r="C62" s="157">
        <v>9409184</v>
      </c>
      <c r="E62" s="158">
        <f t="shared" si="5"/>
        <v>9409184</v>
      </c>
    </row>
    <row r="63" spans="2:5" ht="15">
      <c r="B63" s="156" t="s">
        <v>121</v>
      </c>
      <c r="C63" s="157">
        <v>563921605</v>
      </c>
      <c r="E63" s="158">
        <f t="shared" si="5"/>
        <v>563921605</v>
      </c>
    </row>
    <row r="64" spans="2:5" ht="15">
      <c r="B64" s="156" t="s">
        <v>128</v>
      </c>
      <c r="C64" s="157">
        <v>246707189</v>
      </c>
      <c r="E64" s="158">
        <f t="shared" si="5"/>
        <v>246707189</v>
      </c>
    </row>
    <row r="65" spans="2:5" ht="15">
      <c r="B65" s="156" t="s">
        <v>129</v>
      </c>
      <c r="C65" s="157">
        <v>5137721</v>
      </c>
      <c r="E65" s="158">
        <f t="shared" si="5"/>
        <v>5137721</v>
      </c>
    </row>
    <row r="66" spans="2:5" ht="15">
      <c r="B66" s="156" t="s">
        <v>130</v>
      </c>
      <c r="C66" s="157">
        <v>53973769</v>
      </c>
      <c r="E66" s="158">
        <f t="shared" si="5"/>
        <v>53973769</v>
      </c>
    </row>
    <row r="67" spans="2:5" ht="15">
      <c r="B67" s="156" t="s">
        <v>20</v>
      </c>
      <c r="C67" s="158">
        <f>SUM(C38:C66)</f>
        <v>15556317670</v>
      </c>
      <c r="D67" s="158">
        <f>SUM(D38:D66)</f>
        <v>2246534574</v>
      </c>
      <c r="E67" s="158">
        <f t="shared" ref="E67" si="6">SUM(C67:D67)</f>
        <v>17802852244</v>
      </c>
    </row>
    <row r="167" spans="1:20" s="96" customFormat="1" ht="24">
      <c r="A167" s="58"/>
      <c r="B167" s="58"/>
      <c r="C167" s="58"/>
      <c r="D167" s="58"/>
      <c r="E167" s="58"/>
      <c r="F167" s="58"/>
      <c r="G167" s="58"/>
      <c r="H167" s="58"/>
      <c r="I167" s="136" t="s">
        <v>56</v>
      </c>
      <c r="Q167" s="58"/>
      <c r="R167" s="58"/>
      <c r="S167" s="58"/>
      <c r="T167" s="58"/>
    </row>
    <row r="297" spans="1:20" s="96" customFormat="1">
      <c r="A297" s="58"/>
      <c r="B297" s="58"/>
      <c r="C297" s="58"/>
      <c r="D297" s="58"/>
      <c r="E297" s="58"/>
      <c r="F297" s="58"/>
      <c r="G297" s="58"/>
      <c r="H297" s="58"/>
      <c r="I297" s="160"/>
      <c r="K297" s="96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7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G3" sqref="G3"/>
    </sheetView>
  </sheetViews>
  <sheetFormatPr defaultColWidth="8.75" defaultRowHeight="13.5"/>
  <cols>
    <col min="1" max="1" width="13.25" style="38" customWidth="1"/>
    <col min="2" max="2" width="9.125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23.625" style="38" customWidth="1"/>
    <col min="7" max="7" width="8.625" style="38" customWidth="1"/>
    <col min="8" max="9" width="9.125" style="38" customWidth="1"/>
    <col min="10" max="10" width="11.625" style="38" customWidth="1"/>
    <col min="11" max="13" width="11.625" style="38" hidden="1" customWidth="1"/>
    <col min="14" max="14" width="8.375" style="11" hidden="1" customWidth="1"/>
    <col min="15" max="15" width="29.37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89" t="s">
        <v>835</v>
      </c>
      <c r="B1" s="389"/>
      <c r="C1" s="389"/>
      <c r="D1" s="389"/>
      <c r="E1" s="389"/>
      <c r="F1" s="389"/>
      <c r="G1" s="390"/>
      <c r="H1" s="389"/>
      <c r="I1" s="389"/>
      <c r="J1" s="389"/>
      <c r="K1" s="389"/>
      <c r="L1" s="389"/>
      <c r="M1" s="389"/>
      <c r="N1" s="389"/>
      <c r="O1" s="389"/>
    </row>
    <row r="2" spans="1:29" ht="20.25">
      <c r="A2" s="12" t="s">
        <v>836</v>
      </c>
      <c r="B2" s="12"/>
      <c r="C2" s="12"/>
      <c r="D2" s="59"/>
      <c r="E2" s="59"/>
      <c r="F2" s="12"/>
      <c r="K2" s="26"/>
      <c r="L2" s="26"/>
      <c r="T2" s="26" t="s">
        <v>837</v>
      </c>
      <c r="U2" s="27"/>
      <c r="Y2" s="26" t="s">
        <v>837</v>
      </c>
      <c r="Z2" s="27"/>
    </row>
    <row r="3" spans="1:29" ht="20.25">
      <c r="H3" s="67">
        <f>COUNTA(H7:H15)</f>
        <v>0</v>
      </c>
      <c r="I3" s="67">
        <f>COUNTA(I7:I15)</f>
        <v>0</v>
      </c>
      <c r="J3" s="68"/>
      <c r="K3" s="67">
        <f>COUNTA(K7:K15)</f>
        <v>0</v>
      </c>
      <c r="L3" s="67">
        <f>COUNTA(L7:L15)</f>
        <v>0</v>
      </c>
      <c r="M3" s="25"/>
      <c r="N3" s="30"/>
      <c r="O3" s="62" t="s">
        <v>838</v>
      </c>
      <c r="T3" s="27" t="str">
        <f>IF(T6='[5]15년일입'!$T$6,"OK","@@")</f>
        <v>@@</v>
      </c>
      <c r="U3" s="38">
        <f>SUM(T6:U6)</f>
        <v>0</v>
      </c>
      <c r="V3" s="27" t="str">
        <f>IF(COUNTIF(V6:V908,"@@")&gt;0,"@@","OK")</f>
        <v>OK</v>
      </c>
      <c r="Y3" s="27" t="str">
        <f>IF(Y6='[5]2추일입'!$AA$6,"OK","@@")</f>
        <v>OK</v>
      </c>
      <c r="Z3" s="38">
        <f>SUM(Y6:Z6)</f>
        <v>0</v>
      </c>
      <c r="AA3" s="27" t="str">
        <f>IF(COUNTIF(AA6:AA908,"@@")&gt;0,"@@","OK")</f>
        <v>OK</v>
      </c>
      <c r="AC3" s="63"/>
    </row>
    <row r="4" spans="1:29" ht="30" customHeight="1">
      <c r="A4" s="391" t="s">
        <v>839</v>
      </c>
      <c r="B4" s="391" t="s">
        <v>840</v>
      </c>
      <c r="C4" s="391" t="s">
        <v>841</v>
      </c>
      <c r="D4" s="393" t="s">
        <v>842</v>
      </c>
      <c r="E4" s="394" t="s">
        <v>843</v>
      </c>
      <c r="F4" s="391" t="s">
        <v>844</v>
      </c>
      <c r="G4" s="394" t="s">
        <v>845</v>
      </c>
      <c r="H4" s="360" t="s">
        <v>846</v>
      </c>
      <c r="I4" s="361"/>
      <c r="J4" s="362" t="s">
        <v>847</v>
      </c>
      <c r="K4" s="380" t="s">
        <v>848</v>
      </c>
      <c r="L4" s="379"/>
      <c r="M4" s="377" t="s">
        <v>849</v>
      </c>
      <c r="N4" s="383" t="s">
        <v>850</v>
      </c>
      <c r="O4" s="384" t="s">
        <v>851</v>
      </c>
      <c r="Q4" s="381" t="s">
        <v>852</v>
      </c>
      <c r="S4" s="385" t="s">
        <v>853</v>
      </c>
      <c r="T4" s="376" t="s">
        <v>854</v>
      </c>
      <c r="U4" s="361"/>
      <c r="V4" s="361"/>
      <c r="X4" s="387" t="s">
        <v>853</v>
      </c>
      <c r="Y4" s="379" t="s">
        <v>855</v>
      </c>
      <c r="Z4" s="379"/>
      <c r="AA4" s="379"/>
      <c r="AC4" s="381" t="s">
        <v>856</v>
      </c>
    </row>
    <row r="5" spans="1:29" ht="18" customHeight="1">
      <c r="A5" s="392"/>
      <c r="B5" s="392"/>
      <c r="C5" s="392"/>
      <c r="D5" s="392"/>
      <c r="E5" s="394"/>
      <c r="F5" s="392"/>
      <c r="G5" s="384"/>
      <c r="H5" s="235" t="s">
        <v>857</v>
      </c>
      <c r="I5" s="235" t="s">
        <v>858</v>
      </c>
      <c r="J5" s="363"/>
      <c r="K5" s="65" t="s">
        <v>857</v>
      </c>
      <c r="L5" s="65" t="s">
        <v>858</v>
      </c>
      <c r="M5" s="378"/>
      <c r="N5" s="383"/>
      <c r="O5" s="384"/>
      <c r="Q5" s="382"/>
      <c r="S5" s="386"/>
      <c r="T5" s="235" t="s">
        <v>859</v>
      </c>
      <c r="U5" s="235" t="s">
        <v>860</v>
      </c>
      <c r="V5" s="235" t="s">
        <v>861</v>
      </c>
      <c r="X5" s="388"/>
      <c r="Y5" s="65" t="s">
        <v>859</v>
      </c>
      <c r="Z5" s="65" t="s">
        <v>860</v>
      </c>
      <c r="AA5" s="65" t="s">
        <v>861</v>
      </c>
      <c r="AC5" s="382"/>
    </row>
    <row r="6" spans="1:29" ht="47.25" customHeight="1">
      <c r="A6" s="175" t="s">
        <v>862</v>
      </c>
      <c r="B6" s="175" t="s">
        <v>862</v>
      </c>
      <c r="C6" s="13"/>
      <c r="D6" s="175" t="s">
        <v>863</v>
      </c>
      <c r="E6" s="14"/>
      <c r="F6" s="175" t="s">
        <v>864</v>
      </c>
      <c r="G6" s="19">
        <f t="shared" ref="G6:M6" si="0">SUBTOTAL(9,G7:G820)</f>
        <v>0</v>
      </c>
      <c r="H6" s="19">
        <f t="shared" si="0"/>
        <v>0</v>
      </c>
      <c r="I6" s="19">
        <f t="shared" si="0"/>
        <v>0</v>
      </c>
      <c r="J6" s="19">
        <f t="shared" si="0"/>
        <v>0</v>
      </c>
      <c r="K6" s="19">
        <f t="shared" si="0"/>
        <v>0</v>
      </c>
      <c r="L6" s="19">
        <f t="shared" si="0"/>
        <v>0</v>
      </c>
      <c r="M6" s="19">
        <f t="shared" si="0"/>
        <v>0</v>
      </c>
      <c r="N6" s="37"/>
      <c r="O6" s="28"/>
      <c r="Q6" s="39"/>
      <c r="S6" s="201" t="s">
        <v>865</v>
      </c>
      <c r="T6" s="19">
        <f>SUBTOTAL(9,T7:T820)</f>
        <v>0</v>
      </c>
      <c r="U6" s="19">
        <f>SUBTOTAL(9,U7:U820)</f>
        <v>0</v>
      </c>
      <c r="V6" s="29" t="str">
        <f>IF((H6+I6)=(T6+U6),"OK","검토")</f>
        <v>OK</v>
      </c>
      <c r="X6" s="53"/>
      <c r="Y6" s="19">
        <f>SUBTOTAL(9,Y7:Y820)</f>
        <v>0</v>
      </c>
      <c r="Z6" s="19">
        <f>SUBTOTAL(9,Z7:Z820)</f>
        <v>0</v>
      </c>
      <c r="AA6" s="29" t="str">
        <f>IF((K6+L6)=(Y6+Z6),"OK","검토")</f>
        <v>OK</v>
      </c>
      <c r="AC6" s="29" t="str">
        <f>IF(COUNTIF(AC7:AC637,"@@")&gt;0,"@@","OK")</f>
        <v>OK</v>
      </c>
    </row>
    <row r="7" spans="1:29" ht="54">
      <c r="A7" s="72" t="str">
        <f>IFERROR(VLOOKUP('15년기금'!$C7,[5]구분표!$A$2:$C$1001,2,FALSE),"")</f>
        <v>보건복지위원회</v>
      </c>
      <c r="B7" s="72" t="str">
        <f>IFERROR(VLOOKUP('15년기금'!$C7,[5]구분표!$A$2:$C$1001,3,FALSE),"")</f>
        <v>보건복지국</v>
      </c>
      <c r="C7" s="176" t="s">
        <v>866</v>
      </c>
      <c r="D7" s="179"/>
      <c r="E7" s="179" t="s">
        <v>867</v>
      </c>
      <c r="F7" s="176" t="s">
        <v>868</v>
      </c>
      <c r="G7" s="178"/>
      <c r="H7" s="178"/>
      <c r="I7" s="178"/>
      <c r="J7" s="73">
        <f t="shared" ref="J7:J15" si="1">SUM(G7+H7+I7)</f>
        <v>0</v>
      </c>
      <c r="K7" s="178"/>
      <c r="L7" s="178"/>
      <c r="M7" s="73">
        <f t="shared" ref="M7:M15" si="2">SUM(G7+K7+L7)</f>
        <v>0</v>
      </c>
      <c r="N7" s="74" t="str">
        <f t="shared" ref="N7:N15" si="3">IF(H7-K7&lt;0,"동의필요","-")</f>
        <v>-</v>
      </c>
      <c r="O7" s="187" t="s">
        <v>869</v>
      </c>
      <c r="P7" s="75"/>
      <c r="Q7" s="189"/>
      <c r="R7" s="75"/>
      <c r="S7" s="78" t="str">
        <f t="shared" ref="S7:S15" si="4">IF($Q7="도비","도비",IF(COUNT(FIND("국비/",$F7)),"국비",IF(COUNT(FIND("지특/",$F7)),"지특",IF(COUNT(FIND("기금/",$F7)),"기금",IF(COUNT(FIND("교부세/",$F7)),"특교",IF(COUNT(FIND("자체/",$F7)),"도비",""))))))</f>
        <v/>
      </c>
      <c r="T7" s="178">
        <f t="shared" ref="T7:T15" si="5">IF($S7&lt;&gt;"도비",IF($Q7="국도비","직접입력",SUM($H7:$I7)),)</f>
        <v>0</v>
      </c>
      <c r="U7" s="178">
        <f t="shared" ref="U7:U15" si="6">IF($S7="도비",SUM($H7:$I7),IF($Q7="국도비","직접입력",SUM($H7:$I7)-$T7))</f>
        <v>0</v>
      </c>
      <c r="V7" s="77" t="str">
        <f t="shared" ref="V7:V15" si="7">IF($Q7="국도비","ok",IF(($H7+$I7)=($T7+$U7),"ok","검토"))</f>
        <v>ok</v>
      </c>
      <c r="W7" s="75"/>
      <c r="X7" s="76" t="str">
        <f t="shared" ref="X7:X15" si="8">$S7</f>
        <v/>
      </c>
      <c r="Y7" s="178">
        <f t="shared" ref="Y7:Y15" si="9">IF($X7&lt;&gt;"도비",IF($Q7="국도비","직접입력",SUM($K7:$L7)),)</f>
        <v>0</v>
      </c>
      <c r="Z7" s="178">
        <f t="shared" ref="Z7:Z15" si="10">IF($X7="도비",SUM($K7:$L7),IF($Q7="국도비","직접입력",SUM($K7:$L7)-$Y7))</f>
        <v>0</v>
      </c>
      <c r="AA7" s="77" t="str">
        <f t="shared" ref="AA7:AA15" si="11">IF($Q7="국도비","ok",IF(($K7+$L7)=($Y7+$Z7),"ok","검토"))</f>
        <v>ok</v>
      </c>
      <c r="AB7" s="75"/>
      <c r="AC7" s="79" t="str">
        <f t="array" ref="AC7">IFERROR(IF($C7="","",INDEX([5]구분표!$I$2:$I$1001,MATCH(1,([5]구분표!$B$2:$B$1001='15년기금'!$A7)*([5]구분표!$C$2:$C$1001='15년기금'!$B7)*([5]구분표!$A$2:$A$1001='15년기금'!$C7),0))),"@@")</f>
        <v>1902</v>
      </c>
    </row>
    <row r="8" spans="1:29" ht="31.5" customHeight="1">
      <c r="A8" s="72" t="str">
        <f>IFERROR(VLOOKUP('15년기금'!$C8,[5]구분표!$A$2:$C$1001,2,FALSE),"")</f>
        <v/>
      </c>
      <c r="B8" s="72" t="str">
        <f>IFERROR(VLOOKUP('15년기금'!$C8,[5]구분표!$A$2:$C$1001,3,FALSE),"")</f>
        <v/>
      </c>
      <c r="C8" s="176"/>
      <c r="D8" s="177"/>
      <c r="E8" s="177"/>
      <c r="F8" s="176"/>
      <c r="G8" s="178"/>
      <c r="H8" s="178"/>
      <c r="I8" s="178"/>
      <c r="J8" s="73">
        <f t="shared" si="1"/>
        <v>0</v>
      </c>
      <c r="K8" s="178"/>
      <c r="L8" s="178"/>
      <c r="M8" s="73">
        <f t="shared" si="2"/>
        <v>0</v>
      </c>
      <c r="N8" s="74" t="str">
        <f t="shared" si="3"/>
        <v>-</v>
      </c>
      <c r="O8" s="187"/>
      <c r="P8" s="75"/>
      <c r="Q8" s="189"/>
      <c r="R8" s="75"/>
      <c r="S8" s="78" t="str">
        <f t="shared" si="4"/>
        <v/>
      </c>
      <c r="T8" s="178">
        <f t="shared" si="5"/>
        <v>0</v>
      </c>
      <c r="U8" s="178">
        <f t="shared" si="6"/>
        <v>0</v>
      </c>
      <c r="V8" s="77" t="str">
        <f t="shared" si="7"/>
        <v>ok</v>
      </c>
      <c r="W8" s="75"/>
      <c r="X8" s="76" t="str">
        <f t="shared" si="8"/>
        <v/>
      </c>
      <c r="Y8" s="178">
        <f t="shared" si="9"/>
        <v>0</v>
      </c>
      <c r="Z8" s="178">
        <f t="shared" si="10"/>
        <v>0</v>
      </c>
      <c r="AA8" s="77" t="str">
        <f t="shared" si="11"/>
        <v>ok</v>
      </c>
      <c r="AB8" s="75"/>
      <c r="AC8" s="79" t="str">
        <f t="array" ref="AC8">IFERROR(IF($C8="","",INDEX([5]구분표!$I$2:$I$1001,MATCH(1,([5]구분표!$B$2:$B$1001='15년기금'!$A8)*([5]구분표!$C$2:$C$1001='15년기금'!$B8)*([5]구분표!$A$2:$A$1001='15년기금'!$C8),0))),"@@")</f>
        <v/>
      </c>
    </row>
    <row r="9" spans="1:29" ht="31.5" customHeight="1">
      <c r="A9" s="72" t="str">
        <f>IFERROR(VLOOKUP('15년기금'!$C9,[5]구분표!$A$2:$C$1001,2,FALSE),"")</f>
        <v/>
      </c>
      <c r="B9" s="72" t="str">
        <f>IFERROR(VLOOKUP('15년기금'!$C9,[5]구분표!$A$2:$C$1001,3,FALSE),"")</f>
        <v/>
      </c>
      <c r="C9" s="176"/>
      <c r="D9" s="177"/>
      <c r="E9" s="177"/>
      <c r="F9" s="176"/>
      <c r="G9" s="178"/>
      <c r="H9" s="178"/>
      <c r="I9" s="178"/>
      <c r="J9" s="73">
        <f t="shared" si="1"/>
        <v>0</v>
      </c>
      <c r="K9" s="178"/>
      <c r="L9" s="178"/>
      <c r="M9" s="73">
        <f t="shared" si="2"/>
        <v>0</v>
      </c>
      <c r="N9" s="74" t="str">
        <f t="shared" si="3"/>
        <v>-</v>
      </c>
      <c r="O9" s="187"/>
      <c r="P9" s="75"/>
      <c r="Q9" s="189"/>
      <c r="R9" s="75"/>
      <c r="S9" s="78" t="str">
        <f t="shared" si="4"/>
        <v/>
      </c>
      <c r="T9" s="178">
        <f t="shared" si="5"/>
        <v>0</v>
      </c>
      <c r="U9" s="178">
        <f t="shared" si="6"/>
        <v>0</v>
      </c>
      <c r="V9" s="77" t="str">
        <f t="shared" si="7"/>
        <v>ok</v>
      </c>
      <c r="W9" s="75"/>
      <c r="X9" s="76" t="str">
        <f t="shared" si="8"/>
        <v/>
      </c>
      <c r="Y9" s="178">
        <f t="shared" si="9"/>
        <v>0</v>
      </c>
      <c r="Z9" s="178">
        <f t="shared" si="10"/>
        <v>0</v>
      </c>
      <c r="AA9" s="77" t="str">
        <f t="shared" si="11"/>
        <v>ok</v>
      </c>
      <c r="AB9" s="75"/>
      <c r="AC9" s="79" t="str">
        <f t="array" ref="AC9">IFERROR(IF($C9="","",INDEX([5]구분표!$I$2:$I$1001,MATCH(1,([5]구분표!$B$2:$B$1001='15년기금'!$A9)*([5]구분표!$C$2:$C$1001='15년기금'!$B9)*([5]구분표!$A$2:$A$1001='15년기금'!$C9),0))),"@@")</f>
        <v/>
      </c>
    </row>
    <row r="10" spans="1:29" ht="31.5" customHeight="1">
      <c r="A10" s="83" t="str">
        <f>IFERROR(VLOOKUP('15년기금'!$C10,[5]구분표!$A$2:$C$1001,2,FALSE),"")</f>
        <v/>
      </c>
      <c r="B10" s="83" t="str">
        <f>IFERROR(VLOOKUP('15년기금'!$C10,[5]구분표!$A$2:$C$1001,3,FALSE),"")</f>
        <v/>
      </c>
      <c r="C10" s="180"/>
      <c r="D10" s="179"/>
      <c r="E10" s="179"/>
      <c r="F10" s="180"/>
      <c r="G10" s="178"/>
      <c r="H10" s="178"/>
      <c r="I10" s="178"/>
      <c r="J10" s="73">
        <f t="shared" si="1"/>
        <v>0</v>
      </c>
      <c r="K10" s="178"/>
      <c r="L10" s="178"/>
      <c r="M10" s="73">
        <f t="shared" si="2"/>
        <v>0</v>
      </c>
      <c r="N10" s="74" t="str">
        <f t="shared" si="3"/>
        <v>-</v>
      </c>
      <c r="O10" s="187"/>
      <c r="P10" s="75"/>
      <c r="Q10" s="189"/>
      <c r="R10" s="75"/>
      <c r="S10" s="78" t="str">
        <f t="shared" si="4"/>
        <v/>
      </c>
      <c r="T10" s="178">
        <f t="shared" si="5"/>
        <v>0</v>
      </c>
      <c r="U10" s="178">
        <f t="shared" si="6"/>
        <v>0</v>
      </c>
      <c r="V10" s="77" t="str">
        <f t="shared" si="7"/>
        <v>ok</v>
      </c>
      <c r="W10" s="75"/>
      <c r="X10" s="76" t="str">
        <f t="shared" si="8"/>
        <v/>
      </c>
      <c r="Y10" s="178">
        <f t="shared" si="9"/>
        <v>0</v>
      </c>
      <c r="Z10" s="178">
        <f t="shared" si="10"/>
        <v>0</v>
      </c>
      <c r="AA10" s="77" t="str">
        <f t="shared" si="11"/>
        <v>ok</v>
      </c>
      <c r="AB10" s="75"/>
      <c r="AC10" s="79" t="str">
        <f t="array" ref="AC10">IFERROR(IF($C10="","",INDEX([5]구분표!$I$2:$I$1001,MATCH(1,([5]구분표!$B$2:$B$1001='15년기금'!$A10)*([5]구분표!$C$2:$C$1001='15년기금'!$B10)*([5]구분표!$A$2:$A$1001='15년기금'!$C10),0))),"@@")</f>
        <v/>
      </c>
    </row>
    <row r="11" spans="1:29" ht="31.5" customHeight="1">
      <c r="A11" s="72" t="str">
        <f>IFERROR(VLOOKUP('15년기금'!$C11,[5]구분표!$A$2:$C$1001,2,FALSE),"")</f>
        <v/>
      </c>
      <c r="B11" s="72" t="str">
        <f>IFERROR(VLOOKUP('15년기금'!$C11,[5]구분표!$A$2:$C$1001,3,FALSE),"")</f>
        <v/>
      </c>
      <c r="C11" s="176"/>
      <c r="D11" s="177"/>
      <c r="E11" s="177"/>
      <c r="F11" s="176"/>
      <c r="G11" s="178"/>
      <c r="H11" s="178"/>
      <c r="I11" s="178"/>
      <c r="J11" s="73">
        <f t="shared" si="1"/>
        <v>0</v>
      </c>
      <c r="K11" s="178"/>
      <c r="L11" s="178"/>
      <c r="M11" s="73">
        <f t="shared" si="2"/>
        <v>0</v>
      </c>
      <c r="N11" s="74" t="str">
        <f t="shared" si="3"/>
        <v>-</v>
      </c>
      <c r="O11" s="187"/>
      <c r="P11" s="75"/>
      <c r="Q11" s="189"/>
      <c r="R11" s="75"/>
      <c r="S11" s="78" t="str">
        <f t="shared" si="4"/>
        <v/>
      </c>
      <c r="T11" s="178">
        <f t="shared" si="5"/>
        <v>0</v>
      </c>
      <c r="U11" s="178">
        <f t="shared" si="6"/>
        <v>0</v>
      </c>
      <c r="V11" s="77" t="str">
        <f t="shared" si="7"/>
        <v>ok</v>
      </c>
      <c r="W11" s="75"/>
      <c r="X11" s="76" t="str">
        <f t="shared" si="8"/>
        <v/>
      </c>
      <c r="Y11" s="178">
        <f t="shared" si="9"/>
        <v>0</v>
      </c>
      <c r="Z11" s="178">
        <f t="shared" si="10"/>
        <v>0</v>
      </c>
      <c r="AA11" s="77" t="str">
        <f t="shared" si="11"/>
        <v>ok</v>
      </c>
      <c r="AB11" s="75"/>
      <c r="AC11" s="79" t="str">
        <f t="array" ref="AC11">IFERROR(IF($C11="","",INDEX([5]구분표!$I$2:$I$1001,MATCH(1,([5]구분표!$B$2:$B$1001='15년기금'!$A11)*([5]구분표!$C$2:$C$1001='15년기금'!$B11)*([5]구분표!$A$2:$A$1001='15년기금'!$C11),0))),"@@")</f>
        <v/>
      </c>
    </row>
    <row r="12" spans="1:29" ht="31.5" customHeight="1">
      <c r="A12" s="72" t="str">
        <f>IFERROR(VLOOKUP('15년기금'!$C12,[5]구분표!$A$2:$C$1001,2,FALSE),"")</f>
        <v/>
      </c>
      <c r="B12" s="72" t="str">
        <f>IFERROR(VLOOKUP('15년기금'!$C12,[5]구분표!$A$2:$C$1001,3,FALSE),"")</f>
        <v/>
      </c>
      <c r="C12" s="176"/>
      <c r="D12" s="177"/>
      <c r="E12" s="177"/>
      <c r="F12" s="176"/>
      <c r="G12" s="178"/>
      <c r="H12" s="178"/>
      <c r="I12" s="178"/>
      <c r="J12" s="73">
        <f t="shared" si="1"/>
        <v>0</v>
      </c>
      <c r="K12" s="178"/>
      <c r="L12" s="178"/>
      <c r="M12" s="73">
        <f t="shared" si="2"/>
        <v>0</v>
      </c>
      <c r="N12" s="74" t="str">
        <f t="shared" si="3"/>
        <v>-</v>
      </c>
      <c r="O12" s="187"/>
      <c r="P12" s="75"/>
      <c r="Q12" s="189"/>
      <c r="R12" s="75"/>
      <c r="S12" s="78" t="str">
        <f t="shared" si="4"/>
        <v/>
      </c>
      <c r="T12" s="178">
        <f t="shared" si="5"/>
        <v>0</v>
      </c>
      <c r="U12" s="178">
        <f t="shared" si="6"/>
        <v>0</v>
      </c>
      <c r="V12" s="77" t="str">
        <f t="shared" si="7"/>
        <v>ok</v>
      </c>
      <c r="W12" s="75"/>
      <c r="X12" s="76" t="str">
        <f t="shared" si="8"/>
        <v/>
      </c>
      <c r="Y12" s="178">
        <f t="shared" si="9"/>
        <v>0</v>
      </c>
      <c r="Z12" s="178">
        <f t="shared" si="10"/>
        <v>0</v>
      </c>
      <c r="AA12" s="77" t="str">
        <f t="shared" si="11"/>
        <v>ok</v>
      </c>
      <c r="AB12" s="75"/>
      <c r="AC12" s="79" t="str">
        <f t="array" ref="AC12">IFERROR(IF($C12="","",INDEX([5]구분표!$I$2:$I$1001,MATCH(1,([5]구분표!$B$2:$B$1001='15년기금'!$A12)*([5]구분표!$C$2:$C$1001='15년기금'!$B12)*([5]구분표!$A$2:$A$1001='15년기금'!$C12),0))),"@@")</f>
        <v/>
      </c>
    </row>
    <row r="13" spans="1:29" ht="31.5" customHeight="1">
      <c r="A13" s="72" t="str">
        <f>IFERROR(VLOOKUP('15년기금'!$C13,[5]구분표!$A$2:$C$1001,2,FALSE),"")</f>
        <v/>
      </c>
      <c r="B13" s="72" t="str">
        <f>IFERROR(VLOOKUP('15년기금'!$C13,[5]구분표!$A$2:$C$1001,3,FALSE),"")</f>
        <v/>
      </c>
      <c r="C13" s="176"/>
      <c r="D13" s="177"/>
      <c r="E13" s="177"/>
      <c r="F13" s="176"/>
      <c r="G13" s="178"/>
      <c r="H13" s="178"/>
      <c r="I13" s="178"/>
      <c r="J13" s="73">
        <f t="shared" si="1"/>
        <v>0</v>
      </c>
      <c r="K13" s="178"/>
      <c r="L13" s="178"/>
      <c r="M13" s="73">
        <f t="shared" si="2"/>
        <v>0</v>
      </c>
      <c r="N13" s="74" t="str">
        <f t="shared" si="3"/>
        <v>-</v>
      </c>
      <c r="O13" s="188"/>
      <c r="P13" s="75"/>
      <c r="Q13" s="189"/>
      <c r="R13" s="75"/>
      <c r="S13" s="78" t="str">
        <f t="shared" si="4"/>
        <v/>
      </c>
      <c r="T13" s="178">
        <f t="shared" si="5"/>
        <v>0</v>
      </c>
      <c r="U13" s="178">
        <f t="shared" si="6"/>
        <v>0</v>
      </c>
      <c r="V13" s="77" t="str">
        <f t="shared" si="7"/>
        <v>ok</v>
      </c>
      <c r="W13" s="75"/>
      <c r="X13" s="76" t="str">
        <f t="shared" si="8"/>
        <v/>
      </c>
      <c r="Y13" s="178">
        <f t="shared" si="9"/>
        <v>0</v>
      </c>
      <c r="Z13" s="178">
        <f t="shared" si="10"/>
        <v>0</v>
      </c>
      <c r="AA13" s="77" t="str">
        <f t="shared" si="11"/>
        <v>ok</v>
      </c>
      <c r="AB13" s="75"/>
      <c r="AC13" s="79" t="str">
        <f t="array" ref="AC13">IFERROR(IF($C13="","",INDEX([5]구분표!$I$2:$I$1001,MATCH(1,([5]구분표!$B$2:$B$1001='15년기금'!$A13)*([5]구분표!$C$2:$C$1001='15년기금'!$B13)*([5]구분표!$A$2:$A$1001='15년기금'!$C13),0))),"@@")</f>
        <v/>
      </c>
    </row>
    <row r="14" spans="1:29" ht="31.5" customHeight="1">
      <c r="A14" s="83" t="str">
        <f>IFERROR(VLOOKUP('15년기금'!$C14,[5]구분표!$A$2:$C$1001,2,FALSE),"")</f>
        <v/>
      </c>
      <c r="B14" s="83" t="str">
        <f>IFERROR(VLOOKUP('15년기금'!$C14,[5]구분표!$A$2:$C$1001,3,FALSE),"")</f>
        <v/>
      </c>
      <c r="C14" s="180"/>
      <c r="D14" s="179"/>
      <c r="E14" s="179"/>
      <c r="F14" s="180"/>
      <c r="G14" s="178"/>
      <c r="H14" s="178"/>
      <c r="I14" s="178"/>
      <c r="J14" s="73">
        <f t="shared" si="1"/>
        <v>0</v>
      </c>
      <c r="K14" s="178"/>
      <c r="L14" s="178"/>
      <c r="M14" s="73">
        <f t="shared" si="2"/>
        <v>0</v>
      </c>
      <c r="N14" s="74" t="str">
        <f t="shared" si="3"/>
        <v>-</v>
      </c>
      <c r="O14" s="188"/>
      <c r="P14" s="75"/>
      <c r="Q14" s="189"/>
      <c r="R14" s="75"/>
      <c r="S14" s="78" t="str">
        <f t="shared" si="4"/>
        <v/>
      </c>
      <c r="T14" s="178">
        <f t="shared" si="5"/>
        <v>0</v>
      </c>
      <c r="U14" s="178">
        <f t="shared" si="6"/>
        <v>0</v>
      </c>
      <c r="V14" s="77" t="str">
        <f t="shared" si="7"/>
        <v>ok</v>
      </c>
      <c r="W14" s="75"/>
      <c r="X14" s="76" t="str">
        <f t="shared" si="8"/>
        <v/>
      </c>
      <c r="Y14" s="178">
        <f t="shared" si="9"/>
        <v>0</v>
      </c>
      <c r="Z14" s="178">
        <f t="shared" si="10"/>
        <v>0</v>
      </c>
      <c r="AA14" s="77" t="str">
        <f t="shared" si="11"/>
        <v>ok</v>
      </c>
      <c r="AB14" s="75"/>
      <c r="AC14" s="79" t="str">
        <f t="array" ref="AC14">IFERROR(IF($C14="","",INDEX([5]구분표!$I$2:$I$1001,MATCH(1,([5]구분표!$B$2:$B$1001='15년기금'!$A14)*([5]구분표!$C$2:$C$1001='15년기금'!$B14)*([5]구분표!$A$2:$A$1001='15년기금'!$C14),0))),"@@")</f>
        <v/>
      </c>
    </row>
    <row r="15" spans="1:29" ht="31.5" customHeight="1">
      <c r="A15" s="83" t="str">
        <f>IFERROR(VLOOKUP('15년기금'!$C15,[5]구분표!$A$2:$C$1001,2,FALSE),"")</f>
        <v/>
      </c>
      <c r="B15" s="83" t="str">
        <f>IFERROR(VLOOKUP('15년기금'!$C15,[5]구분표!$A$2:$C$1001,3,FALSE),"")</f>
        <v/>
      </c>
      <c r="C15" s="180"/>
      <c r="D15" s="179"/>
      <c r="E15" s="179"/>
      <c r="F15" s="180"/>
      <c r="G15" s="178"/>
      <c r="H15" s="178"/>
      <c r="I15" s="178"/>
      <c r="J15" s="73">
        <f t="shared" si="1"/>
        <v>0</v>
      </c>
      <c r="K15" s="178"/>
      <c r="L15" s="178"/>
      <c r="M15" s="73">
        <f t="shared" si="2"/>
        <v>0</v>
      </c>
      <c r="N15" s="74" t="str">
        <f t="shared" si="3"/>
        <v>-</v>
      </c>
      <c r="O15" s="188"/>
      <c r="P15" s="75"/>
      <c r="Q15" s="189"/>
      <c r="R15" s="75"/>
      <c r="S15" s="78" t="str">
        <f t="shared" si="4"/>
        <v/>
      </c>
      <c r="T15" s="178">
        <f t="shared" si="5"/>
        <v>0</v>
      </c>
      <c r="U15" s="178">
        <f t="shared" si="6"/>
        <v>0</v>
      </c>
      <c r="V15" s="77" t="str">
        <f t="shared" si="7"/>
        <v>ok</v>
      </c>
      <c r="W15" s="75"/>
      <c r="X15" s="76" t="str">
        <f t="shared" si="8"/>
        <v/>
      </c>
      <c r="Y15" s="178">
        <f t="shared" si="9"/>
        <v>0</v>
      </c>
      <c r="Z15" s="178">
        <f t="shared" si="10"/>
        <v>0</v>
      </c>
      <c r="AA15" s="77" t="str">
        <f t="shared" si="11"/>
        <v>ok</v>
      </c>
      <c r="AB15" s="75"/>
      <c r="AC15" s="79" t="str">
        <f t="array" ref="AC15">IFERROR(IF($C15="","",INDEX([5]구분표!$I$2:$I$1001,MATCH(1,([5]구분표!$B$2:$B$1001='15년기금'!$A15)*([5]구분표!$C$2:$C$1001='15년기금'!$B15)*([5]구분표!$A$2:$A$1001='15년기금'!$C15),0))),"@@")</f>
        <v/>
      </c>
    </row>
    <row r="16" spans="1:29" ht="24" customHeight="1"/>
    <row r="17" ht="24" customHeight="1"/>
  </sheetData>
  <sheetProtection formatCells="0" formatColumns="0" formatRows="0" autoFilter="0"/>
  <autoFilter ref="A6:AD15"/>
  <mergeCells count="20">
    <mergeCell ref="T4:V4"/>
    <mergeCell ref="X4:X5"/>
    <mergeCell ref="Y4:AA4"/>
    <mergeCell ref="AC4:AC5"/>
    <mergeCell ref="K4:L4"/>
    <mergeCell ref="M4:M5"/>
    <mergeCell ref="N4:N5"/>
    <mergeCell ref="O4:O5"/>
    <mergeCell ref="Q4:Q5"/>
    <mergeCell ref="S4:S5"/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J5"/>
  </mergeCells>
  <phoneticPr fontId="2" type="noConversion"/>
  <conditionalFormatting sqref="Q7:Q637">
    <cfRule type="containsText" dxfId="91" priority="3" operator="containsText" text="국도비">
      <formula>NOT(ISERROR(SEARCH("국도비",Q7)))</formula>
    </cfRule>
  </conditionalFormatting>
  <conditionalFormatting sqref="G7:G637">
    <cfRule type="expression" dxfId="90" priority="2">
      <formula>($D7="본예산")</formula>
    </cfRule>
  </conditionalFormatting>
  <conditionalFormatting sqref="R7:U637 Y7:AA637">
    <cfRule type="containsText" dxfId="89" priority="1" operator="containsText" text="직접입력">
      <formula>NOT(ISERROR(SEARCH("직접입력",R7)))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8" fitToHeight="0" orientation="landscape" horizontalDpi="4294967293" verticalDpi="4294967293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[5]구분표!#REF!</xm:f>
          </x14:formula1>
          <xm:sqref>D7:D15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view="pageBreakPreview" topLeftCell="B1" zoomScale="80" zoomScaleNormal="90" zoomScaleSheetLayoutView="80" workbookViewId="0">
      <selection activeCell="E13" sqref="E13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7" width="10.375" customWidth="1"/>
    <col min="8" max="8" width="9.375" customWidth="1"/>
    <col min="9" max="9" width="12.5" customWidth="1"/>
    <col min="10" max="10" width="9" customWidth="1"/>
    <col min="11" max="11" width="6.875" customWidth="1"/>
    <col min="12" max="13" width="10.375" hidden="1" customWidth="1"/>
    <col min="14" max="14" width="12.25" hidden="1" customWidth="1"/>
    <col min="15" max="16" width="9" hidden="1" customWidth="1"/>
    <col min="17" max="17" width="1.25" customWidth="1"/>
    <col min="18" max="18" width="12.375" customWidth="1"/>
    <col min="19" max="19" width="10.75" customWidth="1"/>
    <col min="20" max="20" width="10.25" customWidth="1"/>
    <col min="21" max="21" width="10.375" customWidth="1"/>
    <col min="22" max="22" width="9.2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66" t="s">
        <v>564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</row>
    <row r="2" spans="1:30">
      <c r="J2" s="162" t="str">
        <f>IF(J6=X6,"OK","@@")</f>
        <v>OK</v>
      </c>
      <c r="K2" s="162"/>
      <c r="L2" s="162"/>
      <c r="M2" s="162"/>
      <c r="N2" s="162"/>
      <c r="O2" s="162" t="str">
        <f>IF(O6=AC6,"OK","@@")</f>
        <v>OK</v>
      </c>
      <c r="X2" s="162" t="str">
        <f>IF(X6=J6,"OK","@@")</f>
        <v>OK</v>
      </c>
      <c r="Y2" s="162"/>
      <c r="Z2" s="162"/>
      <c r="AA2" s="162"/>
      <c r="AB2" s="162"/>
      <c r="AC2" s="162" t="str">
        <f>IF(AC6=O6,"OK","@@")</f>
        <v>OK</v>
      </c>
      <c r="AD2" s="162"/>
    </row>
    <row r="3" spans="1:30" ht="18.75" customHeight="1">
      <c r="B3" s="367" t="s">
        <v>531</v>
      </c>
      <c r="C3" s="368"/>
      <c r="D3" s="373" t="s">
        <v>74</v>
      </c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R3" s="373" t="s">
        <v>75</v>
      </c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</row>
    <row r="4" spans="1:30" ht="27.75" customHeight="1">
      <c r="B4" s="369"/>
      <c r="C4" s="370"/>
      <c r="D4" s="374" t="s">
        <v>137</v>
      </c>
      <c r="E4" s="374" t="s">
        <v>135</v>
      </c>
      <c r="F4" s="374" t="s">
        <v>138</v>
      </c>
      <c r="G4" s="360" t="s">
        <v>139</v>
      </c>
      <c r="H4" s="361"/>
      <c r="I4" s="362" t="s">
        <v>80</v>
      </c>
      <c r="J4" s="376" t="s">
        <v>8</v>
      </c>
      <c r="K4" s="361"/>
      <c r="L4" s="380" t="s">
        <v>140</v>
      </c>
      <c r="M4" s="379"/>
      <c r="N4" s="377" t="s">
        <v>136</v>
      </c>
      <c r="O4" s="379" t="s">
        <v>79</v>
      </c>
      <c r="P4" s="379"/>
      <c r="R4" s="374" t="s">
        <v>528</v>
      </c>
      <c r="S4" s="374" t="s">
        <v>529</v>
      </c>
      <c r="T4" s="374" t="s">
        <v>530</v>
      </c>
      <c r="U4" s="360" t="s">
        <v>139</v>
      </c>
      <c r="V4" s="361"/>
      <c r="W4" s="362" t="s">
        <v>80</v>
      </c>
      <c r="X4" s="376" t="s">
        <v>8</v>
      </c>
      <c r="Y4" s="361"/>
      <c r="Z4" s="380" t="s">
        <v>140</v>
      </c>
      <c r="AA4" s="379"/>
      <c r="AB4" s="377" t="s">
        <v>136</v>
      </c>
      <c r="AC4" s="379" t="s">
        <v>79</v>
      </c>
      <c r="AD4" s="379"/>
    </row>
    <row r="5" spans="1:30" ht="18.75" customHeight="1">
      <c r="B5" s="371"/>
      <c r="C5" s="372"/>
      <c r="D5" s="375"/>
      <c r="E5" s="375"/>
      <c r="F5" s="375"/>
      <c r="G5" s="91" t="s">
        <v>0</v>
      </c>
      <c r="H5" s="91" t="s">
        <v>1</v>
      </c>
      <c r="I5" s="363"/>
      <c r="J5" s="91" t="s">
        <v>3</v>
      </c>
      <c r="K5" s="91" t="s">
        <v>2</v>
      </c>
      <c r="L5" s="65" t="s">
        <v>0</v>
      </c>
      <c r="M5" s="65" t="s">
        <v>1</v>
      </c>
      <c r="N5" s="378"/>
      <c r="O5" s="65" t="s">
        <v>3</v>
      </c>
      <c r="P5" s="65" t="s">
        <v>2</v>
      </c>
      <c r="R5" s="375"/>
      <c r="S5" s="375"/>
      <c r="T5" s="375"/>
      <c r="U5" s="64" t="s">
        <v>0</v>
      </c>
      <c r="V5" s="64" t="s">
        <v>1</v>
      </c>
      <c r="W5" s="363"/>
      <c r="X5" s="64" t="s">
        <v>3</v>
      </c>
      <c r="Y5" s="64" t="s">
        <v>2</v>
      </c>
      <c r="Z5" s="65" t="s">
        <v>0</v>
      </c>
      <c r="AA5" s="65" t="s">
        <v>1</v>
      </c>
      <c r="AB5" s="378"/>
      <c r="AC5" s="65" t="s">
        <v>3</v>
      </c>
      <c r="AD5" s="65" t="s">
        <v>2</v>
      </c>
    </row>
    <row r="6" spans="1:30">
      <c r="B6" s="364" t="s">
        <v>39</v>
      </c>
      <c r="C6" s="365"/>
      <c r="D6" s="90">
        <f>SUM(D7:D46)/2</f>
        <v>1307571987</v>
      </c>
      <c r="E6" s="90">
        <f t="shared" ref="E6:P6" si="0">SUM(E7:E46)/2</f>
        <v>1473654697</v>
      </c>
      <c r="F6" s="90">
        <f t="shared" si="0"/>
        <v>35515556</v>
      </c>
      <c r="G6" s="90">
        <f t="shared" si="0"/>
        <v>-12890100</v>
      </c>
      <c r="H6" s="90">
        <f t="shared" si="0"/>
        <v>3811204</v>
      </c>
      <c r="I6" s="90">
        <f t="shared" si="0"/>
        <v>1500091357</v>
      </c>
      <c r="J6" s="90">
        <f t="shared" si="0"/>
        <v>-9083646</v>
      </c>
      <c r="K6" s="90">
        <f t="shared" si="0"/>
        <v>4750</v>
      </c>
      <c r="L6" s="90">
        <f t="shared" si="0"/>
        <v>0</v>
      </c>
      <c r="M6" s="90">
        <f t="shared" si="0"/>
        <v>0</v>
      </c>
      <c r="N6" s="90">
        <f t="shared" si="0"/>
        <v>1509170253</v>
      </c>
      <c r="O6" s="90">
        <f t="shared" si="0"/>
        <v>0</v>
      </c>
      <c r="P6" s="90">
        <f t="shared" si="0"/>
        <v>0</v>
      </c>
      <c r="R6" s="90">
        <f>SUM(R7:R46)/2</f>
        <v>1399375985</v>
      </c>
      <c r="S6" s="90">
        <f t="shared" ref="S6:AD6" si="1">SUM(S7:S46)/2</f>
        <v>1619302025</v>
      </c>
      <c r="T6" s="90">
        <f t="shared" si="1"/>
        <v>29748719</v>
      </c>
      <c r="U6" s="90">
        <f t="shared" si="1"/>
        <v>-18660181</v>
      </c>
      <c r="V6" s="90">
        <f t="shared" si="1"/>
        <v>8150319</v>
      </c>
      <c r="W6" s="90">
        <f t="shared" si="1"/>
        <v>1638540882</v>
      </c>
      <c r="X6" s="90">
        <f t="shared" si="1"/>
        <v>-9083646</v>
      </c>
      <c r="Y6" s="90">
        <f t="shared" si="1"/>
        <v>-1426216</v>
      </c>
      <c r="Z6" s="90">
        <f t="shared" si="1"/>
        <v>0</v>
      </c>
      <c r="AA6" s="90">
        <f t="shared" si="1"/>
        <v>0</v>
      </c>
      <c r="AB6" s="90">
        <f t="shared" si="1"/>
        <v>527650642</v>
      </c>
      <c r="AC6" s="90">
        <f t="shared" si="1"/>
        <v>0</v>
      </c>
      <c r="AD6" s="90">
        <f t="shared" si="1"/>
        <v>0</v>
      </c>
    </row>
    <row r="7" spans="1:30" ht="16.5" customHeight="1">
      <c r="A7" s="92"/>
      <c r="B7" s="356" t="s">
        <v>18</v>
      </c>
      <c r="C7" s="357"/>
      <c r="D7" s="84">
        <f>SUM(D8:D10)</f>
        <v>0</v>
      </c>
      <c r="E7" s="84">
        <f t="shared" ref="E7:P7" si="2">SUM(E8:E10)</f>
        <v>0</v>
      </c>
      <c r="F7" s="84">
        <f t="shared" si="2"/>
        <v>0</v>
      </c>
      <c r="G7" s="84">
        <f t="shared" si="2"/>
        <v>0</v>
      </c>
      <c r="H7" s="84">
        <f t="shared" si="2"/>
        <v>0</v>
      </c>
      <c r="I7" s="84">
        <f t="shared" si="2"/>
        <v>0</v>
      </c>
      <c r="J7" s="84">
        <f t="shared" si="2"/>
        <v>0</v>
      </c>
      <c r="K7" s="84">
        <f t="shared" si="2"/>
        <v>0</v>
      </c>
      <c r="L7" s="84">
        <f t="shared" si="2"/>
        <v>0</v>
      </c>
      <c r="M7" s="84">
        <f t="shared" si="2"/>
        <v>0</v>
      </c>
      <c r="N7" s="84">
        <f t="shared" si="2"/>
        <v>0</v>
      </c>
      <c r="O7" s="84">
        <f t="shared" si="2"/>
        <v>0</v>
      </c>
      <c r="P7" s="84">
        <f t="shared" si="2"/>
        <v>0</v>
      </c>
      <c r="R7" s="84">
        <f>SUM(R8:R10)</f>
        <v>0</v>
      </c>
      <c r="S7" s="84">
        <f t="shared" ref="S7:AD7" si="3">SUM(S8:S10)</f>
        <v>0</v>
      </c>
      <c r="T7" s="84">
        <f t="shared" si="3"/>
        <v>0</v>
      </c>
      <c r="U7" s="84">
        <f t="shared" si="3"/>
        <v>0</v>
      </c>
      <c r="V7" s="84">
        <f t="shared" si="3"/>
        <v>0</v>
      </c>
      <c r="W7" s="84">
        <f t="shared" si="3"/>
        <v>0</v>
      </c>
      <c r="X7" s="84">
        <f t="shared" si="3"/>
        <v>0</v>
      </c>
      <c r="Y7" s="84">
        <f t="shared" si="3"/>
        <v>0</v>
      </c>
      <c r="Z7" s="84">
        <f t="shared" si="3"/>
        <v>0</v>
      </c>
      <c r="AA7" s="84">
        <f t="shared" si="3"/>
        <v>0</v>
      </c>
      <c r="AB7" s="84">
        <f t="shared" si="3"/>
        <v>0</v>
      </c>
      <c r="AC7" s="84">
        <f t="shared" si="3"/>
        <v>0</v>
      </c>
      <c r="AD7" s="84">
        <f t="shared" si="3"/>
        <v>0</v>
      </c>
    </row>
    <row r="8" spans="1:30" ht="16.5" customHeight="1">
      <c r="A8" s="92" t="s">
        <v>532</v>
      </c>
      <c r="B8" s="85"/>
      <c r="C8" s="85" t="s">
        <v>62</v>
      </c>
      <c r="D8" s="86">
        <f>SUMIFS('2추일입'!$G$7:$G$645,'2추일입'!$A$7:$A$645,'2추위원회별'!$A8,'2추일입'!$B$7:$B$645,'2추위원회별'!$C8)</f>
        <v>0</v>
      </c>
      <c r="E8" s="86">
        <f>SUMIFS('2추일입'!$H$7:$H$645,'2추일입'!$A$7:$A$645,'2추위원회별'!$A8,'2추일입'!$B$7:$B$645,'2추위원회별'!$C8)</f>
        <v>0</v>
      </c>
      <c r="F8" s="86">
        <f>SUMIFS('2추일입'!$H$7:$H$645,'2추일입'!$A$7:$A$645,'2추위원회별'!$A8,'2추일입'!$B$7:$B$645,'2추위원회별'!$C8)</f>
        <v>0</v>
      </c>
      <c r="G8" s="86">
        <f>SUMIFS('2추일입'!$J$7:$J$645,'2추일입'!$A$7:$A$645,'2추위원회별'!$A8,'2추일입'!$B$7:$B$645,'2추위원회별'!$C8)</f>
        <v>0</v>
      </c>
      <c r="H8" s="86">
        <f>SUMIFS('2추일입'!$K$7:$K$645,'2추일입'!$A$7:$A$645,'2추위원회별'!$A8,'2추일입'!$B$7:$B$645,'2추위원회별'!$C8)</f>
        <v>0</v>
      </c>
      <c r="I8" s="86">
        <f>SUMIFS('2추일입'!$L$7:$L$645,'2추일입'!$A$7:$A$645,'2추위원회별'!$A8,'2추일입'!$B$7:$B$645,'2추위원회별'!$C8)</f>
        <v>0</v>
      </c>
      <c r="J8" s="86">
        <f>SUMIFS('2추일입'!$V$7:$V$645,'2추일입'!$A$7:$A$645,'2추위원회별'!$A8,'2추일입'!$B$7:$B$645,'2추위원회별'!$C8)</f>
        <v>0</v>
      </c>
      <c r="K8" s="86">
        <f>SUMIFS('2추일입'!$W$7:$W$645,'2추일입'!$A$7:$A$645,'2추위원회별'!$A8,'2추일입'!$B$7:$B$645,'2추위원회별'!$C8)</f>
        <v>0</v>
      </c>
      <c r="L8" s="86">
        <f>SUMIFS('2추일입'!$M$7:$M$645,'2추일입'!$A$7:$A$645,'2추위원회별'!$A8,'2추일입'!$B$7:$B$645,'2추위원회별'!$C8)</f>
        <v>0</v>
      </c>
      <c r="M8" s="86">
        <f>SUMIFS('2추일입'!$N$7:$N$645,'2추일입'!$A$7:$A$645,'2추위원회별'!$A8,'2추일입'!$B$7:$B$645,'2추위원회별'!$C8)</f>
        <v>0</v>
      </c>
      <c r="N8" s="86">
        <f>SUMIFS('2추일입'!$O$7:$O$645,'2추일입'!$A$7:$A$645,'2추위원회별'!$A8,'2추일입'!$B$7:$B$645,'2추위원회별'!$C8)</f>
        <v>0</v>
      </c>
      <c r="O8" s="86">
        <f>SUMIFS('2추일입'!$AA$7:$AA$645,'2추일입'!$A$7:$A$645,'2추위원회별'!$A8,'2추일입'!$B$7:$B$645,'2추위원회별'!$C8)</f>
        <v>0</v>
      </c>
      <c r="P8" s="86">
        <f>SUMIFS('2추일입'!$AB$7:$AB$645,'2추일입'!$A$7:$A$645,'2추위원회별'!$A8,'2추일입'!$B$7:$B$645,'2추위원회별'!$C8)</f>
        <v>0</v>
      </c>
      <c r="R8" s="86">
        <f>SUMIFS('2추일출'!$G$25:$G$657,'2추일출'!$A$25:$A$657,'2추위원회별'!$A8,'2추일출'!$B$25:$B$657,'2추위원회별'!$C8)</f>
        <v>0</v>
      </c>
      <c r="S8" s="86">
        <f>SUMIFS('2추일출'!$H$25:$H$657,'2추일출'!$A$25:$A$657,'2추위원회별'!$A8,'2추일출'!$B$25:$B$657,'2추위원회별'!$C8)</f>
        <v>0</v>
      </c>
      <c r="T8" s="86">
        <f>SUMIFS('2추일출'!$H$25:$H$657,'2추일출'!$A$25:$A$657,'2추위원회별'!$A8,'2추일출'!$B$25:$B$657,'2추위원회별'!$C8)</f>
        <v>0</v>
      </c>
      <c r="U8" s="86">
        <f>SUMIFS('2추일출'!$J$25:$J$657,'2추일출'!$A$25:$A$657,'2추위원회별'!$A8,'2추일출'!$B$25:$B$657,'2추위원회별'!$C8)</f>
        <v>0</v>
      </c>
      <c r="V8" s="86">
        <f>SUMIFS('2추일출'!$K$25:$K$657,'2추일출'!$A$25:$A$657,'2추위원회별'!$A8,'2추일출'!$B$25:$B$657,'2추위원회별'!$C8)</f>
        <v>0</v>
      </c>
      <c r="W8" s="86">
        <f>SUMIFS('2추일출'!$L$25:$L$657,'2추일출'!$A$25:$A$657,'2추위원회별'!$A8,'2추일출'!$B$25:$B$657,'2추위원회별'!$C8)</f>
        <v>0</v>
      </c>
      <c r="X8" s="86">
        <f>SUMIFS('2추일출'!$V$25:$V$657,'2추일출'!$A$25:$A$657,'2추위원회별'!$A8,'2추일출'!$B$25:$B$657,'2추위원회별'!$C8)</f>
        <v>0</v>
      </c>
      <c r="Y8" s="86">
        <f>SUMIFS('2추일출'!$W$25:$W$657,'2추일출'!$A$25:$A$657,'2추위원회별'!$A8,'2추일출'!$B$25:$B$657,'2추위원회별'!$C8)</f>
        <v>0</v>
      </c>
      <c r="Z8" s="86">
        <f>SUMIFS('2추일출'!$M$25:$M$657,'2추일출'!$A$25:$A$657,'2추위원회별'!$A8,'2추일출'!$B$25:$B$657,'2추위원회별'!$C8)</f>
        <v>0</v>
      </c>
      <c r="AA8" s="86">
        <f>SUMIFS('2추일출'!$N$25:$N$657,'2추일출'!$A$25:$A$657,'2추위원회별'!$A8,'2추일출'!$B$25:$B$657,'2추위원회별'!$C8)</f>
        <v>0</v>
      </c>
      <c r="AB8" s="86">
        <f>SUMIFS('2추일출'!$O$25:$O$657,'2추일출'!$A$25:$A$657,'2추위원회별'!$A8,'2추일출'!$B$25:$B$657,'2추위원회별'!$C8)</f>
        <v>0</v>
      </c>
      <c r="AC8" s="86">
        <f>SUMIFS('2추일출'!$AA$25:$AA$657,'2추일출'!$A$25:$A$657,'2추위원회별'!$A8,'2추일출'!$B$25:$B$657,'2추위원회별'!$C8)</f>
        <v>0</v>
      </c>
      <c r="AD8" s="86">
        <f>SUMIFS('2추일출'!$AB$25:$AB$657,'2추일출'!$A$25:$A$657,'2추위원회별'!$A8,'2추일출'!$B$25:$B$657,'2추위원회별'!$C8)</f>
        <v>0</v>
      </c>
    </row>
    <row r="9" spans="1:30" ht="16.5" customHeight="1">
      <c r="A9" s="92" t="s">
        <v>532</v>
      </c>
      <c r="B9" s="85"/>
      <c r="C9" s="85" t="s">
        <v>123</v>
      </c>
      <c r="D9" s="86">
        <f>SUMIFS('2추일입'!$G$7:$G$645,'2추일입'!$A$7:$A$645,'2추위원회별'!$A9,'2추일입'!$B$7:$B$645,'2추위원회별'!$C9)</f>
        <v>0</v>
      </c>
      <c r="E9" s="86">
        <f>SUMIFS('2추일입'!$H$7:$H$645,'2추일입'!$A$7:$A$645,'2추위원회별'!$A9,'2추일입'!$B$7:$B$645,'2추위원회별'!$C9)</f>
        <v>0</v>
      </c>
      <c r="F9" s="86">
        <f>SUMIFS('2추일입'!$H$7:$H$645,'2추일입'!$A$7:$A$645,'2추위원회별'!$A9,'2추일입'!$B$7:$B$645,'2추위원회별'!$C9)</f>
        <v>0</v>
      </c>
      <c r="G9" s="86">
        <f>SUMIFS('2추일입'!$J$7:$J$645,'2추일입'!$A$7:$A$645,'2추위원회별'!$A9,'2추일입'!$B$7:$B$645,'2추위원회별'!$C9)</f>
        <v>0</v>
      </c>
      <c r="H9" s="86">
        <f>SUMIFS('2추일입'!$K$7:$K$645,'2추일입'!$A$7:$A$645,'2추위원회별'!$A9,'2추일입'!$B$7:$B$645,'2추위원회별'!$C9)</f>
        <v>0</v>
      </c>
      <c r="I9" s="86">
        <f>SUMIFS('2추일입'!$L$7:$L$645,'2추일입'!$A$7:$A$645,'2추위원회별'!$A9,'2추일입'!$B$7:$B$645,'2추위원회별'!$C9)</f>
        <v>0</v>
      </c>
      <c r="J9" s="86">
        <f>SUMIFS('2추일입'!$V$7:$V$645,'2추일입'!$A$7:$A$645,'2추위원회별'!$A9,'2추일입'!$B$7:$B$645,'2추위원회별'!$C9)</f>
        <v>0</v>
      </c>
      <c r="K9" s="86">
        <f>SUMIFS('2추일입'!$W$7:$W$645,'2추일입'!$A$7:$A$645,'2추위원회별'!$A9,'2추일입'!$B$7:$B$645,'2추위원회별'!$C9)</f>
        <v>0</v>
      </c>
      <c r="L9" s="86">
        <f>SUMIFS('2추일입'!$M$7:$M$645,'2추일입'!$A$7:$A$645,'2추위원회별'!$A9,'2추일입'!$B$7:$B$645,'2추위원회별'!$C9)</f>
        <v>0</v>
      </c>
      <c r="M9" s="86">
        <f>SUMIFS('2추일입'!$N$7:$N$645,'2추일입'!$A$7:$A$645,'2추위원회별'!$A9,'2추일입'!$B$7:$B$645,'2추위원회별'!$C9)</f>
        <v>0</v>
      </c>
      <c r="N9" s="86">
        <f>SUMIFS('2추일입'!$O$7:$O$645,'2추일입'!$A$7:$A$645,'2추위원회별'!$A9,'2추일입'!$B$7:$B$645,'2추위원회별'!$C9)</f>
        <v>0</v>
      </c>
      <c r="O9" s="86">
        <f>SUMIFS('2추일입'!$AA$7:$AA$645,'2추일입'!$A$7:$A$645,'2추위원회별'!$A9,'2추일입'!$B$7:$B$645,'2추위원회별'!$C9)</f>
        <v>0</v>
      </c>
      <c r="P9" s="86">
        <f>SUMIFS('2추일입'!$AB$7:$AB$645,'2추일입'!$A$7:$A$645,'2추위원회별'!$A9,'2추일입'!$B$7:$B$645,'2추위원회별'!$C9)</f>
        <v>0</v>
      </c>
      <c r="R9" s="86">
        <f>SUMIFS('2추일출'!$G$25:$G$657,'2추일출'!$A$25:$A$657,'2추위원회별'!$A9,'2추일출'!$B$25:$B$657,'2추위원회별'!$C9)</f>
        <v>0</v>
      </c>
      <c r="S9" s="86">
        <f>SUMIFS('2추일출'!$H$25:$H$657,'2추일출'!$A$25:$A$657,'2추위원회별'!$A9,'2추일출'!$B$25:$B$657,'2추위원회별'!$C9)</f>
        <v>0</v>
      </c>
      <c r="T9" s="86">
        <f>SUMIFS('2추일출'!$H$25:$H$657,'2추일출'!$A$25:$A$657,'2추위원회별'!$A9,'2추일출'!$B$25:$B$657,'2추위원회별'!$C9)</f>
        <v>0</v>
      </c>
      <c r="U9" s="86">
        <f>SUMIFS('2추일출'!$J$25:$J$657,'2추일출'!$A$25:$A$657,'2추위원회별'!$A9,'2추일출'!$B$25:$B$657,'2추위원회별'!$C9)</f>
        <v>0</v>
      </c>
      <c r="V9" s="86">
        <f>SUMIFS('2추일출'!$K$25:$K$657,'2추일출'!$A$25:$A$657,'2추위원회별'!$A9,'2추일출'!$B$25:$B$657,'2추위원회별'!$C9)</f>
        <v>0</v>
      </c>
      <c r="W9" s="86">
        <f>SUMIFS('2추일출'!$L$25:$L$657,'2추일출'!$A$25:$A$657,'2추위원회별'!$A9,'2추일출'!$B$25:$B$657,'2추위원회별'!$C9)</f>
        <v>0</v>
      </c>
      <c r="X9" s="86">
        <f>SUMIFS('2추일출'!$V$25:$V$657,'2추일출'!$A$25:$A$657,'2추위원회별'!$A9,'2추일출'!$B$25:$B$657,'2추위원회별'!$C9)</f>
        <v>0</v>
      </c>
      <c r="Y9" s="86">
        <f>SUMIFS('2추일출'!$W$25:$W$657,'2추일출'!$A$25:$A$657,'2추위원회별'!$A9,'2추일출'!$B$25:$B$657,'2추위원회별'!$C9)</f>
        <v>0</v>
      </c>
      <c r="Z9" s="86">
        <f>SUMIFS('2추일출'!$M$25:$M$657,'2추일출'!$A$25:$A$657,'2추위원회별'!$A9,'2추일출'!$B$25:$B$657,'2추위원회별'!$C9)</f>
        <v>0</v>
      </c>
      <c r="AA9" s="86">
        <f>SUMIFS('2추일출'!$N$25:$N$657,'2추일출'!$A$25:$A$657,'2추위원회별'!$A9,'2추일출'!$B$25:$B$657,'2추위원회별'!$C9)</f>
        <v>0</v>
      </c>
      <c r="AB9" s="86">
        <f>SUMIFS('2추일출'!$O$25:$O$657,'2추일출'!$A$25:$A$657,'2추위원회별'!$A9,'2추일출'!$B$25:$B$657,'2추위원회별'!$C9)</f>
        <v>0</v>
      </c>
      <c r="AC9" s="86">
        <f>SUMIFS('2추일출'!$AA$25:$AA$657,'2추일출'!$A$25:$A$657,'2추위원회별'!$A9,'2추일출'!$B$25:$B$657,'2추위원회별'!$C9)</f>
        <v>0</v>
      </c>
      <c r="AD9" s="86">
        <f>SUMIFS('2추일출'!$AB$25:$AB$657,'2추일출'!$A$25:$A$657,'2추위원회별'!$A9,'2추일출'!$B$25:$B$657,'2추위원회별'!$C9)</f>
        <v>0</v>
      </c>
    </row>
    <row r="10" spans="1:30" ht="16.5" customHeight="1">
      <c r="A10" s="92" t="s">
        <v>532</v>
      </c>
      <c r="B10" s="85"/>
      <c r="C10" s="85" t="s">
        <v>117</v>
      </c>
      <c r="D10" s="86">
        <f>SUMIFS('2추일입'!$G$7:$G$645,'2추일입'!$A$7:$A$645,'2추위원회별'!$A10,'2추일입'!$B$7:$B$645,'2추위원회별'!$C10)</f>
        <v>0</v>
      </c>
      <c r="E10" s="86">
        <f>SUMIFS('2추일입'!$H$7:$H$645,'2추일입'!$A$7:$A$645,'2추위원회별'!$A10,'2추일입'!$B$7:$B$645,'2추위원회별'!$C10)</f>
        <v>0</v>
      </c>
      <c r="F10" s="86">
        <f>SUMIFS('2추일입'!$H$7:$H$645,'2추일입'!$A$7:$A$645,'2추위원회별'!$A10,'2추일입'!$B$7:$B$645,'2추위원회별'!$C10)</f>
        <v>0</v>
      </c>
      <c r="G10" s="86">
        <f>SUMIFS('2추일입'!$J$7:$J$645,'2추일입'!$A$7:$A$645,'2추위원회별'!$A10,'2추일입'!$B$7:$B$645,'2추위원회별'!$C10)</f>
        <v>0</v>
      </c>
      <c r="H10" s="86">
        <f>SUMIFS('2추일입'!$K$7:$K$645,'2추일입'!$A$7:$A$645,'2추위원회별'!$A10,'2추일입'!$B$7:$B$645,'2추위원회별'!$C10)</f>
        <v>0</v>
      </c>
      <c r="I10" s="86">
        <f>SUMIFS('2추일입'!$L$7:$L$645,'2추일입'!$A$7:$A$645,'2추위원회별'!$A10,'2추일입'!$B$7:$B$645,'2추위원회별'!$C10)</f>
        <v>0</v>
      </c>
      <c r="J10" s="86">
        <f>SUMIFS('2추일입'!$V$7:$V$645,'2추일입'!$A$7:$A$645,'2추위원회별'!$A10,'2추일입'!$B$7:$B$645,'2추위원회별'!$C10)</f>
        <v>0</v>
      </c>
      <c r="K10" s="86">
        <f>SUMIFS('2추일입'!$W$7:$W$645,'2추일입'!$A$7:$A$645,'2추위원회별'!$A10,'2추일입'!$B$7:$B$645,'2추위원회별'!$C10)</f>
        <v>0</v>
      </c>
      <c r="L10" s="86">
        <f>SUMIFS('2추일입'!$M$7:$M$645,'2추일입'!$A$7:$A$645,'2추위원회별'!$A10,'2추일입'!$B$7:$B$645,'2추위원회별'!$C10)</f>
        <v>0</v>
      </c>
      <c r="M10" s="86">
        <f>SUMIFS('2추일입'!$N$7:$N$645,'2추일입'!$A$7:$A$645,'2추위원회별'!$A10,'2추일입'!$B$7:$B$645,'2추위원회별'!$C10)</f>
        <v>0</v>
      </c>
      <c r="N10" s="86">
        <f>SUMIFS('2추일입'!$O$7:$O$645,'2추일입'!$A$7:$A$645,'2추위원회별'!$A10,'2추일입'!$B$7:$B$645,'2추위원회별'!$C10)</f>
        <v>0</v>
      </c>
      <c r="O10" s="86">
        <f>SUMIFS('2추일입'!$AA$7:$AA$645,'2추일입'!$A$7:$A$645,'2추위원회별'!$A10,'2추일입'!$B$7:$B$645,'2추위원회별'!$C10)</f>
        <v>0</v>
      </c>
      <c r="P10" s="86">
        <f>SUMIFS('2추일입'!$AB$7:$AB$645,'2추일입'!$A$7:$A$645,'2추위원회별'!$A10,'2추일입'!$B$7:$B$645,'2추위원회별'!$C10)</f>
        <v>0</v>
      </c>
      <c r="R10" s="86">
        <f>SUMIFS('2추일출'!$G$25:$G$657,'2추일출'!$A$25:$A$657,'2추위원회별'!$A10,'2추일출'!$B$25:$B$657,'2추위원회별'!$C10)</f>
        <v>0</v>
      </c>
      <c r="S10" s="86">
        <f>SUMIFS('2추일출'!$H$25:$H$657,'2추일출'!$A$25:$A$657,'2추위원회별'!$A10,'2추일출'!$B$25:$B$657,'2추위원회별'!$C10)</f>
        <v>0</v>
      </c>
      <c r="T10" s="86">
        <f>SUMIFS('2추일출'!$H$25:$H$657,'2추일출'!$A$25:$A$657,'2추위원회별'!$A10,'2추일출'!$B$25:$B$657,'2추위원회별'!$C10)</f>
        <v>0</v>
      </c>
      <c r="U10" s="86">
        <f>SUMIFS('2추일출'!$J$25:$J$657,'2추일출'!$A$25:$A$657,'2추위원회별'!$A10,'2추일출'!$B$25:$B$657,'2추위원회별'!$C10)</f>
        <v>0</v>
      </c>
      <c r="V10" s="86">
        <f>SUMIFS('2추일출'!$K$25:$K$657,'2추일출'!$A$25:$A$657,'2추위원회별'!$A10,'2추일출'!$B$25:$B$657,'2추위원회별'!$C10)</f>
        <v>0</v>
      </c>
      <c r="W10" s="86">
        <f>SUMIFS('2추일출'!$L$25:$L$657,'2추일출'!$A$25:$A$657,'2추위원회별'!$A10,'2추일출'!$B$25:$B$657,'2추위원회별'!$C10)</f>
        <v>0</v>
      </c>
      <c r="X10" s="86">
        <f>SUMIFS('2추일출'!$V$25:$V$657,'2추일출'!$A$25:$A$657,'2추위원회별'!$A10,'2추일출'!$B$25:$B$657,'2추위원회별'!$C10)</f>
        <v>0</v>
      </c>
      <c r="Y10" s="86">
        <f>SUMIFS('2추일출'!$W$25:$W$657,'2추일출'!$A$25:$A$657,'2추위원회별'!$A10,'2추일출'!$B$25:$B$657,'2추위원회별'!$C10)</f>
        <v>0</v>
      </c>
      <c r="Z10" s="86">
        <f>SUMIFS('2추일출'!$M$25:$M$657,'2추일출'!$A$25:$A$657,'2추위원회별'!$A10,'2추일출'!$B$25:$B$657,'2추위원회별'!$C10)</f>
        <v>0</v>
      </c>
      <c r="AA10" s="86">
        <f>SUMIFS('2추일출'!$N$25:$N$657,'2추일출'!$A$25:$A$657,'2추위원회별'!$A10,'2추일출'!$B$25:$B$657,'2추위원회별'!$C10)</f>
        <v>0</v>
      </c>
      <c r="AB10" s="86">
        <f>SUMIFS('2추일출'!$O$25:$O$657,'2추일출'!$A$25:$A$657,'2추위원회별'!$A10,'2추일출'!$B$25:$B$657,'2추위원회별'!$C10)</f>
        <v>0</v>
      </c>
      <c r="AC10" s="86">
        <f>SUMIFS('2추일출'!$AA$25:$AA$657,'2추일출'!$A$25:$A$657,'2추위원회별'!$A10,'2추일출'!$B$25:$B$657,'2추위원회별'!$C10)</f>
        <v>0</v>
      </c>
      <c r="AD10" s="86">
        <f>SUMIFS('2추일출'!$AB$25:$AB$657,'2추일출'!$A$25:$A$657,'2추위원회별'!$A10,'2추일출'!$B$25:$B$657,'2추위원회별'!$C10)</f>
        <v>0</v>
      </c>
    </row>
    <row r="11" spans="1:30" ht="16.5" customHeight="1">
      <c r="B11" s="356" t="s">
        <v>19</v>
      </c>
      <c r="C11" s="357"/>
      <c r="D11" s="84">
        <f>SUM(D12:D14)</f>
        <v>0</v>
      </c>
      <c r="E11" s="84">
        <f t="shared" ref="E11:P11" si="4">SUM(E12:E14)</f>
        <v>0</v>
      </c>
      <c r="F11" s="84">
        <f t="shared" si="4"/>
        <v>0</v>
      </c>
      <c r="G11" s="84">
        <f t="shared" si="4"/>
        <v>0</v>
      </c>
      <c r="H11" s="84">
        <f t="shared" si="4"/>
        <v>0</v>
      </c>
      <c r="I11" s="84">
        <f t="shared" si="4"/>
        <v>0</v>
      </c>
      <c r="J11" s="84">
        <f t="shared" si="4"/>
        <v>0</v>
      </c>
      <c r="K11" s="84">
        <f t="shared" si="4"/>
        <v>0</v>
      </c>
      <c r="L11" s="84">
        <f t="shared" si="4"/>
        <v>0</v>
      </c>
      <c r="M11" s="84">
        <f t="shared" si="4"/>
        <v>0</v>
      </c>
      <c r="N11" s="84">
        <f t="shared" si="4"/>
        <v>0</v>
      </c>
      <c r="O11" s="84">
        <f t="shared" si="4"/>
        <v>0</v>
      </c>
      <c r="P11" s="84">
        <f t="shared" si="4"/>
        <v>0</v>
      </c>
      <c r="R11" s="84">
        <f>SUM(R12:R14)</f>
        <v>0</v>
      </c>
      <c r="S11" s="84">
        <f t="shared" ref="S11:AD11" si="5">SUM(S12:S14)</f>
        <v>0</v>
      </c>
      <c r="T11" s="84">
        <f t="shared" si="5"/>
        <v>0</v>
      </c>
      <c r="U11" s="84">
        <f t="shared" si="5"/>
        <v>0</v>
      </c>
      <c r="V11" s="84">
        <f t="shared" si="5"/>
        <v>0</v>
      </c>
      <c r="W11" s="84">
        <f t="shared" si="5"/>
        <v>0</v>
      </c>
      <c r="X11" s="84">
        <f t="shared" si="5"/>
        <v>0</v>
      </c>
      <c r="Y11" s="84">
        <f t="shared" si="5"/>
        <v>0</v>
      </c>
      <c r="Z11" s="84">
        <f t="shared" si="5"/>
        <v>0</v>
      </c>
      <c r="AA11" s="84">
        <f t="shared" si="5"/>
        <v>0</v>
      </c>
      <c r="AB11" s="84">
        <f t="shared" si="5"/>
        <v>0</v>
      </c>
      <c r="AC11" s="84">
        <f t="shared" si="5"/>
        <v>0</v>
      </c>
      <c r="AD11" s="84">
        <f t="shared" si="5"/>
        <v>0</v>
      </c>
    </row>
    <row r="12" spans="1:30" ht="16.5" customHeight="1">
      <c r="A12" s="92" t="s">
        <v>533</v>
      </c>
      <c r="B12" s="85"/>
      <c r="C12" s="85" t="s">
        <v>122</v>
      </c>
      <c r="D12" s="86">
        <f>SUMIFS('2추일입'!$G$7:$G$645,'2추일입'!$A$7:$A$645,'2추위원회별'!$A12,'2추일입'!$B$7:$B$645,'2추위원회별'!$C12)</f>
        <v>0</v>
      </c>
      <c r="E12" s="86">
        <f>SUMIFS('2추일입'!$H$7:$H$645,'2추일입'!$A$7:$A$645,'2추위원회별'!$A12,'2추일입'!$B$7:$B$645,'2추위원회별'!$C12)</f>
        <v>0</v>
      </c>
      <c r="F12" s="86">
        <f>SUMIFS('2추일입'!$H$7:$H$645,'2추일입'!$A$7:$A$645,'2추위원회별'!$A12,'2추일입'!$B$7:$B$645,'2추위원회별'!$C12)</f>
        <v>0</v>
      </c>
      <c r="G12" s="86">
        <f>SUMIFS('2추일입'!$J$7:$J$645,'2추일입'!$A$7:$A$645,'2추위원회별'!$A12,'2추일입'!$B$7:$B$645,'2추위원회별'!$C12)</f>
        <v>0</v>
      </c>
      <c r="H12" s="86">
        <f>SUMIFS('2추일입'!$K$7:$K$645,'2추일입'!$A$7:$A$645,'2추위원회별'!$A12,'2추일입'!$B$7:$B$645,'2추위원회별'!$C12)</f>
        <v>0</v>
      </c>
      <c r="I12" s="86">
        <f>SUMIFS('2추일입'!$L$7:$L$645,'2추일입'!$A$7:$A$645,'2추위원회별'!$A12,'2추일입'!$B$7:$B$645,'2추위원회별'!$C12)</f>
        <v>0</v>
      </c>
      <c r="J12" s="86">
        <f>SUMIFS('2추일입'!$V$7:$V$645,'2추일입'!$A$7:$A$645,'2추위원회별'!$A12,'2추일입'!$B$7:$B$645,'2추위원회별'!$C12)</f>
        <v>0</v>
      </c>
      <c r="K12" s="86">
        <f>SUMIFS('2추일입'!$W$7:$W$645,'2추일입'!$A$7:$A$645,'2추위원회별'!$A12,'2추일입'!$B$7:$B$645,'2추위원회별'!$C12)</f>
        <v>0</v>
      </c>
      <c r="L12" s="86">
        <f>SUMIFS('2추일입'!$M$7:$M$645,'2추일입'!$A$7:$A$645,'2추위원회별'!$A12,'2추일입'!$B$7:$B$645,'2추위원회별'!$C12)</f>
        <v>0</v>
      </c>
      <c r="M12" s="86">
        <f>SUMIFS('2추일입'!$N$7:$N$645,'2추일입'!$A$7:$A$645,'2추위원회별'!$A12,'2추일입'!$B$7:$B$645,'2추위원회별'!$C12)</f>
        <v>0</v>
      </c>
      <c r="N12" s="86">
        <f>SUMIFS('2추일입'!$O$7:$O$645,'2추일입'!$A$7:$A$645,'2추위원회별'!$A12,'2추일입'!$B$7:$B$645,'2추위원회별'!$C12)</f>
        <v>0</v>
      </c>
      <c r="O12" s="86">
        <f>SUMIFS('2추일입'!$AA$7:$AA$645,'2추일입'!$A$7:$A$645,'2추위원회별'!$A12,'2추일입'!$B$7:$B$645,'2추위원회별'!$C12)</f>
        <v>0</v>
      </c>
      <c r="P12" s="86">
        <f>SUMIFS('2추일입'!$AB$7:$AB$645,'2추일입'!$A$7:$A$645,'2추위원회별'!$A12,'2추일입'!$B$7:$B$645,'2추위원회별'!$C12)</f>
        <v>0</v>
      </c>
      <c r="R12" s="86">
        <f>SUMIFS('2추일출'!$G$25:$G$657,'2추일출'!$A$25:$A$657,'2추위원회별'!$A12,'2추일출'!$B$25:$B$657,'2추위원회별'!$C12)</f>
        <v>0</v>
      </c>
      <c r="S12" s="86">
        <f>SUMIFS('2추일출'!$H$25:$H$657,'2추일출'!$A$25:$A$657,'2추위원회별'!$A12,'2추일출'!$B$25:$B$657,'2추위원회별'!$C12)</f>
        <v>0</v>
      </c>
      <c r="T12" s="86">
        <f>SUMIFS('2추일출'!$H$25:$H$657,'2추일출'!$A$25:$A$657,'2추위원회별'!$A12,'2추일출'!$B$25:$B$657,'2추위원회별'!$C12)</f>
        <v>0</v>
      </c>
      <c r="U12" s="86">
        <f>SUMIFS('2추일출'!$J$25:$J$657,'2추일출'!$A$25:$A$657,'2추위원회별'!$A12,'2추일출'!$B$25:$B$657,'2추위원회별'!$C12)</f>
        <v>0</v>
      </c>
      <c r="V12" s="86">
        <f>SUMIFS('2추일출'!$K$25:$K$657,'2추일출'!$A$25:$A$657,'2추위원회별'!$A12,'2추일출'!$B$25:$B$657,'2추위원회별'!$C12)</f>
        <v>0</v>
      </c>
      <c r="W12" s="86">
        <f>SUMIFS('2추일출'!$L$25:$L$657,'2추일출'!$A$25:$A$657,'2추위원회별'!$A12,'2추일출'!$B$25:$B$657,'2추위원회별'!$C12)</f>
        <v>0</v>
      </c>
      <c r="X12" s="86">
        <f>SUMIFS('2추일출'!$V$25:$V$657,'2추일출'!$A$25:$A$657,'2추위원회별'!$A12,'2추일출'!$B$25:$B$657,'2추위원회별'!$C12)</f>
        <v>0</v>
      </c>
      <c r="Y12" s="86">
        <f>SUMIFS('2추일출'!$W$25:$W$657,'2추일출'!$A$25:$A$657,'2추위원회별'!$A12,'2추일출'!$B$25:$B$657,'2추위원회별'!$C12)</f>
        <v>0</v>
      </c>
      <c r="Z12" s="86">
        <f>SUMIFS('2추일출'!$M$25:$M$657,'2추일출'!$A$25:$A$657,'2추위원회별'!$A12,'2추일출'!$B$25:$B$657,'2추위원회별'!$C12)</f>
        <v>0</v>
      </c>
      <c r="AA12" s="86">
        <f>SUMIFS('2추일출'!$N$25:$N$657,'2추일출'!$A$25:$A$657,'2추위원회별'!$A12,'2추일출'!$B$25:$B$657,'2추위원회별'!$C12)</f>
        <v>0</v>
      </c>
      <c r="AB12" s="86">
        <f>SUMIFS('2추일출'!$O$25:$O$657,'2추일출'!$A$25:$A$657,'2추위원회별'!$A12,'2추일출'!$B$25:$B$657,'2추위원회별'!$C12)</f>
        <v>0</v>
      </c>
      <c r="AC12" s="86">
        <f>SUMIFS('2추일출'!$AA$25:$AA$657,'2추일출'!$A$25:$A$657,'2추위원회별'!$A12,'2추일출'!$B$25:$B$657,'2추위원회별'!$C12)</f>
        <v>0</v>
      </c>
      <c r="AD12" s="86">
        <f>SUMIFS('2추일출'!$AB$25:$AB$657,'2추일출'!$A$25:$A$657,'2추위원회별'!$A12,'2추일출'!$B$25:$B$657,'2추위원회별'!$C12)</f>
        <v>0</v>
      </c>
    </row>
    <row r="13" spans="1:30" ht="16.5" customHeight="1">
      <c r="A13" s="92" t="s">
        <v>533</v>
      </c>
      <c r="B13" s="85"/>
      <c r="C13" s="85" t="s">
        <v>109</v>
      </c>
      <c r="D13" s="86">
        <f>SUMIFS('2추일입'!$G$7:$G$645,'2추일입'!$A$7:$A$645,'2추위원회별'!$A13,'2추일입'!$B$7:$B$645,'2추위원회별'!$C13)</f>
        <v>0</v>
      </c>
      <c r="E13" s="86">
        <f>SUMIFS('2추일입'!$H$7:$H$645,'2추일입'!$A$7:$A$645,'2추위원회별'!$A13,'2추일입'!$B$7:$B$645,'2추위원회별'!$C13)</f>
        <v>0</v>
      </c>
      <c r="F13" s="86">
        <f>SUMIFS('2추일입'!$H$7:$H$645,'2추일입'!$A$7:$A$645,'2추위원회별'!$A13,'2추일입'!$B$7:$B$645,'2추위원회별'!$C13)</f>
        <v>0</v>
      </c>
      <c r="G13" s="86">
        <f>SUMIFS('2추일입'!$J$7:$J$645,'2추일입'!$A$7:$A$645,'2추위원회별'!$A13,'2추일입'!$B$7:$B$645,'2추위원회별'!$C13)</f>
        <v>0</v>
      </c>
      <c r="H13" s="86">
        <f>SUMIFS('2추일입'!$K$7:$K$645,'2추일입'!$A$7:$A$645,'2추위원회별'!$A13,'2추일입'!$B$7:$B$645,'2추위원회별'!$C13)</f>
        <v>0</v>
      </c>
      <c r="I13" s="86">
        <f>SUMIFS('2추일입'!$L$7:$L$645,'2추일입'!$A$7:$A$645,'2추위원회별'!$A13,'2추일입'!$B$7:$B$645,'2추위원회별'!$C13)</f>
        <v>0</v>
      </c>
      <c r="J13" s="86">
        <f>SUMIFS('2추일입'!$V$7:$V$645,'2추일입'!$A$7:$A$645,'2추위원회별'!$A13,'2추일입'!$B$7:$B$645,'2추위원회별'!$C13)</f>
        <v>0</v>
      </c>
      <c r="K13" s="86">
        <f>SUMIFS('2추일입'!$W$7:$W$645,'2추일입'!$A$7:$A$645,'2추위원회별'!$A13,'2추일입'!$B$7:$B$645,'2추위원회별'!$C13)</f>
        <v>0</v>
      </c>
      <c r="L13" s="86">
        <f>SUMIFS('2추일입'!$M$7:$M$645,'2추일입'!$A$7:$A$645,'2추위원회별'!$A13,'2추일입'!$B$7:$B$645,'2추위원회별'!$C13)</f>
        <v>0</v>
      </c>
      <c r="M13" s="86">
        <f>SUMIFS('2추일입'!$N$7:$N$645,'2추일입'!$A$7:$A$645,'2추위원회별'!$A13,'2추일입'!$B$7:$B$645,'2추위원회별'!$C13)</f>
        <v>0</v>
      </c>
      <c r="N13" s="86">
        <f>SUMIFS('2추일입'!$O$7:$O$645,'2추일입'!$A$7:$A$645,'2추위원회별'!$A13,'2추일입'!$B$7:$B$645,'2추위원회별'!$C13)</f>
        <v>0</v>
      </c>
      <c r="O13" s="86">
        <f>SUMIFS('2추일입'!$AA$7:$AA$645,'2추일입'!$A$7:$A$645,'2추위원회별'!$A13,'2추일입'!$B$7:$B$645,'2추위원회별'!$C13)</f>
        <v>0</v>
      </c>
      <c r="P13" s="86">
        <f>SUMIFS('2추일입'!$AB$7:$AB$645,'2추일입'!$A$7:$A$645,'2추위원회별'!$A13,'2추일입'!$B$7:$B$645,'2추위원회별'!$C13)</f>
        <v>0</v>
      </c>
      <c r="R13" s="86">
        <f>SUMIFS('2추일출'!$G$25:$G$657,'2추일출'!$A$25:$A$657,'2추위원회별'!$A13,'2추일출'!$B$25:$B$657,'2추위원회별'!$C13)</f>
        <v>0</v>
      </c>
      <c r="S13" s="86">
        <f>SUMIFS('2추일출'!$H$25:$H$657,'2추일출'!$A$25:$A$657,'2추위원회별'!$A13,'2추일출'!$B$25:$B$657,'2추위원회별'!$C13)</f>
        <v>0</v>
      </c>
      <c r="T13" s="86">
        <f>SUMIFS('2추일출'!$H$25:$H$657,'2추일출'!$A$25:$A$657,'2추위원회별'!$A13,'2추일출'!$B$25:$B$657,'2추위원회별'!$C13)</f>
        <v>0</v>
      </c>
      <c r="U13" s="86">
        <f>SUMIFS('2추일출'!$J$25:$J$657,'2추일출'!$A$25:$A$657,'2추위원회별'!$A13,'2추일출'!$B$25:$B$657,'2추위원회별'!$C13)</f>
        <v>0</v>
      </c>
      <c r="V13" s="86">
        <f>SUMIFS('2추일출'!$K$25:$K$657,'2추일출'!$A$25:$A$657,'2추위원회별'!$A13,'2추일출'!$B$25:$B$657,'2추위원회별'!$C13)</f>
        <v>0</v>
      </c>
      <c r="W13" s="86">
        <f>SUMIFS('2추일출'!$L$25:$L$657,'2추일출'!$A$25:$A$657,'2추위원회별'!$A13,'2추일출'!$B$25:$B$657,'2추위원회별'!$C13)</f>
        <v>0</v>
      </c>
      <c r="X13" s="86">
        <f>SUMIFS('2추일출'!$V$25:$V$657,'2추일출'!$A$25:$A$657,'2추위원회별'!$A13,'2추일출'!$B$25:$B$657,'2추위원회별'!$C13)</f>
        <v>0</v>
      </c>
      <c r="Y13" s="86">
        <f>SUMIFS('2추일출'!$W$25:$W$657,'2추일출'!$A$25:$A$657,'2추위원회별'!$A13,'2추일출'!$B$25:$B$657,'2추위원회별'!$C13)</f>
        <v>0</v>
      </c>
      <c r="Z13" s="86">
        <f>SUMIFS('2추일출'!$M$25:$M$657,'2추일출'!$A$25:$A$657,'2추위원회별'!$A13,'2추일출'!$B$25:$B$657,'2추위원회별'!$C13)</f>
        <v>0</v>
      </c>
      <c r="AA13" s="86">
        <f>SUMIFS('2추일출'!$N$25:$N$657,'2추일출'!$A$25:$A$657,'2추위원회별'!$A13,'2추일출'!$B$25:$B$657,'2추위원회별'!$C13)</f>
        <v>0</v>
      </c>
      <c r="AB13" s="86">
        <f>SUMIFS('2추일출'!$O$25:$O$657,'2추일출'!$A$25:$A$657,'2추위원회별'!$A13,'2추일출'!$B$25:$B$657,'2추위원회별'!$C13)</f>
        <v>0</v>
      </c>
      <c r="AC13" s="86">
        <f>SUMIFS('2추일출'!$AA$25:$AA$657,'2추일출'!$A$25:$A$657,'2추위원회별'!$A13,'2추일출'!$B$25:$B$657,'2추위원회별'!$C13)</f>
        <v>0</v>
      </c>
      <c r="AD13" s="86">
        <f>SUMIFS('2추일출'!$AB$25:$AB$657,'2추일출'!$A$25:$A$657,'2추위원회별'!$A13,'2추일출'!$B$25:$B$657,'2추위원회별'!$C13)</f>
        <v>0</v>
      </c>
    </row>
    <row r="14" spans="1:30" ht="16.5" customHeight="1">
      <c r="A14" s="92" t="s">
        <v>533</v>
      </c>
      <c r="B14" s="85"/>
      <c r="C14" s="85" t="s">
        <v>327</v>
      </c>
      <c r="D14" s="86">
        <f>SUMIFS('2추일입'!$G$7:$G$645,'2추일입'!$A$7:$A$645,'2추위원회별'!$A14,'2추일입'!$B$7:$B$645,'2추위원회별'!$C14)</f>
        <v>0</v>
      </c>
      <c r="E14" s="86">
        <f>SUMIFS('2추일입'!$H$7:$H$645,'2추일입'!$A$7:$A$645,'2추위원회별'!$A14,'2추일입'!$B$7:$B$645,'2추위원회별'!$C14)</f>
        <v>0</v>
      </c>
      <c r="F14" s="86">
        <f>SUMIFS('2추일입'!$H$7:$H$645,'2추일입'!$A$7:$A$645,'2추위원회별'!$A14,'2추일입'!$B$7:$B$645,'2추위원회별'!$C14)</f>
        <v>0</v>
      </c>
      <c r="G14" s="86">
        <f>SUMIFS('2추일입'!$J$7:$J$645,'2추일입'!$A$7:$A$645,'2추위원회별'!$A14,'2추일입'!$B$7:$B$645,'2추위원회별'!$C14)</f>
        <v>0</v>
      </c>
      <c r="H14" s="86">
        <f>SUMIFS('2추일입'!$K$7:$K$645,'2추일입'!$A$7:$A$645,'2추위원회별'!$A14,'2추일입'!$B$7:$B$645,'2추위원회별'!$C14)</f>
        <v>0</v>
      </c>
      <c r="I14" s="86">
        <f>SUMIFS('2추일입'!$L$7:$L$645,'2추일입'!$A$7:$A$645,'2추위원회별'!$A14,'2추일입'!$B$7:$B$645,'2추위원회별'!$C14)</f>
        <v>0</v>
      </c>
      <c r="J14" s="86">
        <f>SUMIFS('2추일입'!$V$7:$V$645,'2추일입'!$A$7:$A$645,'2추위원회별'!$A14,'2추일입'!$B$7:$B$645,'2추위원회별'!$C14)</f>
        <v>0</v>
      </c>
      <c r="K14" s="86">
        <f>SUMIFS('2추일입'!$W$7:$W$645,'2추일입'!$A$7:$A$645,'2추위원회별'!$A14,'2추일입'!$B$7:$B$645,'2추위원회별'!$C14)</f>
        <v>0</v>
      </c>
      <c r="L14" s="86">
        <f>SUMIFS('2추일입'!$M$7:$M$645,'2추일입'!$A$7:$A$645,'2추위원회별'!$A14,'2추일입'!$B$7:$B$645,'2추위원회별'!$C14)</f>
        <v>0</v>
      </c>
      <c r="M14" s="86">
        <f>SUMIFS('2추일입'!$N$7:$N$645,'2추일입'!$A$7:$A$645,'2추위원회별'!$A14,'2추일입'!$B$7:$B$645,'2추위원회별'!$C14)</f>
        <v>0</v>
      </c>
      <c r="N14" s="86">
        <f>SUMIFS('2추일입'!$O$7:$O$645,'2추일입'!$A$7:$A$645,'2추위원회별'!$A14,'2추일입'!$B$7:$B$645,'2추위원회별'!$C14)</f>
        <v>0</v>
      </c>
      <c r="O14" s="86">
        <f>SUMIFS('2추일입'!$AA$7:$AA$645,'2추일입'!$A$7:$A$645,'2추위원회별'!$A14,'2추일입'!$B$7:$B$645,'2추위원회별'!$C14)</f>
        <v>0</v>
      </c>
      <c r="P14" s="86">
        <f>SUMIFS('2추일입'!$AB$7:$AB$645,'2추일입'!$A$7:$A$645,'2추위원회별'!$A14,'2추일입'!$B$7:$B$645,'2추위원회별'!$C14)</f>
        <v>0</v>
      </c>
      <c r="R14" s="86">
        <f>SUMIFS('2추일출'!$G$25:$G$657,'2추일출'!$A$25:$A$657,'2추위원회별'!$A14,'2추일출'!$B$25:$B$657,'2추위원회별'!$C14)</f>
        <v>0</v>
      </c>
      <c r="S14" s="86">
        <f>SUMIFS('2추일출'!$H$25:$H$657,'2추일출'!$A$25:$A$657,'2추위원회별'!$A14,'2추일출'!$B$25:$B$657,'2추위원회별'!$C14)</f>
        <v>0</v>
      </c>
      <c r="T14" s="86">
        <f>SUMIFS('2추일출'!$H$25:$H$657,'2추일출'!$A$25:$A$657,'2추위원회별'!$A14,'2추일출'!$B$25:$B$657,'2추위원회별'!$C14)</f>
        <v>0</v>
      </c>
      <c r="U14" s="86">
        <f>SUMIFS('2추일출'!$J$25:$J$657,'2추일출'!$A$25:$A$657,'2추위원회별'!$A14,'2추일출'!$B$25:$B$657,'2추위원회별'!$C14)</f>
        <v>0</v>
      </c>
      <c r="V14" s="86">
        <f>SUMIFS('2추일출'!$K$25:$K$657,'2추일출'!$A$25:$A$657,'2추위원회별'!$A14,'2추일출'!$B$25:$B$657,'2추위원회별'!$C14)</f>
        <v>0</v>
      </c>
      <c r="W14" s="86">
        <f>SUMIFS('2추일출'!$L$25:$L$657,'2추일출'!$A$25:$A$657,'2추위원회별'!$A14,'2추일출'!$B$25:$B$657,'2추위원회별'!$C14)</f>
        <v>0</v>
      </c>
      <c r="X14" s="86">
        <f>SUMIFS('2추일출'!$V$25:$V$657,'2추일출'!$A$25:$A$657,'2추위원회별'!$A14,'2추일출'!$B$25:$B$657,'2추위원회별'!$C14)</f>
        <v>0</v>
      </c>
      <c r="Y14" s="86">
        <f>SUMIFS('2추일출'!$W$25:$W$657,'2추일출'!$A$25:$A$657,'2추위원회별'!$A14,'2추일출'!$B$25:$B$657,'2추위원회별'!$C14)</f>
        <v>0</v>
      </c>
      <c r="Z14" s="86">
        <f>SUMIFS('2추일출'!$M$25:$M$657,'2추일출'!$A$25:$A$657,'2추위원회별'!$A14,'2추일출'!$B$25:$B$657,'2추위원회별'!$C14)</f>
        <v>0</v>
      </c>
      <c r="AA14" s="86">
        <f>SUMIFS('2추일출'!$N$25:$N$657,'2추일출'!$A$25:$A$657,'2추위원회별'!$A14,'2추일출'!$B$25:$B$657,'2추위원회별'!$C14)</f>
        <v>0</v>
      </c>
      <c r="AB14" s="86">
        <f>SUMIFS('2추일출'!$O$25:$O$657,'2추일출'!$A$25:$A$657,'2추위원회별'!$A14,'2추일출'!$B$25:$B$657,'2추위원회별'!$C14)</f>
        <v>0</v>
      </c>
      <c r="AC14" s="86">
        <f>SUMIFS('2추일출'!$AA$25:$AA$657,'2추일출'!$A$25:$A$657,'2추위원회별'!$A14,'2추일출'!$B$25:$B$657,'2추위원회별'!$C14)</f>
        <v>0</v>
      </c>
      <c r="AD14" s="86">
        <f>SUMIFS('2추일출'!$AB$25:$AB$657,'2추일출'!$A$25:$A$657,'2추위원회별'!$A14,'2추일출'!$B$25:$B$657,'2추위원회별'!$C14)</f>
        <v>0</v>
      </c>
    </row>
    <row r="15" spans="1:30" ht="16.5" customHeight="1">
      <c r="B15" s="356" t="s">
        <v>534</v>
      </c>
      <c r="C15" s="357"/>
      <c r="D15" s="84">
        <f>SUM(D16)</f>
        <v>0</v>
      </c>
      <c r="E15" s="84">
        <f t="shared" ref="E15:P15" si="6">SUM(E16)</f>
        <v>0</v>
      </c>
      <c r="F15" s="84">
        <f t="shared" si="6"/>
        <v>0</v>
      </c>
      <c r="G15" s="84">
        <f t="shared" si="6"/>
        <v>0</v>
      </c>
      <c r="H15" s="84">
        <f t="shared" si="6"/>
        <v>0</v>
      </c>
      <c r="I15" s="84">
        <f t="shared" si="6"/>
        <v>0</v>
      </c>
      <c r="J15" s="84">
        <f t="shared" si="6"/>
        <v>0</v>
      </c>
      <c r="K15" s="84">
        <f t="shared" si="6"/>
        <v>0</v>
      </c>
      <c r="L15" s="84">
        <f t="shared" si="6"/>
        <v>0</v>
      </c>
      <c r="M15" s="84">
        <f t="shared" si="6"/>
        <v>0</v>
      </c>
      <c r="N15" s="84">
        <f t="shared" si="6"/>
        <v>0</v>
      </c>
      <c r="O15" s="84">
        <f t="shared" si="6"/>
        <v>0</v>
      </c>
      <c r="P15" s="84">
        <f t="shared" si="6"/>
        <v>0</v>
      </c>
      <c r="R15" s="84">
        <f>SUM(R16)</f>
        <v>0</v>
      </c>
      <c r="S15" s="84">
        <f t="shared" ref="S15:AD15" si="7">SUM(S16)</f>
        <v>0</v>
      </c>
      <c r="T15" s="84">
        <f t="shared" si="7"/>
        <v>0</v>
      </c>
      <c r="U15" s="84">
        <f t="shared" si="7"/>
        <v>0</v>
      </c>
      <c r="V15" s="84">
        <f t="shared" si="7"/>
        <v>0</v>
      </c>
      <c r="W15" s="84">
        <f t="shared" si="7"/>
        <v>0</v>
      </c>
      <c r="X15" s="84">
        <f t="shared" si="7"/>
        <v>0</v>
      </c>
      <c r="Y15" s="84">
        <f t="shared" si="7"/>
        <v>0</v>
      </c>
      <c r="Z15" s="84">
        <f t="shared" si="7"/>
        <v>0</v>
      </c>
      <c r="AA15" s="84">
        <f t="shared" si="7"/>
        <v>0</v>
      </c>
      <c r="AB15" s="84">
        <f t="shared" si="7"/>
        <v>0</v>
      </c>
      <c r="AC15" s="84">
        <f t="shared" si="7"/>
        <v>0</v>
      </c>
      <c r="AD15" s="84">
        <f t="shared" si="7"/>
        <v>0</v>
      </c>
    </row>
    <row r="16" spans="1:30" ht="16.5" customHeight="1">
      <c r="A16" s="92" t="s">
        <v>534</v>
      </c>
      <c r="B16" s="85"/>
      <c r="C16" s="85" t="s">
        <v>342</v>
      </c>
      <c r="D16" s="86">
        <f>SUMIFS('2추일입'!$G$7:$G$645,'2추일입'!$A$7:$A$645,'2추위원회별'!$A16,'2추일입'!$B$7:$B$645,'2추위원회별'!$C16)</f>
        <v>0</v>
      </c>
      <c r="E16" s="86">
        <f>SUMIFS('2추일입'!$H$7:$H$645,'2추일입'!$A$7:$A$645,'2추위원회별'!$A16,'2추일입'!$B$7:$B$645,'2추위원회별'!$C16)</f>
        <v>0</v>
      </c>
      <c r="F16" s="86">
        <f>SUMIFS('2추일입'!$H$7:$H$645,'2추일입'!$A$7:$A$645,'2추위원회별'!$A16,'2추일입'!$B$7:$B$645,'2추위원회별'!$C16)</f>
        <v>0</v>
      </c>
      <c r="G16" s="86">
        <f>SUMIFS('2추일입'!$J$7:$J$645,'2추일입'!$A$7:$A$645,'2추위원회별'!$A16,'2추일입'!$B$7:$B$645,'2추위원회별'!$C16)</f>
        <v>0</v>
      </c>
      <c r="H16" s="86">
        <f>SUMIFS('2추일입'!$K$7:$K$645,'2추일입'!$A$7:$A$645,'2추위원회별'!$A16,'2추일입'!$B$7:$B$645,'2추위원회별'!$C16)</f>
        <v>0</v>
      </c>
      <c r="I16" s="86">
        <f>SUMIFS('2추일입'!$L$7:$L$645,'2추일입'!$A$7:$A$645,'2추위원회별'!$A16,'2추일입'!$B$7:$B$645,'2추위원회별'!$C16)</f>
        <v>0</v>
      </c>
      <c r="J16" s="86">
        <f>SUMIFS('2추일입'!$V$7:$V$645,'2추일입'!$A$7:$A$645,'2추위원회별'!$A16,'2추일입'!$B$7:$B$645,'2추위원회별'!$C16)</f>
        <v>0</v>
      </c>
      <c r="K16" s="86">
        <f>SUMIFS('2추일입'!$W$7:$W$645,'2추일입'!$A$7:$A$645,'2추위원회별'!$A16,'2추일입'!$B$7:$B$645,'2추위원회별'!$C16)</f>
        <v>0</v>
      </c>
      <c r="L16" s="86">
        <f>SUMIFS('2추일입'!$M$7:$M$645,'2추일입'!$A$7:$A$645,'2추위원회별'!$A16,'2추일입'!$B$7:$B$645,'2추위원회별'!$C16)</f>
        <v>0</v>
      </c>
      <c r="M16" s="86">
        <f>SUMIFS('2추일입'!$N$7:$N$645,'2추일입'!$A$7:$A$645,'2추위원회별'!$A16,'2추일입'!$B$7:$B$645,'2추위원회별'!$C16)</f>
        <v>0</v>
      </c>
      <c r="N16" s="86">
        <f>SUMIFS('2추일입'!$O$7:$O$645,'2추일입'!$A$7:$A$645,'2추위원회별'!$A16,'2추일입'!$B$7:$B$645,'2추위원회별'!$C16)</f>
        <v>0</v>
      </c>
      <c r="O16" s="86">
        <f>SUMIFS('2추일입'!$AA$7:$AA$645,'2추일입'!$A$7:$A$645,'2추위원회별'!$A16,'2추일입'!$B$7:$B$645,'2추위원회별'!$C16)</f>
        <v>0</v>
      </c>
      <c r="P16" s="86">
        <f>SUMIFS('2추일입'!$AB$7:$AB$645,'2추일입'!$A$7:$A$645,'2추위원회별'!$A16,'2추일입'!$B$7:$B$645,'2추위원회별'!$C16)</f>
        <v>0</v>
      </c>
      <c r="R16" s="86">
        <f>SUMIFS('2추일출'!$G$25:$G$657,'2추일출'!$A$25:$A$657,'2추위원회별'!$A16,'2추일출'!$B$25:$B$657,'2추위원회별'!$C16)</f>
        <v>0</v>
      </c>
      <c r="S16" s="86">
        <f>SUMIFS('2추일출'!$H$25:$H$657,'2추일출'!$A$25:$A$657,'2추위원회별'!$A16,'2추일출'!$B$25:$B$657,'2추위원회별'!$C16)</f>
        <v>0</v>
      </c>
      <c r="T16" s="86">
        <f>SUMIFS('2추일출'!$H$25:$H$657,'2추일출'!$A$25:$A$657,'2추위원회별'!$A16,'2추일출'!$B$25:$B$657,'2추위원회별'!$C16)</f>
        <v>0</v>
      </c>
      <c r="U16" s="86">
        <f>SUMIFS('2추일출'!$J$25:$J$657,'2추일출'!$A$25:$A$657,'2추위원회별'!$A16,'2추일출'!$B$25:$B$657,'2추위원회별'!$C16)</f>
        <v>0</v>
      </c>
      <c r="V16" s="86">
        <f>SUMIFS('2추일출'!$K$25:$K$657,'2추일출'!$A$25:$A$657,'2추위원회별'!$A16,'2추일출'!$B$25:$B$657,'2추위원회별'!$C16)</f>
        <v>0</v>
      </c>
      <c r="W16" s="86">
        <f>SUMIFS('2추일출'!$L$25:$L$657,'2추일출'!$A$25:$A$657,'2추위원회별'!$A16,'2추일출'!$B$25:$B$657,'2추위원회별'!$C16)</f>
        <v>0</v>
      </c>
      <c r="X16" s="86">
        <f>SUMIFS('2추일출'!$V$25:$V$657,'2추일출'!$A$25:$A$657,'2추위원회별'!$A16,'2추일출'!$B$25:$B$657,'2추위원회별'!$C16)</f>
        <v>0</v>
      </c>
      <c r="Y16" s="86">
        <f>SUMIFS('2추일출'!$W$25:$W$657,'2추일출'!$A$25:$A$657,'2추위원회별'!$A16,'2추일출'!$B$25:$B$657,'2추위원회별'!$C16)</f>
        <v>0</v>
      </c>
      <c r="Z16" s="86">
        <f>SUMIFS('2추일출'!$M$25:$M$657,'2추일출'!$A$25:$A$657,'2추위원회별'!$A16,'2추일출'!$B$25:$B$657,'2추위원회별'!$C16)</f>
        <v>0</v>
      </c>
      <c r="AA16" s="86">
        <f>SUMIFS('2추일출'!$N$25:$N$657,'2추일출'!$A$25:$A$657,'2추위원회별'!$A16,'2추일출'!$B$25:$B$657,'2추위원회별'!$C16)</f>
        <v>0</v>
      </c>
      <c r="AB16" s="86">
        <f>SUMIFS('2추일출'!$O$25:$O$657,'2추일출'!$A$25:$A$657,'2추위원회별'!$A16,'2추일출'!$B$25:$B$657,'2추위원회별'!$C16)</f>
        <v>0</v>
      </c>
      <c r="AC16" s="86">
        <f>SUMIFS('2추일출'!$AA$25:$AA$657,'2추일출'!$A$25:$A$657,'2추위원회별'!$A16,'2추일출'!$B$25:$B$657,'2추위원회별'!$C16)</f>
        <v>0</v>
      </c>
      <c r="AD16" s="86">
        <f>SUMIFS('2추일출'!$AB$25:$AB$657,'2추일출'!$A$25:$A$657,'2추위원회별'!$A16,'2추일출'!$B$25:$B$657,'2추위원회별'!$C16)</f>
        <v>0</v>
      </c>
    </row>
    <row r="17" spans="1:30" ht="16.5" customHeight="1">
      <c r="B17" s="356" t="s">
        <v>535</v>
      </c>
      <c r="C17" s="357"/>
      <c r="D17" s="84">
        <f>SUM(D18:D21)</f>
        <v>0</v>
      </c>
      <c r="E17" s="84">
        <f t="shared" ref="E17:P17" si="8">SUM(E18:E21)</f>
        <v>0</v>
      </c>
      <c r="F17" s="84">
        <f t="shared" si="8"/>
        <v>0</v>
      </c>
      <c r="G17" s="84">
        <f t="shared" si="8"/>
        <v>0</v>
      </c>
      <c r="H17" s="84">
        <f t="shared" si="8"/>
        <v>0</v>
      </c>
      <c r="I17" s="84">
        <f t="shared" si="8"/>
        <v>0</v>
      </c>
      <c r="J17" s="84">
        <f t="shared" si="8"/>
        <v>0</v>
      </c>
      <c r="K17" s="84">
        <f t="shared" si="8"/>
        <v>0</v>
      </c>
      <c r="L17" s="84">
        <f t="shared" si="8"/>
        <v>0</v>
      </c>
      <c r="M17" s="84">
        <f t="shared" si="8"/>
        <v>0</v>
      </c>
      <c r="N17" s="84">
        <f t="shared" si="8"/>
        <v>0</v>
      </c>
      <c r="O17" s="84">
        <f t="shared" si="8"/>
        <v>0</v>
      </c>
      <c r="P17" s="84">
        <f t="shared" si="8"/>
        <v>0</v>
      </c>
      <c r="R17" s="84">
        <f>SUM(R18:R21)</f>
        <v>0</v>
      </c>
      <c r="S17" s="84">
        <f t="shared" ref="S17:AD17" si="9">SUM(S18:S21)</f>
        <v>0</v>
      </c>
      <c r="T17" s="84">
        <f t="shared" si="9"/>
        <v>0</v>
      </c>
      <c r="U17" s="84">
        <f t="shared" si="9"/>
        <v>0</v>
      </c>
      <c r="V17" s="84">
        <f t="shared" si="9"/>
        <v>0</v>
      </c>
      <c r="W17" s="84">
        <f t="shared" si="9"/>
        <v>0</v>
      </c>
      <c r="X17" s="84">
        <f t="shared" si="9"/>
        <v>0</v>
      </c>
      <c r="Y17" s="84">
        <f t="shared" si="9"/>
        <v>0</v>
      </c>
      <c r="Z17" s="84">
        <f t="shared" si="9"/>
        <v>0</v>
      </c>
      <c r="AA17" s="84">
        <f t="shared" si="9"/>
        <v>0</v>
      </c>
      <c r="AB17" s="84">
        <f t="shared" si="9"/>
        <v>0</v>
      </c>
      <c r="AC17" s="84">
        <f t="shared" si="9"/>
        <v>0</v>
      </c>
      <c r="AD17" s="84">
        <f t="shared" si="9"/>
        <v>0</v>
      </c>
    </row>
    <row r="18" spans="1:30" ht="16.5" customHeight="1">
      <c r="A18" s="92" t="s">
        <v>535</v>
      </c>
      <c r="B18" s="85"/>
      <c r="C18" s="85" t="s">
        <v>111</v>
      </c>
      <c r="D18" s="86">
        <f>SUMIFS('2추일입'!$G$7:$G$645,'2추일입'!$A$7:$A$645,'2추위원회별'!$A18,'2추일입'!$B$7:$B$645,'2추위원회별'!$C18)</f>
        <v>0</v>
      </c>
      <c r="E18" s="86">
        <f>SUMIFS('2추일입'!$H$7:$H$645,'2추일입'!$A$7:$A$645,'2추위원회별'!$A18,'2추일입'!$B$7:$B$645,'2추위원회별'!$C18)</f>
        <v>0</v>
      </c>
      <c r="F18" s="86">
        <f>SUMIFS('2추일입'!$H$7:$H$645,'2추일입'!$A$7:$A$645,'2추위원회별'!$A18,'2추일입'!$B$7:$B$645,'2추위원회별'!$C18)</f>
        <v>0</v>
      </c>
      <c r="G18" s="86">
        <f>SUMIFS('2추일입'!$J$7:$J$645,'2추일입'!$A$7:$A$645,'2추위원회별'!$A18,'2추일입'!$B$7:$B$645,'2추위원회별'!$C18)</f>
        <v>0</v>
      </c>
      <c r="H18" s="86">
        <f>SUMIFS('2추일입'!$K$7:$K$645,'2추일입'!$A$7:$A$645,'2추위원회별'!$A18,'2추일입'!$B$7:$B$645,'2추위원회별'!$C18)</f>
        <v>0</v>
      </c>
      <c r="I18" s="86">
        <f>SUMIFS('2추일입'!$L$7:$L$645,'2추일입'!$A$7:$A$645,'2추위원회별'!$A18,'2추일입'!$B$7:$B$645,'2추위원회별'!$C18)</f>
        <v>0</v>
      </c>
      <c r="J18" s="86">
        <f>SUMIFS('2추일입'!$V$7:$V$645,'2추일입'!$A$7:$A$645,'2추위원회별'!$A18,'2추일입'!$B$7:$B$645,'2추위원회별'!$C18)</f>
        <v>0</v>
      </c>
      <c r="K18" s="86">
        <f>SUMIFS('2추일입'!$W$7:$W$645,'2추일입'!$A$7:$A$645,'2추위원회별'!$A18,'2추일입'!$B$7:$B$645,'2추위원회별'!$C18)</f>
        <v>0</v>
      </c>
      <c r="L18" s="86">
        <f>SUMIFS('2추일입'!$M$7:$M$645,'2추일입'!$A$7:$A$645,'2추위원회별'!$A18,'2추일입'!$B$7:$B$645,'2추위원회별'!$C18)</f>
        <v>0</v>
      </c>
      <c r="M18" s="86">
        <f>SUMIFS('2추일입'!$N$7:$N$645,'2추일입'!$A$7:$A$645,'2추위원회별'!$A18,'2추일입'!$B$7:$B$645,'2추위원회별'!$C18)</f>
        <v>0</v>
      </c>
      <c r="N18" s="86">
        <f>SUMIFS('2추일입'!$O$7:$O$645,'2추일입'!$A$7:$A$645,'2추위원회별'!$A18,'2추일입'!$B$7:$B$645,'2추위원회별'!$C18)</f>
        <v>0</v>
      </c>
      <c r="O18" s="86">
        <f>SUMIFS('2추일입'!$AA$7:$AA$645,'2추일입'!$A$7:$A$645,'2추위원회별'!$A18,'2추일입'!$B$7:$B$645,'2추위원회별'!$C18)</f>
        <v>0</v>
      </c>
      <c r="P18" s="86">
        <f>SUMIFS('2추일입'!$AB$7:$AB$645,'2추일입'!$A$7:$A$645,'2추위원회별'!$A18,'2추일입'!$B$7:$B$645,'2추위원회별'!$C18)</f>
        <v>0</v>
      </c>
      <c r="R18" s="86">
        <f>SUMIFS('2추일출'!$G$25:$G$657,'2추일출'!$A$25:$A$657,'2추위원회별'!$A18,'2추일출'!$B$25:$B$657,'2추위원회별'!$C18)</f>
        <v>0</v>
      </c>
      <c r="S18" s="86">
        <f>SUMIFS('2추일출'!$H$25:$H$657,'2추일출'!$A$25:$A$657,'2추위원회별'!$A18,'2추일출'!$B$25:$B$657,'2추위원회별'!$C18)</f>
        <v>0</v>
      </c>
      <c r="T18" s="86">
        <f>SUMIFS('2추일출'!$H$25:$H$657,'2추일출'!$A$25:$A$657,'2추위원회별'!$A18,'2추일출'!$B$25:$B$657,'2추위원회별'!$C18)</f>
        <v>0</v>
      </c>
      <c r="U18" s="86">
        <f>SUMIFS('2추일출'!$J$25:$J$657,'2추일출'!$A$25:$A$657,'2추위원회별'!$A18,'2추일출'!$B$25:$B$657,'2추위원회별'!$C18)</f>
        <v>0</v>
      </c>
      <c r="V18" s="86">
        <f>SUMIFS('2추일출'!$K$25:$K$657,'2추일출'!$A$25:$A$657,'2추위원회별'!$A18,'2추일출'!$B$25:$B$657,'2추위원회별'!$C18)</f>
        <v>0</v>
      </c>
      <c r="W18" s="86">
        <f>SUMIFS('2추일출'!$L$25:$L$657,'2추일출'!$A$25:$A$657,'2추위원회별'!$A18,'2추일출'!$B$25:$B$657,'2추위원회별'!$C18)</f>
        <v>0</v>
      </c>
      <c r="X18" s="86">
        <f>SUMIFS('2추일출'!$V$25:$V$657,'2추일출'!$A$25:$A$657,'2추위원회별'!$A18,'2추일출'!$B$25:$B$657,'2추위원회별'!$C18)</f>
        <v>0</v>
      </c>
      <c r="Y18" s="86">
        <f>SUMIFS('2추일출'!$W$25:$W$657,'2추일출'!$A$25:$A$657,'2추위원회별'!$A18,'2추일출'!$B$25:$B$657,'2추위원회별'!$C18)</f>
        <v>0</v>
      </c>
      <c r="Z18" s="86">
        <f>SUMIFS('2추일출'!$M$25:$M$657,'2추일출'!$A$25:$A$657,'2추위원회별'!$A18,'2추일출'!$B$25:$B$657,'2추위원회별'!$C18)</f>
        <v>0</v>
      </c>
      <c r="AA18" s="86">
        <f>SUMIFS('2추일출'!$N$25:$N$657,'2추일출'!$A$25:$A$657,'2추위원회별'!$A18,'2추일출'!$B$25:$B$657,'2추위원회별'!$C18)</f>
        <v>0</v>
      </c>
      <c r="AB18" s="86">
        <f>SUMIFS('2추일출'!$O$25:$O$657,'2추일출'!$A$25:$A$657,'2추위원회별'!$A18,'2추일출'!$B$25:$B$657,'2추위원회별'!$C18)</f>
        <v>0</v>
      </c>
      <c r="AC18" s="86">
        <f>SUMIFS('2추일출'!$AA$25:$AA$657,'2추일출'!$A$25:$A$657,'2추위원회별'!$A18,'2추일출'!$B$25:$B$657,'2추위원회별'!$C18)</f>
        <v>0</v>
      </c>
      <c r="AD18" s="86">
        <f>SUMIFS('2추일출'!$AB$25:$AB$657,'2추일출'!$A$25:$A$657,'2추위원회별'!$A18,'2추일출'!$B$25:$B$657,'2추위원회별'!$C18)</f>
        <v>0</v>
      </c>
    </row>
    <row r="19" spans="1:30" ht="16.5" customHeight="1">
      <c r="A19" t="s">
        <v>535</v>
      </c>
      <c r="B19" s="85"/>
      <c r="C19" s="85" t="s">
        <v>225</v>
      </c>
      <c r="D19" s="86">
        <f>SUMIFS('2추일입'!$G$7:$G$645,'2추일입'!$A$7:$A$645,'2추위원회별'!$A19,'2추일입'!$B$7:$B$645,'2추위원회별'!$C19)</f>
        <v>0</v>
      </c>
      <c r="E19" s="86">
        <f>SUMIFS('2추일입'!$H$7:$H$645,'2추일입'!$A$7:$A$645,'2추위원회별'!$A19,'2추일입'!$B$7:$B$645,'2추위원회별'!$C19)</f>
        <v>0</v>
      </c>
      <c r="F19" s="86">
        <f>SUMIFS('2추일입'!$H$7:$H$645,'2추일입'!$A$7:$A$645,'2추위원회별'!$A19,'2추일입'!$B$7:$B$645,'2추위원회별'!$C19)</f>
        <v>0</v>
      </c>
      <c r="G19" s="86">
        <f>SUMIFS('2추일입'!$J$7:$J$645,'2추일입'!$A$7:$A$645,'2추위원회별'!$A19,'2추일입'!$B$7:$B$645,'2추위원회별'!$C19)</f>
        <v>0</v>
      </c>
      <c r="H19" s="86">
        <f>SUMIFS('2추일입'!$K$7:$K$645,'2추일입'!$A$7:$A$645,'2추위원회별'!$A19,'2추일입'!$B$7:$B$645,'2추위원회별'!$C19)</f>
        <v>0</v>
      </c>
      <c r="I19" s="86">
        <f>SUMIFS('2추일입'!$L$7:$L$645,'2추일입'!$A$7:$A$645,'2추위원회별'!$A19,'2추일입'!$B$7:$B$645,'2추위원회별'!$C19)</f>
        <v>0</v>
      </c>
      <c r="J19" s="86">
        <f>SUMIFS('2추일입'!$V$7:$V$645,'2추일입'!$A$7:$A$645,'2추위원회별'!$A19,'2추일입'!$B$7:$B$645,'2추위원회별'!$C19)</f>
        <v>0</v>
      </c>
      <c r="K19" s="86">
        <f>SUMIFS('2추일입'!$W$7:$W$645,'2추일입'!$A$7:$A$645,'2추위원회별'!$A19,'2추일입'!$B$7:$B$645,'2추위원회별'!$C19)</f>
        <v>0</v>
      </c>
      <c r="L19" s="86">
        <f>SUMIFS('2추일입'!$M$7:$M$645,'2추일입'!$A$7:$A$645,'2추위원회별'!$A19,'2추일입'!$B$7:$B$645,'2추위원회별'!$C19)</f>
        <v>0</v>
      </c>
      <c r="M19" s="86">
        <f>SUMIFS('2추일입'!$N$7:$N$645,'2추일입'!$A$7:$A$645,'2추위원회별'!$A19,'2추일입'!$B$7:$B$645,'2추위원회별'!$C19)</f>
        <v>0</v>
      </c>
      <c r="N19" s="86">
        <f>SUMIFS('2추일입'!$O$7:$O$645,'2추일입'!$A$7:$A$645,'2추위원회별'!$A19,'2추일입'!$B$7:$B$645,'2추위원회별'!$C19)</f>
        <v>0</v>
      </c>
      <c r="O19" s="86">
        <f>SUMIFS('2추일입'!$AA$7:$AA$645,'2추일입'!$A$7:$A$645,'2추위원회별'!$A19,'2추일입'!$B$7:$B$645,'2추위원회별'!$C19)</f>
        <v>0</v>
      </c>
      <c r="P19" s="86">
        <f>SUMIFS('2추일입'!$AB$7:$AB$645,'2추일입'!$A$7:$A$645,'2추위원회별'!$A19,'2추일입'!$B$7:$B$645,'2추위원회별'!$C19)</f>
        <v>0</v>
      </c>
      <c r="R19" s="86">
        <f>SUMIFS('2추일출'!$G$25:$G$657,'2추일출'!$A$25:$A$657,'2추위원회별'!$A19,'2추일출'!$B$25:$B$657,'2추위원회별'!$C19)</f>
        <v>0</v>
      </c>
      <c r="S19" s="86">
        <f>SUMIFS('2추일출'!$H$25:$H$657,'2추일출'!$A$25:$A$657,'2추위원회별'!$A19,'2추일출'!$B$25:$B$657,'2추위원회별'!$C19)</f>
        <v>0</v>
      </c>
      <c r="T19" s="86">
        <f>SUMIFS('2추일출'!$H$25:$H$657,'2추일출'!$A$25:$A$657,'2추위원회별'!$A19,'2추일출'!$B$25:$B$657,'2추위원회별'!$C19)</f>
        <v>0</v>
      </c>
      <c r="U19" s="86">
        <f>SUMIFS('2추일출'!$J$25:$J$657,'2추일출'!$A$25:$A$657,'2추위원회별'!$A19,'2추일출'!$B$25:$B$657,'2추위원회별'!$C19)</f>
        <v>0</v>
      </c>
      <c r="V19" s="86">
        <f>SUMIFS('2추일출'!$K$25:$K$657,'2추일출'!$A$25:$A$657,'2추위원회별'!$A19,'2추일출'!$B$25:$B$657,'2추위원회별'!$C19)</f>
        <v>0</v>
      </c>
      <c r="W19" s="86">
        <f>SUMIFS('2추일출'!$L$25:$L$657,'2추일출'!$A$25:$A$657,'2추위원회별'!$A19,'2추일출'!$B$25:$B$657,'2추위원회별'!$C19)</f>
        <v>0</v>
      </c>
      <c r="X19" s="86">
        <f>SUMIFS('2추일출'!$V$25:$V$657,'2추일출'!$A$25:$A$657,'2추위원회별'!$A19,'2추일출'!$B$25:$B$657,'2추위원회별'!$C19)</f>
        <v>0</v>
      </c>
      <c r="Y19" s="86">
        <f>SUMIFS('2추일출'!$W$25:$W$657,'2추일출'!$A$25:$A$657,'2추위원회별'!$A19,'2추일출'!$B$25:$B$657,'2추위원회별'!$C19)</f>
        <v>0</v>
      </c>
      <c r="Z19" s="86">
        <f>SUMIFS('2추일출'!$M$25:$M$657,'2추일출'!$A$25:$A$657,'2추위원회별'!$A19,'2추일출'!$B$25:$B$657,'2추위원회별'!$C19)</f>
        <v>0</v>
      </c>
      <c r="AA19" s="86">
        <f>SUMIFS('2추일출'!$N$25:$N$657,'2추일출'!$A$25:$A$657,'2추위원회별'!$A19,'2추일출'!$B$25:$B$657,'2추위원회별'!$C19)</f>
        <v>0</v>
      </c>
      <c r="AB19" s="86">
        <f>SUMIFS('2추일출'!$O$25:$O$657,'2추일출'!$A$25:$A$657,'2추위원회별'!$A19,'2추일출'!$B$25:$B$657,'2추위원회별'!$C19)</f>
        <v>0</v>
      </c>
      <c r="AC19" s="86">
        <f>SUMIFS('2추일출'!$AA$25:$AA$657,'2추일출'!$A$25:$A$657,'2추위원회별'!$A19,'2추일출'!$B$25:$B$657,'2추위원회별'!$C19)</f>
        <v>0</v>
      </c>
      <c r="AD19" s="86">
        <f>SUMIFS('2추일출'!$AB$25:$AB$657,'2추일출'!$A$25:$A$657,'2추위원회별'!$A19,'2추일출'!$B$25:$B$657,'2추위원회별'!$C19)</f>
        <v>0</v>
      </c>
    </row>
    <row r="20" spans="1:30" ht="16.5" customHeight="1">
      <c r="A20" s="92" t="s">
        <v>535</v>
      </c>
      <c r="B20" s="87"/>
      <c r="C20" s="87" t="s">
        <v>327</v>
      </c>
      <c r="D20" s="86">
        <f>SUMIFS('2추일입'!$G$7:$G$645,'2추일입'!$A$7:$A$645,'2추위원회별'!$A20,'2추일입'!$B$7:$B$645,'2추위원회별'!$C20)</f>
        <v>0</v>
      </c>
      <c r="E20" s="86">
        <f>SUMIFS('2추일입'!$H$7:$H$645,'2추일입'!$A$7:$A$645,'2추위원회별'!$A20,'2추일입'!$B$7:$B$645,'2추위원회별'!$C20)</f>
        <v>0</v>
      </c>
      <c r="F20" s="86">
        <f>SUMIFS('2추일입'!$H$7:$H$645,'2추일입'!$A$7:$A$645,'2추위원회별'!$A20,'2추일입'!$B$7:$B$645,'2추위원회별'!$C20)</f>
        <v>0</v>
      </c>
      <c r="G20" s="86">
        <f>SUMIFS('2추일입'!$J$7:$J$645,'2추일입'!$A$7:$A$645,'2추위원회별'!$A20,'2추일입'!$B$7:$B$645,'2추위원회별'!$C20)</f>
        <v>0</v>
      </c>
      <c r="H20" s="86">
        <f>SUMIFS('2추일입'!$K$7:$K$645,'2추일입'!$A$7:$A$645,'2추위원회별'!$A20,'2추일입'!$B$7:$B$645,'2추위원회별'!$C20)</f>
        <v>0</v>
      </c>
      <c r="I20" s="86">
        <f>SUMIFS('2추일입'!$L$7:$L$645,'2추일입'!$A$7:$A$645,'2추위원회별'!$A20,'2추일입'!$B$7:$B$645,'2추위원회별'!$C20)</f>
        <v>0</v>
      </c>
      <c r="J20" s="86">
        <f>SUMIFS('2추일입'!$V$7:$V$645,'2추일입'!$A$7:$A$645,'2추위원회별'!$A20,'2추일입'!$B$7:$B$645,'2추위원회별'!$C20)</f>
        <v>0</v>
      </c>
      <c r="K20" s="86">
        <f>SUMIFS('2추일입'!$W$7:$W$645,'2추일입'!$A$7:$A$645,'2추위원회별'!$A20,'2추일입'!$B$7:$B$645,'2추위원회별'!$C20)</f>
        <v>0</v>
      </c>
      <c r="L20" s="86">
        <f>SUMIFS('2추일입'!$M$7:$M$645,'2추일입'!$A$7:$A$645,'2추위원회별'!$A20,'2추일입'!$B$7:$B$645,'2추위원회별'!$C20)</f>
        <v>0</v>
      </c>
      <c r="M20" s="86">
        <f>SUMIFS('2추일입'!$N$7:$N$645,'2추일입'!$A$7:$A$645,'2추위원회별'!$A20,'2추일입'!$B$7:$B$645,'2추위원회별'!$C20)</f>
        <v>0</v>
      </c>
      <c r="N20" s="86">
        <f>SUMIFS('2추일입'!$O$7:$O$645,'2추일입'!$A$7:$A$645,'2추위원회별'!$A20,'2추일입'!$B$7:$B$645,'2추위원회별'!$C20)</f>
        <v>0</v>
      </c>
      <c r="O20" s="86">
        <f>SUMIFS('2추일입'!$AA$7:$AA$645,'2추일입'!$A$7:$A$645,'2추위원회별'!$A20,'2추일입'!$B$7:$B$645,'2추위원회별'!$C20)</f>
        <v>0</v>
      </c>
      <c r="P20" s="86">
        <f>SUMIFS('2추일입'!$AB$7:$AB$645,'2추일입'!$A$7:$A$645,'2추위원회별'!$A20,'2추일입'!$B$7:$B$645,'2추위원회별'!$C20)</f>
        <v>0</v>
      </c>
      <c r="R20" s="86">
        <f>SUMIFS('2추일출'!$G$25:$G$657,'2추일출'!$A$25:$A$657,'2추위원회별'!$A20,'2추일출'!$B$25:$B$657,'2추위원회별'!$C20)</f>
        <v>0</v>
      </c>
      <c r="S20" s="86">
        <f>SUMIFS('2추일출'!$H$25:$H$657,'2추일출'!$A$25:$A$657,'2추위원회별'!$A20,'2추일출'!$B$25:$B$657,'2추위원회별'!$C20)</f>
        <v>0</v>
      </c>
      <c r="T20" s="86">
        <f>SUMIFS('2추일출'!$H$25:$H$657,'2추일출'!$A$25:$A$657,'2추위원회별'!$A20,'2추일출'!$B$25:$B$657,'2추위원회별'!$C20)</f>
        <v>0</v>
      </c>
      <c r="U20" s="86">
        <f>SUMIFS('2추일출'!$J$25:$J$657,'2추일출'!$A$25:$A$657,'2추위원회별'!$A20,'2추일출'!$B$25:$B$657,'2추위원회별'!$C20)</f>
        <v>0</v>
      </c>
      <c r="V20" s="86">
        <f>SUMIFS('2추일출'!$K$25:$K$657,'2추일출'!$A$25:$A$657,'2추위원회별'!$A20,'2추일출'!$B$25:$B$657,'2추위원회별'!$C20)</f>
        <v>0</v>
      </c>
      <c r="W20" s="86">
        <f>SUMIFS('2추일출'!$L$25:$L$657,'2추일출'!$A$25:$A$657,'2추위원회별'!$A20,'2추일출'!$B$25:$B$657,'2추위원회별'!$C20)</f>
        <v>0</v>
      </c>
      <c r="X20" s="86">
        <f>SUMIFS('2추일출'!$V$25:$V$657,'2추일출'!$A$25:$A$657,'2추위원회별'!$A20,'2추일출'!$B$25:$B$657,'2추위원회별'!$C20)</f>
        <v>0</v>
      </c>
      <c r="Y20" s="86">
        <f>SUMIFS('2추일출'!$W$25:$W$657,'2추일출'!$A$25:$A$657,'2추위원회별'!$A20,'2추일출'!$B$25:$B$657,'2추위원회별'!$C20)</f>
        <v>0</v>
      </c>
      <c r="Z20" s="86">
        <f>SUMIFS('2추일출'!$M$25:$M$657,'2추일출'!$A$25:$A$657,'2추위원회별'!$A20,'2추일출'!$B$25:$B$657,'2추위원회별'!$C20)</f>
        <v>0</v>
      </c>
      <c r="AA20" s="86">
        <f>SUMIFS('2추일출'!$N$25:$N$657,'2추일출'!$A$25:$A$657,'2추위원회별'!$A20,'2추일출'!$B$25:$B$657,'2추위원회별'!$C20)</f>
        <v>0</v>
      </c>
      <c r="AB20" s="86">
        <f>SUMIFS('2추일출'!$O$25:$O$657,'2추일출'!$A$25:$A$657,'2추위원회별'!$A20,'2추일출'!$B$25:$B$657,'2추위원회별'!$C20)</f>
        <v>0</v>
      </c>
      <c r="AC20" s="86">
        <f>SUMIFS('2추일출'!$AA$25:$AA$657,'2추일출'!$A$25:$A$657,'2추위원회별'!$A20,'2추일출'!$B$25:$B$657,'2추위원회별'!$C20)</f>
        <v>0</v>
      </c>
      <c r="AD20" s="86">
        <f>SUMIFS('2추일출'!$AB$25:$AB$657,'2추일출'!$A$25:$A$657,'2추위원회별'!$A20,'2추일출'!$B$25:$B$657,'2추위원회별'!$C20)</f>
        <v>0</v>
      </c>
    </row>
    <row r="21" spans="1:30" ht="16.5" customHeight="1">
      <c r="A21" t="s">
        <v>535</v>
      </c>
      <c r="B21" s="85"/>
      <c r="C21" s="85" t="s">
        <v>395</v>
      </c>
      <c r="D21" s="86">
        <f>SUMIFS('2추일입'!$G$7:$G$645,'2추일입'!$A$7:$A$645,'2추위원회별'!$A21,'2추일입'!$B$7:$B$645,'2추위원회별'!$C21)</f>
        <v>0</v>
      </c>
      <c r="E21" s="86">
        <f>SUMIFS('2추일입'!$H$7:$H$645,'2추일입'!$A$7:$A$645,'2추위원회별'!$A21,'2추일입'!$B$7:$B$645,'2추위원회별'!$C21)</f>
        <v>0</v>
      </c>
      <c r="F21" s="86">
        <f>SUMIFS('2추일입'!$H$7:$H$645,'2추일입'!$A$7:$A$645,'2추위원회별'!$A21,'2추일입'!$B$7:$B$645,'2추위원회별'!$C21)</f>
        <v>0</v>
      </c>
      <c r="G21" s="86">
        <f>SUMIFS('2추일입'!$J$7:$J$645,'2추일입'!$A$7:$A$645,'2추위원회별'!$A21,'2추일입'!$B$7:$B$645,'2추위원회별'!$C21)</f>
        <v>0</v>
      </c>
      <c r="H21" s="86">
        <f>SUMIFS('2추일입'!$K$7:$K$645,'2추일입'!$A$7:$A$645,'2추위원회별'!$A21,'2추일입'!$B$7:$B$645,'2추위원회별'!$C21)</f>
        <v>0</v>
      </c>
      <c r="I21" s="86">
        <f>SUMIFS('2추일입'!$L$7:$L$645,'2추일입'!$A$7:$A$645,'2추위원회별'!$A21,'2추일입'!$B$7:$B$645,'2추위원회별'!$C21)</f>
        <v>0</v>
      </c>
      <c r="J21" s="86">
        <f>SUMIFS('2추일입'!$V$7:$V$645,'2추일입'!$A$7:$A$645,'2추위원회별'!$A21,'2추일입'!$B$7:$B$645,'2추위원회별'!$C21)</f>
        <v>0</v>
      </c>
      <c r="K21" s="86">
        <f>SUMIFS('2추일입'!$W$7:$W$645,'2추일입'!$A$7:$A$645,'2추위원회별'!$A21,'2추일입'!$B$7:$B$645,'2추위원회별'!$C21)</f>
        <v>0</v>
      </c>
      <c r="L21" s="86">
        <f>SUMIFS('2추일입'!$M$7:$M$645,'2추일입'!$A$7:$A$645,'2추위원회별'!$A21,'2추일입'!$B$7:$B$645,'2추위원회별'!$C21)</f>
        <v>0</v>
      </c>
      <c r="M21" s="86">
        <f>SUMIFS('2추일입'!$N$7:$N$645,'2추일입'!$A$7:$A$645,'2추위원회별'!$A21,'2추일입'!$B$7:$B$645,'2추위원회별'!$C21)</f>
        <v>0</v>
      </c>
      <c r="N21" s="86">
        <f>SUMIFS('2추일입'!$O$7:$O$645,'2추일입'!$A$7:$A$645,'2추위원회별'!$A21,'2추일입'!$B$7:$B$645,'2추위원회별'!$C21)</f>
        <v>0</v>
      </c>
      <c r="O21" s="86">
        <f>SUMIFS('2추일입'!$AA$7:$AA$645,'2추일입'!$A$7:$A$645,'2추위원회별'!$A21,'2추일입'!$B$7:$B$645,'2추위원회별'!$C21)</f>
        <v>0</v>
      </c>
      <c r="P21" s="86">
        <f>SUMIFS('2추일입'!$AB$7:$AB$645,'2추일입'!$A$7:$A$645,'2추위원회별'!$A21,'2추일입'!$B$7:$B$645,'2추위원회별'!$C21)</f>
        <v>0</v>
      </c>
      <c r="R21" s="86">
        <f>SUMIFS('2추일출'!$G$25:$G$657,'2추일출'!$A$25:$A$657,'2추위원회별'!$A21,'2추일출'!$B$25:$B$657,'2추위원회별'!$C21)</f>
        <v>0</v>
      </c>
      <c r="S21" s="86">
        <f>SUMIFS('2추일출'!$H$25:$H$657,'2추일출'!$A$25:$A$657,'2추위원회별'!$A21,'2추일출'!$B$25:$B$657,'2추위원회별'!$C21)</f>
        <v>0</v>
      </c>
      <c r="T21" s="86">
        <f>SUMIFS('2추일출'!$H$25:$H$657,'2추일출'!$A$25:$A$657,'2추위원회별'!$A21,'2추일출'!$B$25:$B$657,'2추위원회별'!$C21)</f>
        <v>0</v>
      </c>
      <c r="U21" s="86">
        <f>SUMIFS('2추일출'!$J$25:$J$657,'2추일출'!$A$25:$A$657,'2추위원회별'!$A21,'2추일출'!$B$25:$B$657,'2추위원회별'!$C21)</f>
        <v>0</v>
      </c>
      <c r="V21" s="86">
        <f>SUMIFS('2추일출'!$K$25:$K$657,'2추일출'!$A$25:$A$657,'2추위원회별'!$A21,'2추일출'!$B$25:$B$657,'2추위원회별'!$C21)</f>
        <v>0</v>
      </c>
      <c r="W21" s="86">
        <f>SUMIFS('2추일출'!$L$25:$L$657,'2추일출'!$A$25:$A$657,'2추위원회별'!$A21,'2추일출'!$B$25:$B$657,'2추위원회별'!$C21)</f>
        <v>0</v>
      </c>
      <c r="X21" s="86">
        <f>SUMIFS('2추일출'!$V$25:$V$657,'2추일출'!$A$25:$A$657,'2추위원회별'!$A21,'2추일출'!$B$25:$B$657,'2추위원회별'!$C21)</f>
        <v>0</v>
      </c>
      <c r="Y21" s="86">
        <f>SUMIFS('2추일출'!$W$25:$W$657,'2추일출'!$A$25:$A$657,'2추위원회별'!$A21,'2추일출'!$B$25:$B$657,'2추위원회별'!$C21)</f>
        <v>0</v>
      </c>
      <c r="Z21" s="86">
        <f>SUMIFS('2추일출'!$M$25:$M$657,'2추일출'!$A$25:$A$657,'2추위원회별'!$A21,'2추일출'!$B$25:$B$657,'2추위원회별'!$C21)</f>
        <v>0</v>
      </c>
      <c r="AA21" s="86">
        <f>SUMIFS('2추일출'!$N$25:$N$657,'2추일출'!$A$25:$A$657,'2추위원회별'!$A21,'2추일출'!$B$25:$B$657,'2추위원회별'!$C21)</f>
        <v>0</v>
      </c>
      <c r="AB21" s="86">
        <f>SUMIFS('2추일출'!$O$25:$O$657,'2추일출'!$A$25:$A$657,'2추위원회별'!$A21,'2추일출'!$B$25:$B$657,'2추위원회별'!$C21)</f>
        <v>0</v>
      </c>
      <c r="AC21" s="86">
        <f>SUMIFS('2추일출'!$AA$25:$AA$657,'2추일출'!$A$25:$A$657,'2추위원회별'!$A21,'2추일출'!$B$25:$B$657,'2추위원회별'!$C21)</f>
        <v>0</v>
      </c>
      <c r="AD21" s="86">
        <f>SUMIFS('2추일출'!$AB$25:$AB$657,'2추일출'!$A$25:$A$657,'2추위원회별'!$A21,'2추일출'!$B$25:$B$657,'2추위원회별'!$C21)</f>
        <v>0</v>
      </c>
    </row>
    <row r="22" spans="1:30" ht="16.5" customHeight="1">
      <c r="A22" s="92"/>
      <c r="B22" s="356" t="s">
        <v>14</v>
      </c>
      <c r="C22" s="357"/>
      <c r="D22" s="84">
        <f>SUM(D23)</f>
        <v>0</v>
      </c>
      <c r="E22" s="84">
        <f t="shared" ref="E22:P22" si="10">SUM(E23)</f>
        <v>0</v>
      </c>
      <c r="F22" s="84">
        <f t="shared" si="10"/>
        <v>0</v>
      </c>
      <c r="G22" s="84">
        <f t="shared" si="10"/>
        <v>0</v>
      </c>
      <c r="H22" s="84">
        <f t="shared" si="10"/>
        <v>0</v>
      </c>
      <c r="I22" s="84">
        <f t="shared" si="10"/>
        <v>0</v>
      </c>
      <c r="J22" s="84">
        <f t="shared" si="10"/>
        <v>0</v>
      </c>
      <c r="K22" s="84">
        <f t="shared" si="10"/>
        <v>0</v>
      </c>
      <c r="L22" s="84">
        <f t="shared" si="10"/>
        <v>0</v>
      </c>
      <c r="M22" s="84">
        <f t="shared" si="10"/>
        <v>0</v>
      </c>
      <c r="N22" s="84">
        <f t="shared" si="10"/>
        <v>0</v>
      </c>
      <c r="O22" s="84">
        <f t="shared" si="10"/>
        <v>0</v>
      </c>
      <c r="P22" s="84">
        <f t="shared" si="10"/>
        <v>0</v>
      </c>
      <c r="R22" s="84">
        <f>SUM(R23)</f>
        <v>0</v>
      </c>
      <c r="S22" s="84">
        <f t="shared" ref="S22:AD22" si="11">SUM(S23)</f>
        <v>0</v>
      </c>
      <c r="T22" s="84">
        <f t="shared" si="11"/>
        <v>0</v>
      </c>
      <c r="U22" s="84">
        <f t="shared" si="11"/>
        <v>0</v>
      </c>
      <c r="V22" s="84">
        <f t="shared" si="11"/>
        <v>0</v>
      </c>
      <c r="W22" s="84">
        <f t="shared" si="11"/>
        <v>0</v>
      </c>
      <c r="X22" s="84">
        <f t="shared" si="11"/>
        <v>0</v>
      </c>
      <c r="Y22" s="84">
        <f t="shared" si="11"/>
        <v>0</v>
      </c>
      <c r="Z22" s="84">
        <f t="shared" si="11"/>
        <v>0</v>
      </c>
      <c r="AA22" s="84">
        <f t="shared" si="11"/>
        <v>0</v>
      </c>
      <c r="AB22" s="84">
        <f t="shared" si="11"/>
        <v>0</v>
      </c>
      <c r="AC22" s="84">
        <f t="shared" si="11"/>
        <v>0</v>
      </c>
      <c r="AD22" s="84">
        <f t="shared" si="11"/>
        <v>0</v>
      </c>
    </row>
    <row r="23" spans="1:30" ht="16.5" customHeight="1">
      <c r="A23" t="s">
        <v>537</v>
      </c>
      <c r="B23" s="85"/>
      <c r="C23" s="85" t="s">
        <v>536</v>
      </c>
      <c r="D23" s="86">
        <f>SUMIFS('2추일입'!$G$7:$G$645,'2추일입'!$A$7:$A$645,'2추위원회별'!$A23,'2추일입'!$B$7:$B$645,'2추위원회별'!$C23)</f>
        <v>0</v>
      </c>
      <c r="E23" s="86">
        <f>SUMIFS('2추일입'!$H$7:$H$645,'2추일입'!$A$7:$A$645,'2추위원회별'!$A23,'2추일입'!$B$7:$B$645,'2추위원회별'!$C23)</f>
        <v>0</v>
      </c>
      <c r="F23" s="86">
        <f>SUMIFS('2추일입'!$H$7:$H$645,'2추일입'!$A$7:$A$645,'2추위원회별'!$A23,'2추일입'!$B$7:$B$645,'2추위원회별'!$C23)</f>
        <v>0</v>
      </c>
      <c r="G23" s="86">
        <f>SUMIFS('2추일입'!$J$7:$J$645,'2추일입'!$A$7:$A$645,'2추위원회별'!$A23,'2추일입'!$B$7:$B$645,'2추위원회별'!$C23)</f>
        <v>0</v>
      </c>
      <c r="H23" s="86">
        <f>SUMIFS('2추일입'!$K$7:$K$645,'2추일입'!$A$7:$A$645,'2추위원회별'!$A23,'2추일입'!$B$7:$B$645,'2추위원회별'!$C23)</f>
        <v>0</v>
      </c>
      <c r="I23" s="86">
        <f>SUMIFS('2추일입'!$L$7:$L$645,'2추일입'!$A$7:$A$645,'2추위원회별'!$A23,'2추일입'!$B$7:$B$645,'2추위원회별'!$C23)</f>
        <v>0</v>
      </c>
      <c r="J23" s="86">
        <f>SUMIFS('2추일입'!$V$7:$V$645,'2추일입'!$A$7:$A$645,'2추위원회별'!$A23,'2추일입'!$B$7:$B$645,'2추위원회별'!$C23)</f>
        <v>0</v>
      </c>
      <c r="K23" s="86">
        <f>SUMIFS('2추일입'!$W$7:$W$645,'2추일입'!$A$7:$A$645,'2추위원회별'!$A23,'2추일입'!$B$7:$B$645,'2추위원회별'!$C23)</f>
        <v>0</v>
      </c>
      <c r="L23" s="86">
        <f>SUMIFS('2추일입'!$M$7:$M$645,'2추일입'!$A$7:$A$645,'2추위원회별'!$A23,'2추일입'!$B$7:$B$645,'2추위원회별'!$C23)</f>
        <v>0</v>
      </c>
      <c r="M23" s="86">
        <f>SUMIFS('2추일입'!$N$7:$N$645,'2추일입'!$A$7:$A$645,'2추위원회별'!$A23,'2추일입'!$B$7:$B$645,'2추위원회별'!$C23)</f>
        <v>0</v>
      </c>
      <c r="N23" s="86">
        <f>SUMIFS('2추일입'!$O$7:$O$645,'2추일입'!$A$7:$A$645,'2추위원회별'!$A23,'2추일입'!$B$7:$B$645,'2추위원회별'!$C23)</f>
        <v>0</v>
      </c>
      <c r="O23" s="86">
        <f>SUMIFS('2추일입'!$AA$7:$AA$645,'2추일입'!$A$7:$A$645,'2추위원회별'!$A23,'2추일입'!$B$7:$B$645,'2추위원회별'!$C23)</f>
        <v>0</v>
      </c>
      <c r="P23" s="86">
        <f>SUMIFS('2추일입'!$AB$7:$AB$645,'2추일입'!$A$7:$A$645,'2추위원회별'!$A23,'2추일입'!$B$7:$B$645,'2추위원회별'!$C23)</f>
        <v>0</v>
      </c>
      <c r="R23" s="86">
        <f>SUMIFS('2추일출'!$G$25:$G$657,'2추일출'!$A$25:$A$657,'2추위원회별'!$A23,'2추일출'!$B$25:$B$657,'2추위원회별'!$C23)</f>
        <v>0</v>
      </c>
      <c r="S23" s="86">
        <f>SUMIFS('2추일출'!$H$25:$H$657,'2추일출'!$A$25:$A$657,'2추위원회별'!$A23,'2추일출'!$B$25:$B$657,'2추위원회별'!$C23)</f>
        <v>0</v>
      </c>
      <c r="T23" s="86">
        <f>SUMIFS('2추일출'!$H$25:$H$657,'2추일출'!$A$25:$A$657,'2추위원회별'!$A23,'2추일출'!$B$25:$B$657,'2추위원회별'!$C23)</f>
        <v>0</v>
      </c>
      <c r="U23" s="86">
        <f>SUMIFS('2추일출'!$J$25:$J$657,'2추일출'!$A$25:$A$657,'2추위원회별'!$A23,'2추일출'!$B$25:$B$657,'2추위원회별'!$C23)</f>
        <v>0</v>
      </c>
      <c r="V23" s="86">
        <f>SUMIFS('2추일출'!$K$25:$K$657,'2추일출'!$A$25:$A$657,'2추위원회별'!$A23,'2추일출'!$B$25:$B$657,'2추위원회별'!$C23)</f>
        <v>0</v>
      </c>
      <c r="W23" s="86">
        <f>SUMIFS('2추일출'!$L$25:$L$657,'2추일출'!$A$25:$A$657,'2추위원회별'!$A23,'2추일출'!$B$25:$B$657,'2추위원회별'!$C23)</f>
        <v>0</v>
      </c>
      <c r="X23" s="86">
        <f>SUMIFS('2추일출'!$V$25:$V$657,'2추일출'!$A$25:$A$657,'2추위원회별'!$A23,'2추일출'!$B$25:$B$657,'2추위원회별'!$C23)</f>
        <v>0</v>
      </c>
      <c r="Y23" s="86">
        <f>SUMIFS('2추일출'!$W$25:$W$657,'2추일출'!$A$25:$A$657,'2추위원회별'!$A23,'2추일출'!$B$25:$B$657,'2추위원회별'!$C23)</f>
        <v>0</v>
      </c>
      <c r="Z23" s="86">
        <f>SUMIFS('2추일출'!$M$25:$M$657,'2추일출'!$A$25:$A$657,'2추위원회별'!$A23,'2추일출'!$B$25:$B$657,'2추위원회별'!$C23)</f>
        <v>0</v>
      </c>
      <c r="AA23" s="86">
        <f>SUMIFS('2추일출'!$N$25:$N$657,'2추일출'!$A$25:$A$657,'2추위원회별'!$A23,'2추일출'!$B$25:$B$657,'2추위원회별'!$C23)</f>
        <v>0</v>
      </c>
      <c r="AB23" s="86">
        <f>SUMIFS('2추일출'!$O$25:$O$657,'2추일출'!$A$25:$A$657,'2추위원회별'!$A23,'2추일출'!$B$25:$B$657,'2추위원회별'!$C23)</f>
        <v>0</v>
      </c>
      <c r="AC23" s="86">
        <f>SUMIFS('2추일출'!$AA$25:$AA$657,'2추일출'!$A$25:$A$657,'2추위원회별'!$A23,'2추일출'!$B$25:$B$657,'2추위원회별'!$C23)</f>
        <v>0</v>
      </c>
      <c r="AD23" s="86">
        <f>SUMIFS('2추일출'!$AB$25:$AB$657,'2추일출'!$A$25:$A$657,'2추위원회별'!$A23,'2추일출'!$B$25:$B$657,'2추위원회별'!$C23)</f>
        <v>0</v>
      </c>
    </row>
    <row r="24" spans="1:30" ht="16.5" customHeight="1">
      <c r="B24" s="356" t="s">
        <v>64</v>
      </c>
      <c r="C24" s="357"/>
      <c r="D24" s="84">
        <f>SUM(D25:D27)</f>
        <v>0</v>
      </c>
      <c r="E24" s="84">
        <f t="shared" ref="E24:P24" si="12">SUM(E25:E27)</f>
        <v>0</v>
      </c>
      <c r="F24" s="84">
        <f t="shared" si="12"/>
        <v>0</v>
      </c>
      <c r="G24" s="84">
        <f t="shared" si="12"/>
        <v>0</v>
      </c>
      <c r="H24" s="84">
        <f t="shared" si="12"/>
        <v>0</v>
      </c>
      <c r="I24" s="84">
        <f t="shared" si="12"/>
        <v>0</v>
      </c>
      <c r="J24" s="84">
        <f t="shared" si="12"/>
        <v>0</v>
      </c>
      <c r="K24" s="84">
        <f t="shared" si="12"/>
        <v>0</v>
      </c>
      <c r="L24" s="84">
        <f t="shared" si="12"/>
        <v>0</v>
      </c>
      <c r="M24" s="84">
        <f t="shared" si="12"/>
        <v>0</v>
      </c>
      <c r="N24" s="84">
        <f t="shared" si="12"/>
        <v>0</v>
      </c>
      <c r="O24" s="84">
        <f t="shared" si="12"/>
        <v>0</v>
      </c>
      <c r="P24" s="84">
        <f t="shared" si="12"/>
        <v>0</v>
      </c>
      <c r="R24" s="84">
        <f>SUM(R25:R27)</f>
        <v>0</v>
      </c>
      <c r="S24" s="84">
        <f t="shared" ref="S24:AD24" si="13">SUM(S25:S27)</f>
        <v>0</v>
      </c>
      <c r="T24" s="84">
        <f t="shared" si="13"/>
        <v>0</v>
      </c>
      <c r="U24" s="84">
        <f t="shared" si="13"/>
        <v>0</v>
      </c>
      <c r="V24" s="84">
        <f t="shared" si="13"/>
        <v>0</v>
      </c>
      <c r="W24" s="84">
        <f t="shared" si="13"/>
        <v>0</v>
      </c>
      <c r="X24" s="84">
        <f t="shared" si="13"/>
        <v>0</v>
      </c>
      <c r="Y24" s="84">
        <f t="shared" si="13"/>
        <v>0</v>
      </c>
      <c r="Z24" s="84">
        <f t="shared" si="13"/>
        <v>0</v>
      </c>
      <c r="AA24" s="84">
        <f t="shared" si="13"/>
        <v>0</v>
      </c>
      <c r="AB24" s="84">
        <f t="shared" si="13"/>
        <v>0</v>
      </c>
      <c r="AC24" s="84">
        <f t="shared" si="13"/>
        <v>0</v>
      </c>
      <c r="AD24" s="84">
        <f t="shared" si="13"/>
        <v>0</v>
      </c>
    </row>
    <row r="25" spans="1:30" ht="16.5" customHeight="1">
      <c r="A25" t="s">
        <v>538</v>
      </c>
      <c r="B25" s="85"/>
      <c r="C25" s="85" t="s">
        <v>65</v>
      </c>
      <c r="D25" s="86">
        <f>SUMIFS('2추일입'!$G$7:$G$645,'2추일입'!$A$7:$A$645,'2추위원회별'!$A25,'2추일입'!$B$7:$B$645,'2추위원회별'!$C25)</f>
        <v>0</v>
      </c>
      <c r="E25" s="86">
        <f>SUMIFS('2추일입'!$H$7:$H$645,'2추일입'!$A$7:$A$645,'2추위원회별'!$A25,'2추일입'!$B$7:$B$645,'2추위원회별'!$C25)</f>
        <v>0</v>
      </c>
      <c r="F25" s="86">
        <f>SUMIFS('2추일입'!$H$7:$H$645,'2추일입'!$A$7:$A$645,'2추위원회별'!$A25,'2추일입'!$B$7:$B$645,'2추위원회별'!$C25)</f>
        <v>0</v>
      </c>
      <c r="G25" s="86">
        <f>SUMIFS('2추일입'!$J$7:$J$645,'2추일입'!$A$7:$A$645,'2추위원회별'!$A25,'2추일입'!$B$7:$B$645,'2추위원회별'!$C25)</f>
        <v>0</v>
      </c>
      <c r="H25" s="86">
        <f>SUMIFS('2추일입'!$K$7:$K$645,'2추일입'!$A$7:$A$645,'2추위원회별'!$A25,'2추일입'!$B$7:$B$645,'2추위원회별'!$C25)</f>
        <v>0</v>
      </c>
      <c r="I25" s="86">
        <f>SUMIFS('2추일입'!$L$7:$L$645,'2추일입'!$A$7:$A$645,'2추위원회별'!$A25,'2추일입'!$B$7:$B$645,'2추위원회별'!$C25)</f>
        <v>0</v>
      </c>
      <c r="J25" s="86">
        <f>SUMIFS('2추일입'!$V$7:$V$645,'2추일입'!$A$7:$A$645,'2추위원회별'!$A25,'2추일입'!$B$7:$B$645,'2추위원회별'!$C25)</f>
        <v>0</v>
      </c>
      <c r="K25" s="86">
        <f>SUMIFS('2추일입'!$W$7:$W$645,'2추일입'!$A$7:$A$645,'2추위원회별'!$A25,'2추일입'!$B$7:$B$645,'2추위원회별'!$C25)</f>
        <v>0</v>
      </c>
      <c r="L25" s="86">
        <f>SUMIFS('2추일입'!$M$7:$M$645,'2추일입'!$A$7:$A$645,'2추위원회별'!$A25,'2추일입'!$B$7:$B$645,'2추위원회별'!$C25)</f>
        <v>0</v>
      </c>
      <c r="M25" s="86">
        <f>SUMIFS('2추일입'!$N$7:$N$645,'2추일입'!$A$7:$A$645,'2추위원회별'!$A25,'2추일입'!$B$7:$B$645,'2추위원회별'!$C25)</f>
        <v>0</v>
      </c>
      <c r="N25" s="86">
        <f>SUMIFS('2추일입'!$O$7:$O$645,'2추일입'!$A$7:$A$645,'2추위원회별'!$A25,'2추일입'!$B$7:$B$645,'2추위원회별'!$C25)</f>
        <v>0</v>
      </c>
      <c r="O25" s="86">
        <f>SUMIFS('2추일입'!$AA$7:$AA$645,'2추일입'!$A$7:$A$645,'2추위원회별'!$A25,'2추일입'!$B$7:$B$645,'2추위원회별'!$C25)</f>
        <v>0</v>
      </c>
      <c r="P25" s="86">
        <f>SUMIFS('2추일입'!$AB$7:$AB$645,'2추일입'!$A$7:$A$645,'2추위원회별'!$A25,'2추일입'!$B$7:$B$645,'2추위원회별'!$C25)</f>
        <v>0</v>
      </c>
      <c r="R25" s="86">
        <f>SUMIFS('2추일출'!$G$25:$G$657,'2추일출'!$A$25:$A$657,'2추위원회별'!$A25,'2추일출'!$B$25:$B$657,'2추위원회별'!$C25)</f>
        <v>0</v>
      </c>
      <c r="S25" s="86">
        <f>SUMIFS('2추일출'!$H$25:$H$657,'2추일출'!$A$25:$A$657,'2추위원회별'!$A25,'2추일출'!$B$25:$B$657,'2추위원회별'!$C25)</f>
        <v>0</v>
      </c>
      <c r="T25" s="86">
        <f>SUMIFS('2추일출'!$H$25:$H$657,'2추일출'!$A$25:$A$657,'2추위원회별'!$A25,'2추일출'!$B$25:$B$657,'2추위원회별'!$C25)</f>
        <v>0</v>
      </c>
      <c r="U25" s="86">
        <f>SUMIFS('2추일출'!$J$25:$J$657,'2추일출'!$A$25:$A$657,'2추위원회별'!$A25,'2추일출'!$B$25:$B$657,'2추위원회별'!$C25)</f>
        <v>0</v>
      </c>
      <c r="V25" s="86">
        <f>SUMIFS('2추일출'!$K$25:$K$657,'2추일출'!$A$25:$A$657,'2추위원회별'!$A25,'2추일출'!$B$25:$B$657,'2추위원회별'!$C25)</f>
        <v>0</v>
      </c>
      <c r="W25" s="86">
        <f>SUMIFS('2추일출'!$L$25:$L$657,'2추일출'!$A$25:$A$657,'2추위원회별'!$A25,'2추일출'!$B$25:$B$657,'2추위원회별'!$C25)</f>
        <v>0</v>
      </c>
      <c r="X25" s="86">
        <f>SUMIFS('2추일출'!$V$25:$V$657,'2추일출'!$A$25:$A$657,'2추위원회별'!$A25,'2추일출'!$B$25:$B$657,'2추위원회별'!$C25)</f>
        <v>0</v>
      </c>
      <c r="Y25" s="86">
        <f>SUMIFS('2추일출'!$W$25:$W$657,'2추일출'!$A$25:$A$657,'2추위원회별'!$A25,'2추일출'!$B$25:$B$657,'2추위원회별'!$C25)</f>
        <v>0</v>
      </c>
      <c r="Z25" s="86">
        <f>SUMIFS('2추일출'!$M$25:$M$657,'2추일출'!$A$25:$A$657,'2추위원회별'!$A25,'2추일출'!$B$25:$B$657,'2추위원회별'!$C25)</f>
        <v>0</v>
      </c>
      <c r="AA25" s="86">
        <f>SUMIFS('2추일출'!$N$25:$N$657,'2추일출'!$A$25:$A$657,'2추위원회별'!$A25,'2추일출'!$B$25:$B$657,'2추위원회별'!$C25)</f>
        <v>0</v>
      </c>
      <c r="AB25" s="86">
        <f>SUMIFS('2추일출'!$O$25:$O$657,'2추일출'!$A$25:$A$657,'2추위원회별'!$A25,'2추일출'!$B$25:$B$657,'2추위원회별'!$C25)</f>
        <v>0</v>
      </c>
      <c r="AC25" s="86">
        <f>SUMIFS('2추일출'!$AA$25:$AA$657,'2추일출'!$A$25:$A$657,'2추위원회별'!$A25,'2추일출'!$B$25:$B$657,'2추위원회별'!$C25)</f>
        <v>0</v>
      </c>
      <c r="AD25" s="86">
        <f>SUMIFS('2추일출'!$AB$25:$AB$657,'2추일출'!$A$25:$A$657,'2추위원회별'!$A25,'2추일출'!$B$25:$B$657,'2추위원회별'!$C25)</f>
        <v>0</v>
      </c>
    </row>
    <row r="26" spans="1:30" ht="16.5" customHeight="1">
      <c r="A26" t="s">
        <v>538</v>
      </c>
      <c r="B26" s="85"/>
      <c r="C26" s="85" t="s">
        <v>67</v>
      </c>
      <c r="D26" s="86">
        <f>SUMIFS('2추일입'!$G$7:$G$645,'2추일입'!$A$7:$A$645,'2추위원회별'!$A26,'2추일입'!$B$7:$B$645,'2추위원회별'!$C26)</f>
        <v>0</v>
      </c>
      <c r="E26" s="86">
        <f>SUMIFS('2추일입'!$H$7:$H$645,'2추일입'!$A$7:$A$645,'2추위원회별'!$A26,'2추일입'!$B$7:$B$645,'2추위원회별'!$C26)</f>
        <v>0</v>
      </c>
      <c r="F26" s="86">
        <f>SUMIFS('2추일입'!$H$7:$H$645,'2추일입'!$A$7:$A$645,'2추위원회별'!$A26,'2추일입'!$B$7:$B$645,'2추위원회별'!$C26)</f>
        <v>0</v>
      </c>
      <c r="G26" s="86">
        <f>SUMIFS('2추일입'!$J$7:$J$645,'2추일입'!$A$7:$A$645,'2추위원회별'!$A26,'2추일입'!$B$7:$B$645,'2추위원회별'!$C26)</f>
        <v>0</v>
      </c>
      <c r="H26" s="86">
        <f>SUMIFS('2추일입'!$K$7:$K$645,'2추일입'!$A$7:$A$645,'2추위원회별'!$A26,'2추일입'!$B$7:$B$645,'2추위원회별'!$C26)</f>
        <v>0</v>
      </c>
      <c r="I26" s="86">
        <f>SUMIFS('2추일입'!$L$7:$L$645,'2추일입'!$A$7:$A$645,'2추위원회별'!$A26,'2추일입'!$B$7:$B$645,'2추위원회별'!$C26)</f>
        <v>0</v>
      </c>
      <c r="J26" s="86">
        <f>SUMIFS('2추일입'!$V$7:$V$645,'2추일입'!$A$7:$A$645,'2추위원회별'!$A26,'2추일입'!$B$7:$B$645,'2추위원회별'!$C26)</f>
        <v>0</v>
      </c>
      <c r="K26" s="86">
        <f>SUMIFS('2추일입'!$W$7:$W$645,'2추일입'!$A$7:$A$645,'2추위원회별'!$A26,'2추일입'!$B$7:$B$645,'2추위원회별'!$C26)</f>
        <v>0</v>
      </c>
      <c r="L26" s="86">
        <f>SUMIFS('2추일입'!$M$7:$M$645,'2추일입'!$A$7:$A$645,'2추위원회별'!$A26,'2추일입'!$B$7:$B$645,'2추위원회별'!$C26)</f>
        <v>0</v>
      </c>
      <c r="M26" s="86">
        <f>SUMIFS('2추일입'!$N$7:$N$645,'2추일입'!$A$7:$A$645,'2추위원회별'!$A26,'2추일입'!$B$7:$B$645,'2추위원회별'!$C26)</f>
        <v>0</v>
      </c>
      <c r="N26" s="86">
        <f>SUMIFS('2추일입'!$O$7:$O$645,'2추일입'!$A$7:$A$645,'2추위원회별'!$A26,'2추일입'!$B$7:$B$645,'2추위원회별'!$C26)</f>
        <v>0</v>
      </c>
      <c r="O26" s="86">
        <f>SUMIFS('2추일입'!$AA$7:$AA$645,'2추일입'!$A$7:$A$645,'2추위원회별'!$A26,'2추일입'!$B$7:$B$645,'2추위원회별'!$C26)</f>
        <v>0</v>
      </c>
      <c r="P26" s="86">
        <f>SUMIFS('2추일입'!$AB$7:$AB$645,'2추일입'!$A$7:$A$645,'2추위원회별'!$A26,'2추일입'!$B$7:$B$645,'2추위원회별'!$C26)</f>
        <v>0</v>
      </c>
      <c r="R26" s="86">
        <f>SUMIFS('2추일출'!$G$25:$G$657,'2추일출'!$A$25:$A$657,'2추위원회별'!$A26,'2추일출'!$B$25:$B$657,'2추위원회별'!$C26)</f>
        <v>0</v>
      </c>
      <c r="S26" s="86">
        <f>SUMIFS('2추일출'!$H$25:$H$657,'2추일출'!$A$25:$A$657,'2추위원회별'!$A26,'2추일출'!$B$25:$B$657,'2추위원회별'!$C26)</f>
        <v>0</v>
      </c>
      <c r="T26" s="86">
        <f>SUMIFS('2추일출'!$H$25:$H$657,'2추일출'!$A$25:$A$657,'2추위원회별'!$A26,'2추일출'!$B$25:$B$657,'2추위원회별'!$C26)</f>
        <v>0</v>
      </c>
      <c r="U26" s="86">
        <f>SUMIFS('2추일출'!$J$25:$J$657,'2추일출'!$A$25:$A$657,'2추위원회별'!$A26,'2추일출'!$B$25:$B$657,'2추위원회별'!$C26)</f>
        <v>0</v>
      </c>
      <c r="V26" s="86">
        <f>SUMIFS('2추일출'!$K$25:$K$657,'2추일출'!$A$25:$A$657,'2추위원회별'!$A26,'2추일출'!$B$25:$B$657,'2추위원회별'!$C26)</f>
        <v>0</v>
      </c>
      <c r="W26" s="86">
        <f>SUMIFS('2추일출'!$L$25:$L$657,'2추일출'!$A$25:$A$657,'2추위원회별'!$A26,'2추일출'!$B$25:$B$657,'2추위원회별'!$C26)</f>
        <v>0</v>
      </c>
      <c r="X26" s="86">
        <f>SUMIFS('2추일출'!$V$25:$V$657,'2추일출'!$A$25:$A$657,'2추위원회별'!$A26,'2추일출'!$B$25:$B$657,'2추위원회별'!$C26)</f>
        <v>0</v>
      </c>
      <c r="Y26" s="86">
        <f>SUMIFS('2추일출'!$W$25:$W$657,'2추일출'!$A$25:$A$657,'2추위원회별'!$A26,'2추일출'!$B$25:$B$657,'2추위원회별'!$C26)</f>
        <v>0</v>
      </c>
      <c r="Z26" s="86">
        <f>SUMIFS('2추일출'!$M$25:$M$657,'2추일출'!$A$25:$A$657,'2추위원회별'!$A26,'2추일출'!$B$25:$B$657,'2추위원회별'!$C26)</f>
        <v>0</v>
      </c>
      <c r="AA26" s="86">
        <f>SUMIFS('2추일출'!$N$25:$N$657,'2추일출'!$A$25:$A$657,'2추위원회별'!$A26,'2추일출'!$B$25:$B$657,'2추위원회별'!$C26)</f>
        <v>0</v>
      </c>
      <c r="AB26" s="86">
        <f>SUMIFS('2추일출'!$O$25:$O$657,'2추일출'!$A$25:$A$657,'2추위원회별'!$A26,'2추일출'!$B$25:$B$657,'2추위원회별'!$C26)</f>
        <v>0</v>
      </c>
      <c r="AC26" s="86">
        <f>SUMIFS('2추일출'!$AA$25:$AA$657,'2추일출'!$A$25:$A$657,'2추위원회별'!$A26,'2추일출'!$B$25:$B$657,'2추위원회별'!$C26)</f>
        <v>0</v>
      </c>
      <c r="AD26" s="86">
        <f>SUMIFS('2추일출'!$AB$25:$AB$657,'2추일출'!$A$25:$A$657,'2추위원회별'!$A26,'2추일출'!$B$25:$B$657,'2추위원회별'!$C26)</f>
        <v>0</v>
      </c>
    </row>
    <row r="27" spans="1:30" ht="16.5" customHeight="1">
      <c r="A27" t="s">
        <v>538</v>
      </c>
      <c r="B27" s="85"/>
      <c r="C27" s="85" t="s">
        <v>388</v>
      </c>
      <c r="D27" s="86">
        <f>SUMIFS('2추일입'!$G$7:$G$645,'2추일입'!$A$7:$A$645,'2추위원회별'!$A27,'2추일입'!$B$7:$B$645,'2추위원회별'!$C27)</f>
        <v>0</v>
      </c>
      <c r="E27" s="86">
        <f>SUMIFS('2추일입'!$H$7:$H$645,'2추일입'!$A$7:$A$645,'2추위원회별'!$A27,'2추일입'!$B$7:$B$645,'2추위원회별'!$C27)</f>
        <v>0</v>
      </c>
      <c r="F27" s="86">
        <f>SUMIFS('2추일입'!$H$7:$H$645,'2추일입'!$A$7:$A$645,'2추위원회별'!$A27,'2추일입'!$B$7:$B$645,'2추위원회별'!$C27)</f>
        <v>0</v>
      </c>
      <c r="G27" s="86">
        <f>SUMIFS('2추일입'!$J$7:$J$645,'2추일입'!$A$7:$A$645,'2추위원회별'!$A27,'2추일입'!$B$7:$B$645,'2추위원회별'!$C27)</f>
        <v>0</v>
      </c>
      <c r="H27" s="86">
        <f>SUMIFS('2추일입'!$K$7:$K$645,'2추일입'!$A$7:$A$645,'2추위원회별'!$A27,'2추일입'!$B$7:$B$645,'2추위원회별'!$C27)</f>
        <v>0</v>
      </c>
      <c r="I27" s="86">
        <f>SUMIFS('2추일입'!$L$7:$L$645,'2추일입'!$A$7:$A$645,'2추위원회별'!$A27,'2추일입'!$B$7:$B$645,'2추위원회별'!$C27)</f>
        <v>0</v>
      </c>
      <c r="J27" s="86">
        <f>SUMIFS('2추일입'!$V$7:$V$645,'2추일입'!$A$7:$A$645,'2추위원회별'!$A27,'2추일입'!$B$7:$B$645,'2추위원회별'!$C27)</f>
        <v>0</v>
      </c>
      <c r="K27" s="86">
        <f>SUMIFS('2추일입'!$W$7:$W$645,'2추일입'!$A$7:$A$645,'2추위원회별'!$A27,'2추일입'!$B$7:$B$645,'2추위원회별'!$C27)</f>
        <v>0</v>
      </c>
      <c r="L27" s="86">
        <f>SUMIFS('2추일입'!$M$7:$M$645,'2추일입'!$A$7:$A$645,'2추위원회별'!$A27,'2추일입'!$B$7:$B$645,'2추위원회별'!$C27)</f>
        <v>0</v>
      </c>
      <c r="M27" s="86">
        <f>SUMIFS('2추일입'!$N$7:$N$645,'2추일입'!$A$7:$A$645,'2추위원회별'!$A27,'2추일입'!$B$7:$B$645,'2추위원회별'!$C27)</f>
        <v>0</v>
      </c>
      <c r="N27" s="86">
        <f>SUMIFS('2추일입'!$O$7:$O$645,'2추일입'!$A$7:$A$645,'2추위원회별'!$A27,'2추일입'!$B$7:$B$645,'2추위원회별'!$C27)</f>
        <v>0</v>
      </c>
      <c r="O27" s="86">
        <f>SUMIFS('2추일입'!$AA$7:$AA$645,'2추일입'!$A$7:$A$645,'2추위원회별'!$A27,'2추일입'!$B$7:$B$645,'2추위원회별'!$C27)</f>
        <v>0</v>
      </c>
      <c r="P27" s="86">
        <f>SUMIFS('2추일입'!$AB$7:$AB$645,'2추일입'!$A$7:$A$645,'2추위원회별'!$A27,'2추일입'!$B$7:$B$645,'2추위원회별'!$C27)</f>
        <v>0</v>
      </c>
      <c r="R27" s="86">
        <f>SUMIFS('2추일출'!$G$25:$G$657,'2추일출'!$A$25:$A$657,'2추위원회별'!$A27,'2추일출'!$B$25:$B$657,'2추위원회별'!$C27)</f>
        <v>0</v>
      </c>
      <c r="S27" s="86">
        <f>SUMIFS('2추일출'!$H$25:$H$657,'2추일출'!$A$25:$A$657,'2추위원회별'!$A27,'2추일출'!$B$25:$B$657,'2추위원회별'!$C27)</f>
        <v>0</v>
      </c>
      <c r="T27" s="86">
        <f>SUMIFS('2추일출'!$H$25:$H$657,'2추일출'!$A$25:$A$657,'2추위원회별'!$A27,'2추일출'!$B$25:$B$657,'2추위원회별'!$C27)</f>
        <v>0</v>
      </c>
      <c r="U27" s="86">
        <f>SUMIFS('2추일출'!$J$25:$J$657,'2추일출'!$A$25:$A$657,'2추위원회별'!$A27,'2추일출'!$B$25:$B$657,'2추위원회별'!$C27)</f>
        <v>0</v>
      </c>
      <c r="V27" s="86">
        <f>SUMIFS('2추일출'!$K$25:$K$657,'2추일출'!$A$25:$A$657,'2추위원회별'!$A27,'2추일출'!$B$25:$B$657,'2추위원회별'!$C27)</f>
        <v>0</v>
      </c>
      <c r="W27" s="86">
        <f>SUMIFS('2추일출'!$L$25:$L$657,'2추일출'!$A$25:$A$657,'2추위원회별'!$A27,'2추일출'!$B$25:$B$657,'2추위원회별'!$C27)</f>
        <v>0</v>
      </c>
      <c r="X27" s="86">
        <f>SUMIFS('2추일출'!$V$25:$V$657,'2추일출'!$A$25:$A$657,'2추위원회별'!$A27,'2추일출'!$B$25:$B$657,'2추위원회별'!$C27)</f>
        <v>0</v>
      </c>
      <c r="Y27" s="86">
        <f>SUMIFS('2추일출'!$W$25:$W$657,'2추일출'!$A$25:$A$657,'2추위원회별'!$A27,'2추일출'!$B$25:$B$657,'2추위원회별'!$C27)</f>
        <v>0</v>
      </c>
      <c r="Z27" s="86">
        <f>SUMIFS('2추일출'!$M$25:$M$657,'2추일출'!$A$25:$A$657,'2추위원회별'!$A27,'2추일출'!$B$25:$B$657,'2추위원회별'!$C27)</f>
        <v>0</v>
      </c>
      <c r="AA27" s="86">
        <f>SUMIFS('2추일출'!$N$25:$N$657,'2추일출'!$A$25:$A$657,'2추위원회별'!$A27,'2추일출'!$B$25:$B$657,'2추위원회별'!$C27)</f>
        <v>0</v>
      </c>
      <c r="AB27" s="86">
        <f>SUMIFS('2추일출'!$O$25:$O$657,'2추일출'!$A$25:$A$657,'2추위원회별'!$A27,'2추일출'!$B$25:$B$657,'2추위원회별'!$C27)</f>
        <v>0</v>
      </c>
      <c r="AC27" s="86">
        <f>SUMIFS('2추일출'!$AA$25:$AA$657,'2추일출'!$A$25:$A$657,'2추위원회별'!$A27,'2추일출'!$B$25:$B$657,'2추위원회별'!$C27)</f>
        <v>0</v>
      </c>
      <c r="AD27" s="86">
        <f>SUMIFS('2추일출'!$AB$25:$AB$657,'2추일출'!$A$25:$A$657,'2추위원회별'!$A27,'2추일출'!$B$25:$B$657,'2추위원회별'!$C27)</f>
        <v>0</v>
      </c>
    </row>
    <row r="28" spans="1:30" ht="16.5" customHeight="1">
      <c r="B28" s="358" t="s">
        <v>414</v>
      </c>
      <c r="C28" s="359"/>
      <c r="D28" s="84">
        <f>SUM(D29:D31)</f>
        <v>1307571987</v>
      </c>
      <c r="E28" s="84">
        <f t="shared" ref="E28:P28" si="14">SUM(E29:E31)</f>
        <v>1473654697</v>
      </c>
      <c r="F28" s="84">
        <f t="shared" si="14"/>
        <v>35515556</v>
      </c>
      <c r="G28" s="84">
        <f t="shared" si="14"/>
        <v>-12890100</v>
      </c>
      <c r="H28" s="84">
        <f t="shared" si="14"/>
        <v>3811204</v>
      </c>
      <c r="I28" s="84">
        <f t="shared" si="14"/>
        <v>1500091357</v>
      </c>
      <c r="J28" s="84">
        <f t="shared" si="14"/>
        <v>-9083646</v>
      </c>
      <c r="K28" s="84">
        <f t="shared" si="14"/>
        <v>4750</v>
      </c>
      <c r="L28" s="84">
        <f t="shared" si="14"/>
        <v>0</v>
      </c>
      <c r="M28" s="84">
        <f t="shared" si="14"/>
        <v>0</v>
      </c>
      <c r="N28" s="84">
        <f t="shared" si="14"/>
        <v>1509170253</v>
      </c>
      <c r="O28" s="84">
        <f t="shared" si="14"/>
        <v>0</v>
      </c>
      <c r="P28" s="84">
        <f t="shared" si="14"/>
        <v>0</v>
      </c>
      <c r="R28" s="84">
        <f>SUM(R29:R31)</f>
        <v>1399375985</v>
      </c>
      <c r="S28" s="84">
        <f t="shared" ref="S28:AD28" si="15">SUM(S29:S31)</f>
        <v>1619302025</v>
      </c>
      <c r="T28" s="84">
        <f t="shared" si="15"/>
        <v>29748719</v>
      </c>
      <c r="U28" s="84">
        <f t="shared" si="15"/>
        <v>-18660181</v>
      </c>
      <c r="V28" s="84">
        <f t="shared" si="15"/>
        <v>8150319</v>
      </c>
      <c r="W28" s="84">
        <f t="shared" si="15"/>
        <v>1638540882</v>
      </c>
      <c r="X28" s="84">
        <f t="shared" si="15"/>
        <v>-9083646</v>
      </c>
      <c r="Y28" s="84">
        <f t="shared" si="15"/>
        <v>-1426216</v>
      </c>
      <c r="Z28" s="84">
        <f t="shared" si="15"/>
        <v>0</v>
      </c>
      <c r="AA28" s="84">
        <f t="shared" si="15"/>
        <v>0</v>
      </c>
      <c r="AB28" s="84">
        <f t="shared" si="15"/>
        <v>527650642</v>
      </c>
      <c r="AC28" s="84">
        <f t="shared" si="15"/>
        <v>0</v>
      </c>
      <c r="AD28" s="84">
        <f t="shared" si="15"/>
        <v>0</v>
      </c>
    </row>
    <row r="29" spans="1:30" ht="16.5" customHeight="1">
      <c r="A29" t="s">
        <v>539</v>
      </c>
      <c r="B29" s="88"/>
      <c r="C29" s="88" t="s">
        <v>113</v>
      </c>
      <c r="D29" s="86">
        <f>SUMIFS('2추일입'!$G$7:$G$645,'2추일입'!$A$7:$A$645,'2추위원회별'!$A29,'2추일입'!$B$7:$B$645,'2추위원회별'!$C29)</f>
        <v>1307571987</v>
      </c>
      <c r="E29" s="86">
        <f>SUMIFS('2추일입'!$H$7:$H$645,'2추일입'!$A$7:$A$645,'2추위원회별'!$A29,'2추일입'!$B$7:$B$645,'2추위원회별'!$C29)</f>
        <v>1473654697</v>
      </c>
      <c r="F29" s="86">
        <f>SUMIFS('2추일입'!$I$7:$I$645,'2추일입'!$A$7:$A$645,'2추위원회별'!$A29,'2추일입'!$B$7:$B$645,'2추위원회별'!$C29)</f>
        <v>35515556</v>
      </c>
      <c r="G29" s="86">
        <f>SUMIFS('2추일입'!$J$7:$J$645,'2추일입'!$A$7:$A$645,'2추위원회별'!$A29,'2추일입'!$B$7:$B$645,'2추위원회별'!$C29)</f>
        <v>-12890100</v>
      </c>
      <c r="H29" s="86">
        <f>SUMIFS('2추일입'!$K$7:$K$645,'2추일입'!$A$7:$A$645,'2추위원회별'!$A29,'2추일입'!$B$7:$B$645,'2추위원회별'!$C29)</f>
        <v>3807004</v>
      </c>
      <c r="I29" s="86">
        <f>SUMIFS('2추일입'!$L$7:$L$645,'2추일입'!$A$7:$A$645,'2추위원회별'!$A29,'2추일입'!$B$7:$B$645,'2추위원회별'!$C29)</f>
        <v>1500087157</v>
      </c>
      <c r="J29" s="86">
        <f>SUMIFS('2추일입'!$V$7:$V$645,'2추일입'!$A$7:$A$645,'2추위원회별'!$A29,'2추일입'!$B$7:$B$645,'2추위원회별'!$C29)</f>
        <v>-9083646</v>
      </c>
      <c r="K29" s="86">
        <f>SUMIFS('2추일입'!$W$7:$W$645,'2추일입'!$A$7:$A$645,'2추위원회별'!$A29,'2추일입'!$B$7:$B$645,'2추위원회별'!$C29)</f>
        <v>550</v>
      </c>
      <c r="L29" s="86">
        <f>SUMIFS('2추일입'!$M$7:$M$645,'2추일입'!$A$7:$A$645,'2추위원회별'!$A29,'2추일입'!$B$7:$B$645,'2추위원회별'!$C29)</f>
        <v>0</v>
      </c>
      <c r="M29" s="86">
        <f>SUMIFS('2추일입'!$N$7:$N$645,'2추일입'!$A$7:$A$645,'2추위원회별'!$A29,'2추일입'!$B$7:$B$645,'2추위원회별'!$C29)</f>
        <v>0</v>
      </c>
      <c r="N29" s="86">
        <f>SUMIFS('2추일입'!$O$7:$O$645,'2추일입'!$A$7:$A$645,'2추위원회별'!$A29,'2추일입'!$B$7:$B$645,'2추위원회별'!$C29)</f>
        <v>1509170253</v>
      </c>
      <c r="O29" s="86">
        <f>SUMIFS('2추일입'!$AA$7:$AA$645,'2추일입'!$A$7:$A$645,'2추위원회별'!$A29,'2추일입'!$B$7:$B$645,'2추위원회별'!$C29)</f>
        <v>0</v>
      </c>
      <c r="P29" s="86">
        <f>SUMIFS('2추일입'!$AB$7:$AB$645,'2추일입'!$A$7:$A$645,'2추위원회별'!$A29,'2추일입'!$B$7:$B$645,'2추위원회별'!$C29)</f>
        <v>0</v>
      </c>
      <c r="R29" s="86">
        <f>SUMIFS('2추일출'!$G$7:$G$657,'2추일출'!$A$7:$A$657,'2추위원회별'!$A29,'2추일출'!$B$7:$B$657,'2추위원회별'!$C29)</f>
        <v>959950570</v>
      </c>
      <c r="S29" s="86">
        <f>SUMIFS('2추일출'!$H$7:$H$657,'2추일출'!$A$7:$A$657,'2추위원회별'!$A29,'2추일출'!$B$7:$B$657,'2추위원회별'!$C29)</f>
        <v>1107578485</v>
      </c>
      <c r="T29" s="86">
        <f>SUMIFS('2추일출'!$I$7:$I$657,'2추일출'!$A$7:$A$657,'2추위원회별'!$A29,'2추일출'!$B$7:$B$657,'2추위원회별'!$C29)</f>
        <v>13821617</v>
      </c>
      <c r="U29" s="86">
        <f>SUMIFS('2추일출'!$J$7:$J$657,'2추일출'!$A$7:$A$657,'2추위원회별'!$A29,'2추일출'!$B$7:$B$657,'2추위원회별'!$C29)</f>
        <v>-13784784</v>
      </c>
      <c r="V29" s="86">
        <f>SUMIFS('2추일출'!$K$7:$K$657,'2추일출'!$A$7:$A$657,'2추위원회별'!$A29,'2추일출'!$B$7:$B$657,'2추위원회별'!$C29)</f>
        <v>3702915</v>
      </c>
      <c r="W29" s="86">
        <f>SUMIFS('2추일출'!$L$7:$L$657,'2추일출'!$A$7:$A$657,'2추위원회별'!$A29,'2추일출'!$B$7:$B$657,'2추위원회별'!$C29)</f>
        <v>1111318233</v>
      </c>
      <c r="X29" s="86">
        <f>SUMIFS('2추일출'!$V$7:$V$657,'2추일출'!$A$7:$A$657,'2추위원회별'!$A29,'2추일출'!$B$7:$B$657,'2추위원회별'!$C29)</f>
        <v>-8982988</v>
      </c>
      <c r="Y29" s="86">
        <f>SUMIFS('2추일출'!$W$7:$W$657,'2추일출'!$A$7:$A$657,'2추위원회별'!$A29,'2추일출'!$B$7:$B$657,'2추위원회별'!$C29)</f>
        <v>-1098881</v>
      </c>
      <c r="Z29" s="86">
        <f>SUMIFS('2추일출'!$M$25:$M$657,'2추일출'!$A$25:$A$657,'2추위원회별'!$A29,'2추일출'!$B$25:$B$657,'2추위원회별'!$C29)</f>
        <v>0</v>
      </c>
      <c r="AA29" s="86">
        <f>SUMIFS('2추일출'!$N$25:$N$657,'2추일출'!$A$25:$A$657,'2추위원회별'!$A29,'2추일출'!$B$25:$B$657,'2추위원회별'!$C29)</f>
        <v>0</v>
      </c>
      <c r="AB29" s="86">
        <f>SUMIFS('2추일출'!$O$25:$O$657,'2추일출'!$A$25:$A$657,'2추위원회별'!$A29,'2추일출'!$B$25:$B$657,'2추위원회별'!$C29)</f>
        <v>0</v>
      </c>
      <c r="AC29" s="86">
        <f>SUMIFS('2추일출'!$AA$25:$AA$657,'2추일출'!$A$25:$A$657,'2추위원회별'!$A29,'2추일출'!$B$25:$B$657,'2추위원회별'!$C29)</f>
        <v>0</v>
      </c>
      <c r="AD29" s="86">
        <f>SUMIFS('2추일출'!$AB$25:$AB$657,'2추일출'!$A$25:$A$657,'2추위원회별'!$A29,'2추일출'!$B$25:$B$657,'2추위원회별'!$C29)</f>
        <v>0</v>
      </c>
    </row>
    <row r="30" spans="1:30" ht="16.5" customHeight="1">
      <c r="A30" t="s">
        <v>539</v>
      </c>
      <c r="B30" s="85"/>
      <c r="C30" s="85" t="s">
        <v>70</v>
      </c>
      <c r="D30" s="86">
        <f>SUMIFS('2추일입'!$G$7:$G$645,'2추일입'!$A$7:$A$645,'2추위원회별'!$A30,'2추일입'!$B$7:$B$645,'2추위원회별'!$C30)</f>
        <v>0</v>
      </c>
      <c r="E30" s="86">
        <f>SUMIFS('2추일입'!$H$7:$H$645,'2추일입'!$A$7:$A$645,'2추위원회별'!$A30,'2추일입'!$B$7:$B$645,'2추위원회별'!$C30)</f>
        <v>0</v>
      </c>
      <c r="F30" s="86">
        <f>SUMIFS('2추일입'!$H$7:$H$645,'2추일입'!$A$7:$A$645,'2추위원회별'!$A30,'2추일입'!$B$7:$B$645,'2추위원회별'!$C30)</f>
        <v>0</v>
      </c>
      <c r="G30" s="86">
        <f>SUMIFS('2추일입'!$J$7:$J$645,'2추일입'!$A$7:$A$645,'2추위원회별'!$A30,'2추일입'!$B$7:$B$645,'2추위원회별'!$C30)</f>
        <v>0</v>
      </c>
      <c r="H30" s="86">
        <f>SUMIFS('2추일입'!$K$7:$K$645,'2추일입'!$A$7:$A$645,'2추위원회별'!$A30,'2추일입'!$B$7:$B$645,'2추위원회별'!$C30)</f>
        <v>4200</v>
      </c>
      <c r="I30" s="86">
        <f>SUMIFS('2추일입'!$L$7:$L$645,'2추일입'!$A$7:$A$645,'2추위원회별'!$A30,'2추일입'!$B$7:$B$645,'2추위원회별'!$C30)</f>
        <v>4200</v>
      </c>
      <c r="J30" s="86">
        <f>SUMIFS('2추일입'!$V$7:$V$645,'2추일입'!$A$7:$A$645,'2추위원회별'!$A30,'2추일입'!$B$7:$B$645,'2추위원회별'!$C30)</f>
        <v>0</v>
      </c>
      <c r="K30" s="86">
        <f>SUMIFS('2추일입'!$W$7:$W$645,'2추일입'!$A$7:$A$645,'2추위원회별'!$A30,'2추일입'!$B$7:$B$645,'2추위원회별'!$C30)</f>
        <v>4200</v>
      </c>
      <c r="L30" s="86">
        <f>SUMIFS('2추일입'!$M$7:$M$645,'2추일입'!$A$7:$A$645,'2추위원회별'!$A30,'2추일입'!$B$7:$B$645,'2추위원회별'!$C30)</f>
        <v>0</v>
      </c>
      <c r="M30" s="86">
        <f>SUMIFS('2추일입'!$N$7:$N$645,'2추일입'!$A$7:$A$645,'2추위원회별'!$A30,'2추일입'!$B$7:$B$645,'2추위원회별'!$C30)</f>
        <v>0</v>
      </c>
      <c r="N30" s="86">
        <f>SUMIFS('2추일입'!$O$7:$O$645,'2추일입'!$A$7:$A$645,'2추위원회별'!$A30,'2추일입'!$B$7:$B$645,'2추위원회별'!$C30)</f>
        <v>0</v>
      </c>
      <c r="O30" s="86">
        <f>SUMIFS('2추일입'!$AA$7:$AA$645,'2추일입'!$A$7:$A$645,'2추위원회별'!$A30,'2추일입'!$B$7:$B$645,'2추위원회별'!$C30)</f>
        <v>0</v>
      </c>
      <c r="P30" s="86">
        <f>SUMIFS('2추일입'!$AB$7:$AB$645,'2추일입'!$A$7:$A$645,'2추위원회별'!$A30,'2추일입'!$B$7:$B$645,'2추위원회별'!$C30)</f>
        <v>0</v>
      </c>
      <c r="R30" s="86">
        <f>SUMIFS('2추일출'!$G$7:$G$657,'2추일출'!$A$7:$A$657,'2추위원회별'!$A30,'2추일출'!$B$7:$B$657,'2추위원회별'!$C30)</f>
        <v>439425415</v>
      </c>
      <c r="S30" s="86">
        <f>SUMIFS('2추일출'!$H$7:$H$657,'2추일출'!$A$7:$A$657,'2추위원회별'!$A30,'2추일출'!$B$7:$B$657,'2추위원회별'!$C30)</f>
        <v>511723540</v>
      </c>
      <c r="T30" s="86">
        <f>SUMIFS('2추일출'!$I$7:$I$657,'2추일출'!$A$7:$A$657,'2추위원회별'!$A30,'2추일출'!$B$7:$B$657,'2추위원회별'!$C30)</f>
        <v>15927102</v>
      </c>
      <c r="U30" s="86">
        <f>SUMIFS('2추일출'!$J$7:$J$657,'2추일출'!$A$7:$A$657,'2추위원회별'!$A30,'2추일출'!$B$7:$B$657,'2추위원회별'!$C30)</f>
        <v>-4875397</v>
      </c>
      <c r="V30" s="86">
        <f>SUMIFS('2추일출'!$K$7:$K$657,'2추일출'!$A$7:$A$657,'2추위원회별'!$A30,'2추일출'!$B$7:$B$657,'2추위원회별'!$C30)</f>
        <v>4447404</v>
      </c>
      <c r="W30" s="86">
        <f>SUMIFS('2추일출'!$L$7:$L$657,'2추일출'!$A$7:$A$657,'2추위원회별'!$A30,'2추일출'!$B$7:$B$657,'2추위원회별'!$C30)</f>
        <v>527222649</v>
      </c>
      <c r="X30" s="86">
        <f>SUMIFS('2추일출'!$V$7:$V$657,'2추일출'!$A$7:$A$657,'2추위원회별'!$A30,'2추일출'!$B$7:$B$657,'2추위원회별'!$C30)</f>
        <v>-100658</v>
      </c>
      <c r="Y30" s="86">
        <f>SUMIFS('2추일출'!$W$7:$W$657,'2추일출'!$A$7:$A$657,'2추위원회별'!$A30,'2추일출'!$B$7:$B$657,'2추위원회별'!$C30)</f>
        <v>-327335</v>
      </c>
      <c r="Z30" s="86">
        <f>SUMIFS('2추일출'!$M$25:$M$657,'2추일출'!$A$25:$A$657,'2추위원회별'!$A30,'2추일출'!$B$25:$B$657,'2추위원회별'!$C30)</f>
        <v>0</v>
      </c>
      <c r="AA30" s="86">
        <f>SUMIFS('2추일출'!$N$25:$N$657,'2추일출'!$A$25:$A$657,'2추위원회별'!$A30,'2추일출'!$B$25:$B$657,'2추위원회별'!$C30)</f>
        <v>0</v>
      </c>
      <c r="AB30" s="86">
        <f>SUMIFS('2추일출'!$O$25:$O$657,'2추일출'!$A$25:$A$657,'2추위원회별'!$A30,'2추일출'!$B$25:$B$657,'2추위원회별'!$C30)</f>
        <v>527650642</v>
      </c>
      <c r="AC30" s="86">
        <f>SUMIFS('2추일출'!$AA$25:$AA$657,'2추일출'!$A$25:$A$657,'2추위원회별'!$A30,'2추일출'!$B$25:$B$657,'2추위원회별'!$C30)</f>
        <v>0</v>
      </c>
      <c r="AD30" s="86">
        <f>SUMIFS('2추일출'!$AB$25:$AB$657,'2추일출'!$A$25:$A$657,'2추위원회별'!$A30,'2추일출'!$B$25:$B$657,'2추위원회별'!$C30)</f>
        <v>0</v>
      </c>
    </row>
    <row r="31" spans="1:30" ht="16.5" customHeight="1">
      <c r="A31" t="s">
        <v>539</v>
      </c>
      <c r="B31" s="85"/>
      <c r="C31" s="85" t="s">
        <v>397</v>
      </c>
      <c r="D31" s="86">
        <f>SUMIFS('2추일입'!$G$7:$G$645,'2추일입'!$A$7:$A$645,'2추위원회별'!$A31,'2추일입'!$B$7:$B$645,'2추위원회별'!$C31)</f>
        <v>0</v>
      </c>
      <c r="E31" s="86">
        <f>SUMIFS('2추일입'!$H$7:$H$645,'2추일입'!$A$7:$A$645,'2추위원회별'!$A31,'2추일입'!$B$7:$B$645,'2추위원회별'!$C31)</f>
        <v>0</v>
      </c>
      <c r="F31" s="86">
        <f>SUMIFS('2추일입'!$H$7:$H$645,'2추일입'!$A$7:$A$645,'2추위원회별'!$A31,'2추일입'!$B$7:$B$645,'2추위원회별'!$C31)</f>
        <v>0</v>
      </c>
      <c r="G31" s="86">
        <f>SUMIFS('2추일입'!$J$7:$J$645,'2추일입'!$A$7:$A$645,'2추위원회별'!$A31,'2추일입'!$B$7:$B$645,'2추위원회별'!$C31)</f>
        <v>0</v>
      </c>
      <c r="H31" s="86">
        <f>SUMIFS('2추일입'!$K$7:$K$645,'2추일입'!$A$7:$A$645,'2추위원회별'!$A31,'2추일입'!$B$7:$B$645,'2추위원회별'!$C31)</f>
        <v>0</v>
      </c>
      <c r="I31" s="86">
        <f>SUMIFS('2추일입'!$L$7:$L$645,'2추일입'!$A$7:$A$645,'2추위원회별'!$A31,'2추일입'!$B$7:$B$645,'2추위원회별'!$C31)</f>
        <v>0</v>
      </c>
      <c r="J31" s="86">
        <f>SUMIFS('2추일입'!$V$7:$V$645,'2추일입'!$A$7:$A$645,'2추위원회별'!$A31,'2추일입'!$B$7:$B$645,'2추위원회별'!$C31)</f>
        <v>0</v>
      </c>
      <c r="K31" s="86">
        <f>SUMIFS('2추일입'!$W$7:$W$645,'2추일입'!$A$7:$A$645,'2추위원회별'!$A31,'2추일입'!$B$7:$B$645,'2추위원회별'!$C31)</f>
        <v>0</v>
      </c>
      <c r="L31" s="86">
        <f>SUMIFS('2추일입'!$M$7:$M$645,'2추일입'!$A$7:$A$645,'2추위원회별'!$A31,'2추일입'!$B$7:$B$645,'2추위원회별'!$C31)</f>
        <v>0</v>
      </c>
      <c r="M31" s="86">
        <f>SUMIFS('2추일입'!$N$7:$N$645,'2추일입'!$A$7:$A$645,'2추위원회별'!$A31,'2추일입'!$B$7:$B$645,'2추위원회별'!$C31)</f>
        <v>0</v>
      </c>
      <c r="N31" s="86">
        <f>SUMIFS('2추일입'!$O$7:$O$645,'2추일입'!$A$7:$A$645,'2추위원회별'!$A31,'2추일입'!$B$7:$B$645,'2추위원회별'!$C31)</f>
        <v>0</v>
      </c>
      <c r="O31" s="86">
        <f>SUMIFS('2추일입'!$AA$7:$AA$645,'2추일입'!$A$7:$A$645,'2추위원회별'!$A31,'2추일입'!$B$7:$B$645,'2추위원회별'!$C31)</f>
        <v>0</v>
      </c>
      <c r="P31" s="86">
        <f>SUMIFS('2추일입'!$AB$7:$AB$645,'2추일입'!$A$7:$A$645,'2추위원회별'!$A31,'2추일입'!$B$7:$B$645,'2추위원회별'!$C31)</f>
        <v>0</v>
      </c>
      <c r="R31" s="86">
        <f>SUMIFS('2추일출'!$G$25:$G$657,'2추일출'!$A$25:$A$657,'2추위원회별'!$A31,'2추일출'!$B$25:$B$657,'2추위원회별'!$C31)</f>
        <v>0</v>
      </c>
      <c r="S31" s="86">
        <f>SUMIFS('2추일출'!$H$25:$H$657,'2추일출'!$A$25:$A$657,'2추위원회별'!$A31,'2추일출'!$B$25:$B$657,'2추위원회별'!$C31)</f>
        <v>0</v>
      </c>
      <c r="T31" s="86">
        <f>SUMIFS('2추일출'!$H$25:$H$657,'2추일출'!$A$25:$A$657,'2추위원회별'!$A31,'2추일출'!$B$25:$B$657,'2추위원회별'!$C31)</f>
        <v>0</v>
      </c>
      <c r="U31" s="86">
        <f>SUMIFS('2추일출'!$J$25:$J$657,'2추일출'!$A$25:$A$657,'2추위원회별'!$A31,'2추일출'!$B$25:$B$657,'2추위원회별'!$C31)</f>
        <v>0</v>
      </c>
      <c r="V31" s="86">
        <f>SUMIFS('2추일출'!$K$25:$K$657,'2추일출'!$A$25:$A$657,'2추위원회별'!$A31,'2추일출'!$B$25:$B$657,'2추위원회별'!$C31)</f>
        <v>0</v>
      </c>
      <c r="W31" s="86">
        <f>SUMIFS('2추일출'!$L$25:$L$657,'2추일출'!$A$25:$A$657,'2추위원회별'!$A31,'2추일출'!$B$25:$B$657,'2추위원회별'!$C31)</f>
        <v>0</v>
      </c>
      <c r="X31" s="86">
        <f>SUMIFS('2추일출'!$V$25:$V$657,'2추일출'!$A$25:$A$657,'2추위원회별'!$A31,'2추일출'!$B$25:$B$657,'2추위원회별'!$C31)</f>
        <v>0</v>
      </c>
      <c r="Y31" s="86">
        <f>SUMIFS('2추일출'!$W$25:$W$657,'2추일출'!$A$25:$A$657,'2추위원회별'!$A31,'2추일출'!$B$25:$B$657,'2추위원회별'!$C31)</f>
        <v>0</v>
      </c>
      <c r="Z31" s="86">
        <f>SUMIFS('2추일출'!$M$25:$M$657,'2추일출'!$A$25:$A$657,'2추위원회별'!$A31,'2추일출'!$B$25:$B$657,'2추위원회별'!$C31)</f>
        <v>0</v>
      </c>
      <c r="AA31" s="86">
        <f>SUMIFS('2추일출'!$N$25:$N$657,'2추일출'!$A$25:$A$657,'2추위원회별'!$A31,'2추일출'!$B$25:$B$657,'2추위원회별'!$C31)</f>
        <v>0</v>
      </c>
      <c r="AB31" s="86">
        <f>SUMIFS('2추일출'!$O$25:$O$657,'2추일출'!$A$25:$A$657,'2추위원회별'!$A31,'2추일출'!$B$25:$B$657,'2추위원회별'!$C31)</f>
        <v>0</v>
      </c>
      <c r="AC31" s="86">
        <f>SUMIFS('2추일출'!$AA$25:$AA$657,'2추일출'!$A$25:$A$657,'2추위원회별'!$A31,'2추일출'!$B$25:$B$657,'2추위원회별'!$C31)</f>
        <v>0</v>
      </c>
      <c r="AD31" s="86">
        <f>SUMIFS('2추일출'!$AB$25:$AB$657,'2추일출'!$A$25:$A$657,'2추위원회별'!$A31,'2추일출'!$B$25:$B$657,'2추위원회별'!$C31)</f>
        <v>0</v>
      </c>
    </row>
    <row r="32" spans="1:30" ht="16.5" customHeight="1">
      <c r="B32" s="356" t="s">
        <v>11</v>
      </c>
      <c r="C32" s="357"/>
      <c r="D32" s="84">
        <f>SUM(D33:D36)</f>
        <v>0</v>
      </c>
      <c r="E32" s="84">
        <f t="shared" ref="E32:P32" si="16">SUM(E33:E36)</f>
        <v>0</v>
      </c>
      <c r="F32" s="84">
        <f t="shared" si="16"/>
        <v>0</v>
      </c>
      <c r="G32" s="84">
        <f t="shared" si="16"/>
        <v>0</v>
      </c>
      <c r="H32" s="84">
        <f t="shared" si="16"/>
        <v>0</v>
      </c>
      <c r="I32" s="84">
        <f t="shared" si="16"/>
        <v>0</v>
      </c>
      <c r="J32" s="84">
        <f t="shared" si="16"/>
        <v>0</v>
      </c>
      <c r="K32" s="84">
        <f t="shared" si="16"/>
        <v>0</v>
      </c>
      <c r="L32" s="84">
        <f t="shared" si="16"/>
        <v>0</v>
      </c>
      <c r="M32" s="84">
        <f t="shared" si="16"/>
        <v>0</v>
      </c>
      <c r="N32" s="84">
        <f t="shared" si="16"/>
        <v>0</v>
      </c>
      <c r="O32" s="84">
        <f t="shared" si="16"/>
        <v>0</v>
      </c>
      <c r="P32" s="84">
        <f t="shared" si="16"/>
        <v>0</v>
      </c>
      <c r="R32" s="84">
        <f>SUM(R33:R36)</f>
        <v>0</v>
      </c>
      <c r="S32" s="84">
        <f t="shared" ref="S32:AD32" si="17">SUM(S33:S36)</f>
        <v>0</v>
      </c>
      <c r="T32" s="84">
        <f t="shared" si="17"/>
        <v>0</v>
      </c>
      <c r="U32" s="84">
        <f t="shared" si="17"/>
        <v>0</v>
      </c>
      <c r="V32" s="84">
        <f t="shared" si="17"/>
        <v>0</v>
      </c>
      <c r="W32" s="84">
        <f t="shared" si="17"/>
        <v>0</v>
      </c>
      <c r="X32" s="84">
        <f t="shared" si="17"/>
        <v>0</v>
      </c>
      <c r="Y32" s="84">
        <f t="shared" si="17"/>
        <v>0</v>
      </c>
      <c r="Z32" s="84">
        <f t="shared" si="17"/>
        <v>0</v>
      </c>
      <c r="AA32" s="84">
        <f t="shared" si="17"/>
        <v>0</v>
      </c>
      <c r="AB32" s="84">
        <f t="shared" si="17"/>
        <v>0</v>
      </c>
      <c r="AC32" s="84">
        <f t="shared" si="17"/>
        <v>0</v>
      </c>
      <c r="AD32" s="84">
        <f t="shared" si="17"/>
        <v>0</v>
      </c>
    </row>
    <row r="33" spans="1:30" ht="16.5" customHeight="1">
      <c r="A33" t="s">
        <v>540</v>
      </c>
      <c r="B33" s="85"/>
      <c r="C33" s="85" t="s">
        <v>218</v>
      </c>
      <c r="D33" s="86">
        <f>SUMIFS('2추일입'!$G$7:$G$645,'2추일입'!$A$7:$A$645,'2추위원회별'!$A33,'2추일입'!$B$7:$B$645,'2추위원회별'!$C33)</f>
        <v>0</v>
      </c>
      <c r="E33" s="86">
        <f>SUMIFS('2추일입'!$H$7:$H$645,'2추일입'!$A$7:$A$645,'2추위원회별'!$A33,'2추일입'!$B$7:$B$645,'2추위원회별'!$C33)</f>
        <v>0</v>
      </c>
      <c r="F33" s="86">
        <f>SUMIFS('2추일입'!$H$7:$H$645,'2추일입'!$A$7:$A$645,'2추위원회별'!$A33,'2추일입'!$B$7:$B$645,'2추위원회별'!$C33)</f>
        <v>0</v>
      </c>
      <c r="G33" s="86">
        <f>SUMIFS('2추일입'!$J$7:$J$645,'2추일입'!$A$7:$A$645,'2추위원회별'!$A33,'2추일입'!$B$7:$B$645,'2추위원회별'!$C33)</f>
        <v>0</v>
      </c>
      <c r="H33" s="86">
        <f>SUMIFS('2추일입'!$K$7:$K$645,'2추일입'!$A$7:$A$645,'2추위원회별'!$A33,'2추일입'!$B$7:$B$645,'2추위원회별'!$C33)</f>
        <v>0</v>
      </c>
      <c r="I33" s="86">
        <f>SUMIFS('2추일입'!$L$7:$L$645,'2추일입'!$A$7:$A$645,'2추위원회별'!$A33,'2추일입'!$B$7:$B$645,'2추위원회별'!$C33)</f>
        <v>0</v>
      </c>
      <c r="J33" s="86">
        <f>SUMIFS('2추일입'!$V$7:$V$645,'2추일입'!$A$7:$A$645,'2추위원회별'!$A33,'2추일입'!$B$7:$B$645,'2추위원회별'!$C33)</f>
        <v>0</v>
      </c>
      <c r="K33" s="86">
        <f>SUMIFS('2추일입'!$W$7:$W$645,'2추일입'!$A$7:$A$645,'2추위원회별'!$A33,'2추일입'!$B$7:$B$645,'2추위원회별'!$C33)</f>
        <v>0</v>
      </c>
      <c r="L33" s="86">
        <f>SUMIFS('2추일입'!$M$7:$M$645,'2추일입'!$A$7:$A$645,'2추위원회별'!$A33,'2추일입'!$B$7:$B$645,'2추위원회별'!$C33)</f>
        <v>0</v>
      </c>
      <c r="M33" s="86">
        <f>SUMIFS('2추일입'!$N$7:$N$645,'2추일입'!$A$7:$A$645,'2추위원회별'!$A33,'2추일입'!$B$7:$B$645,'2추위원회별'!$C33)</f>
        <v>0</v>
      </c>
      <c r="N33" s="86">
        <f>SUMIFS('2추일입'!$O$7:$O$645,'2추일입'!$A$7:$A$645,'2추위원회별'!$A33,'2추일입'!$B$7:$B$645,'2추위원회별'!$C33)</f>
        <v>0</v>
      </c>
      <c r="O33" s="86">
        <f>SUMIFS('2추일입'!$AA$7:$AA$645,'2추일입'!$A$7:$A$645,'2추위원회별'!$A33,'2추일입'!$B$7:$B$645,'2추위원회별'!$C33)</f>
        <v>0</v>
      </c>
      <c r="P33" s="86">
        <f>SUMIFS('2추일입'!$AB$7:$AB$645,'2추일입'!$A$7:$A$645,'2추위원회별'!$A33,'2추일입'!$B$7:$B$645,'2추위원회별'!$C33)</f>
        <v>0</v>
      </c>
      <c r="R33" s="86">
        <f>SUMIFS('2추일출'!$G$25:$G$657,'2추일출'!$A$25:$A$657,'2추위원회별'!$A33,'2추일출'!$B$25:$B$657,'2추위원회별'!$C33)</f>
        <v>0</v>
      </c>
      <c r="S33" s="86">
        <f>SUMIFS('2추일출'!$H$25:$H$657,'2추일출'!$A$25:$A$657,'2추위원회별'!$A33,'2추일출'!$B$25:$B$657,'2추위원회별'!$C33)</f>
        <v>0</v>
      </c>
      <c r="T33" s="86">
        <f>SUMIFS('2추일출'!$H$25:$H$657,'2추일출'!$A$25:$A$657,'2추위원회별'!$A33,'2추일출'!$B$25:$B$657,'2추위원회별'!$C33)</f>
        <v>0</v>
      </c>
      <c r="U33" s="86">
        <f>SUMIFS('2추일출'!$J$25:$J$657,'2추일출'!$A$25:$A$657,'2추위원회별'!$A33,'2추일출'!$B$25:$B$657,'2추위원회별'!$C33)</f>
        <v>0</v>
      </c>
      <c r="V33" s="86">
        <f>SUMIFS('2추일출'!$K$25:$K$657,'2추일출'!$A$25:$A$657,'2추위원회별'!$A33,'2추일출'!$B$25:$B$657,'2추위원회별'!$C33)</f>
        <v>0</v>
      </c>
      <c r="W33" s="86">
        <f>SUMIFS('2추일출'!$L$25:$L$657,'2추일출'!$A$25:$A$657,'2추위원회별'!$A33,'2추일출'!$B$25:$B$657,'2추위원회별'!$C33)</f>
        <v>0</v>
      </c>
      <c r="X33" s="86">
        <f>SUMIFS('2추일출'!$V$25:$V$657,'2추일출'!$A$25:$A$657,'2추위원회별'!$A33,'2추일출'!$B$25:$B$657,'2추위원회별'!$C33)</f>
        <v>0</v>
      </c>
      <c r="Y33" s="86">
        <f>SUMIFS('2추일출'!$W$25:$W$657,'2추일출'!$A$25:$A$657,'2추위원회별'!$A33,'2추일출'!$B$25:$B$657,'2추위원회별'!$C33)</f>
        <v>0</v>
      </c>
      <c r="Z33" s="86">
        <f>SUMIFS('2추일출'!$M$25:$M$657,'2추일출'!$A$25:$A$657,'2추위원회별'!$A33,'2추일출'!$B$25:$B$657,'2추위원회별'!$C33)</f>
        <v>0</v>
      </c>
      <c r="AA33" s="86">
        <f>SUMIFS('2추일출'!$N$25:$N$657,'2추일출'!$A$25:$A$657,'2추위원회별'!$A33,'2추일출'!$B$25:$B$657,'2추위원회별'!$C33)</f>
        <v>0</v>
      </c>
      <c r="AB33" s="86">
        <f>SUMIFS('2추일출'!$O$25:$O$657,'2추일출'!$A$25:$A$657,'2추위원회별'!$A33,'2추일출'!$B$25:$B$657,'2추위원회별'!$C33)</f>
        <v>0</v>
      </c>
      <c r="AC33" s="86">
        <f>SUMIFS('2추일출'!$AA$25:$AA$657,'2추일출'!$A$25:$A$657,'2추위원회별'!$A33,'2추일출'!$B$25:$B$657,'2추위원회별'!$C33)</f>
        <v>0</v>
      </c>
      <c r="AD33" s="86">
        <f>SUMIFS('2추일출'!$AB$25:$AB$657,'2추일출'!$A$25:$A$657,'2추위원회별'!$A33,'2추일출'!$B$25:$B$657,'2추위원회별'!$C33)</f>
        <v>0</v>
      </c>
    </row>
    <row r="34" spans="1:30" ht="16.5" customHeight="1">
      <c r="A34" t="s">
        <v>540</v>
      </c>
      <c r="B34" s="85"/>
      <c r="C34" s="85" t="s">
        <v>370</v>
      </c>
      <c r="D34" s="86">
        <f>SUMIFS('2추일입'!$G$7:$G$645,'2추일입'!$A$7:$A$645,'2추위원회별'!$A34,'2추일입'!$B$7:$B$645,'2추위원회별'!$C34)</f>
        <v>0</v>
      </c>
      <c r="E34" s="86">
        <f>SUMIFS('2추일입'!$H$7:$H$645,'2추일입'!$A$7:$A$645,'2추위원회별'!$A34,'2추일입'!$B$7:$B$645,'2추위원회별'!$C34)</f>
        <v>0</v>
      </c>
      <c r="F34" s="86">
        <f>SUMIFS('2추일입'!$H$7:$H$645,'2추일입'!$A$7:$A$645,'2추위원회별'!$A34,'2추일입'!$B$7:$B$645,'2추위원회별'!$C34)</f>
        <v>0</v>
      </c>
      <c r="G34" s="86">
        <f>SUMIFS('2추일입'!$J$7:$J$645,'2추일입'!$A$7:$A$645,'2추위원회별'!$A34,'2추일입'!$B$7:$B$645,'2추위원회별'!$C34)</f>
        <v>0</v>
      </c>
      <c r="H34" s="86">
        <f>SUMIFS('2추일입'!$K$7:$K$645,'2추일입'!$A$7:$A$645,'2추위원회별'!$A34,'2추일입'!$B$7:$B$645,'2추위원회별'!$C34)</f>
        <v>0</v>
      </c>
      <c r="I34" s="86">
        <f>SUMIFS('2추일입'!$L$7:$L$645,'2추일입'!$A$7:$A$645,'2추위원회별'!$A34,'2추일입'!$B$7:$B$645,'2추위원회별'!$C34)</f>
        <v>0</v>
      </c>
      <c r="J34" s="86">
        <f>SUMIFS('2추일입'!$V$7:$V$645,'2추일입'!$A$7:$A$645,'2추위원회별'!$A34,'2추일입'!$B$7:$B$645,'2추위원회별'!$C34)</f>
        <v>0</v>
      </c>
      <c r="K34" s="86">
        <f>SUMIFS('2추일입'!$W$7:$W$645,'2추일입'!$A$7:$A$645,'2추위원회별'!$A34,'2추일입'!$B$7:$B$645,'2추위원회별'!$C34)</f>
        <v>0</v>
      </c>
      <c r="L34" s="86">
        <f>SUMIFS('2추일입'!$M$7:$M$645,'2추일입'!$A$7:$A$645,'2추위원회별'!$A34,'2추일입'!$B$7:$B$645,'2추위원회별'!$C34)</f>
        <v>0</v>
      </c>
      <c r="M34" s="86">
        <f>SUMIFS('2추일입'!$N$7:$N$645,'2추일입'!$A$7:$A$645,'2추위원회별'!$A34,'2추일입'!$B$7:$B$645,'2추위원회별'!$C34)</f>
        <v>0</v>
      </c>
      <c r="N34" s="86">
        <f>SUMIFS('2추일입'!$O$7:$O$645,'2추일입'!$A$7:$A$645,'2추위원회별'!$A34,'2추일입'!$B$7:$B$645,'2추위원회별'!$C34)</f>
        <v>0</v>
      </c>
      <c r="O34" s="86">
        <f>SUMIFS('2추일입'!$AA$7:$AA$645,'2추일입'!$A$7:$A$645,'2추위원회별'!$A34,'2추일입'!$B$7:$B$645,'2추위원회별'!$C34)</f>
        <v>0</v>
      </c>
      <c r="P34" s="86">
        <f>SUMIFS('2추일입'!$AB$7:$AB$645,'2추일입'!$A$7:$A$645,'2추위원회별'!$A34,'2추일입'!$B$7:$B$645,'2추위원회별'!$C34)</f>
        <v>0</v>
      </c>
      <c r="R34" s="86">
        <f>SUMIFS('2추일출'!$G$25:$G$657,'2추일출'!$A$25:$A$657,'2추위원회별'!$A34,'2추일출'!$B$25:$B$657,'2추위원회별'!$C34)</f>
        <v>0</v>
      </c>
      <c r="S34" s="86">
        <f>SUMIFS('2추일출'!$H$25:$H$657,'2추일출'!$A$25:$A$657,'2추위원회별'!$A34,'2추일출'!$B$25:$B$657,'2추위원회별'!$C34)</f>
        <v>0</v>
      </c>
      <c r="T34" s="86">
        <f>SUMIFS('2추일출'!$H$25:$H$657,'2추일출'!$A$25:$A$657,'2추위원회별'!$A34,'2추일출'!$B$25:$B$657,'2추위원회별'!$C34)</f>
        <v>0</v>
      </c>
      <c r="U34" s="86">
        <f>SUMIFS('2추일출'!$J$25:$J$657,'2추일출'!$A$25:$A$657,'2추위원회별'!$A34,'2추일출'!$B$25:$B$657,'2추위원회별'!$C34)</f>
        <v>0</v>
      </c>
      <c r="V34" s="86">
        <f>SUMIFS('2추일출'!$K$25:$K$657,'2추일출'!$A$25:$A$657,'2추위원회별'!$A34,'2추일출'!$B$25:$B$657,'2추위원회별'!$C34)</f>
        <v>0</v>
      </c>
      <c r="W34" s="86">
        <f>SUMIFS('2추일출'!$L$25:$L$657,'2추일출'!$A$25:$A$657,'2추위원회별'!$A34,'2추일출'!$B$25:$B$657,'2추위원회별'!$C34)</f>
        <v>0</v>
      </c>
      <c r="X34" s="86">
        <f>SUMIFS('2추일출'!$V$25:$V$657,'2추일출'!$A$25:$A$657,'2추위원회별'!$A34,'2추일출'!$B$25:$B$657,'2추위원회별'!$C34)</f>
        <v>0</v>
      </c>
      <c r="Y34" s="86">
        <f>SUMIFS('2추일출'!$W$25:$W$657,'2추일출'!$A$25:$A$657,'2추위원회별'!$A34,'2추일출'!$B$25:$B$657,'2추위원회별'!$C34)</f>
        <v>0</v>
      </c>
      <c r="Z34" s="86">
        <f>SUMIFS('2추일출'!$M$25:$M$657,'2추일출'!$A$25:$A$657,'2추위원회별'!$A34,'2추일출'!$B$25:$B$657,'2추위원회별'!$C34)</f>
        <v>0</v>
      </c>
      <c r="AA34" s="86">
        <f>SUMIFS('2추일출'!$N$25:$N$657,'2추일출'!$A$25:$A$657,'2추위원회별'!$A34,'2추일출'!$B$25:$B$657,'2추위원회별'!$C34)</f>
        <v>0</v>
      </c>
      <c r="AB34" s="86">
        <f>SUMIFS('2추일출'!$O$25:$O$657,'2추일출'!$A$25:$A$657,'2추위원회별'!$A34,'2추일출'!$B$25:$B$657,'2추위원회별'!$C34)</f>
        <v>0</v>
      </c>
      <c r="AC34" s="86">
        <f>SUMIFS('2추일출'!$AA$25:$AA$657,'2추일출'!$A$25:$A$657,'2추위원회별'!$A34,'2추일출'!$B$25:$B$657,'2추위원회별'!$C34)</f>
        <v>0</v>
      </c>
      <c r="AD34" s="86">
        <f>SUMIFS('2추일출'!$AB$25:$AB$657,'2추일출'!$A$25:$A$657,'2추위원회별'!$A34,'2추일출'!$B$25:$B$657,'2추위원회별'!$C34)</f>
        <v>0</v>
      </c>
    </row>
    <row r="35" spans="1:30" ht="16.5" customHeight="1">
      <c r="A35" t="s">
        <v>11</v>
      </c>
      <c r="B35" s="85"/>
      <c r="C35" s="85" t="s">
        <v>380</v>
      </c>
      <c r="D35" s="86">
        <f>SUMIFS('2추일입'!$G$7:$G$645,'2추일입'!$A$7:$A$645,'2추위원회별'!$A35,'2추일입'!$B$7:$B$645,'2추위원회별'!$C35)</f>
        <v>0</v>
      </c>
      <c r="E35" s="86">
        <f>SUMIFS('2추일입'!$H$7:$H$645,'2추일입'!$A$7:$A$645,'2추위원회별'!$A35,'2추일입'!$B$7:$B$645,'2추위원회별'!$C35)</f>
        <v>0</v>
      </c>
      <c r="F35" s="86">
        <f>SUMIFS('2추일입'!$H$7:$H$645,'2추일입'!$A$7:$A$645,'2추위원회별'!$A35,'2추일입'!$B$7:$B$645,'2추위원회별'!$C35)</f>
        <v>0</v>
      </c>
      <c r="G35" s="86">
        <f>SUMIFS('2추일입'!$J$7:$J$645,'2추일입'!$A$7:$A$645,'2추위원회별'!$A35,'2추일입'!$B$7:$B$645,'2추위원회별'!$C35)</f>
        <v>0</v>
      </c>
      <c r="H35" s="86">
        <f>SUMIFS('2추일입'!$K$7:$K$645,'2추일입'!$A$7:$A$645,'2추위원회별'!$A35,'2추일입'!$B$7:$B$645,'2추위원회별'!$C35)</f>
        <v>0</v>
      </c>
      <c r="I35" s="86">
        <f>SUMIFS('2추일입'!$L$7:$L$645,'2추일입'!$A$7:$A$645,'2추위원회별'!$A35,'2추일입'!$B$7:$B$645,'2추위원회별'!$C35)</f>
        <v>0</v>
      </c>
      <c r="J35" s="86">
        <f>SUMIFS('2추일입'!$V$7:$V$645,'2추일입'!$A$7:$A$645,'2추위원회별'!$A35,'2추일입'!$B$7:$B$645,'2추위원회별'!$C35)</f>
        <v>0</v>
      </c>
      <c r="K35" s="86">
        <f>SUMIFS('2추일입'!$W$7:$W$645,'2추일입'!$A$7:$A$645,'2추위원회별'!$A35,'2추일입'!$B$7:$B$645,'2추위원회별'!$C35)</f>
        <v>0</v>
      </c>
      <c r="L35" s="86">
        <f>SUMIFS('2추일입'!$M$7:$M$645,'2추일입'!$A$7:$A$645,'2추위원회별'!$A35,'2추일입'!$B$7:$B$645,'2추위원회별'!$C35)</f>
        <v>0</v>
      </c>
      <c r="M35" s="86">
        <f>SUMIFS('2추일입'!$N$7:$N$645,'2추일입'!$A$7:$A$645,'2추위원회별'!$A35,'2추일입'!$B$7:$B$645,'2추위원회별'!$C35)</f>
        <v>0</v>
      </c>
      <c r="N35" s="86">
        <f>SUMIFS('2추일입'!$O$7:$O$645,'2추일입'!$A$7:$A$645,'2추위원회별'!$A35,'2추일입'!$B$7:$B$645,'2추위원회별'!$C35)</f>
        <v>0</v>
      </c>
      <c r="O35" s="86">
        <f>SUMIFS('2추일입'!$AA$7:$AA$645,'2추일입'!$A$7:$A$645,'2추위원회별'!$A35,'2추일입'!$B$7:$B$645,'2추위원회별'!$C35)</f>
        <v>0</v>
      </c>
      <c r="P35" s="86">
        <f>SUMIFS('2추일입'!$AB$7:$AB$645,'2추일입'!$A$7:$A$645,'2추위원회별'!$A35,'2추일입'!$B$7:$B$645,'2추위원회별'!$C35)</f>
        <v>0</v>
      </c>
      <c r="R35" s="86">
        <f>SUMIFS('2추일출'!$G$25:$G$657,'2추일출'!$A$25:$A$657,'2추위원회별'!$A35,'2추일출'!$B$25:$B$657,'2추위원회별'!$C35)</f>
        <v>0</v>
      </c>
      <c r="S35" s="86">
        <f>SUMIFS('2추일출'!$H$25:$H$657,'2추일출'!$A$25:$A$657,'2추위원회별'!$A35,'2추일출'!$B$25:$B$657,'2추위원회별'!$C35)</f>
        <v>0</v>
      </c>
      <c r="T35" s="86">
        <f>SUMIFS('2추일출'!$H$25:$H$657,'2추일출'!$A$25:$A$657,'2추위원회별'!$A35,'2추일출'!$B$25:$B$657,'2추위원회별'!$C35)</f>
        <v>0</v>
      </c>
      <c r="U35" s="86">
        <f>SUMIFS('2추일출'!$J$25:$J$657,'2추일출'!$A$25:$A$657,'2추위원회별'!$A35,'2추일출'!$B$25:$B$657,'2추위원회별'!$C35)</f>
        <v>0</v>
      </c>
      <c r="V35" s="86">
        <f>SUMIFS('2추일출'!$K$25:$K$657,'2추일출'!$A$25:$A$657,'2추위원회별'!$A35,'2추일출'!$B$25:$B$657,'2추위원회별'!$C35)</f>
        <v>0</v>
      </c>
      <c r="W35" s="86">
        <f>SUMIFS('2추일출'!$L$25:$L$657,'2추일출'!$A$25:$A$657,'2추위원회별'!$A35,'2추일출'!$B$25:$B$657,'2추위원회별'!$C35)</f>
        <v>0</v>
      </c>
      <c r="X35" s="86">
        <f>SUMIFS('2추일출'!$V$25:$V$657,'2추일출'!$A$25:$A$657,'2추위원회별'!$A35,'2추일출'!$B$25:$B$657,'2추위원회별'!$C35)</f>
        <v>0</v>
      </c>
      <c r="Y35" s="86">
        <f>SUMIFS('2추일출'!$W$25:$W$657,'2추일출'!$A$25:$A$657,'2추위원회별'!$A35,'2추일출'!$B$25:$B$657,'2추위원회별'!$C35)</f>
        <v>0</v>
      </c>
      <c r="Z35" s="86">
        <f>SUMIFS('2추일출'!$M$25:$M$657,'2추일출'!$A$25:$A$657,'2추위원회별'!$A35,'2추일출'!$B$25:$B$657,'2추위원회별'!$C35)</f>
        <v>0</v>
      </c>
      <c r="AA35" s="86">
        <f>SUMIFS('2추일출'!$N$25:$N$657,'2추일출'!$A$25:$A$657,'2추위원회별'!$A35,'2추일출'!$B$25:$B$657,'2추위원회별'!$C35)</f>
        <v>0</v>
      </c>
      <c r="AB35" s="86">
        <f>SUMIFS('2추일출'!$O$25:$O$657,'2추일출'!$A$25:$A$657,'2추위원회별'!$A35,'2추일출'!$B$25:$B$657,'2추위원회별'!$C35)</f>
        <v>0</v>
      </c>
      <c r="AC35" s="86">
        <f>SUMIFS('2추일출'!$AA$25:$AA$657,'2추일출'!$A$25:$A$657,'2추위원회별'!$A35,'2추일출'!$B$25:$B$657,'2추위원회별'!$C35)</f>
        <v>0</v>
      </c>
      <c r="AD35" s="86">
        <f>SUMIFS('2추일출'!$AB$25:$AB$657,'2추일출'!$A$25:$A$657,'2추위원회별'!$A35,'2추일출'!$B$25:$B$657,'2추위원회별'!$C35)</f>
        <v>0</v>
      </c>
    </row>
    <row r="36" spans="1:30" ht="16.5" customHeight="1">
      <c r="A36" t="s">
        <v>540</v>
      </c>
      <c r="B36" s="85"/>
      <c r="C36" s="85" t="s">
        <v>406</v>
      </c>
      <c r="D36" s="86">
        <f>SUMIFS('2추일입'!$G$7:$G$645,'2추일입'!$A$7:$A$645,'2추위원회별'!$A36,'2추일입'!$B$7:$B$645,'2추위원회별'!$C36)</f>
        <v>0</v>
      </c>
      <c r="E36" s="86">
        <f>SUMIFS('2추일입'!$H$7:$H$645,'2추일입'!$A$7:$A$645,'2추위원회별'!$A36,'2추일입'!$B$7:$B$645,'2추위원회별'!$C36)</f>
        <v>0</v>
      </c>
      <c r="F36" s="86">
        <f>SUMIFS('2추일입'!$H$7:$H$645,'2추일입'!$A$7:$A$645,'2추위원회별'!$A36,'2추일입'!$B$7:$B$645,'2추위원회별'!$C36)</f>
        <v>0</v>
      </c>
      <c r="G36" s="86">
        <f>SUMIFS('2추일입'!$J$7:$J$645,'2추일입'!$A$7:$A$645,'2추위원회별'!$A36,'2추일입'!$B$7:$B$645,'2추위원회별'!$C36)</f>
        <v>0</v>
      </c>
      <c r="H36" s="86">
        <f>SUMIFS('2추일입'!$K$7:$K$645,'2추일입'!$A$7:$A$645,'2추위원회별'!$A36,'2추일입'!$B$7:$B$645,'2추위원회별'!$C36)</f>
        <v>0</v>
      </c>
      <c r="I36" s="86">
        <f>SUMIFS('2추일입'!$L$7:$L$645,'2추일입'!$A$7:$A$645,'2추위원회별'!$A36,'2추일입'!$B$7:$B$645,'2추위원회별'!$C36)</f>
        <v>0</v>
      </c>
      <c r="J36" s="86">
        <f>SUMIFS('2추일입'!$V$7:$V$645,'2추일입'!$A$7:$A$645,'2추위원회별'!$A36,'2추일입'!$B$7:$B$645,'2추위원회별'!$C36)</f>
        <v>0</v>
      </c>
      <c r="K36" s="86">
        <f>SUMIFS('2추일입'!$W$7:$W$645,'2추일입'!$A$7:$A$645,'2추위원회별'!$A36,'2추일입'!$B$7:$B$645,'2추위원회별'!$C36)</f>
        <v>0</v>
      </c>
      <c r="L36" s="86">
        <f>SUMIFS('2추일입'!$M$7:$M$645,'2추일입'!$A$7:$A$645,'2추위원회별'!$A36,'2추일입'!$B$7:$B$645,'2추위원회별'!$C36)</f>
        <v>0</v>
      </c>
      <c r="M36" s="86">
        <f>SUMIFS('2추일입'!$N$7:$N$645,'2추일입'!$A$7:$A$645,'2추위원회별'!$A36,'2추일입'!$B$7:$B$645,'2추위원회별'!$C36)</f>
        <v>0</v>
      </c>
      <c r="N36" s="86">
        <f>SUMIFS('2추일입'!$O$7:$O$645,'2추일입'!$A$7:$A$645,'2추위원회별'!$A36,'2추일입'!$B$7:$B$645,'2추위원회별'!$C36)</f>
        <v>0</v>
      </c>
      <c r="O36" s="86">
        <f>SUMIFS('2추일입'!$AA$7:$AA$645,'2추일입'!$A$7:$A$645,'2추위원회별'!$A36,'2추일입'!$B$7:$B$645,'2추위원회별'!$C36)</f>
        <v>0</v>
      </c>
      <c r="P36" s="86">
        <f>SUMIFS('2추일입'!$AB$7:$AB$645,'2추일입'!$A$7:$A$645,'2추위원회별'!$A36,'2추일입'!$B$7:$B$645,'2추위원회별'!$C36)</f>
        <v>0</v>
      </c>
      <c r="R36" s="86">
        <f>SUMIFS('2추일출'!$G$25:$G$657,'2추일출'!$A$25:$A$657,'2추위원회별'!$A36,'2추일출'!$B$25:$B$657,'2추위원회별'!$C36)</f>
        <v>0</v>
      </c>
      <c r="S36" s="86">
        <f>SUMIFS('2추일출'!$H$25:$H$657,'2추일출'!$A$25:$A$657,'2추위원회별'!$A36,'2추일출'!$B$25:$B$657,'2추위원회별'!$C36)</f>
        <v>0</v>
      </c>
      <c r="T36" s="86">
        <f>SUMIFS('2추일출'!$H$25:$H$657,'2추일출'!$A$25:$A$657,'2추위원회별'!$A36,'2추일출'!$B$25:$B$657,'2추위원회별'!$C36)</f>
        <v>0</v>
      </c>
      <c r="U36" s="86">
        <f>SUMIFS('2추일출'!$J$25:$J$657,'2추일출'!$A$25:$A$657,'2추위원회별'!$A36,'2추일출'!$B$25:$B$657,'2추위원회별'!$C36)</f>
        <v>0</v>
      </c>
      <c r="V36" s="86">
        <f>SUMIFS('2추일출'!$K$25:$K$657,'2추일출'!$A$25:$A$657,'2추위원회별'!$A36,'2추일출'!$B$25:$B$657,'2추위원회별'!$C36)</f>
        <v>0</v>
      </c>
      <c r="W36" s="86">
        <f>SUMIFS('2추일출'!$L$25:$L$657,'2추일출'!$A$25:$A$657,'2추위원회별'!$A36,'2추일출'!$B$25:$B$657,'2추위원회별'!$C36)</f>
        <v>0</v>
      </c>
      <c r="X36" s="86">
        <f>SUMIFS('2추일출'!$V$25:$V$657,'2추일출'!$A$25:$A$657,'2추위원회별'!$A36,'2추일출'!$B$25:$B$657,'2추위원회별'!$C36)</f>
        <v>0</v>
      </c>
      <c r="Y36" s="86">
        <f>SUMIFS('2추일출'!$W$25:$W$657,'2추일출'!$A$25:$A$657,'2추위원회별'!$A36,'2추일출'!$B$25:$B$657,'2추위원회별'!$C36)</f>
        <v>0</v>
      </c>
      <c r="Z36" s="86">
        <f>SUMIFS('2추일출'!$M$25:$M$657,'2추일출'!$A$25:$A$657,'2추위원회별'!$A36,'2추일출'!$B$25:$B$657,'2추위원회별'!$C36)</f>
        <v>0</v>
      </c>
      <c r="AA36" s="86">
        <f>SUMIFS('2추일출'!$N$25:$N$657,'2추일출'!$A$25:$A$657,'2추위원회별'!$A36,'2추일출'!$B$25:$B$657,'2추위원회별'!$C36)</f>
        <v>0</v>
      </c>
      <c r="AB36" s="86">
        <f>SUMIFS('2추일출'!$O$25:$O$657,'2추일출'!$A$25:$A$657,'2추위원회별'!$A36,'2추일출'!$B$25:$B$657,'2추위원회별'!$C36)</f>
        <v>0</v>
      </c>
      <c r="AC36" s="86">
        <f>SUMIFS('2추일출'!$AA$25:$AA$657,'2추일출'!$A$25:$A$657,'2추위원회별'!$A36,'2추일출'!$B$25:$B$657,'2추위원회별'!$C36)</f>
        <v>0</v>
      </c>
      <c r="AD36" s="86">
        <f>SUMIFS('2추일출'!$AB$25:$AB$657,'2추일출'!$A$25:$A$657,'2추위원회별'!$A36,'2추일출'!$B$25:$B$657,'2추위원회별'!$C36)</f>
        <v>0</v>
      </c>
    </row>
    <row r="37" spans="1:30" ht="16.5" customHeight="1">
      <c r="B37" s="356" t="s">
        <v>12</v>
      </c>
      <c r="C37" s="357"/>
      <c r="D37" s="84">
        <f>SUM(D38:D42)</f>
        <v>0</v>
      </c>
      <c r="E37" s="84">
        <f t="shared" ref="E37:P37" si="18">SUM(E38:E42)</f>
        <v>0</v>
      </c>
      <c r="F37" s="84">
        <f t="shared" si="18"/>
        <v>0</v>
      </c>
      <c r="G37" s="84">
        <f t="shared" si="18"/>
        <v>0</v>
      </c>
      <c r="H37" s="84">
        <f t="shared" si="18"/>
        <v>0</v>
      </c>
      <c r="I37" s="84">
        <f t="shared" si="18"/>
        <v>0</v>
      </c>
      <c r="J37" s="84">
        <f t="shared" si="18"/>
        <v>0</v>
      </c>
      <c r="K37" s="84">
        <f t="shared" si="18"/>
        <v>0</v>
      </c>
      <c r="L37" s="84">
        <f t="shared" si="18"/>
        <v>0</v>
      </c>
      <c r="M37" s="84">
        <f t="shared" si="18"/>
        <v>0</v>
      </c>
      <c r="N37" s="84">
        <f t="shared" si="18"/>
        <v>0</v>
      </c>
      <c r="O37" s="84">
        <f t="shared" si="18"/>
        <v>0</v>
      </c>
      <c r="P37" s="84">
        <f t="shared" si="18"/>
        <v>0</v>
      </c>
      <c r="R37" s="84">
        <f>SUM(R38:R42)</f>
        <v>0</v>
      </c>
      <c r="S37" s="84">
        <f t="shared" ref="S37:AD37" si="19">SUM(S38:S42)</f>
        <v>0</v>
      </c>
      <c r="T37" s="84">
        <f t="shared" si="19"/>
        <v>0</v>
      </c>
      <c r="U37" s="84">
        <f t="shared" si="19"/>
        <v>0</v>
      </c>
      <c r="V37" s="84">
        <f t="shared" si="19"/>
        <v>0</v>
      </c>
      <c r="W37" s="84">
        <f t="shared" si="19"/>
        <v>0</v>
      </c>
      <c r="X37" s="84">
        <f t="shared" si="19"/>
        <v>0</v>
      </c>
      <c r="Y37" s="84">
        <f t="shared" si="19"/>
        <v>0</v>
      </c>
      <c r="Z37" s="84">
        <f t="shared" si="19"/>
        <v>0</v>
      </c>
      <c r="AA37" s="84">
        <f t="shared" si="19"/>
        <v>0</v>
      </c>
      <c r="AB37" s="84">
        <f t="shared" si="19"/>
        <v>0</v>
      </c>
      <c r="AC37" s="84">
        <f t="shared" si="19"/>
        <v>0</v>
      </c>
      <c r="AD37" s="84">
        <f t="shared" si="19"/>
        <v>0</v>
      </c>
    </row>
    <row r="38" spans="1:30" ht="16.5" customHeight="1">
      <c r="A38" t="s">
        <v>541</v>
      </c>
      <c r="B38" s="85"/>
      <c r="C38" s="85" t="s">
        <v>110</v>
      </c>
      <c r="D38" s="86">
        <f>SUMIFS('2추일입'!$G$7:$G$645,'2추일입'!$A$7:$A$645,'2추위원회별'!$A38,'2추일입'!$B$7:$B$645,'2추위원회별'!$C38)</f>
        <v>0</v>
      </c>
      <c r="E38" s="86">
        <f>SUMIFS('2추일입'!$H$7:$H$645,'2추일입'!$A$7:$A$645,'2추위원회별'!$A38,'2추일입'!$B$7:$B$645,'2추위원회별'!$C38)</f>
        <v>0</v>
      </c>
      <c r="F38" s="86">
        <f>SUMIFS('2추일입'!$H$7:$H$645,'2추일입'!$A$7:$A$645,'2추위원회별'!$A38,'2추일입'!$B$7:$B$645,'2추위원회별'!$C38)</f>
        <v>0</v>
      </c>
      <c r="G38" s="86">
        <f>SUMIFS('2추일입'!$J$7:$J$645,'2추일입'!$A$7:$A$645,'2추위원회별'!$A38,'2추일입'!$B$7:$B$645,'2추위원회별'!$C38)</f>
        <v>0</v>
      </c>
      <c r="H38" s="86">
        <f>SUMIFS('2추일입'!$K$7:$K$645,'2추일입'!$A$7:$A$645,'2추위원회별'!$A38,'2추일입'!$B$7:$B$645,'2추위원회별'!$C38)</f>
        <v>0</v>
      </c>
      <c r="I38" s="86">
        <f>SUMIFS('2추일입'!$L$7:$L$645,'2추일입'!$A$7:$A$645,'2추위원회별'!$A38,'2추일입'!$B$7:$B$645,'2추위원회별'!$C38)</f>
        <v>0</v>
      </c>
      <c r="J38" s="86">
        <f>SUMIFS('2추일입'!$V$7:$V$645,'2추일입'!$A$7:$A$645,'2추위원회별'!$A38,'2추일입'!$B$7:$B$645,'2추위원회별'!$C38)</f>
        <v>0</v>
      </c>
      <c r="K38" s="86">
        <f>SUMIFS('2추일입'!$W$7:$W$645,'2추일입'!$A$7:$A$645,'2추위원회별'!$A38,'2추일입'!$B$7:$B$645,'2추위원회별'!$C38)</f>
        <v>0</v>
      </c>
      <c r="L38" s="86">
        <f>SUMIFS('2추일입'!$M$7:$M$645,'2추일입'!$A$7:$A$645,'2추위원회별'!$A38,'2추일입'!$B$7:$B$645,'2추위원회별'!$C38)</f>
        <v>0</v>
      </c>
      <c r="M38" s="86">
        <f>SUMIFS('2추일입'!$N$7:$N$645,'2추일입'!$A$7:$A$645,'2추위원회별'!$A38,'2추일입'!$B$7:$B$645,'2추위원회별'!$C38)</f>
        <v>0</v>
      </c>
      <c r="N38" s="86">
        <f>SUMIFS('2추일입'!$O$7:$O$645,'2추일입'!$A$7:$A$645,'2추위원회별'!$A38,'2추일입'!$B$7:$B$645,'2추위원회별'!$C38)</f>
        <v>0</v>
      </c>
      <c r="O38" s="86">
        <f>SUMIFS('2추일입'!$AA$7:$AA$645,'2추일입'!$A$7:$A$645,'2추위원회별'!$A38,'2추일입'!$B$7:$B$645,'2추위원회별'!$C38)</f>
        <v>0</v>
      </c>
      <c r="P38" s="86">
        <f>SUMIFS('2추일입'!$AB$7:$AB$645,'2추일입'!$A$7:$A$645,'2추위원회별'!$A38,'2추일입'!$B$7:$B$645,'2추위원회별'!$C38)</f>
        <v>0</v>
      </c>
      <c r="R38" s="86">
        <f>SUMIFS('2추일출'!$G$25:$G$657,'2추일출'!$A$25:$A$657,'2추위원회별'!$A38,'2추일출'!$B$25:$B$657,'2추위원회별'!$C38)</f>
        <v>0</v>
      </c>
      <c r="S38" s="86">
        <f>SUMIFS('2추일출'!$H$25:$H$657,'2추일출'!$A$25:$A$657,'2추위원회별'!$A38,'2추일출'!$B$25:$B$657,'2추위원회별'!$C38)</f>
        <v>0</v>
      </c>
      <c r="T38" s="86">
        <f>SUMIFS('2추일출'!$H$25:$H$657,'2추일출'!$A$25:$A$657,'2추위원회별'!$A38,'2추일출'!$B$25:$B$657,'2추위원회별'!$C38)</f>
        <v>0</v>
      </c>
      <c r="U38" s="86">
        <f>SUMIFS('2추일출'!$J$25:$J$657,'2추일출'!$A$25:$A$657,'2추위원회별'!$A38,'2추일출'!$B$25:$B$657,'2추위원회별'!$C38)</f>
        <v>0</v>
      </c>
      <c r="V38" s="86">
        <f>SUMIFS('2추일출'!$K$25:$K$657,'2추일출'!$A$25:$A$657,'2추위원회별'!$A38,'2추일출'!$B$25:$B$657,'2추위원회별'!$C38)</f>
        <v>0</v>
      </c>
      <c r="W38" s="86">
        <f>SUMIFS('2추일출'!$L$25:$L$657,'2추일출'!$A$25:$A$657,'2추위원회별'!$A38,'2추일출'!$B$25:$B$657,'2추위원회별'!$C38)</f>
        <v>0</v>
      </c>
      <c r="X38" s="86">
        <f>SUMIFS('2추일출'!$V$25:$V$657,'2추일출'!$A$25:$A$657,'2추위원회별'!$A38,'2추일출'!$B$25:$B$657,'2추위원회별'!$C38)</f>
        <v>0</v>
      </c>
      <c r="Y38" s="86">
        <f>SUMIFS('2추일출'!$W$25:$W$657,'2추일출'!$A$25:$A$657,'2추위원회별'!$A38,'2추일출'!$B$25:$B$657,'2추위원회별'!$C38)</f>
        <v>0</v>
      </c>
      <c r="Z38" s="86">
        <f>SUMIFS('2추일출'!$M$25:$M$657,'2추일출'!$A$25:$A$657,'2추위원회별'!$A38,'2추일출'!$B$25:$B$657,'2추위원회별'!$C38)</f>
        <v>0</v>
      </c>
      <c r="AA38" s="86">
        <f>SUMIFS('2추일출'!$N$25:$N$657,'2추일출'!$A$25:$A$657,'2추위원회별'!$A38,'2추일출'!$B$25:$B$657,'2추위원회별'!$C38)</f>
        <v>0</v>
      </c>
      <c r="AB38" s="86">
        <f>SUMIFS('2추일출'!$O$25:$O$657,'2추일출'!$A$25:$A$657,'2추위원회별'!$A38,'2추일출'!$B$25:$B$657,'2추위원회별'!$C38)</f>
        <v>0</v>
      </c>
      <c r="AC38" s="86">
        <f>SUMIFS('2추일출'!$AA$25:$AA$657,'2추일출'!$A$25:$A$657,'2추위원회별'!$A38,'2추일출'!$B$25:$B$657,'2추위원회별'!$C38)</f>
        <v>0</v>
      </c>
      <c r="AD38" s="86">
        <f>SUMIFS('2추일출'!$AB$25:$AB$657,'2추일출'!$A$25:$A$657,'2추위원회별'!$A38,'2추일출'!$B$25:$B$657,'2추위원회별'!$C38)</f>
        <v>0</v>
      </c>
    </row>
    <row r="39" spans="1:30" ht="16.5" customHeight="1">
      <c r="A39" t="s">
        <v>541</v>
      </c>
      <c r="B39" s="85"/>
      <c r="C39" s="85" t="s">
        <v>114</v>
      </c>
      <c r="D39" s="86">
        <f>SUMIFS('2추일입'!$G$7:$G$645,'2추일입'!$A$7:$A$645,'2추위원회별'!$A39,'2추일입'!$B$7:$B$645,'2추위원회별'!$C39)</f>
        <v>0</v>
      </c>
      <c r="E39" s="86">
        <f>SUMIFS('2추일입'!$H$7:$H$645,'2추일입'!$A$7:$A$645,'2추위원회별'!$A39,'2추일입'!$B$7:$B$645,'2추위원회별'!$C39)</f>
        <v>0</v>
      </c>
      <c r="F39" s="86">
        <f>SUMIFS('2추일입'!$H$7:$H$645,'2추일입'!$A$7:$A$645,'2추위원회별'!$A39,'2추일입'!$B$7:$B$645,'2추위원회별'!$C39)</f>
        <v>0</v>
      </c>
      <c r="G39" s="86">
        <f>SUMIFS('2추일입'!$J$7:$J$645,'2추일입'!$A$7:$A$645,'2추위원회별'!$A39,'2추일입'!$B$7:$B$645,'2추위원회별'!$C39)</f>
        <v>0</v>
      </c>
      <c r="H39" s="86">
        <f>SUMIFS('2추일입'!$K$7:$K$645,'2추일입'!$A$7:$A$645,'2추위원회별'!$A39,'2추일입'!$B$7:$B$645,'2추위원회별'!$C39)</f>
        <v>0</v>
      </c>
      <c r="I39" s="86">
        <f>SUMIFS('2추일입'!$L$7:$L$645,'2추일입'!$A$7:$A$645,'2추위원회별'!$A39,'2추일입'!$B$7:$B$645,'2추위원회별'!$C39)</f>
        <v>0</v>
      </c>
      <c r="J39" s="86">
        <f>SUMIFS('2추일입'!$V$7:$V$645,'2추일입'!$A$7:$A$645,'2추위원회별'!$A39,'2추일입'!$B$7:$B$645,'2추위원회별'!$C39)</f>
        <v>0</v>
      </c>
      <c r="K39" s="86">
        <f>SUMIFS('2추일입'!$W$7:$W$645,'2추일입'!$A$7:$A$645,'2추위원회별'!$A39,'2추일입'!$B$7:$B$645,'2추위원회별'!$C39)</f>
        <v>0</v>
      </c>
      <c r="L39" s="86">
        <f>SUMIFS('2추일입'!$M$7:$M$645,'2추일입'!$A$7:$A$645,'2추위원회별'!$A39,'2추일입'!$B$7:$B$645,'2추위원회별'!$C39)</f>
        <v>0</v>
      </c>
      <c r="M39" s="86">
        <f>SUMIFS('2추일입'!$N$7:$N$645,'2추일입'!$A$7:$A$645,'2추위원회별'!$A39,'2추일입'!$B$7:$B$645,'2추위원회별'!$C39)</f>
        <v>0</v>
      </c>
      <c r="N39" s="86">
        <f>SUMIFS('2추일입'!$O$7:$O$645,'2추일입'!$A$7:$A$645,'2추위원회별'!$A39,'2추일입'!$B$7:$B$645,'2추위원회별'!$C39)</f>
        <v>0</v>
      </c>
      <c r="O39" s="86">
        <f>SUMIFS('2추일입'!$AA$7:$AA$645,'2추일입'!$A$7:$A$645,'2추위원회별'!$A39,'2추일입'!$B$7:$B$645,'2추위원회별'!$C39)</f>
        <v>0</v>
      </c>
      <c r="P39" s="86">
        <f>SUMIFS('2추일입'!$AB$7:$AB$645,'2추일입'!$A$7:$A$645,'2추위원회별'!$A39,'2추일입'!$B$7:$B$645,'2추위원회별'!$C39)</f>
        <v>0</v>
      </c>
      <c r="R39" s="86">
        <f>SUMIFS('2추일출'!$G$25:$G$657,'2추일출'!$A$25:$A$657,'2추위원회별'!$A39,'2추일출'!$B$25:$B$657,'2추위원회별'!$C39)</f>
        <v>0</v>
      </c>
      <c r="S39" s="86">
        <f>SUMIFS('2추일출'!$H$25:$H$657,'2추일출'!$A$25:$A$657,'2추위원회별'!$A39,'2추일출'!$B$25:$B$657,'2추위원회별'!$C39)</f>
        <v>0</v>
      </c>
      <c r="T39" s="86">
        <f>SUMIFS('2추일출'!$H$25:$H$657,'2추일출'!$A$25:$A$657,'2추위원회별'!$A39,'2추일출'!$B$25:$B$657,'2추위원회별'!$C39)</f>
        <v>0</v>
      </c>
      <c r="U39" s="86">
        <f>SUMIFS('2추일출'!$J$25:$J$657,'2추일출'!$A$25:$A$657,'2추위원회별'!$A39,'2추일출'!$B$25:$B$657,'2추위원회별'!$C39)</f>
        <v>0</v>
      </c>
      <c r="V39" s="86">
        <f>SUMIFS('2추일출'!$K$25:$K$657,'2추일출'!$A$25:$A$657,'2추위원회별'!$A39,'2추일출'!$B$25:$B$657,'2추위원회별'!$C39)</f>
        <v>0</v>
      </c>
      <c r="W39" s="86">
        <f>SUMIFS('2추일출'!$L$25:$L$657,'2추일출'!$A$25:$A$657,'2추위원회별'!$A39,'2추일출'!$B$25:$B$657,'2추위원회별'!$C39)</f>
        <v>0</v>
      </c>
      <c r="X39" s="86">
        <f>SUMIFS('2추일출'!$V$25:$V$657,'2추일출'!$A$25:$A$657,'2추위원회별'!$A39,'2추일출'!$B$25:$B$657,'2추위원회별'!$C39)</f>
        <v>0</v>
      </c>
      <c r="Y39" s="86">
        <f>SUMIFS('2추일출'!$W$25:$W$657,'2추일출'!$A$25:$A$657,'2추위원회별'!$A39,'2추일출'!$B$25:$B$657,'2추위원회별'!$C39)</f>
        <v>0</v>
      </c>
      <c r="Z39" s="86">
        <f>SUMIFS('2추일출'!$M$25:$M$657,'2추일출'!$A$25:$A$657,'2추위원회별'!$A39,'2추일출'!$B$25:$B$657,'2추위원회별'!$C39)</f>
        <v>0</v>
      </c>
      <c r="AA39" s="86">
        <f>SUMIFS('2추일출'!$N$25:$N$657,'2추일출'!$A$25:$A$657,'2추위원회별'!$A39,'2추일출'!$B$25:$B$657,'2추위원회별'!$C39)</f>
        <v>0</v>
      </c>
      <c r="AB39" s="86">
        <f>SUMIFS('2추일출'!$O$25:$O$657,'2추일출'!$A$25:$A$657,'2추위원회별'!$A39,'2추일출'!$B$25:$B$657,'2추위원회별'!$C39)</f>
        <v>0</v>
      </c>
      <c r="AC39" s="86">
        <f>SUMIFS('2추일출'!$AA$25:$AA$657,'2추일출'!$A$25:$A$657,'2추위원회별'!$A39,'2추일출'!$B$25:$B$657,'2추위원회별'!$C39)</f>
        <v>0</v>
      </c>
      <c r="AD39" s="86">
        <f>SUMIFS('2추일출'!$AB$25:$AB$657,'2추일출'!$A$25:$A$657,'2추위원회별'!$A39,'2추일출'!$B$25:$B$657,'2추위원회별'!$C39)</f>
        <v>0</v>
      </c>
    </row>
    <row r="40" spans="1:30" ht="16.5" customHeight="1">
      <c r="A40" t="s">
        <v>541</v>
      </c>
      <c r="B40" s="85"/>
      <c r="C40" s="85" t="s">
        <v>67</v>
      </c>
      <c r="D40" s="86">
        <f>SUMIFS('2추일입'!$G$7:$G$645,'2추일입'!$A$7:$A$645,'2추위원회별'!$A40,'2추일입'!$B$7:$B$645,'2추위원회별'!$C40)</f>
        <v>0</v>
      </c>
      <c r="E40" s="86">
        <f>SUMIFS('2추일입'!$H$7:$H$645,'2추일입'!$A$7:$A$645,'2추위원회별'!$A40,'2추일입'!$B$7:$B$645,'2추위원회별'!$C40)</f>
        <v>0</v>
      </c>
      <c r="F40" s="86">
        <f>SUMIFS('2추일입'!$H$7:$H$645,'2추일입'!$A$7:$A$645,'2추위원회별'!$A40,'2추일입'!$B$7:$B$645,'2추위원회별'!$C40)</f>
        <v>0</v>
      </c>
      <c r="G40" s="86">
        <f>SUMIFS('2추일입'!$J$7:$J$645,'2추일입'!$A$7:$A$645,'2추위원회별'!$A40,'2추일입'!$B$7:$B$645,'2추위원회별'!$C40)</f>
        <v>0</v>
      </c>
      <c r="H40" s="86">
        <f>SUMIFS('2추일입'!$K$7:$K$645,'2추일입'!$A$7:$A$645,'2추위원회별'!$A40,'2추일입'!$B$7:$B$645,'2추위원회별'!$C40)</f>
        <v>0</v>
      </c>
      <c r="I40" s="86">
        <f>SUMIFS('2추일입'!$L$7:$L$645,'2추일입'!$A$7:$A$645,'2추위원회별'!$A40,'2추일입'!$B$7:$B$645,'2추위원회별'!$C40)</f>
        <v>0</v>
      </c>
      <c r="J40" s="86">
        <f>SUMIFS('2추일입'!$V$7:$V$645,'2추일입'!$A$7:$A$645,'2추위원회별'!$A40,'2추일입'!$B$7:$B$645,'2추위원회별'!$C40)</f>
        <v>0</v>
      </c>
      <c r="K40" s="86">
        <f>SUMIFS('2추일입'!$W$7:$W$645,'2추일입'!$A$7:$A$645,'2추위원회별'!$A40,'2추일입'!$B$7:$B$645,'2추위원회별'!$C40)</f>
        <v>0</v>
      </c>
      <c r="L40" s="86">
        <f>SUMIFS('2추일입'!$M$7:$M$645,'2추일입'!$A$7:$A$645,'2추위원회별'!$A40,'2추일입'!$B$7:$B$645,'2추위원회별'!$C40)</f>
        <v>0</v>
      </c>
      <c r="M40" s="86">
        <f>SUMIFS('2추일입'!$N$7:$N$645,'2추일입'!$A$7:$A$645,'2추위원회별'!$A40,'2추일입'!$B$7:$B$645,'2추위원회별'!$C40)</f>
        <v>0</v>
      </c>
      <c r="N40" s="86">
        <f>SUMIFS('2추일입'!$O$7:$O$645,'2추일입'!$A$7:$A$645,'2추위원회별'!$A40,'2추일입'!$B$7:$B$645,'2추위원회별'!$C40)</f>
        <v>0</v>
      </c>
      <c r="O40" s="86">
        <f>SUMIFS('2추일입'!$AA$7:$AA$645,'2추일입'!$A$7:$A$645,'2추위원회별'!$A40,'2추일입'!$B$7:$B$645,'2추위원회별'!$C40)</f>
        <v>0</v>
      </c>
      <c r="P40" s="86">
        <f>SUMIFS('2추일입'!$AB$7:$AB$645,'2추일입'!$A$7:$A$645,'2추위원회별'!$A40,'2추일입'!$B$7:$B$645,'2추위원회별'!$C40)</f>
        <v>0</v>
      </c>
      <c r="R40" s="86">
        <f>SUMIFS('2추일출'!$G$25:$G$657,'2추일출'!$A$25:$A$657,'2추위원회별'!$A40,'2추일출'!$B$25:$B$657,'2추위원회별'!$C40)</f>
        <v>0</v>
      </c>
      <c r="S40" s="86">
        <f>SUMIFS('2추일출'!$H$25:$H$657,'2추일출'!$A$25:$A$657,'2추위원회별'!$A40,'2추일출'!$B$25:$B$657,'2추위원회별'!$C40)</f>
        <v>0</v>
      </c>
      <c r="T40" s="86">
        <f>SUMIFS('2추일출'!$H$25:$H$657,'2추일출'!$A$25:$A$657,'2추위원회별'!$A40,'2추일출'!$B$25:$B$657,'2추위원회별'!$C40)</f>
        <v>0</v>
      </c>
      <c r="U40" s="86">
        <f>SUMIFS('2추일출'!$J$25:$J$657,'2추일출'!$A$25:$A$657,'2추위원회별'!$A40,'2추일출'!$B$25:$B$657,'2추위원회별'!$C40)</f>
        <v>0</v>
      </c>
      <c r="V40" s="86">
        <f>SUMIFS('2추일출'!$K$25:$K$657,'2추일출'!$A$25:$A$657,'2추위원회별'!$A40,'2추일출'!$B$25:$B$657,'2추위원회별'!$C40)</f>
        <v>0</v>
      </c>
      <c r="W40" s="86">
        <f>SUMIFS('2추일출'!$L$25:$L$657,'2추일출'!$A$25:$A$657,'2추위원회별'!$A40,'2추일출'!$B$25:$B$657,'2추위원회별'!$C40)</f>
        <v>0</v>
      </c>
      <c r="X40" s="86">
        <f>SUMIFS('2추일출'!$V$25:$V$657,'2추일출'!$A$25:$A$657,'2추위원회별'!$A40,'2추일출'!$B$25:$B$657,'2추위원회별'!$C40)</f>
        <v>0</v>
      </c>
      <c r="Y40" s="86">
        <f>SUMIFS('2추일출'!$W$25:$W$657,'2추일출'!$A$25:$A$657,'2추위원회별'!$A40,'2추일출'!$B$25:$B$657,'2추위원회별'!$C40)</f>
        <v>0</v>
      </c>
      <c r="Z40" s="86">
        <f>SUMIFS('2추일출'!$M$25:$M$657,'2추일출'!$A$25:$A$657,'2추위원회별'!$A40,'2추일출'!$B$25:$B$657,'2추위원회별'!$C40)</f>
        <v>0</v>
      </c>
      <c r="AA40" s="86">
        <f>SUMIFS('2추일출'!$N$25:$N$657,'2추일출'!$A$25:$A$657,'2추위원회별'!$A40,'2추일출'!$B$25:$B$657,'2추위원회별'!$C40)</f>
        <v>0</v>
      </c>
      <c r="AB40" s="86">
        <f>SUMIFS('2추일출'!$O$25:$O$657,'2추일출'!$A$25:$A$657,'2추위원회별'!$A40,'2추일출'!$B$25:$B$657,'2추위원회별'!$C40)</f>
        <v>0</v>
      </c>
      <c r="AC40" s="86">
        <f>SUMIFS('2추일출'!$AA$25:$AA$657,'2추일출'!$A$25:$A$657,'2추위원회별'!$A40,'2추일출'!$B$25:$B$657,'2추위원회별'!$C40)</f>
        <v>0</v>
      </c>
      <c r="AD40" s="86">
        <f>SUMIFS('2추일출'!$AB$25:$AB$657,'2추일출'!$A$25:$A$657,'2추위원회별'!$A40,'2추일출'!$B$25:$B$657,'2추위원회별'!$C40)</f>
        <v>0</v>
      </c>
    </row>
    <row r="41" spans="1:30" ht="16.5" customHeight="1">
      <c r="A41" t="s">
        <v>541</v>
      </c>
      <c r="B41" s="85"/>
      <c r="C41" s="85" t="s">
        <v>397</v>
      </c>
      <c r="D41" s="86">
        <f>SUMIFS('2추일입'!$G$7:$G$645,'2추일입'!$A$7:$A$645,'2추위원회별'!$A41,'2추일입'!$B$7:$B$645,'2추위원회별'!$C41)</f>
        <v>0</v>
      </c>
      <c r="E41" s="86">
        <f>SUMIFS('2추일입'!$H$7:$H$645,'2추일입'!$A$7:$A$645,'2추위원회별'!$A41,'2추일입'!$B$7:$B$645,'2추위원회별'!$C41)</f>
        <v>0</v>
      </c>
      <c r="F41" s="86">
        <f>SUMIFS('2추일입'!$H$7:$H$645,'2추일입'!$A$7:$A$645,'2추위원회별'!$A41,'2추일입'!$B$7:$B$645,'2추위원회별'!$C41)</f>
        <v>0</v>
      </c>
      <c r="G41" s="86">
        <f>SUMIFS('2추일입'!$J$7:$J$645,'2추일입'!$A$7:$A$645,'2추위원회별'!$A41,'2추일입'!$B$7:$B$645,'2추위원회별'!$C41)</f>
        <v>0</v>
      </c>
      <c r="H41" s="86">
        <f>SUMIFS('2추일입'!$K$7:$K$645,'2추일입'!$A$7:$A$645,'2추위원회별'!$A41,'2추일입'!$B$7:$B$645,'2추위원회별'!$C41)</f>
        <v>0</v>
      </c>
      <c r="I41" s="86">
        <f>SUMIFS('2추일입'!$L$7:$L$645,'2추일입'!$A$7:$A$645,'2추위원회별'!$A41,'2추일입'!$B$7:$B$645,'2추위원회별'!$C41)</f>
        <v>0</v>
      </c>
      <c r="J41" s="86">
        <f>SUMIFS('2추일입'!$V$7:$V$645,'2추일입'!$A$7:$A$645,'2추위원회별'!$A41,'2추일입'!$B$7:$B$645,'2추위원회별'!$C41)</f>
        <v>0</v>
      </c>
      <c r="K41" s="86">
        <f>SUMIFS('2추일입'!$W$7:$W$645,'2추일입'!$A$7:$A$645,'2추위원회별'!$A41,'2추일입'!$B$7:$B$645,'2추위원회별'!$C41)</f>
        <v>0</v>
      </c>
      <c r="L41" s="86">
        <f>SUMIFS('2추일입'!$M$7:$M$645,'2추일입'!$A$7:$A$645,'2추위원회별'!$A41,'2추일입'!$B$7:$B$645,'2추위원회별'!$C41)</f>
        <v>0</v>
      </c>
      <c r="M41" s="86">
        <f>SUMIFS('2추일입'!$N$7:$N$645,'2추일입'!$A$7:$A$645,'2추위원회별'!$A41,'2추일입'!$B$7:$B$645,'2추위원회별'!$C41)</f>
        <v>0</v>
      </c>
      <c r="N41" s="86">
        <f>SUMIFS('2추일입'!$O$7:$O$645,'2추일입'!$A$7:$A$645,'2추위원회별'!$A41,'2추일입'!$B$7:$B$645,'2추위원회별'!$C41)</f>
        <v>0</v>
      </c>
      <c r="O41" s="86">
        <f>SUMIFS('2추일입'!$AA$7:$AA$645,'2추일입'!$A$7:$A$645,'2추위원회별'!$A41,'2추일입'!$B$7:$B$645,'2추위원회별'!$C41)</f>
        <v>0</v>
      </c>
      <c r="P41" s="86">
        <f>SUMIFS('2추일입'!$AB$7:$AB$645,'2추일입'!$A$7:$A$645,'2추위원회별'!$A41,'2추일입'!$B$7:$B$645,'2추위원회별'!$C41)</f>
        <v>0</v>
      </c>
      <c r="R41" s="86">
        <f>SUMIFS('2추일출'!$G$25:$G$657,'2추일출'!$A$25:$A$657,'2추위원회별'!$A41,'2추일출'!$B$25:$B$657,'2추위원회별'!$C41)</f>
        <v>0</v>
      </c>
      <c r="S41" s="86">
        <f>SUMIFS('2추일출'!$H$25:$H$657,'2추일출'!$A$25:$A$657,'2추위원회별'!$A41,'2추일출'!$B$25:$B$657,'2추위원회별'!$C41)</f>
        <v>0</v>
      </c>
      <c r="T41" s="86">
        <f>SUMIFS('2추일출'!$H$25:$H$657,'2추일출'!$A$25:$A$657,'2추위원회별'!$A41,'2추일출'!$B$25:$B$657,'2추위원회별'!$C41)</f>
        <v>0</v>
      </c>
      <c r="U41" s="86">
        <f>SUMIFS('2추일출'!$J$25:$J$657,'2추일출'!$A$25:$A$657,'2추위원회별'!$A41,'2추일출'!$B$25:$B$657,'2추위원회별'!$C41)</f>
        <v>0</v>
      </c>
      <c r="V41" s="86">
        <f>SUMIFS('2추일출'!$K$25:$K$657,'2추일출'!$A$25:$A$657,'2추위원회별'!$A41,'2추일출'!$B$25:$B$657,'2추위원회별'!$C41)</f>
        <v>0</v>
      </c>
      <c r="W41" s="86">
        <f>SUMIFS('2추일출'!$L$25:$L$657,'2추일출'!$A$25:$A$657,'2추위원회별'!$A41,'2추일출'!$B$25:$B$657,'2추위원회별'!$C41)</f>
        <v>0</v>
      </c>
      <c r="X41" s="86">
        <f>SUMIFS('2추일출'!$V$25:$V$657,'2추일출'!$A$25:$A$657,'2추위원회별'!$A41,'2추일출'!$B$25:$B$657,'2추위원회별'!$C41)</f>
        <v>0</v>
      </c>
      <c r="Y41" s="86">
        <f>SUMIFS('2추일출'!$W$25:$W$657,'2추일출'!$A$25:$A$657,'2추위원회별'!$A41,'2추일출'!$B$25:$B$657,'2추위원회별'!$C41)</f>
        <v>0</v>
      </c>
      <c r="Z41" s="86">
        <f>SUMIFS('2추일출'!$M$25:$M$657,'2추일출'!$A$25:$A$657,'2추위원회별'!$A41,'2추일출'!$B$25:$B$657,'2추위원회별'!$C41)</f>
        <v>0</v>
      </c>
      <c r="AA41" s="86">
        <f>SUMIFS('2추일출'!$N$25:$N$657,'2추일출'!$A$25:$A$657,'2추위원회별'!$A41,'2추일출'!$B$25:$B$657,'2추위원회별'!$C41)</f>
        <v>0</v>
      </c>
      <c r="AB41" s="86">
        <f>SUMIFS('2추일출'!$O$25:$O$657,'2추일출'!$A$25:$A$657,'2추위원회별'!$A41,'2추일출'!$B$25:$B$657,'2추위원회별'!$C41)</f>
        <v>0</v>
      </c>
      <c r="AC41" s="86">
        <f>SUMIFS('2추일출'!$AA$25:$AA$657,'2추일출'!$A$25:$A$657,'2추위원회별'!$A41,'2추일출'!$B$25:$B$657,'2추위원회별'!$C41)</f>
        <v>0</v>
      </c>
      <c r="AD41" s="86">
        <f>SUMIFS('2추일출'!$AB$25:$AB$657,'2추일출'!$A$25:$A$657,'2추위원회별'!$A41,'2추일출'!$B$25:$B$657,'2추위원회별'!$C41)</f>
        <v>0</v>
      </c>
    </row>
    <row r="42" spans="1:30" ht="16.5" customHeight="1">
      <c r="A42" t="s">
        <v>541</v>
      </c>
      <c r="B42" s="85"/>
      <c r="C42" s="85" t="s">
        <v>404</v>
      </c>
      <c r="D42" s="86">
        <f>SUMIFS('2추일입'!$G$7:$G$645,'2추일입'!$A$7:$A$645,'2추위원회별'!$A42,'2추일입'!$B$7:$B$645,'2추위원회별'!$C42)</f>
        <v>0</v>
      </c>
      <c r="E42" s="86">
        <f>SUMIFS('2추일입'!$H$7:$H$645,'2추일입'!$A$7:$A$645,'2추위원회별'!$A42,'2추일입'!$B$7:$B$645,'2추위원회별'!$C42)</f>
        <v>0</v>
      </c>
      <c r="F42" s="86">
        <f>SUMIFS('2추일입'!$H$7:$H$645,'2추일입'!$A$7:$A$645,'2추위원회별'!$A42,'2추일입'!$B$7:$B$645,'2추위원회별'!$C42)</f>
        <v>0</v>
      </c>
      <c r="G42" s="86">
        <f>SUMIFS('2추일입'!$J$7:$J$645,'2추일입'!$A$7:$A$645,'2추위원회별'!$A42,'2추일입'!$B$7:$B$645,'2추위원회별'!$C42)</f>
        <v>0</v>
      </c>
      <c r="H42" s="86">
        <f>SUMIFS('2추일입'!$K$7:$K$645,'2추일입'!$A$7:$A$645,'2추위원회별'!$A42,'2추일입'!$B$7:$B$645,'2추위원회별'!$C42)</f>
        <v>0</v>
      </c>
      <c r="I42" s="86">
        <f>SUMIFS('2추일입'!$L$7:$L$645,'2추일입'!$A$7:$A$645,'2추위원회별'!$A42,'2추일입'!$B$7:$B$645,'2추위원회별'!$C42)</f>
        <v>0</v>
      </c>
      <c r="J42" s="86">
        <f>SUMIFS('2추일입'!$V$7:$V$645,'2추일입'!$A$7:$A$645,'2추위원회별'!$A42,'2추일입'!$B$7:$B$645,'2추위원회별'!$C42)</f>
        <v>0</v>
      </c>
      <c r="K42" s="86">
        <f>SUMIFS('2추일입'!$W$7:$W$645,'2추일입'!$A$7:$A$645,'2추위원회별'!$A42,'2추일입'!$B$7:$B$645,'2추위원회별'!$C42)</f>
        <v>0</v>
      </c>
      <c r="L42" s="86">
        <f>SUMIFS('2추일입'!$M$7:$M$645,'2추일입'!$A$7:$A$645,'2추위원회별'!$A42,'2추일입'!$B$7:$B$645,'2추위원회별'!$C42)</f>
        <v>0</v>
      </c>
      <c r="M42" s="86">
        <f>SUMIFS('2추일입'!$N$7:$N$645,'2추일입'!$A$7:$A$645,'2추위원회별'!$A42,'2추일입'!$B$7:$B$645,'2추위원회별'!$C42)</f>
        <v>0</v>
      </c>
      <c r="N42" s="86">
        <f>SUMIFS('2추일입'!$O$7:$O$645,'2추일입'!$A$7:$A$645,'2추위원회별'!$A42,'2추일입'!$B$7:$B$645,'2추위원회별'!$C42)</f>
        <v>0</v>
      </c>
      <c r="O42" s="86">
        <f>SUMIFS('2추일입'!$AA$7:$AA$645,'2추일입'!$A$7:$A$645,'2추위원회별'!$A42,'2추일입'!$B$7:$B$645,'2추위원회별'!$C42)</f>
        <v>0</v>
      </c>
      <c r="P42" s="86">
        <f>SUMIFS('2추일입'!$AB$7:$AB$645,'2추일입'!$A$7:$A$645,'2추위원회별'!$A42,'2추일입'!$B$7:$B$645,'2추위원회별'!$C42)</f>
        <v>0</v>
      </c>
      <c r="R42" s="86">
        <f>SUMIFS('2추일출'!$G$25:$G$657,'2추일출'!$A$25:$A$657,'2추위원회별'!$A42,'2추일출'!$B$25:$B$657,'2추위원회별'!$C42)</f>
        <v>0</v>
      </c>
      <c r="S42" s="86">
        <f>SUMIFS('2추일출'!$H$25:$H$657,'2추일출'!$A$25:$A$657,'2추위원회별'!$A42,'2추일출'!$B$25:$B$657,'2추위원회별'!$C42)</f>
        <v>0</v>
      </c>
      <c r="T42" s="86">
        <f>SUMIFS('2추일출'!$H$25:$H$657,'2추일출'!$A$25:$A$657,'2추위원회별'!$A42,'2추일출'!$B$25:$B$657,'2추위원회별'!$C42)</f>
        <v>0</v>
      </c>
      <c r="U42" s="86">
        <f>SUMIFS('2추일출'!$J$25:$J$657,'2추일출'!$A$25:$A$657,'2추위원회별'!$A42,'2추일출'!$B$25:$B$657,'2추위원회별'!$C42)</f>
        <v>0</v>
      </c>
      <c r="V42" s="86">
        <f>SUMIFS('2추일출'!$K$25:$K$657,'2추일출'!$A$25:$A$657,'2추위원회별'!$A42,'2추일출'!$B$25:$B$657,'2추위원회별'!$C42)</f>
        <v>0</v>
      </c>
      <c r="W42" s="86">
        <f>SUMIFS('2추일출'!$L$25:$L$657,'2추일출'!$A$25:$A$657,'2추위원회별'!$A42,'2추일출'!$B$25:$B$657,'2추위원회별'!$C42)</f>
        <v>0</v>
      </c>
      <c r="X42" s="86">
        <f>SUMIFS('2추일출'!$V$25:$V$657,'2추일출'!$A$25:$A$657,'2추위원회별'!$A42,'2추일출'!$B$25:$B$657,'2추위원회별'!$C42)</f>
        <v>0</v>
      </c>
      <c r="Y42" s="86">
        <f>SUMIFS('2추일출'!$W$25:$W$657,'2추일출'!$A$25:$A$657,'2추위원회별'!$A42,'2추일출'!$B$25:$B$657,'2추위원회별'!$C42)</f>
        <v>0</v>
      </c>
      <c r="Z42" s="86">
        <f>SUMIFS('2추일출'!$M$25:$M$657,'2추일출'!$A$25:$A$657,'2추위원회별'!$A42,'2추일출'!$B$25:$B$657,'2추위원회별'!$C42)</f>
        <v>0</v>
      </c>
      <c r="AA42" s="86">
        <f>SUMIFS('2추일출'!$N$25:$N$657,'2추일출'!$A$25:$A$657,'2추위원회별'!$A42,'2추일출'!$B$25:$B$657,'2추위원회별'!$C42)</f>
        <v>0</v>
      </c>
      <c r="AB42" s="86">
        <f>SUMIFS('2추일출'!$O$25:$O$657,'2추일출'!$A$25:$A$657,'2추위원회별'!$A42,'2추일출'!$B$25:$B$657,'2추위원회별'!$C42)</f>
        <v>0</v>
      </c>
      <c r="AC42" s="86">
        <f>SUMIFS('2추일출'!$AA$25:$AA$657,'2추일출'!$A$25:$A$657,'2추위원회별'!$A42,'2추일출'!$B$25:$B$657,'2추위원회별'!$C42)</f>
        <v>0</v>
      </c>
      <c r="AD42" s="86">
        <f>SUMIFS('2추일출'!$AB$25:$AB$657,'2추일출'!$A$25:$A$657,'2추위원회별'!$A42,'2추일출'!$B$25:$B$657,'2추위원회별'!$C42)</f>
        <v>0</v>
      </c>
    </row>
    <row r="43" spans="1:30" ht="16.5" customHeight="1">
      <c r="B43" s="356" t="s">
        <v>435</v>
      </c>
      <c r="C43" s="357"/>
      <c r="D43" s="84">
        <f>SUM(D44:D46)</f>
        <v>0</v>
      </c>
      <c r="E43" s="84">
        <f t="shared" ref="E43:P43" si="20">SUM(E44:E46)</f>
        <v>0</v>
      </c>
      <c r="F43" s="84">
        <f t="shared" si="20"/>
        <v>0</v>
      </c>
      <c r="G43" s="84">
        <f t="shared" si="20"/>
        <v>0</v>
      </c>
      <c r="H43" s="84">
        <f t="shared" si="20"/>
        <v>0</v>
      </c>
      <c r="I43" s="84">
        <f t="shared" si="20"/>
        <v>0</v>
      </c>
      <c r="J43" s="84">
        <f t="shared" si="20"/>
        <v>0</v>
      </c>
      <c r="K43" s="84">
        <f t="shared" si="20"/>
        <v>0</v>
      </c>
      <c r="L43" s="84">
        <f t="shared" si="20"/>
        <v>0</v>
      </c>
      <c r="M43" s="84">
        <f t="shared" si="20"/>
        <v>0</v>
      </c>
      <c r="N43" s="84">
        <f t="shared" si="20"/>
        <v>0</v>
      </c>
      <c r="O43" s="84">
        <f t="shared" si="20"/>
        <v>0</v>
      </c>
      <c r="P43" s="84">
        <f t="shared" si="20"/>
        <v>0</v>
      </c>
      <c r="R43" s="84">
        <f>SUM(R44:R46)</f>
        <v>0</v>
      </c>
      <c r="S43" s="84">
        <f t="shared" ref="S43:AD43" si="21">SUM(S44:S46)</f>
        <v>0</v>
      </c>
      <c r="T43" s="84">
        <f t="shared" si="21"/>
        <v>0</v>
      </c>
      <c r="U43" s="84">
        <f t="shared" si="21"/>
        <v>0</v>
      </c>
      <c r="V43" s="84">
        <f t="shared" si="21"/>
        <v>0</v>
      </c>
      <c r="W43" s="84">
        <f t="shared" si="21"/>
        <v>0</v>
      </c>
      <c r="X43" s="84">
        <f t="shared" si="21"/>
        <v>0</v>
      </c>
      <c r="Y43" s="84">
        <f t="shared" si="21"/>
        <v>0</v>
      </c>
      <c r="Z43" s="84">
        <f t="shared" si="21"/>
        <v>0</v>
      </c>
      <c r="AA43" s="84">
        <f t="shared" si="21"/>
        <v>0</v>
      </c>
      <c r="AB43" s="84">
        <f t="shared" si="21"/>
        <v>0</v>
      </c>
      <c r="AC43" s="84">
        <f t="shared" si="21"/>
        <v>0</v>
      </c>
      <c r="AD43" s="84">
        <f t="shared" si="21"/>
        <v>0</v>
      </c>
    </row>
    <row r="44" spans="1:30" ht="16.5" customHeight="1">
      <c r="A44" t="s">
        <v>542</v>
      </c>
      <c r="B44" s="85"/>
      <c r="C44" s="85" t="s">
        <v>189</v>
      </c>
      <c r="D44" s="86">
        <f>SUMIFS('2추일입'!$G$7:$G$645,'2추일입'!$A$7:$A$645,'2추위원회별'!$A44,'2추일입'!$B$7:$B$645,'2추위원회별'!$C44)</f>
        <v>0</v>
      </c>
      <c r="E44" s="86">
        <f>SUMIFS('2추일입'!$H$7:$H$645,'2추일입'!$A$7:$A$645,'2추위원회별'!$A44,'2추일입'!$B$7:$B$645,'2추위원회별'!$C44)</f>
        <v>0</v>
      </c>
      <c r="F44" s="86">
        <f>SUMIFS('2추일입'!$H$7:$H$645,'2추일입'!$A$7:$A$645,'2추위원회별'!$A44,'2추일입'!$B$7:$B$645,'2추위원회별'!$C44)</f>
        <v>0</v>
      </c>
      <c r="G44" s="86">
        <f>SUMIFS('2추일입'!$J$7:$J$645,'2추일입'!$A$7:$A$645,'2추위원회별'!$A44,'2추일입'!$B$7:$B$645,'2추위원회별'!$C44)</f>
        <v>0</v>
      </c>
      <c r="H44" s="86">
        <f>SUMIFS('2추일입'!$K$7:$K$645,'2추일입'!$A$7:$A$645,'2추위원회별'!$A44,'2추일입'!$B$7:$B$645,'2추위원회별'!$C44)</f>
        <v>0</v>
      </c>
      <c r="I44" s="86">
        <f>SUMIFS('2추일입'!$L$7:$L$645,'2추일입'!$A$7:$A$645,'2추위원회별'!$A44,'2추일입'!$B$7:$B$645,'2추위원회별'!$C44)</f>
        <v>0</v>
      </c>
      <c r="J44" s="86">
        <f>SUMIFS('2추일입'!$V$7:$V$645,'2추일입'!$A$7:$A$645,'2추위원회별'!$A44,'2추일입'!$B$7:$B$645,'2추위원회별'!$C44)</f>
        <v>0</v>
      </c>
      <c r="K44" s="86">
        <f>SUMIFS('2추일입'!$W$7:$W$645,'2추일입'!$A$7:$A$645,'2추위원회별'!$A44,'2추일입'!$B$7:$B$645,'2추위원회별'!$C44)</f>
        <v>0</v>
      </c>
      <c r="L44" s="86">
        <f>SUMIFS('2추일입'!$M$7:$M$645,'2추일입'!$A$7:$A$645,'2추위원회별'!$A44,'2추일입'!$B$7:$B$645,'2추위원회별'!$C44)</f>
        <v>0</v>
      </c>
      <c r="M44" s="86">
        <f>SUMIFS('2추일입'!$N$7:$N$645,'2추일입'!$A$7:$A$645,'2추위원회별'!$A44,'2추일입'!$B$7:$B$645,'2추위원회별'!$C44)</f>
        <v>0</v>
      </c>
      <c r="N44" s="86">
        <f>SUMIFS('2추일입'!$O$7:$O$645,'2추일입'!$A$7:$A$645,'2추위원회별'!$A44,'2추일입'!$B$7:$B$645,'2추위원회별'!$C44)</f>
        <v>0</v>
      </c>
      <c r="O44" s="86">
        <f>SUMIFS('2추일입'!$AA$7:$AA$645,'2추일입'!$A$7:$A$645,'2추위원회별'!$A44,'2추일입'!$B$7:$B$645,'2추위원회별'!$C44)</f>
        <v>0</v>
      </c>
      <c r="P44" s="86">
        <f>SUMIFS('2추일입'!$AB$7:$AB$645,'2추일입'!$A$7:$A$645,'2추위원회별'!$A44,'2추일입'!$B$7:$B$645,'2추위원회별'!$C44)</f>
        <v>0</v>
      </c>
      <c r="R44" s="86">
        <f>SUMIFS('2추일출'!$G$25:$G$657,'2추일출'!$A$25:$A$657,'2추위원회별'!$A44,'2추일출'!$B$25:$B$657,'2추위원회별'!$C44)</f>
        <v>0</v>
      </c>
      <c r="S44" s="86">
        <f>SUMIFS('2추일출'!$H$25:$H$657,'2추일출'!$A$25:$A$657,'2추위원회별'!$A44,'2추일출'!$B$25:$B$657,'2추위원회별'!$C44)</f>
        <v>0</v>
      </c>
      <c r="T44" s="86">
        <f>SUMIFS('2추일출'!$H$25:$H$657,'2추일출'!$A$25:$A$657,'2추위원회별'!$A44,'2추일출'!$B$25:$B$657,'2추위원회별'!$C44)</f>
        <v>0</v>
      </c>
      <c r="U44" s="86">
        <f>SUMIFS('2추일출'!$J$25:$J$657,'2추일출'!$A$25:$A$657,'2추위원회별'!$A44,'2추일출'!$B$25:$B$657,'2추위원회별'!$C44)</f>
        <v>0</v>
      </c>
      <c r="V44" s="86">
        <f>SUMIFS('2추일출'!$K$25:$K$657,'2추일출'!$A$25:$A$657,'2추위원회별'!$A44,'2추일출'!$B$25:$B$657,'2추위원회별'!$C44)</f>
        <v>0</v>
      </c>
      <c r="W44" s="86">
        <f>SUMIFS('2추일출'!$L$25:$L$657,'2추일출'!$A$25:$A$657,'2추위원회별'!$A44,'2추일출'!$B$25:$B$657,'2추위원회별'!$C44)</f>
        <v>0</v>
      </c>
      <c r="X44" s="86">
        <f>SUMIFS('2추일출'!$V$25:$V$657,'2추일출'!$A$25:$A$657,'2추위원회별'!$A44,'2추일출'!$B$25:$B$657,'2추위원회별'!$C44)</f>
        <v>0</v>
      </c>
      <c r="Y44" s="86">
        <f>SUMIFS('2추일출'!$W$25:$W$657,'2추일출'!$A$25:$A$657,'2추위원회별'!$A44,'2추일출'!$B$25:$B$657,'2추위원회별'!$C44)</f>
        <v>0</v>
      </c>
      <c r="Z44" s="86">
        <f>SUMIFS('2추일출'!$M$25:$M$657,'2추일출'!$A$25:$A$657,'2추위원회별'!$A44,'2추일출'!$B$25:$B$657,'2추위원회별'!$C44)</f>
        <v>0</v>
      </c>
      <c r="AA44" s="86">
        <f>SUMIFS('2추일출'!$N$25:$N$657,'2추일출'!$A$25:$A$657,'2추위원회별'!$A44,'2추일출'!$B$25:$B$657,'2추위원회별'!$C44)</f>
        <v>0</v>
      </c>
      <c r="AB44" s="86">
        <f>SUMIFS('2추일출'!$O$25:$O$657,'2추일출'!$A$25:$A$657,'2추위원회별'!$A44,'2추일출'!$B$25:$B$657,'2추위원회별'!$C44)</f>
        <v>0</v>
      </c>
      <c r="AC44" s="86">
        <f>SUMIFS('2추일출'!$AA$25:$AA$657,'2추일출'!$A$25:$A$657,'2추위원회별'!$A44,'2추일출'!$B$25:$B$657,'2추위원회별'!$C44)</f>
        <v>0</v>
      </c>
      <c r="AD44" s="86">
        <f>SUMIFS('2추일출'!$AB$25:$AB$657,'2추일출'!$A$25:$A$657,'2추위원회별'!$A44,'2추일출'!$B$25:$B$657,'2추위원회별'!$C44)</f>
        <v>0</v>
      </c>
    </row>
    <row r="45" spans="1:30" ht="16.5" customHeight="1">
      <c r="A45" t="s">
        <v>542</v>
      </c>
      <c r="B45" s="85"/>
      <c r="C45" s="85" t="s">
        <v>115</v>
      </c>
      <c r="D45" s="86">
        <f>SUMIFS('2추일입'!$G$7:$G$645,'2추일입'!$A$7:$A$645,'2추위원회별'!$A45,'2추일입'!$B$7:$B$645,'2추위원회별'!$C45)</f>
        <v>0</v>
      </c>
      <c r="E45" s="86">
        <f>SUMIFS('2추일입'!$H$7:$H$645,'2추일입'!$A$7:$A$645,'2추위원회별'!$A45,'2추일입'!$B$7:$B$645,'2추위원회별'!$C45)</f>
        <v>0</v>
      </c>
      <c r="F45" s="86">
        <f>SUMIFS('2추일입'!$H$7:$H$645,'2추일입'!$A$7:$A$645,'2추위원회별'!$A45,'2추일입'!$B$7:$B$645,'2추위원회별'!$C45)</f>
        <v>0</v>
      </c>
      <c r="G45" s="86">
        <f>SUMIFS('2추일입'!$J$7:$J$645,'2추일입'!$A$7:$A$645,'2추위원회별'!$A45,'2추일입'!$B$7:$B$645,'2추위원회별'!$C45)</f>
        <v>0</v>
      </c>
      <c r="H45" s="86">
        <f>SUMIFS('2추일입'!$K$7:$K$645,'2추일입'!$A$7:$A$645,'2추위원회별'!$A45,'2추일입'!$B$7:$B$645,'2추위원회별'!$C45)</f>
        <v>0</v>
      </c>
      <c r="I45" s="86">
        <f>SUMIFS('2추일입'!$L$7:$L$645,'2추일입'!$A$7:$A$645,'2추위원회별'!$A45,'2추일입'!$B$7:$B$645,'2추위원회별'!$C45)</f>
        <v>0</v>
      </c>
      <c r="J45" s="86">
        <f>SUMIFS('2추일입'!$V$7:$V$645,'2추일입'!$A$7:$A$645,'2추위원회별'!$A45,'2추일입'!$B$7:$B$645,'2추위원회별'!$C45)</f>
        <v>0</v>
      </c>
      <c r="K45" s="86">
        <f>SUMIFS('2추일입'!$W$7:$W$645,'2추일입'!$A$7:$A$645,'2추위원회별'!$A45,'2추일입'!$B$7:$B$645,'2추위원회별'!$C45)</f>
        <v>0</v>
      </c>
      <c r="L45" s="86">
        <f>SUMIFS('2추일입'!$M$7:$M$645,'2추일입'!$A$7:$A$645,'2추위원회별'!$A45,'2추일입'!$B$7:$B$645,'2추위원회별'!$C45)</f>
        <v>0</v>
      </c>
      <c r="M45" s="86">
        <f>SUMIFS('2추일입'!$N$7:$N$645,'2추일입'!$A$7:$A$645,'2추위원회별'!$A45,'2추일입'!$B$7:$B$645,'2추위원회별'!$C45)</f>
        <v>0</v>
      </c>
      <c r="N45" s="86">
        <f>SUMIFS('2추일입'!$O$7:$O$645,'2추일입'!$A$7:$A$645,'2추위원회별'!$A45,'2추일입'!$B$7:$B$645,'2추위원회별'!$C45)</f>
        <v>0</v>
      </c>
      <c r="O45" s="86">
        <f>SUMIFS('2추일입'!$AA$7:$AA$645,'2추일입'!$A$7:$A$645,'2추위원회별'!$A45,'2추일입'!$B$7:$B$645,'2추위원회별'!$C45)</f>
        <v>0</v>
      </c>
      <c r="P45" s="86">
        <f>SUMIFS('2추일입'!$AB$7:$AB$645,'2추일입'!$A$7:$A$645,'2추위원회별'!$A45,'2추일입'!$B$7:$B$645,'2추위원회별'!$C45)</f>
        <v>0</v>
      </c>
      <c r="R45" s="86">
        <f>SUMIFS('2추일출'!$G$25:$G$657,'2추일출'!$A$25:$A$657,'2추위원회별'!$A45,'2추일출'!$B$25:$B$657,'2추위원회별'!$C45)</f>
        <v>0</v>
      </c>
      <c r="S45" s="86">
        <f>SUMIFS('2추일출'!$H$25:$H$657,'2추일출'!$A$25:$A$657,'2추위원회별'!$A45,'2추일출'!$B$25:$B$657,'2추위원회별'!$C45)</f>
        <v>0</v>
      </c>
      <c r="T45" s="86">
        <f>SUMIFS('2추일출'!$H$25:$H$657,'2추일출'!$A$25:$A$657,'2추위원회별'!$A45,'2추일출'!$B$25:$B$657,'2추위원회별'!$C45)</f>
        <v>0</v>
      </c>
      <c r="U45" s="86">
        <f>SUMIFS('2추일출'!$J$25:$J$657,'2추일출'!$A$25:$A$657,'2추위원회별'!$A45,'2추일출'!$B$25:$B$657,'2추위원회별'!$C45)</f>
        <v>0</v>
      </c>
      <c r="V45" s="86">
        <f>SUMIFS('2추일출'!$K$25:$K$657,'2추일출'!$A$25:$A$657,'2추위원회별'!$A45,'2추일출'!$B$25:$B$657,'2추위원회별'!$C45)</f>
        <v>0</v>
      </c>
      <c r="W45" s="86">
        <f>SUMIFS('2추일출'!$L$25:$L$657,'2추일출'!$A$25:$A$657,'2추위원회별'!$A45,'2추일출'!$B$25:$B$657,'2추위원회별'!$C45)</f>
        <v>0</v>
      </c>
      <c r="X45" s="86">
        <f>SUMIFS('2추일출'!$V$25:$V$657,'2추일출'!$A$25:$A$657,'2추위원회별'!$A45,'2추일출'!$B$25:$B$657,'2추위원회별'!$C45)</f>
        <v>0</v>
      </c>
      <c r="Y45" s="86">
        <f>SUMIFS('2추일출'!$W$25:$W$657,'2추일출'!$A$25:$A$657,'2추위원회별'!$A45,'2추일출'!$B$25:$B$657,'2추위원회별'!$C45)</f>
        <v>0</v>
      </c>
      <c r="Z45" s="86">
        <f>SUMIFS('2추일출'!$M$25:$M$657,'2추일출'!$A$25:$A$657,'2추위원회별'!$A45,'2추일출'!$B$25:$B$657,'2추위원회별'!$C45)</f>
        <v>0</v>
      </c>
      <c r="AA45" s="86">
        <f>SUMIFS('2추일출'!$N$25:$N$657,'2추일출'!$A$25:$A$657,'2추위원회별'!$A45,'2추일출'!$B$25:$B$657,'2추위원회별'!$C45)</f>
        <v>0</v>
      </c>
      <c r="AB45" s="86">
        <f>SUMIFS('2추일출'!$O$25:$O$657,'2추일출'!$A$25:$A$657,'2추위원회별'!$A45,'2추일출'!$B$25:$B$657,'2추위원회별'!$C45)</f>
        <v>0</v>
      </c>
      <c r="AC45" s="86">
        <f>SUMIFS('2추일출'!$AA$25:$AA$657,'2추일출'!$A$25:$A$657,'2추위원회별'!$A45,'2추일출'!$B$25:$B$657,'2추위원회별'!$C45)</f>
        <v>0</v>
      </c>
      <c r="AD45" s="86">
        <f>SUMIFS('2추일출'!$AB$25:$AB$657,'2추일출'!$A$25:$A$657,'2추위원회별'!$A45,'2추일출'!$B$25:$B$657,'2추위원회별'!$C45)</f>
        <v>0</v>
      </c>
    </row>
    <row r="46" spans="1:30" ht="16.5" customHeight="1">
      <c r="A46" t="s">
        <v>542</v>
      </c>
      <c r="B46" s="89"/>
      <c r="C46" s="89" t="s">
        <v>70</v>
      </c>
      <c r="D46" s="95">
        <f>SUMIFS('2추일입'!$G$7:$G$645,'2추일입'!$A$7:$A$645,'2추위원회별'!$A46,'2추일입'!$B$7:$B$645,'2추위원회별'!$C46)</f>
        <v>0</v>
      </c>
      <c r="E46" s="95">
        <f>SUMIFS('2추일입'!$H$7:$H$645,'2추일입'!$A$7:$A$645,'2추위원회별'!$A46,'2추일입'!$B$7:$B$645,'2추위원회별'!$C46)</f>
        <v>0</v>
      </c>
      <c r="F46" s="95">
        <f>SUMIFS('2추일입'!$H$7:$H$645,'2추일입'!$A$7:$A$645,'2추위원회별'!$A46,'2추일입'!$B$7:$B$645,'2추위원회별'!$C46)</f>
        <v>0</v>
      </c>
      <c r="G46" s="95">
        <f>SUMIFS('2추일입'!$J$7:$J$645,'2추일입'!$A$7:$A$645,'2추위원회별'!$A46,'2추일입'!$B$7:$B$645,'2추위원회별'!$C46)</f>
        <v>0</v>
      </c>
      <c r="H46" s="95">
        <f>SUMIFS('2추일입'!$K$7:$K$645,'2추일입'!$A$7:$A$645,'2추위원회별'!$A46,'2추일입'!$B$7:$B$645,'2추위원회별'!$C46)</f>
        <v>0</v>
      </c>
      <c r="I46" s="95">
        <f>SUMIFS('2추일입'!$L$7:$L$645,'2추일입'!$A$7:$A$645,'2추위원회별'!$A46,'2추일입'!$B$7:$B$645,'2추위원회별'!$C46)</f>
        <v>0</v>
      </c>
      <c r="J46" s="95">
        <f>SUMIFS('2추일입'!$V$7:$V$645,'2추일입'!$A$7:$A$645,'2추위원회별'!$A46,'2추일입'!$B$7:$B$645,'2추위원회별'!$C46)</f>
        <v>0</v>
      </c>
      <c r="K46" s="95">
        <f>SUMIFS('2추일입'!$W$7:$W$645,'2추일입'!$A$7:$A$645,'2추위원회별'!$A46,'2추일입'!$B$7:$B$645,'2추위원회별'!$C46)</f>
        <v>0</v>
      </c>
      <c r="L46" s="95">
        <f>SUMIFS('2추일입'!$M$7:$M$645,'2추일입'!$A$7:$A$645,'2추위원회별'!$A46,'2추일입'!$B$7:$B$645,'2추위원회별'!$C46)</f>
        <v>0</v>
      </c>
      <c r="M46" s="95">
        <f>SUMIFS('2추일입'!$N$7:$N$645,'2추일입'!$A$7:$A$645,'2추위원회별'!$A46,'2추일입'!$B$7:$B$645,'2추위원회별'!$C46)</f>
        <v>0</v>
      </c>
      <c r="N46" s="95">
        <f>SUMIFS('2추일입'!$O$7:$O$645,'2추일입'!$A$7:$A$645,'2추위원회별'!$A46,'2추일입'!$B$7:$B$645,'2추위원회별'!$C46)</f>
        <v>0</v>
      </c>
      <c r="O46" s="95">
        <f>SUMIFS('2추일입'!$AA$7:$AA$645,'2추일입'!$A$7:$A$645,'2추위원회별'!$A46,'2추일입'!$B$7:$B$645,'2추위원회별'!$C46)</f>
        <v>0</v>
      </c>
      <c r="P46" s="95">
        <f>SUMIFS('2추일입'!$AB$7:$AB$645,'2추일입'!$A$7:$A$645,'2추위원회별'!$A46,'2추일입'!$B$7:$B$645,'2추위원회별'!$C46)</f>
        <v>0</v>
      </c>
      <c r="R46" s="95">
        <f>SUMIFS('2추일출'!$G$25:$G$657,'2추일출'!$A$25:$A$657,'2추위원회별'!$A46,'2추일출'!$B$25:$B$657,'2추위원회별'!$C46)</f>
        <v>0</v>
      </c>
      <c r="S46" s="95">
        <f>SUMIFS('2추일출'!$H$25:$H$657,'2추일출'!$A$25:$A$657,'2추위원회별'!$A46,'2추일출'!$B$25:$B$657,'2추위원회별'!$C46)</f>
        <v>0</v>
      </c>
      <c r="T46" s="95">
        <f>SUMIFS('2추일출'!$H$25:$H$657,'2추일출'!$A$25:$A$657,'2추위원회별'!$A46,'2추일출'!$B$25:$B$657,'2추위원회별'!$C46)</f>
        <v>0</v>
      </c>
      <c r="U46" s="95">
        <f>SUMIFS('2추일출'!$J$25:$J$657,'2추일출'!$A$25:$A$657,'2추위원회별'!$A46,'2추일출'!$B$25:$B$657,'2추위원회별'!$C46)</f>
        <v>0</v>
      </c>
      <c r="V46" s="95">
        <f>SUMIFS('2추일출'!$K$25:$K$657,'2추일출'!$A$25:$A$657,'2추위원회별'!$A46,'2추일출'!$B$25:$B$657,'2추위원회별'!$C46)</f>
        <v>0</v>
      </c>
      <c r="W46" s="95">
        <f>SUMIFS('2추일출'!$L$25:$L$657,'2추일출'!$A$25:$A$657,'2추위원회별'!$A46,'2추일출'!$B$25:$B$657,'2추위원회별'!$C46)</f>
        <v>0</v>
      </c>
      <c r="X46" s="95">
        <f>SUMIFS('2추일출'!$V$25:$V$657,'2추일출'!$A$25:$A$657,'2추위원회별'!$A46,'2추일출'!$B$25:$B$657,'2추위원회별'!$C46)</f>
        <v>0</v>
      </c>
      <c r="Y46" s="95">
        <f>SUMIFS('2추일출'!$W$25:$W$657,'2추일출'!$A$25:$A$657,'2추위원회별'!$A46,'2추일출'!$B$25:$B$657,'2추위원회별'!$C46)</f>
        <v>0</v>
      </c>
      <c r="Z46" s="95">
        <f>SUMIFS('2추일출'!$M$25:$M$657,'2추일출'!$A$25:$A$657,'2추위원회별'!$A46,'2추일출'!$B$25:$B$657,'2추위원회별'!$C46)</f>
        <v>0</v>
      </c>
      <c r="AA46" s="95">
        <f>SUMIFS('2추일출'!$N$25:$N$657,'2추일출'!$A$25:$A$657,'2추위원회별'!$A46,'2추일출'!$B$25:$B$657,'2추위원회별'!$C46)</f>
        <v>0</v>
      </c>
      <c r="AB46" s="95">
        <f>SUMIFS('2추일출'!$O$25:$O$657,'2추일출'!$A$25:$A$657,'2추위원회별'!$A46,'2추일출'!$B$25:$B$657,'2추위원회별'!$C46)</f>
        <v>0</v>
      </c>
      <c r="AC46" s="95">
        <f>SUMIFS('2추일출'!$AA$25:$AA$657,'2추일출'!$A$25:$A$657,'2추위원회별'!$A46,'2추일출'!$B$25:$B$657,'2추위원회별'!$C46)</f>
        <v>0</v>
      </c>
      <c r="AD46" s="95">
        <f>SUMIFS('2추일출'!$AB$25:$AB$657,'2추일출'!$A$25:$A$657,'2추위원회별'!$A46,'2추일출'!$B$25:$B$657,'2추위원회별'!$C46)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25"/>
  <sheetViews>
    <sheetView showGridLines="0" tabSelected="1" view="pageBreakPreview" zoomScale="80" zoomScaleNormal="8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H3" sqref="H3"/>
    </sheetView>
  </sheetViews>
  <sheetFormatPr defaultColWidth="8.75" defaultRowHeight="13.5"/>
  <cols>
    <col min="1" max="1" width="13.75" style="38" customWidth="1"/>
    <col min="2" max="2" width="9.75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1" width="11.125" style="38" customWidth="1"/>
    <col min="12" max="12" width="11.625" style="38" customWidth="1"/>
    <col min="13" max="15" width="11.625" style="38" hidden="1" customWidth="1"/>
    <col min="16" max="16" width="8.375" style="11" hidden="1" customWidth="1"/>
    <col min="17" max="17" width="22.125" style="38" customWidth="1"/>
    <col min="18" max="18" width="3" style="38" hidden="1" customWidth="1"/>
    <col min="19" max="19" width="6.125" style="11" hidden="1" customWidth="1"/>
    <col min="20" max="20" width="3" style="38" hidden="1" customWidth="1"/>
    <col min="21" max="21" width="6.125" style="25" hidden="1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89" t="s">
        <v>561</v>
      </c>
      <c r="B1" s="389"/>
      <c r="C1" s="389"/>
      <c r="D1" s="389"/>
      <c r="E1" s="389"/>
      <c r="F1" s="389"/>
      <c r="G1" s="390"/>
      <c r="H1" s="390"/>
      <c r="I1" s="390"/>
      <c r="J1" s="389"/>
      <c r="K1" s="389"/>
      <c r="L1" s="389"/>
      <c r="M1" s="389"/>
      <c r="N1" s="389"/>
      <c r="O1" s="389"/>
      <c r="P1" s="389"/>
      <c r="Q1" s="389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COUNTA(J7:J23)</f>
        <v>3</v>
      </c>
      <c r="K3" s="67">
        <f>COUNTA(K7:K23)</f>
        <v>14</v>
      </c>
      <c r="L3" s="68">
        <f>J6+K6</f>
        <v>-9078896</v>
      </c>
      <c r="M3" s="67">
        <f>COUNTA(M7:M23)</f>
        <v>0</v>
      </c>
      <c r="N3" s="67">
        <f>COUNTA(N7:N23)</f>
        <v>0</v>
      </c>
      <c r="O3" s="25"/>
      <c r="P3" s="30"/>
      <c r="Q3" s="62" t="s">
        <v>9</v>
      </c>
      <c r="V3" s="27" t="str">
        <f>IF(V6='2추일출'!$V$6,"OK","@@")</f>
        <v>OK</v>
      </c>
      <c r="W3" s="38">
        <f>SUM(V6:W6)</f>
        <v>-9078896</v>
      </c>
      <c r="X3" s="27" t="str">
        <f>IF(COUNTIF(X6:X916,"@@")&gt;0,"@@","OK")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IF(COUNTIF(AC6:AC916,"@@")&gt;0,"@@","OK")</f>
        <v>OK</v>
      </c>
      <c r="AE3" s="63"/>
    </row>
    <row r="4" spans="1:31" ht="30" customHeight="1">
      <c r="A4" s="391" t="s">
        <v>555</v>
      </c>
      <c r="B4" s="391" t="s">
        <v>141</v>
      </c>
      <c r="C4" s="391" t="s">
        <v>4</v>
      </c>
      <c r="D4" s="393" t="s">
        <v>142</v>
      </c>
      <c r="E4" s="394" t="s">
        <v>5</v>
      </c>
      <c r="F4" s="391" t="s">
        <v>556</v>
      </c>
      <c r="G4" s="394" t="s">
        <v>137</v>
      </c>
      <c r="H4" s="394" t="s">
        <v>135</v>
      </c>
      <c r="I4" s="394" t="s">
        <v>138</v>
      </c>
      <c r="J4" s="360" t="s">
        <v>139</v>
      </c>
      <c r="K4" s="361"/>
      <c r="L4" s="362" t="s">
        <v>80</v>
      </c>
      <c r="M4" s="380" t="s">
        <v>140</v>
      </c>
      <c r="N4" s="379"/>
      <c r="O4" s="377" t="s">
        <v>136</v>
      </c>
      <c r="P4" s="383" t="s">
        <v>144</v>
      </c>
      <c r="Q4" s="384" t="s">
        <v>134</v>
      </c>
      <c r="S4" s="381" t="s">
        <v>554</v>
      </c>
      <c r="U4" s="385" t="s">
        <v>6</v>
      </c>
      <c r="V4" s="376" t="s">
        <v>8</v>
      </c>
      <c r="W4" s="361"/>
      <c r="X4" s="361"/>
      <c r="Z4" s="387" t="s">
        <v>6</v>
      </c>
      <c r="AA4" s="379" t="s">
        <v>79</v>
      </c>
      <c r="AB4" s="379"/>
      <c r="AC4" s="379"/>
      <c r="AE4" s="381" t="s">
        <v>145</v>
      </c>
    </row>
    <row r="5" spans="1:31" ht="18" customHeight="1">
      <c r="A5" s="392"/>
      <c r="B5" s="392"/>
      <c r="C5" s="392"/>
      <c r="D5" s="392"/>
      <c r="E5" s="394"/>
      <c r="F5" s="392"/>
      <c r="G5" s="384"/>
      <c r="H5" s="384"/>
      <c r="I5" s="384"/>
      <c r="J5" s="66" t="s">
        <v>0</v>
      </c>
      <c r="K5" s="66" t="s">
        <v>1</v>
      </c>
      <c r="L5" s="363"/>
      <c r="M5" s="65" t="s">
        <v>0</v>
      </c>
      <c r="N5" s="65" t="s">
        <v>1</v>
      </c>
      <c r="O5" s="378"/>
      <c r="P5" s="383"/>
      <c r="Q5" s="384"/>
      <c r="S5" s="382"/>
      <c r="U5" s="386"/>
      <c r="V5" s="66" t="s">
        <v>3</v>
      </c>
      <c r="W5" s="66" t="s">
        <v>2</v>
      </c>
      <c r="X5" s="66" t="s">
        <v>77</v>
      </c>
      <c r="Z5" s="388"/>
      <c r="AA5" s="65" t="s">
        <v>3</v>
      </c>
      <c r="AB5" s="65" t="s">
        <v>2</v>
      </c>
      <c r="AC5" s="65" t="s">
        <v>77</v>
      </c>
      <c r="AE5" s="382"/>
    </row>
    <row r="6" spans="1:31" ht="47.25" customHeight="1">
      <c r="A6" s="175" t="s">
        <v>585</v>
      </c>
      <c r="B6" s="175" t="s">
        <v>585</v>
      </c>
      <c r="C6" s="13"/>
      <c r="D6" s="175" t="s">
        <v>579</v>
      </c>
      <c r="E6" s="14"/>
      <c r="F6" s="14" t="s">
        <v>586</v>
      </c>
      <c r="G6" s="19">
        <f t="shared" ref="G6:O6" si="0">SUBTOTAL(9,G7:G828)</f>
        <v>1307571987</v>
      </c>
      <c r="H6" s="19">
        <f t="shared" si="0"/>
        <v>1473654697</v>
      </c>
      <c r="I6" s="19">
        <f t="shared" si="0"/>
        <v>35515556</v>
      </c>
      <c r="J6" s="19">
        <f t="shared" si="0"/>
        <v>-12890100</v>
      </c>
      <c r="K6" s="19">
        <f t="shared" si="0"/>
        <v>3811204</v>
      </c>
      <c r="L6" s="19">
        <f t="shared" si="0"/>
        <v>1500091357</v>
      </c>
      <c r="M6" s="19">
        <f t="shared" si="0"/>
        <v>0</v>
      </c>
      <c r="N6" s="19">
        <f t="shared" si="0"/>
        <v>0</v>
      </c>
      <c r="O6" s="19">
        <f t="shared" si="0"/>
        <v>1509170253</v>
      </c>
      <c r="P6" s="37"/>
      <c r="Q6" s="28"/>
      <c r="S6" s="200"/>
      <c r="U6" s="23"/>
      <c r="V6" s="19">
        <f>SUBTOTAL(9,V7:V828)</f>
        <v>-9083646</v>
      </c>
      <c r="W6" s="19">
        <f>SUBTOTAL(9,W7:W828)</f>
        <v>4750</v>
      </c>
      <c r="X6" s="29" t="str">
        <f>IF((J6+K6)=(V6+W6),"OK","검토")</f>
        <v>OK</v>
      </c>
      <c r="Z6" s="53"/>
      <c r="AA6" s="19">
        <f>SUBTOTAL(9,AA7:AA828)</f>
        <v>0</v>
      </c>
      <c r="AB6" s="19">
        <f>SUBTOTAL(9,AB7:AB828)</f>
        <v>0</v>
      </c>
      <c r="AC6" s="29" t="str">
        <f>IF((M6+N6)=(AA6+AB6),"OK","검토")</f>
        <v>OK</v>
      </c>
      <c r="AE6" s="37"/>
    </row>
    <row r="7" spans="1:31" ht="39.75" customHeight="1">
      <c r="A7" s="72" t="str">
        <f>IFERROR(VLOOKUP('2추일입'!$C7,구분표!$A$2:$C$1001,2,FALSE),"")</f>
        <v>보건복지위원회</v>
      </c>
      <c r="B7" s="72" t="str">
        <f>IFERROR(VLOOKUP('2추일입'!$C7,구분표!$A$2:$C$1001,3,FALSE),"")</f>
        <v>보건복지국</v>
      </c>
      <c r="C7" s="176" t="s">
        <v>633</v>
      </c>
      <c r="D7" s="177" t="s">
        <v>605</v>
      </c>
      <c r="E7" s="177">
        <v>357</v>
      </c>
      <c r="F7" s="176" t="s">
        <v>663</v>
      </c>
      <c r="G7" s="178">
        <v>393026000</v>
      </c>
      <c r="H7" s="178">
        <v>383092000</v>
      </c>
      <c r="I7" s="73">
        <f>IF(SUMPRODUCT(COUNTIF($D7,{"*본예산*","*1회추경*","*신규*"})),"-",G7-H7)</f>
        <v>9934000</v>
      </c>
      <c r="J7" s="178">
        <v>-2400000</v>
      </c>
      <c r="K7" s="178"/>
      <c r="L7" s="73">
        <f t="shared" ref="L7:L9" si="1">IF(G7=0,H7+J7+K7,G7+J7+K7)</f>
        <v>390626000</v>
      </c>
      <c r="M7" s="178"/>
      <c r="N7" s="178"/>
      <c r="O7" s="73">
        <f t="shared" ref="O7:O9" si="2">IF(G7=0,H7+M7+N7,G7+M7+N7)</f>
        <v>393026000</v>
      </c>
      <c r="P7" s="74" t="str">
        <f t="shared" ref="P7:P9" si="3">IF(J7-M7&lt;0,"동의필요","-")</f>
        <v>동의필요</v>
      </c>
      <c r="Q7" s="252" t="s">
        <v>634</v>
      </c>
      <c r="R7" s="75"/>
      <c r="S7" s="189"/>
      <c r="T7" s="75"/>
      <c r="U7" s="78" t="s">
        <v>589</v>
      </c>
      <c r="V7" s="178">
        <f t="shared" ref="V7:V23" si="4">IF($U7&lt;&gt;"도비",IF($S7="국도비","직접입력",SUM($J7:$K7)),)</f>
        <v>-2400000</v>
      </c>
      <c r="W7" s="178">
        <f t="shared" ref="W7:W23" si="5">IF($U7="도비",SUM($J7:$K7),IF($S7="국도비","직접입력",SUM($J7:$K7)-$V7))</f>
        <v>0</v>
      </c>
      <c r="X7" s="77" t="str">
        <f t="shared" ref="X7:X23" si="6">IF($S7="국도비","ok",IF(($J7+$K7)=($V7+$W7),"ok","검토"))</f>
        <v>ok</v>
      </c>
      <c r="Y7" s="75"/>
      <c r="Z7" s="76" t="str">
        <f t="shared" ref="Z7:Z23" si="7">$U7</f>
        <v>국비</v>
      </c>
      <c r="AA7" s="178">
        <f t="shared" ref="AA7:AA23" si="8">IF($Z7&lt;&gt;"도비",IF($S7="국도비","직접입력",SUM($M7:$N7)),)</f>
        <v>0</v>
      </c>
      <c r="AB7" s="178">
        <f t="shared" ref="AB7:AB23" si="9">IF($Z7="도비",SUM($M7:$N7),IF($S7="국도비","직접입력",SUM($M7:$N7)-$AA7))</f>
        <v>0</v>
      </c>
      <c r="AC7" s="77" t="str">
        <f t="shared" ref="AC7:AC23" si="10">IF($S7="국도비","ok",IF(($M7+$N7)=($AA7+$AB7),"ok","검토"))</f>
        <v>ok</v>
      </c>
      <c r="AD7" s="75"/>
      <c r="AE7" s="79" t="str">
        <f t="array" ref="AE7">IFERROR(IF($C7="","",INDEX(구분표!$I$2:$I$1001,MATCH(1,(구분표!$B$2:$B$1001='2추일입'!$A7)*(구분표!$C$2:$C$1001='2추일입'!$B7)*(구분표!$A$2:$A$1001='2추일입'!$C7),0))),"@@")</f>
        <v>1901</v>
      </c>
    </row>
    <row r="8" spans="1:31" ht="39.75" customHeight="1">
      <c r="A8" s="72" t="str">
        <f>IFERROR(VLOOKUP('2추일입'!$C8,구분표!$A$2:$C$1001,2,FALSE),"")</f>
        <v>보건복지위원회</v>
      </c>
      <c r="B8" s="72" t="str">
        <f>IFERROR(VLOOKUP('2추일입'!$C8,구분표!$A$2:$C$1001,3,FALSE),"")</f>
        <v>보건복지국</v>
      </c>
      <c r="C8" s="176" t="s">
        <v>633</v>
      </c>
      <c r="D8" s="177" t="s">
        <v>588</v>
      </c>
      <c r="E8" s="177">
        <v>53</v>
      </c>
      <c r="F8" s="176" t="s">
        <v>761</v>
      </c>
      <c r="G8" s="178">
        <v>0</v>
      </c>
      <c r="H8" s="178">
        <v>107824000</v>
      </c>
      <c r="I8" s="73" t="str">
        <f>IF(SUMPRODUCT(COUNTIF($D8,{"*본예산*","*1회추경*","*신규*"})),"-",G8-H8)</f>
        <v>-</v>
      </c>
      <c r="J8" s="178">
        <v>-7334848</v>
      </c>
      <c r="K8" s="178"/>
      <c r="L8" s="73">
        <f t="shared" si="1"/>
        <v>100489152</v>
      </c>
      <c r="M8" s="178"/>
      <c r="N8" s="178"/>
      <c r="O8" s="73">
        <f t="shared" si="2"/>
        <v>107824000</v>
      </c>
      <c r="P8" s="74" t="str">
        <f t="shared" si="3"/>
        <v>동의필요</v>
      </c>
      <c r="Q8" s="252" t="s">
        <v>634</v>
      </c>
      <c r="R8" s="75"/>
      <c r="S8" s="189"/>
      <c r="T8" s="75"/>
      <c r="U8" s="78" t="s">
        <v>589</v>
      </c>
      <c r="V8" s="178">
        <f t="shared" si="4"/>
        <v>-7334848</v>
      </c>
      <c r="W8" s="178">
        <f t="shared" si="5"/>
        <v>0</v>
      </c>
      <c r="X8" s="77" t="str">
        <f t="shared" si="6"/>
        <v>ok</v>
      </c>
      <c r="Y8" s="75"/>
      <c r="Z8" s="76" t="str">
        <f t="shared" si="7"/>
        <v>국비</v>
      </c>
      <c r="AA8" s="178">
        <f t="shared" si="8"/>
        <v>0</v>
      </c>
      <c r="AB8" s="178">
        <f t="shared" si="9"/>
        <v>0</v>
      </c>
      <c r="AC8" s="77" t="str">
        <f t="shared" si="10"/>
        <v>ok</v>
      </c>
      <c r="AD8" s="75"/>
      <c r="AE8" s="79" t="str">
        <f t="array" ref="AE8">IFERROR(IF($C8="","",INDEX(구분표!$I$2:$I$1001,MATCH(1,(구분표!$B$2:$B$1001='2추일입'!$A8)*(구분표!$C$2:$C$1001='2추일입'!$B8)*(구분표!$A$2:$A$1001='2추일입'!$C8),0))),"@@")</f>
        <v>1901</v>
      </c>
    </row>
    <row r="9" spans="1:31" ht="39.75" customHeight="1">
      <c r="A9" s="72" t="str">
        <f>IFERROR(VLOOKUP('2추일입'!$C9,구분표!$A$2:$C$1001,2,FALSE),"")</f>
        <v>보건복지위원회</v>
      </c>
      <c r="B9" s="72" t="str">
        <f>IFERROR(VLOOKUP('2추일입'!$C9,구분표!$A$2:$C$1001,3,FALSE),"")</f>
        <v>보건복지국</v>
      </c>
      <c r="C9" s="176" t="s">
        <v>633</v>
      </c>
      <c r="D9" s="177" t="s">
        <v>632</v>
      </c>
      <c r="E9" s="177"/>
      <c r="F9" s="176" t="s">
        <v>762</v>
      </c>
      <c r="G9" s="178">
        <v>0</v>
      </c>
      <c r="H9" s="178">
        <v>0</v>
      </c>
      <c r="I9" s="73" t="str">
        <f>IF(SUMPRODUCT(COUNTIF($D9,{"*본예산*","*1회추경*","*신규*"})),"-",G9-H9)</f>
        <v>-</v>
      </c>
      <c r="J9" s="178"/>
      <c r="K9" s="178">
        <v>1000</v>
      </c>
      <c r="L9" s="73">
        <f t="shared" si="1"/>
        <v>1000</v>
      </c>
      <c r="M9" s="178"/>
      <c r="N9" s="178"/>
      <c r="O9" s="73">
        <f t="shared" si="2"/>
        <v>0</v>
      </c>
      <c r="P9" s="74" t="str">
        <f t="shared" si="3"/>
        <v>-</v>
      </c>
      <c r="Q9" s="252" t="s">
        <v>664</v>
      </c>
      <c r="R9" s="75"/>
      <c r="S9" s="189"/>
      <c r="T9" s="75"/>
      <c r="U9" s="78" t="s">
        <v>589</v>
      </c>
      <c r="V9" s="178">
        <f t="shared" si="4"/>
        <v>1000</v>
      </c>
      <c r="W9" s="178">
        <f t="shared" si="5"/>
        <v>0</v>
      </c>
      <c r="X9" s="77" t="str">
        <f t="shared" si="6"/>
        <v>ok</v>
      </c>
      <c r="Y9" s="75"/>
      <c r="Z9" s="76" t="str">
        <f t="shared" si="7"/>
        <v>국비</v>
      </c>
      <c r="AA9" s="178">
        <f t="shared" si="8"/>
        <v>0</v>
      </c>
      <c r="AB9" s="178">
        <f t="shared" si="9"/>
        <v>0</v>
      </c>
      <c r="AC9" s="77" t="str">
        <f t="shared" si="10"/>
        <v>ok</v>
      </c>
      <c r="AD9" s="75"/>
      <c r="AE9" s="79" t="str">
        <f t="array" ref="AE9">IFERROR(IF($C9="","",INDEX(구분표!$I$2:$I$1001,MATCH(1,(구분표!$B$2:$B$1001='2추일입'!$A9)*(구분표!$C$2:$C$1001='2추일입'!$B9)*(구분표!$A$2:$A$1001='2추일입'!$C9),0))),"@@")</f>
        <v>1901</v>
      </c>
    </row>
    <row r="10" spans="1:31" ht="39.75" customHeight="1">
      <c r="A10" s="72" t="str">
        <f>IFERROR(VLOOKUP('2추일입'!$C10,구분표!$A$2:$C$1001,2,FALSE),"")</f>
        <v>보건복지위원회</v>
      </c>
      <c r="B10" s="72" t="str">
        <f>IFERROR(VLOOKUP('2추일입'!$C10,구분표!$A$2:$C$1001,3,FALSE),"")</f>
        <v>보건복지국</v>
      </c>
      <c r="C10" s="176" t="s">
        <v>665</v>
      </c>
      <c r="D10" s="177" t="s">
        <v>605</v>
      </c>
      <c r="E10" s="177">
        <v>358</v>
      </c>
      <c r="F10" s="176" t="s">
        <v>666</v>
      </c>
      <c r="G10" s="178">
        <v>824715072</v>
      </c>
      <c r="H10" s="178">
        <v>801904820</v>
      </c>
      <c r="I10" s="73">
        <f>IF(SUMPRODUCT(COUNTIF($D10,{"*본예산*","*1회추경*","*신규*"})),"-",G10-H10)</f>
        <v>22810252</v>
      </c>
      <c r="J10" s="178">
        <v>-3155252</v>
      </c>
      <c r="K10" s="178"/>
      <c r="L10" s="73">
        <f t="shared" ref="L10" si="11">IF(G10=0,H10+J10+K10,G10+J10+K10)</f>
        <v>821559820</v>
      </c>
      <c r="M10" s="178"/>
      <c r="N10" s="178"/>
      <c r="O10" s="73">
        <f t="shared" ref="O10" si="12">IF(G10=0,H10+M10+N10,G10+M10+N10)</f>
        <v>824715072</v>
      </c>
      <c r="P10" s="74" t="str">
        <f t="shared" ref="P10" si="13">IF(J10-M10&lt;0,"동의필요","-")</f>
        <v>동의필요</v>
      </c>
      <c r="Q10" s="252" t="s">
        <v>642</v>
      </c>
      <c r="R10" s="75"/>
      <c r="S10" s="189"/>
      <c r="T10" s="75"/>
      <c r="U10" s="78" t="s">
        <v>589</v>
      </c>
      <c r="V10" s="178">
        <f t="shared" si="4"/>
        <v>-3155252</v>
      </c>
      <c r="W10" s="178">
        <f t="shared" si="5"/>
        <v>0</v>
      </c>
      <c r="X10" s="77" t="str">
        <f t="shared" si="6"/>
        <v>ok</v>
      </c>
      <c r="Y10" s="75"/>
      <c r="Z10" s="76" t="str">
        <f t="shared" si="7"/>
        <v>국비</v>
      </c>
      <c r="AA10" s="178">
        <f t="shared" si="8"/>
        <v>0</v>
      </c>
      <c r="AB10" s="178">
        <f t="shared" si="9"/>
        <v>0</v>
      </c>
      <c r="AC10" s="77" t="str">
        <f t="shared" si="10"/>
        <v>ok</v>
      </c>
      <c r="AD10" s="75"/>
      <c r="AE10" s="79" t="str">
        <f t="array" ref="AE10">IFERROR(IF($C10="","",INDEX(구분표!$I$2:$I$1001,MATCH(1,(구분표!$B$2:$B$1001='2추일입'!$A10)*(구분표!$C$2:$C$1001='2추일입'!$B10)*(구분표!$A$2:$A$1001='2추일입'!$C10),0))),"@@")</f>
        <v>1903</v>
      </c>
    </row>
    <row r="11" spans="1:31" ht="39.75" customHeight="1">
      <c r="A11" s="72" t="str">
        <f>IFERROR(VLOOKUP('2추일입'!$C11,구분표!$A$2:$C$1001,2,FALSE),"")</f>
        <v>보건복지위원회</v>
      </c>
      <c r="B11" s="72" t="str">
        <f>IFERROR(VLOOKUP('2추일입'!$C11,구분표!$A$2:$C$1001,3,FALSE),"")</f>
        <v>보건복지국</v>
      </c>
      <c r="C11" s="176" t="s">
        <v>665</v>
      </c>
      <c r="D11" s="177" t="s">
        <v>605</v>
      </c>
      <c r="E11" s="177">
        <v>358</v>
      </c>
      <c r="F11" s="176" t="s">
        <v>667</v>
      </c>
      <c r="G11" s="178">
        <v>908679</v>
      </c>
      <c r="H11" s="178">
        <v>877971</v>
      </c>
      <c r="I11" s="73">
        <f>IF(SUMPRODUCT(COUNTIF($D11,{"*본예산*","*1회추경*","*신규*"})),"-",G11-H11)</f>
        <v>30708</v>
      </c>
      <c r="J11" s="178"/>
      <c r="K11" s="178">
        <v>2725</v>
      </c>
      <c r="L11" s="73">
        <f t="shared" ref="L11:L12" si="14">IF(G11=0,H11+J11+K11,G11+J11+K11)</f>
        <v>911404</v>
      </c>
      <c r="M11" s="178"/>
      <c r="N11" s="178"/>
      <c r="O11" s="73">
        <f t="shared" ref="O11:O12" si="15">IF(G11=0,H11+M11+N11,G11+M11+N11)</f>
        <v>908679</v>
      </c>
      <c r="P11" s="74" t="str">
        <f t="shared" ref="P11:P12" si="16">IF(J11-M11&lt;0,"동의필요","-")</f>
        <v>-</v>
      </c>
      <c r="Q11" s="252" t="s">
        <v>668</v>
      </c>
      <c r="R11" s="75"/>
      <c r="S11" s="189"/>
      <c r="T11" s="75"/>
      <c r="U11" s="78" t="s">
        <v>589</v>
      </c>
      <c r="V11" s="178">
        <f t="shared" si="4"/>
        <v>2725</v>
      </c>
      <c r="W11" s="178">
        <f t="shared" si="5"/>
        <v>0</v>
      </c>
      <c r="X11" s="77" t="str">
        <f t="shared" si="6"/>
        <v>ok</v>
      </c>
      <c r="Y11" s="75"/>
      <c r="Z11" s="76" t="str">
        <f t="shared" si="7"/>
        <v>국비</v>
      </c>
      <c r="AA11" s="178">
        <f t="shared" si="8"/>
        <v>0</v>
      </c>
      <c r="AB11" s="178">
        <f t="shared" si="9"/>
        <v>0</v>
      </c>
      <c r="AC11" s="77" t="str">
        <f t="shared" si="10"/>
        <v>ok</v>
      </c>
      <c r="AD11" s="75"/>
      <c r="AE11" s="79" t="str">
        <f t="array" ref="AE11">IFERROR(IF($C11="","",INDEX(구분표!$I$2:$I$1001,MATCH(1,(구분표!$B$2:$B$1001='2추일입'!$A11)*(구분표!$C$2:$C$1001='2추일입'!$B11)*(구분표!$A$2:$A$1001='2추일입'!$C11),0))),"@@")</f>
        <v>1903</v>
      </c>
    </row>
    <row r="12" spans="1:31" ht="31.5" customHeight="1">
      <c r="A12" s="72" t="str">
        <f>IFERROR(VLOOKUP('2추일입'!$C12,구분표!$A$2:$C$1001,2,FALSE),"")</f>
        <v>보건복지위원회</v>
      </c>
      <c r="B12" s="72" t="str">
        <f>IFERROR(VLOOKUP('2추일입'!$C12,구분표!$A$2:$C$1001,3,FALSE),"")</f>
        <v>보건복지국</v>
      </c>
      <c r="C12" s="176" t="s">
        <v>84</v>
      </c>
      <c r="D12" s="177" t="s">
        <v>605</v>
      </c>
      <c r="E12" s="179">
        <v>358</v>
      </c>
      <c r="F12" s="180" t="s">
        <v>759</v>
      </c>
      <c r="G12" s="178">
        <v>8140000</v>
      </c>
      <c r="H12" s="178"/>
      <c r="I12" s="73">
        <f>IF(SUMPRODUCT(COUNTIF($D12,{"*본예산*","*1회추경*","*신규*"})),"-",G12-H12)</f>
        <v>8140000</v>
      </c>
      <c r="J12" s="178"/>
      <c r="K12" s="178">
        <v>190000</v>
      </c>
      <c r="L12" s="73">
        <f t="shared" si="14"/>
        <v>8330000</v>
      </c>
      <c r="M12" s="178"/>
      <c r="N12" s="178"/>
      <c r="O12" s="73">
        <f t="shared" si="15"/>
        <v>8140000</v>
      </c>
      <c r="P12" s="74" t="str">
        <f t="shared" si="16"/>
        <v>-</v>
      </c>
      <c r="Q12" s="253" t="s">
        <v>760</v>
      </c>
      <c r="R12" s="75"/>
      <c r="S12" s="189"/>
      <c r="T12" s="75"/>
      <c r="U12" s="78" t="s">
        <v>589</v>
      </c>
      <c r="V12" s="178">
        <f t="shared" ref="V12" si="17">IF($U12&lt;&gt;"도비",IF($S12="국도비","직접입력",SUM($J12:$K12)),)</f>
        <v>190000</v>
      </c>
      <c r="W12" s="178">
        <f t="shared" ref="W12" si="18">IF($U12="도비",SUM($J12:$K12),IF($S12="국도비","직접입력",SUM($J12:$K12)-$V12))</f>
        <v>0</v>
      </c>
      <c r="X12" s="77" t="str">
        <f t="shared" si="6"/>
        <v>ok</v>
      </c>
      <c r="Y12" s="75"/>
      <c r="Z12" s="76" t="str">
        <f t="shared" si="7"/>
        <v>국비</v>
      </c>
      <c r="AA12" s="178">
        <f t="shared" si="8"/>
        <v>0</v>
      </c>
      <c r="AB12" s="178">
        <f t="shared" si="9"/>
        <v>0</v>
      </c>
      <c r="AC12" s="77" t="str">
        <f t="shared" si="10"/>
        <v>ok</v>
      </c>
      <c r="AD12" s="75"/>
      <c r="AE12" s="79" t="str">
        <f t="array" ref="AE12">IFERROR(IF($C12="","",INDEX([5]구분표!$I$2:$I$1001,MATCH(1,([5]구분표!$B$2:$B$1001='[5]2추일입'!$A12)*([5]구분표!$C$2:$C$1001='[5]2추일입'!$B12)*([5]구분표!$A$2:$A$1001='[5]2추일입'!$C12),0))),"@@")</f>
        <v>1904</v>
      </c>
    </row>
    <row r="13" spans="1:31" ht="39.75" customHeight="1">
      <c r="A13" s="72" t="str">
        <f>IFERROR(VLOOKUP('2추일입'!$C13,구분표!$A$2:$C$1001,2,FALSE),"")</f>
        <v>보건복지위원회</v>
      </c>
      <c r="B13" s="72" t="str">
        <f>IFERROR(VLOOKUP('2추일입'!$C13,구분표!$A$2:$C$1001,3,FALSE),"")</f>
        <v>보건복지국</v>
      </c>
      <c r="C13" s="176" t="s">
        <v>84</v>
      </c>
      <c r="D13" s="177" t="s">
        <v>605</v>
      </c>
      <c r="E13" s="177">
        <v>358</v>
      </c>
      <c r="F13" s="176" t="s">
        <v>669</v>
      </c>
      <c r="G13" s="178">
        <v>74399802</v>
      </c>
      <c r="H13" s="178">
        <v>79777093</v>
      </c>
      <c r="I13" s="73">
        <f>IF(SUMPRODUCT(COUNTIF($D13,{"*본예산*","*1회추경*","*신규*"})),"-",G13-H13)</f>
        <v>-5377291</v>
      </c>
      <c r="J13" s="178"/>
      <c r="K13" s="178">
        <v>1106706</v>
      </c>
      <c r="L13" s="73">
        <f t="shared" ref="L13" si="19">IF(G13=0,H13+J13+K13,G13+J13+K13)</f>
        <v>75506508</v>
      </c>
      <c r="M13" s="178"/>
      <c r="N13" s="178"/>
      <c r="O13" s="73">
        <f t="shared" ref="O13" si="20">IF(G13=0,H13+M13+N13,G13+M13+N13)</f>
        <v>74399802</v>
      </c>
      <c r="P13" s="74" t="str">
        <f t="shared" ref="P13" si="21">IF(J13-M13&lt;0,"동의필요","-")</f>
        <v>-</v>
      </c>
      <c r="Q13" s="252" t="s">
        <v>670</v>
      </c>
      <c r="R13" s="75"/>
      <c r="S13" s="189"/>
      <c r="T13" s="75"/>
      <c r="U13" s="78" t="s">
        <v>589</v>
      </c>
      <c r="V13" s="178">
        <f t="shared" si="4"/>
        <v>1106706</v>
      </c>
      <c r="W13" s="178">
        <f t="shared" si="5"/>
        <v>0</v>
      </c>
      <c r="X13" s="77" t="str">
        <f t="shared" si="6"/>
        <v>ok</v>
      </c>
      <c r="Y13" s="75"/>
      <c r="Z13" s="76" t="str">
        <f t="shared" si="7"/>
        <v>국비</v>
      </c>
      <c r="AA13" s="178">
        <f t="shared" si="8"/>
        <v>0</v>
      </c>
      <c r="AB13" s="178">
        <f t="shared" si="9"/>
        <v>0</v>
      </c>
      <c r="AC13" s="77" t="str">
        <f t="shared" si="10"/>
        <v>ok</v>
      </c>
      <c r="AD13" s="75"/>
      <c r="AE13" s="79" t="str">
        <f t="array" ref="AE13">IFERROR(IF($C13="","",INDEX(구분표!$I$2:$I$1001,MATCH(1,(구분표!$B$2:$B$1001='2추일입'!$A13)*(구분표!$C$2:$C$1001='2추일입'!$B13)*(구분표!$A$2:$A$1001='2추일입'!$C13),0))),"@@")</f>
        <v>1904</v>
      </c>
    </row>
    <row r="14" spans="1:31" ht="39.75" customHeight="1">
      <c r="A14" s="72" t="str">
        <f>IFERROR(VLOOKUP('2추일입'!$C14,구분표!$A$2:$C$1001,2,FALSE),"")</f>
        <v>보건복지위원회</v>
      </c>
      <c r="B14" s="72" t="str">
        <f>IFERROR(VLOOKUP('2추일입'!$C14,구분표!$A$2:$C$1001,3,FALSE),"")</f>
        <v>보건복지국</v>
      </c>
      <c r="C14" s="176" t="s">
        <v>84</v>
      </c>
      <c r="D14" s="177" t="s">
        <v>618</v>
      </c>
      <c r="E14" s="177">
        <v>56</v>
      </c>
      <c r="F14" s="176" t="s">
        <v>763</v>
      </c>
      <c r="G14" s="178">
        <v>0</v>
      </c>
      <c r="H14" s="178">
        <v>82984061</v>
      </c>
      <c r="I14" s="73" t="str">
        <f>IF(SUMPRODUCT(COUNTIF($D14,{"*본예산*","*1회추경*","*신규*"})),"-",G14-H14)</f>
        <v>-</v>
      </c>
      <c r="J14" s="178"/>
      <c r="K14" s="178">
        <v>570590</v>
      </c>
      <c r="L14" s="73">
        <f t="shared" ref="L14" si="22">IF(G14=0,H14+J14+K14,G14+J14+K14)</f>
        <v>83554651</v>
      </c>
      <c r="M14" s="178"/>
      <c r="N14" s="178"/>
      <c r="O14" s="73">
        <f t="shared" ref="O14" si="23">IF(G14=0,H14+M14+N14,G14+M14+N14)</f>
        <v>82984061</v>
      </c>
      <c r="P14" s="74" t="str">
        <f t="shared" ref="P14" si="24">IF(J14-M14&lt;0,"동의필요","-")</f>
        <v>-</v>
      </c>
      <c r="Q14" s="252" t="s">
        <v>671</v>
      </c>
      <c r="R14" s="75"/>
      <c r="S14" s="189"/>
      <c r="T14" s="75"/>
      <c r="U14" s="78" t="s">
        <v>589</v>
      </c>
      <c r="V14" s="178">
        <f t="shared" si="4"/>
        <v>570590</v>
      </c>
      <c r="W14" s="178">
        <f t="shared" si="5"/>
        <v>0</v>
      </c>
      <c r="X14" s="77" t="str">
        <f t="shared" si="6"/>
        <v>ok</v>
      </c>
      <c r="Y14" s="75"/>
      <c r="Z14" s="76" t="str">
        <f t="shared" si="7"/>
        <v>국비</v>
      </c>
      <c r="AA14" s="178">
        <f t="shared" si="8"/>
        <v>0</v>
      </c>
      <c r="AB14" s="178">
        <f t="shared" si="9"/>
        <v>0</v>
      </c>
      <c r="AC14" s="77" t="str">
        <f t="shared" si="10"/>
        <v>ok</v>
      </c>
      <c r="AD14" s="75"/>
      <c r="AE14" s="79" t="str">
        <f t="array" ref="AE14">IFERROR(IF($C14="","",INDEX(구분표!$I$2:$I$1001,MATCH(1,(구분표!$B$2:$B$1001='2추일입'!$A14)*(구분표!$C$2:$C$1001='2추일입'!$B14)*(구분표!$A$2:$A$1001='2추일입'!$C14),0))),"@@")</f>
        <v>1904</v>
      </c>
    </row>
    <row r="15" spans="1:31" ht="39.75" customHeight="1">
      <c r="A15" s="72" t="str">
        <f>IFERROR(VLOOKUP('2추일입'!$C15,구분표!$A$2:$C$1001,2,FALSE),"")</f>
        <v>보건복지위원회</v>
      </c>
      <c r="B15" s="72" t="str">
        <f>IFERROR(VLOOKUP('2추일입'!$C15,구분표!$A$2:$C$1001,3,FALSE),"")</f>
        <v>보건복지국</v>
      </c>
      <c r="C15" s="176" t="s">
        <v>84</v>
      </c>
      <c r="D15" s="177" t="s">
        <v>618</v>
      </c>
      <c r="E15" s="177">
        <v>56</v>
      </c>
      <c r="F15" s="176" t="s">
        <v>764</v>
      </c>
      <c r="G15" s="178">
        <v>0</v>
      </c>
      <c r="H15" s="178">
        <v>137400</v>
      </c>
      <c r="I15" s="73" t="str">
        <f>IF(SUMPRODUCT(COUNTIF($D15,{"*본예산*","*1회추경*","*신규*"})),"-",G15-H15)</f>
        <v>-</v>
      </c>
      <c r="J15" s="178"/>
      <c r="K15" s="178">
        <v>40810</v>
      </c>
      <c r="L15" s="73">
        <f t="shared" ref="L15" si="25">IF(G15=0,H15+J15+K15,G15+J15+K15)</f>
        <v>178210</v>
      </c>
      <c r="M15" s="178"/>
      <c r="N15" s="178"/>
      <c r="O15" s="73">
        <f t="shared" ref="O15" si="26">IF(G15=0,H15+M15+N15,G15+M15+N15)</f>
        <v>137400</v>
      </c>
      <c r="P15" s="74" t="str">
        <f t="shared" ref="P15" si="27">IF(J15-M15&lt;0,"동의필요","-")</f>
        <v>-</v>
      </c>
      <c r="Q15" s="252" t="s">
        <v>651</v>
      </c>
      <c r="R15" s="75"/>
      <c r="S15" s="189"/>
      <c r="T15" s="75"/>
      <c r="U15" s="78" t="s">
        <v>589</v>
      </c>
      <c r="V15" s="178">
        <f t="shared" si="4"/>
        <v>40810</v>
      </c>
      <c r="W15" s="178">
        <f t="shared" si="5"/>
        <v>0</v>
      </c>
      <c r="X15" s="77" t="str">
        <f t="shared" si="6"/>
        <v>ok</v>
      </c>
      <c r="Y15" s="75"/>
      <c r="Z15" s="76" t="str">
        <f t="shared" si="7"/>
        <v>국비</v>
      </c>
      <c r="AA15" s="178">
        <f t="shared" si="8"/>
        <v>0</v>
      </c>
      <c r="AB15" s="178">
        <f t="shared" si="9"/>
        <v>0</v>
      </c>
      <c r="AC15" s="77" t="str">
        <f t="shared" si="10"/>
        <v>ok</v>
      </c>
      <c r="AD15" s="75"/>
      <c r="AE15" s="79" t="str">
        <f t="array" ref="AE15">IFERROR(IF($C15="","",INDEX(구분표!$I$2:$I$1001,MATCH(1,(구분표!$B$2:$B$1001='2추일입'!$A15)*(구분표!$C$2:$C$1001='2추일입'!$B15)*(구분표!$A$2:$A$1001='2추일입'!$C15),0))),"@@")</f>
        <v>1904</v>
      </c>
    </row>
    <row r="16" spans="1:31" ht="39.75" customHeight="1">
      <c r="A16" s="72" t="str">
        <f>IFERROR(VLOOKUP('2추일입'!$C16,구분표!$A$2:$C$1001,2,FALSE),"")</f>
        <v>보건복지위원회</v>
      </c>
      <c r="B16" s="72" t="str">
        <f>IFERROR(VLOOKUP('2추일입'!$C16,구분표!$A$2:$C$1001,3,FALSE),"")</f>
        <v>보건복지국</v>
      </c>
      <c r="C16" s="176" t="s">
        <v>672</v>
      </c>
      <c r="D16" s="177" t="s">
        <v>605</v>
      </c>
      <c r="E16" s="177">
        <v>359</v>
      </c>
      <c r="F16" s="176" t="s">
        <v>673</v>
      </c>
      <c r="G16" s="178">
        <v>5821000</v>
      </c>
      <c r="H16" s="178">
        <v>5851000</v>
      </c>
      <c r="I16" s="73">
        <f>IF(SUMPRODUCT(COUNTIF($D16,{"*본예산*","*1회추경*","*신규*"})),"-",G16-H16)</f>
        <v>-30000</v>
      </c>
      <c r="J16" s="178"/>
      <c r="K16" s="178">
        <v>150000</v>
      </c>
      <c r="L16" s="73">
        <f t="shared" ref="L16" si="28">IF(G16=0,H16+J16+K16,G16+J16+K16)</f>
        <v>5971000</v>
      </c>
      <c r="M16" s="178"/>
      <c r="N16" s="178"/>
      <c r="O16" s="73">
        <f t="shared" ref="O16" si="29">IF(G16=0,H16+M16+N16,G16+M16+N16)</f>
        <v>5821000</v>
      </c>
      <c r="P16" s="74" t="str">
        <f t="shared" ref="P16" si="30">IF(J16-M16&lt;0,"동의필요","-")</f>
        <v>-</v>
      </c>
      <c r="Q16" s="252" t="s">
        <v>674</v>
      </c>
      <c r="R16" s="75"/>
      <c r="S16" s="189"/>
      <c r="T16" s="75"/>
      <c r="U16" s="78" t="s">
        <v>675</v>
      </c>
      <c r="V16" s="178">
        <f t="shared" si="4"/>
        <v>150000</v>
      </c>
      <c r="W16" s="178">
        <f t="shared" si="5"/>
        <v>0</v>
      </c>
      <c r="X16" s="77" t="str">
        <f t="shared" si="6"/>
        <v>ok</v>
      </c>
      <c r="Y16" s="75"/>
      <c r="Z16" s="76" t="str">
        <f t="shared" si="7"/>
        <v>기금</v>
      </c>
      <c r="AA16" s="178">
        <f t="shared" si="8"/>
        <v>0</v>
      </c>
      <c r="AB16" s="178">
        <f t="shared" si="9"/>
        <v>0</v>
      </c>
      <c r="AC16" s="77" t="str">
        <f t="shared" si="10"/>
        <v>ok</v>
      </c>
      <c r="AD16" s="75"/>
      <c r="AE16" s="79" t="str">
        <f t="array" ref="AE16">IFERROR(IF($C16="","",INDEX(구분표!$I$2:$I$1001,MATCH(1,(구분표!$B$2:$B$1001='2추일입'!$A16)*(구분표!$C$2:$C$1001='2추일입'!$B16)*(구분표!$A$2:$A$1001='2추일입'!$C16),0))),"@@")</f>
        <v>1905</v>
      </c>
    </row>
    <row r="17" spans="1:31" ht="39.75" customHeight="1">
      <c r="A17" s="72" t="str">
        <f>IFERROR(VLOOKUP('2추일입'!$C17,구분표!$A$2:$C$1001,2,FALSE),"")</f>
        <v>보건복지위원회</v>
      </c>
      <c r="B17" s="72" t="str">
        <f>IFERROR(VLOOKUP('2추일입'!$C17,구분표!$A$2:$C$1001,3,FALSE),"")</f>
        <v>보건복지국</v>
      </c>
      <c r="C17" s="176" t="s">
        <v>672</v>
      </c>
      <c r="D17" s="177" t="s">
        <v>588</v>
      </c>
      <c r="E17" s="177">
        <v>67</v>
      </c>
      <c r="F17" s="237" t="s">
        <v>676</v>
      </c>
      <c r="G17" s="178">
        <v>0</v>
      </c>
      <c r="H17" s="178">
        <v>209000</v>
      </c>
      <c r="I17" s="73" t="str">
        <f>IF(SUMPRODUCT(COUNTIF($D17,{"*본예산*","*1회추경*","*신규*"})),"-",G17-H17)</f>
        <v>-</v>
      </c>
      <c r="J17" s="178"/>
      <c r="K17" s="282">
        <v>295000</v>
      </c>
      <c r="L17" s="73">
        <f t="shared" ref="L17" si="31">IF(G17=0,H17+J17+K17,G17+J17+K17)</f>
        <v>504000</v>
      </c>
      <c r="M17" s="178"/>
      <c r="N17" s="178"/>
      <c r="O17" s="73">
        <f t="shared" ref="O17" si="32">IF(G17=0,H17+M17+N17,G17+M17+N17)</f>
        <v>209000</v>
      </c>
      <c r="P17" s="74" t="str">
        <f t="shared" ref="P17" si="33">IF(J17-M17&lt;0,"동의필요","-")</f>
        <v>-</v>
      </c>
      <c r="Q17" s="252" t="s">
        <v>677</v>
      </c>
      <c r="R17" s="75"/>
      <c r="S17" s="189"/>
      <c r="T17" s="75"/>
      <c r="U17" s="78" t="s">
        <v>675</v>
      </c>
      <c r="V17" s="178">
        <f t="shared" si="4"/>
        <v>295000</v>
      </c>
      <c r="W17" s="178">
        <f t="shared" si="5"/>
        <v>0</v>
      </c>
      <c r="X17" s="77" t="str">
        <f t="shared" si="6"/>
        <v>ok</v>
      </c>
      <c r="Y17" s="75"/>
      <c r="Z17" s="76" t="str">
        <f t="shared" si="7"/>
        <v>기금</v>
      </c>
      <c r="AA17" s="178">
        <f t="shared" si="8"/>
        <v>0</v>
      </c>
      <c r="AB17" s="178">
        <f t="shared" si="9"/>
        <v>0</v>
      </c>
      <c r="AC17" s="77" t="str">
        <f t="shared" si="10"/>
        <v>ok</v>
      </c>
      <c r="AD17" s="75"/>
      <c r="AE17" s="79" t="str">
        <f t="array" ref="AE17">IFERROR(IF($C17="","",INDEX(구분표!$I$2:$I$1001,MATCH(1,(구분표!$B$2:$B$1001='2추일입'!$A17)*(구분표!$C$2:$C$1001='2추일입'!$B17)*(구분표!$A$2:$A$1001='2추일입'!$C17),0))),"@@")</f>
        <v>1905</v>
      </c>
    </row>
    <row r="18" spans="1:31" ht="39.75" customHeight="1">
      <c r="A18" s="72" t="str">
        <f>IFERROR(VLOOKUP('2추일입'!$C18,구분표!$A$2:$C$1001,2,FALSE),"")</f>
        <v>보건복지위원회</v>
      </c>
      <c r="B18" s="72" t="str">
        <f>IFERROR(VLOOKUP('2추일입'!$C18,구분표!$A$2:$C$1001,3,FALSE),"")</f>
        <v>보건복지국</v>
      </c>
      <c r="C18" s="176" t="s">
        <v>672</v>
      </c>
      <c r="D18" s="177" t="s">
        <v>618</v>
      </c>
      <c r="E18" s="177">
        <v>63</v>
      </c>
      <c r="F18" s="176" t="s">
        <v>678</v>
      </c>
      <c r="G18" s="178">
        <v>0</v>
      </c>
      <c r="H18" s="178">
        <v>43075</v>
      </c>
      <c r="I18" s="73" t="str">
        <f>IF(SUMPRODUCT(COUNTIF($D18,{"*본예산*","*1회추경*","*신규*"})),"-",G18-H18)</f>
        <v>-</v>
      </c>
      <c r="J18" s="178"/>
      <c r="K18" s="178">
        <v>12947</v>
      </c>
      <c r="L18" s="73">
        <f t="shared" ref="L18" si="34">IF(G18=0,H18+J18+K18,G18+J18+K18)</f>
        <v>56022</v>
      </c>
      <c r="M18" s="178"/>
      <c r="N18" s="178"/>
      <c r="O18" s="73">
        <f t="shared" ref="O18" si="35">IF(G18=0,H18+M18+N18,G18+M18+N18)</f>
        <v>43075</v>
      </c>
      <c r="P18" s="74" t="str">
        <f t="shared" ref="P18" si="36">IF(J18-M18&lt;0,"동의필요","-")</f>
        <v>-</v>
      </c>
      <c r="Q18" s="252" t="s">
        <v>679</v>
      </c>
      <c r="R18" s="75"/>
      <c r="S18" s="189"/>
      <c r="T18" s="75"/>
      <c r="U18" s="78" t="s">
        <v>675</v>
      </c>
      <c r="V18" s="178">
        <f t="shared" si="4"/>
        <v>12947</v>
      </c>
      <c r="W18" s="178">
        <f t="shared" si="5"/>
        <v>0</v>
      </c>
      <c r="X18" s="77" t="str">
        <f t="shared" si="6"/>
        <v>ok</v>
      </c>
      <c r="Y18" s="75"/>
      <c r="Z18" s="76" t="str">
        <f t="shared" si="7"/>
        <v>기금</v>
      </c>
      <c r="AA18" s="178">
        <f t="shared" si="8"/>
        <v>0</v>
      </c>
      <c r="AB18" s="178">
        <f t="shared" si="9"/>
        <v>0</v>
      </c>
      <c r="AC18" s="77" t="str">
        <f t="shared" si="10"/>
        <v>ok</v>
      </c>
      <c r="AD18" s="75"/>
      <c r="AE18" s="79" t="str">
        <f t="array" ref="AE18">IFERROR(IF($C18="","",INDEX(구분표!$I$2:$I$1001,MATCH(1,(구분표!$B$2:$B$1001='2추일입'!$A18)*(구분표!$C$2:$C$1001='2추일입'!$B18)*(구분표!$A$2:$A$1001='2추일입'!$C18),0))),"@@")</f>
        <v>1905</v>
      </c>
    </row>
    <row r="19" spans="1:31" ht="39.75" customHeight="1">
      <c r="A19" s="72" t="str">
        <f>IFERROR(VLOOKUP('2추일입'!$C19,구분표!$A$2:$C$1001,2,FALSE),"")</f>
        <v>보건복지위원회</v>
      </c>
      <c r="B19" s="72" t="str">
        <f>IFERROR(VLOOKUP('2추일입'!$C19,구분표!$A$2:$C$1001,3,FALSE),"")</f>
        <v>보건복지국</v>
      </c>
      <c r="C19" s="176" t="s">
        <v>672</v>
      </c>
      <c r="D19" s="177" t="s">
        <v>588</v>
      </c>
      <c r="E19" s="177">
        <v>67</v>
      </c>
      <c r="F19" s="176" t="s">
        <v>767</v>
      </c>
      <c r="G19" s="178">
        <v>0</v>
      </c>
      <c r="H19" s="178">
        <v>722301</v>
      </c>
      <c r="I19" s="73" t="str">
        <f>IF(SUMPRODUCT(COUNTIF($D19,{"*본예산*","*1회추경*","*신규*"})),"-",G19-H19)</f>
        <v>-</v>
      </c>
      <c r="J19" s="178"/>
      <c r="K19" s="178">
        <v>1928</v>
      </c>
      <c r="L19" s="73">
        <f t="shared" ref="L19" si="37">IF(G19=0,H19+J19+K19,G19+J19+K19)</f>
        <v>724229</v>
      </c>
      <c r="M19" s="178"/>
      <c r="N19" s="178"/>
      <c r="O19" s="73">
        <f t="shared" ref="O19" si="38">IF(G19=0,H19+M19+N19,G19+M19+N19)</f>
        <v>722301</v>
      </c>
      <c r="P19" s="74" t="str">
        <f t="shared" ref="P19" si="39">IF(J19-M19&lt;0,"동의필요","-")</f>
        <v>-</v>
      </c>
      <c r="Q19" s="252" t="s">
        <v>680</v>
      </c>
      <c r="R19" s="75"/>
      <c r="S19" s="189"/>
      <c r="T19" s="75"/>
      <c r="U19" s="78" t="s">
        <v>675</v>
      </c>
      <c r="V19" s="178">
        <f t="shared" si="4"/>
        <v>1928</v>
      </c>
      <c r="W19" s="178">
        <f t="shared" si="5"/>
        <v>0</v>
      </c>
      <c r="X19" s="77" t="str">
        <f t="shared" si="6"/>
        <v>ok</v>
      </c>
      <c r="Y19" s="75"/>
      <c r="Z19" s="76" t="str">
        <f t="shared" si="7"/>
        <v>기금</v>
      </c>
      <c r="AA19" s="178">
        <f t="shared" si="8"/>
        <v>0</v>
      </c>
      <c r="AB19" s="178">
        <f t="shared" si="9"/>
        <v>0</v>
      </c>
      <c r="AC19" s="77" t="str">
        <f t="shared" si="10"/>
        <v>ok</v>
      </c>
      <c r="AD19" s="75"/>
      <c r="AE19" s="79" t="str">
        <f t="array" ref="AE19">IFERROR(IF($C19="","",INDEX(구분표!$I$2:$I$1001,MATCH(1,(구분표!$B$2:$B$1001='2추일입'!$A19)*(구분표!$C$2:$C$1001='2추일입'!$B19)*(구분표!$A$2:$A$1001='2추일입'!$C19),0))),"@@")</f>
        <v>1905</v>
      </c>
    </row>
    <row r="20" spans="1:31" ht="39.75" customHeight="1">
      <c r="A20" s="72" t="str">
        <f>IFERROR(VLOOKUP('2추일입'!$C20,구분표!$A$2:$C$1001,2,FALSE),"")</f>
        <v>보건복지위원회</v>
      </c>
      <c r="B20" s="72" t="str">
        <f>IFERROR(VLOOKUP('2추일입'!$C20,구분표!$A$2:$C$1001,3,FALSE),"")</f>
        <v>보건복지국</v>
      </c>
      <c r="C20" s="176" t="s">
        <v>681</v>
      </c>
      <c r="D20" s="177" t="s">
        <v>605</v>
      </c>
      <c r="E20" s="177">
        <v>359</v>
      </c>
      <c r="F20" s="176" t="s">
        <v>765</v>
      </c>
      <c r="G20" s="178">
        <v>561434</v>
      </c>
      <c r="H20" s="178">
        <v>553547</v>
      </c>
      <c r="I20" s="73">
        <f>IF(SUMPRODUCT(COUNTIF($D20,{"*본예산*","*1회추경*","*신규*"})),"-",G20-H20)</f>
        <v>7887</v>
      </c>
      <c r="J20" s="178"/>
      <c r="K20" s="178">
        <v>550</v>
      </c>
      <c r="L20" s="73">
        <f t="shared" ref="L20" si="40">IF(G20=0,H20+J20+K20,G20+J20+K20)</f>
        <v>561984</v>
      </c>
      <c r="M20" s="178"/>
      <c r="N20" s="178"/>
      <c r="O20" s="73">
        <f t="shared" ref="O20" si="41">IF(G20=0,H20+M20+N20,G20+M20+N20)</f>
        <v>561434</v>
      </c>
      <c r="P20" s="74" t="str">
        <f t="shared" ref="P20" si="42">IF(J20-M20&lt;0,"동의필요","-")</f>
        <v>-</v>
      </c>
      <c r="Q20" s="252" t="s">
        <v>682</v>
      </c>
      <c r="R20" s="75"/>
      <c r="S20" s="189"/>
      <c r="T20" s="75"/>
      <c r="U20" s="78" t="s">
        <v>630</v>
      </c>
      <c r="V20" s="178">
        <f t="shared" si="4"/>
        <v>0</v>
      </c>
      <c r="W20" s="178">
        <f t="shared" si="5"/>
        <v>550</v>
      </c>
      <c r="X20" s="77" t="str">
        <f t="shared" si="6"/>
        <v>ok</v>
      </c>
      <c r="Y20" s="75"/>
      <c r="Z20" s="76" t="str">
        <f t="shared" si="7"/>
        <v>도비</v>
      </c>
      <c r="AA20" s="178">
        <f t="shared" si="8"/>
        <v>0</v>
      </c>
      <c r="AB20" s="178">
        <f t="shared" si="9"/>
        <v>0</v>
      </c>
      <c r="AC20" s="77" t="str">
        <f t="shared" si="10"/>
        <v>ok</v>
      </c>
      <c r="AD20" s="75"/>
      <c r="AE20" s="79" t="str">
        <f t="array" ref="AE20">IFERROR(IF($C20="","",INDEX(구분표!$I$2:$I$1001,MATCH(1,(구분표!$B$2:$B$1001='2추일입'!$A20)*(구분표!$C$2:$C$1001='2추일입'!$B20)*(구분표!$A$2:$A$1001='2추일입'!$C20),0))),"@@")</f>
        <v>1906</v>
      </c>
    </row>
    <row r="21" spans="1:31" ht="39.75" customHeight="1">
      <c r="A21" s="72" t="str">
        <f>IFERROR(VLOOKUP('2추일입'!$C21,구분표!$A$2:$C$1001,2,FALSE),"")</f>
        <v>보건복지위원회</v>
      </c>
      <c r="B21" s="72" t="str">
        <f>IFERROR(VLOOKUP('2추일입'!$C21,구분표!$A$2:$C$1001,3,FALSE),"")</f>
        <v>보건복지국</v>
      </c>
      <c r="C21" s="176" t="s">
        <v>681</v>
      </c>
      <c r="D21" s="177" t="s">
        <v>618</v>
      </c>
      <c r="E21" s="177">
        <v>63</v>
      </c>
      <c r="F21" s="176" t="s">
        <v>683</v>
      </c>
      <c r="G21" s="178">
        <v>0</v>
      </c>
      <c r="H21" s="178">
        <v>4389000</v>
      </c>
      <c r="I21" s="73" t="str">
        <f>IF(SUMPRODUCT(COUNTIF($D21,{"*본예산*","*1회추경*","*신규*"})),"-",G21-H21)</f>
        <v>-</v>
      </c>
      <c r="J21" s="178"/>
      <c r="K21" s="178">
        <v>829179</v>
      </c>
      <c r="L21" s="73">
        <f t="shared" ref="L21" si="43">IF(G21=0,H21+J21+K21,G21+J21+K21)</f>
        <v>5218179</v>
      </c>
      <c r="M21" s="178"/>
      <c r="N21" s="178"/>
      <c r="O21" s="73">
        <f t="shared" ref="O21" si="44">IF(G21=0,H21+M21+N21,G21+M21+N21)</f>
        <v>4389000</v>
      </c>
      <c r="P21" s="74" t="str">
        <f t="shared" ref="P21" si="45">IF(J21-M21&lt;0,"동의필요","-")</f>
        <v>-</v>
      </c>
      <c r="Q21" s="252" t="s">
        <v>684</v>
      </c>
      <c r="R21" s="75"/>
      <c r="S21" s="189"/>
      <c r="T21" s="75"/>
      <c r="U21" s="78" t="s">
        <v>675</v>
      </c>
      <c r="V21" s="178">
        <f t="shared" si="4"/>
        <v>829179</v>
      </c>
      <c r="W21" s="178">
        <f t="shared" si="5"/>
        <v>0</v>
      </c>
      <c r="X21" s="77" t="str">
        <f t="shared" si="6"/>
        <v>ok</v>
      </c>
      <c r="Y21" s="75"/>
      <c r="Z21" s="76" t="str">
        <f t="shared" si="7"/>
        <v>기금</v>
      </c>
      <c r="AA21" s="178">
        <f t="shared" si="8"/>
        <v>0</v>
      </c>
      <c r="AB21" s="178">
        <f t="shared" si="9"/>
        <v>0</v>
      </c>
      <c r="AC21" s="77" t="str">
        <f t="shared" si="10"/>
        <v>ok</v>
      </c>
      <c r="AD21" s="75"/>
      <c r="AE21" s="79" t="str">
        <f t="array" ref="AE21">IFERROR(IF($C21="","",INDEX(구분표!$I$2:$I$1001,MATCH(1,(구분표!$B$2:$B$1001='2추일입'!$A21)*(구분표!$C$2:$C$1001='2추일입'!$B21)*(구분표!$A$2:$A$1001='2추일입'!$C21),0))),"@@")</f>
        <v>1906</v>
      </c>
    </row>
    <row r="22" spans="1:31" ht="39.75" customHeight="1">
      <c r="A22" s="72" t="str">
        <f>IFERROR(VLOOKUP('2추일입'!$C22,구분표!$A$2:$C$1001,2,FALSE),"")</f>
        <v>보건복지위원회</v>
      </c>
      <c r="B22" s="72" t="str">
        <f>IFERROR(VLOOKUP('2추일입'!$C22,구분표!$A$2:$C$1001,3,FALSE),"")</f>
        <v>보건복지국</v>
      </c>
      <c r="C22" s="176" t="s">
        <v>681</v>
      </c>
      <c r="D22" s="177" t="s">
        <v>618</v>
      </c>
      <c r="E22" s="177">
        <v>63</v>
      </c>
      <c r="F22" s="176" t="s">
        <v>766</v>
      </c>
      <c r="G22" s="178">
        <v>0</v>
      </c>
      <c r="H22" s="178">
        <v>5289429</v>
      </c>
      <c r="I22" s="73" t="str">
        <f>IF(SUMPRODUCT(COUNTIF($D22,{"*본예산*","*1회추경*","*신규*"})),"-",G22-H22)</f>
        <v>-</v>
      </c>
      <c r="J22" s="178"/>
      <c r="K22" s="178">
        <v>605569</v>
      </c>
      <c r="L22" s="73">
        <f t="shared" ref="L22" si="46">IF(G22=0,H22+J22+K22,G22+J22+K22)</f>
        <v>5894998</v>
      </c>
      <c r="M22" s="178"/>
      <c r="N22" s="178"/>
      <c r="O22" s="73">
        <f t="shared" ref="O22" si="47">IF(G22=0,H22+M22+N22,G22+M22+N22)</f>
        <v>5289429</v>
      </c>
      <c r="P22" s="74" t="str">
        <f t="shared" ref="P22" si="48">IF(J22-M22&lt;0,"동의필요","-")</f>
        <v>-</v>
      </c>
      <c r="Q22" s="252" t="s">
        <v>685</v>
      </c>
      <c r="R22" s="75"/>
      <c r="S22" s="189"/>
      <c r="T22" s="75"/>
      <c r="U22" s="78" t="s">
        <v>675</v>
      </c>
      <c r="V22" s="178">
        <f t="shared" si="4"/>
        <v>605569</v>
      </c>
      <c r="W22" s="178">
        <f t="shared" si="5"/>
        <v>0</v>
      </c>
      <c r="X22" s="77" t="str">
        <f t="shared" si="6"/>
        <v>ok</v>
      </c>
      <c r="Y22" s="75"/>
      <c r="Z22" s="76" t="str">
        <f t="shared" si="7"/>
        <v>기금</v>
      </c>
      <c r="AA22" s="178">
        <f t="shared" si="8"/>
        <v>0</v>
      </c>
      <c r="AB22" s="178">
        <f t="shared" si="9"/>
        <v>0</v>
      </c>
      <c r="AC22" s="77" t="str">
        <f t="shared" si="10"/>
        <v>ok</v>
      </c>
      <c r="AD22" s="75"/>
      <c r="AE22" s="79" t="str">
        <f t="array" ref="AE22">IFERROR(IF($C22="","",INDEX(구분표!$I$2:$I$1001,MATCH(1,(구분표!$B$2:$B$1001='2추일입'!$A22)*(구분표!$C$2:$C$1001='2추일입'!$B22)*(구분표!$A$2:$A$1001='2추일입'!$C22),0))),"@@")</f>
        <v>1906</v>
      </c>
    </row>
    <row r="23" spans="1:31" ht="39.75" customHeight="1">
      <c r="A23" s="72" t="str">
        <f>IFERROR(VLOOKUP('2추일입'!$C23,구분표!$A$2:$C$1001,2,FALSE),"")</f>
        <v>보건복지위원회</v>
      </c>
      <c r="B23" s="72" t="str">
        <f>IFERROR(VLOOKUP('2추일입'!$C23,구분표!$A$2:$C$1001,3,FALSE),"")</f>
        <v>복지여성실</v>
      </c>
      <c r="C23" s="176" t="s">
        <v>595</v>
      </c>
      <c r="D23" s="177" t="s">
        <v>632</v>
      </c>
      <c r="E23" s="177"/>
      <c r="F23" s="176" t="s">
        <v>631</v>
      </c>
      <c r="G23" s="178">
        <v>0</v>
      </c>
      <c r="H23" s="178">
        <v>0</v>
      </c>
      <c r="I23" s="73" t="str">
        <f>IF(SUMPRODUCT(COUNTIF($D23,{"*본예산*","*1회추경*","*신규*"})),"-",G23-H23)</f>
        <v>-</v>
      </c>
      <c r="J23" s="178"/>
      <c r="K23" s="178">
        <v>4200</v>
      </c>
      <c r="L23" s="73">
        <f t="shared" ref="L23" si="49">IF(G23=0,H23+J23+K23,G23+J23+K23)</f>
        <v>4200</v>
      </c>
      <c r="M23" s="178"/>
      <c r="N23" s="178"/>
      <c r="O23" s="73">
        <f t="shared" ref="O23" si="50">IF(G23=0,H23+M23+N23,G23+M23+N23)</f>
        <v>0</v>
      </c>
      <c r="P23" s="74" t="str">
        <f t="shared" ref="P23" si="51">IF(J23-M23&lt;0,"동의필요","-")</f>
        <v>-</v>
      </c>
      <c r="Q23" s="252"/>
      <c r="R23" s="75"/>
      <c r="S23" s="189"/>
      <c r="T23" s="75"/>
      <c r="U23" s="78" t="s">
        <v>630</v>
      </c>
      <c r="V23" s="178">
        <f t="shared" si="4"/>
        <v>0</v>
      </c>
      <c r="W23" s="178">
        <f t="shared" si="5"/>
        <v>4200</v>
      </c>
      <c r="X23" s="77" t="str">
        <f t="shared" si="6"/>
        <v>ok</v>
      </c>
      <c r="Y23" s="75"/>
      <c r="Z23" s="76" t="str">
        <f t="shared" si="7"/>
        <v>도비</v>
      </c>
      <c r="AA23" s="178">
        <f t="shared" si="8"/>
        <v>0</v>
      </c>
      <c r="AB23" s="178">
        <f t="shared" si="9"/>
        <v>0</v>
      </c>
      <c r="AC23" s="77" t="str">
        <f t="shared" si="10"/>
        <v>ok</v>
      </c>
      <c r="AD23" s="75"/>
      <c r="AE23" s="79" t="str">
        <f t="array" ref="AE23">IFERROR(IF($C23="","",INDEX(구분표!$I$2:$I$1001,MATCH(1,(구분표!$B$2:$B$1001='2추일입'!$A23)*(구분표!$C$2:$C$1001='2추일입'!$B23)*(구분표!$A$2:$A$1001='2추일입'!$C23),0))),"@@")</f>
        <v>2002</v>
      </c>
    </row>
    <row r="24" spans="1:31" ht="24" customHeight="1"/>
    <row r="25" spans="1:31" ht="24" customHeight="1"/>
  </sheetData>
  <sheetProtection formatCells="0" formatColumns="0" formatRows="0" autoFilter="0"/>
  <autoFilter ref="A6:AF23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7 S24:S645">
    <cfRule type="containsText" dxfId="88" priority="51" operator="containsText" text="국도비">
      <formula>NOT(ISERROR(SEARCH("국도비",S7)))</formula>
    </cfRule>
  </conditionalFormatting>
  <conditionalFormatting sqref="G7 G24:G645">
    <cfRule type="expression" dxfId="87" priority="50">
      <formula>($D7="2회추경")</formula>
    </cfRule>
  </conditionalFormatting>
  <conditionalFormatting sqref="T7:W7 AA7:AC7 AA24:AC645 T24:W645">
    <cfRule type="containsText" dxfId="86" priority="49" operator="containsText" text="직접입력">
      <formula>NOT(ISERROR(SEARCH("직접입력",T7)))</formula>
    </cfRule>
  </conditionalFormatting>
  <conditionalFormatting sqref="S23">
    <cfRule type="containsText" dxfId="85" priority="48" operator="containsText" text="국도비">
      <formula>NOT(ISERROR(SEARCH("국도비",S23)))</formula>
    </cfRule>
  </conditionalFormatting>
  <conditionalFormatting sqref="G23">
    <cfRule type="expression" dxfId="84" priority="47">
      <formula>($D23="2회추경")</formula>
    </cfRule>
  </conditionalFormatting>
  <conditionalFormatting sqref="T23:W23 AA23:AC23">
    <cfRule type="containsText" dxfId="83" priority="46" operator="containsText" text="직접입력">
      <formula>NOT(ISERROR(SEARCH("직접입력",T23)))</formula>
    </cfRule>
  </conditionalFormatting>
  <conditionalFormatting sqref="S10">
    <cfRule type="containsText" dxfId="82" priority="45" operator="containsText" text="국도비">
      <formula>NOT(ISERROR(SEARCH("국도비",S10)))</formula>
    </cfRule>
  </conditionalFormatting>
  <conditionalFormatting sqref="G10">
    <cfRule type="expression" dxfId="81" priority="44">
      <formula>($D10="2회추경")</formula>
    </cfRule>
  </conditionalFormatting>
  <conditionalFormatting sqref="T10:W10 AA10:AC10">
    <cfRule type="containsText" dxfId="80" priority="43" operator="containsText" text="직접입력">
      <formula>NOT(ISERROR(SEARCH("직접입력",T10)))</formula>
    </cfRule>
  </conditionalFormatting>
  <conditionalFormatting sqref="S9">
    <cfRule type="containsText" dxfId="79" priority="42" operator="containsText" text="국도비">
      <formula>NOT(ISERROR(SEARCH("국도비",S9)))</formula>
    </cfRule>
  </conditionalFormatting>
  <conditionalFormatting sqref="G9">
    <cfRule type="expression" dxfId="78" priority="41">
      <formula>($D9="2회추경")</formula>
    </cfRule>
  </conditionalFormatting>
  <conditionalFormatting sqref="T9:W9 AA9:AC9">
    <cfRule type="containsText" dxfId="77" priority="40" operator="containsText" text="직접입력">
      <formula>NOT(ISERROR(SEARCH("직접입력",T9)))</formula>
    </cfRule>
  </conditionalFormatting>
  <conditionalFormatting sqref="S8">
    <cfRule type="containsText" dxfId="76" priority="39" operator="containsText" text="국도비">
      <formula>NOT(ISERROR(SEARCH("국도비",S8)))</formula>
    </cfRule>
  </conditionalFormatting>
  <conditionalFormatting sqref="G8">
    <cfRule type="expression" dxfId="75" priority="38">
      <formula>($D8="2회추경")</formula>
    </cfRule>
  </conditionalFormatting>
  <conditionalFormatting sqref="T8:W8 AA8:AC8">
    <cfRule type="containsText" dxfId="74" priority="37" operator="containsText" text="직접입력">
      <formula>NOT(ISERROR(SEARCH("직접입력",T8)))</formula>
    </cfRule>
  </conditionalFormatting>
  <conditionalFormatting sqref="S11">
    <cfRule type="containsText" dxfId="73" priority="36" operator="containsText" text="국도비">
      <formula>NOT(ISERROR(SEARCH("국도비",S11)))</formula>
    </cfRule>
  </conditionalFormatting>
  <conditionalFormatting sqref="G11">
    <cfRule type="expression" dxfId="72" priority="35">
      <formula>($D11="2회추경")</formula>
    </cfRule>
  </conditionalFormatting>
  <conditionalFormatting sqref="T11:W11 AA11:AC11">
    <cfRule type="containsText" dxfId="71" priority="34" operator="containsText" text="직접입력">
      <formula>NOT(ISERROR(SEARCH("직접입력",T11)))</formula>
    </cfRule>
  </conditionalFormatting>
  <conditionalFormatting sqref="S13">
    <cfRule type="containsText" dxfId="70" priority="33" operator="containsText" text="국도비">
      <formula>NOT(ISERROR(SEARCH("국도비",S13)))</formula>
    </cfRule>
  </conditionalFormatting>
  <conditionalFormatting sqref="G13">
    <cfRule type="expression" dxfId="69" priority="32">
      <formula>($D13="2회추경")</formula>
    </cfRule>
  </conditionalFormatting>
  <conditionalFormatting sqref="T13:W13 AA13:AC13">
    <cfRule type="containsText" dxfId="68" priority="31" operator="containsText" text="직접입력">
      <formula>NOT(ISERROR(SEARCH("직접입력",T13)))</formula>
    </cfRule>
  </conditionalFormatting>
  <conditionalFormatting sqref="S14">
    <cfRule type="containsText" dxfId="67" priority="30" operator="containsText" text="국도비">
      <formula>NOT(ISERROR(SEARCH("국도비",S14)))</formula>
    </cfRule>
  </conditionalFormatting>
  <conditionalFormatting sqref="G14">
    <cfRule type="expression" dxfId="66" priority="29">
      <formula>($D14="2회추경")</formula>
    </cfRule>
  </conditionalFormatting>
  <conditionalFormatting sqref="T14:W14 AA14:AC14">
    <cfRule type="containsText" dxfId="65" priority="28" operator="containsText" text="직접입력">
      <formula>NOT(ISERROR(SEARCH("직접입력",T14)))</formula>
    </cfRule>
  </conditionalFormatting>
  <conditionalFormatting sqref="S15">
    <cfRule type="containsText" dxfId="64" priority="27" operator="containsText" text="국도비">
      <formula>NOT(ISERROR(SEARCH("국도비",S15)))</formula>
    </cfRule>
  </conditionalFormatting>
  <conditionalFormatting sqref="G15">
    <cfRule type="expression" dxfId="63" priority="26">
      <formula>($D15="2회추경")</formula>
    </cfRule>
  </conditionalFormatting>
  <conditionalFormatting sqref="T15:W15 AA15:AC15">
    <cfRule type="containsText" dxfId="62" priority="25" operator="containsText" text="직접입력">
      <formula>NOT(ISERROR(SEARCH("직접입력",T15)))</formula>
    </cfRule>
  </conditionalFormatting>
  <conditionalFormatting sqref="S16">
    <cfRule type="containsText" dxfId="61" priority="24" operator="containsText" text="국도비">
      <formula>NOT(ISERROR(SEARCH("국도비",S16)))</formula>
    </cfRule>
  </conditionalFormatting>
  <conditionalFormatting sqref="G16">
    <cfRule type="expression" dxfId="60" priority="23">
      <formula>($D16="2회추경")</formula>
    </cfRule>
  </conditionalFormatting>
  <conditionalFormatting sqref="T16:W16 AA16:AC16">
    <cfRule type="containsText" dxfId="59" priority="22" operator="containsText" text="직접입력">
      <formula>NOT(ISERROR(SEARCH("직접입력",T16)))</formula>
    </cfRule>
  </conditionalFormatting>
  <conditionalFormatting sqref="S17">
    <cfRule type="containsText" dxfId="58" priority="21" operator="containsText" text="국도비">
      <formula>NOT(ISERROR(SEARCH("국도비",S17)))</formula>
    </cfRule>
  </conditionalFormatting>
  <conditionalFormatting sqref="G17">
    <cfRule type="expression" dxfId="57" priority="20">
      <formula>($D17="2회추경")</formula>
    </cfRule>
  </conditionalFormatting>
  <conditionalFormatting sqref="T17:W17 AA17:AC17">
    <cfRule type="containsText" dxfId="56" priority="19" operator="containsText" text="직접입력">
      <formula>NOT(ISERROR(SEARCH("직접입력",T17)))</formula>
    </cfRule>
  </conditionalFormatting>
  <conditionalFormatting sqref="S18">
    <cfRule type="containsText" dxfId="55" priority="18" operator="containsText" text="국도비">
      <formula>NOT(ISERROR(SEARCH("국도비",S18)))</formula>
    </cfRule>
  </conditionalFormatting>
  <conditionalFormatting sqref="G18">
    <cfRule type="expression" dxfId="54" priority="17">
      <formula>($D18="2회추경")</formula>
    </cfRule>
  </conditionalFormatting>
  <conditionalFormatting sqref="T18:W18 AA18:AC18">
    <cfRule type="containsText" dxfId="53" priority="16" operator="containsText" text="직접입력">
      <formula>NOT(ISERROR(SEARCH("직접입력",T18)))</formula>
    </cfRule>
  </conditionalFormatting>
  <conditionalFormatting sqref="S19">
    <cfRule type="containsText" dxfId="52" priority="15" operator="containsText" text="국도비">
      <formula>NOT(ISERROR(SEARCH("국도비",S19)))</formula>
    </cfRule>
  </conditionalFormatting>
  <conditionalFormatting sqref="G19">
    <cfRule type="expression" dxfId="51" priority="14">
      <formula>($D19="2회추경")</formula>
    </cfRule>
  </conditionalFormatting>
  <conditionalFormatting sqref="T19:W19 AA19:AC19">
    <cfRule type="containsText" dxfId="50" priority="13" operator="containsText" text="직접입력">
      <formula>NOT(ISERROR(SEARCH("직접입력",T19)))</formula>
    </cfRule>
  </conditionalFormatting>
  <conditionalFormatting sqref="S20">
    <cfRule type="containsText" dxfId="49" priority="12" operator="containsText" text="국도비">
      <formula>NOT(ISERROR(SEARCH("국도비",S20)))</formula>
    </cfRule>
  </conditionalFormatting>
  <conditionalFormatting sqref="G20">
    <cfRule type="expression" dxfId="48" priority="11">
      <formula>($D20="2회추경")</formula>
    </cfRule>
  </conditionalFormatting>
  <conditionalFormatting sqref="T20:W20 AA20:AC20">
    <cfRule type="containsText" dxfId="47" priority="10" operator="containsText" text="직접입력">
      <formula>NOT(ISERROR(SEARCH("직접입력",T20)))</formula>
    </cfRule>
  </conditionalFormatting>
  <conditionalFormatting sqref="S21">
    <cfRule type="containsText" dxfId="46" priority="9" operator="containsText" text="국도비">
      <formula>NOT(ISERROR(SEARCH("국도비",S21)))</formula>
    </cfRule>
  </conditionalFormatting>
  <conditionalFormatting sqref="G21">
    <cfRule type="expression" dxfId="45" priority="8">
      <formula>($D21="2회추경")</formula>
    </cfRule>
  </conditionalFormatting>
  <conditionalFormatting sqref="T21:W21 AA21:AC21">
    <cfRule type="containsText" dxfId="44" priority="7" operator="containsText" text="직접입력">
      <formula>NOT(ISERROR(SEARCH("직접입력",T21)))</formula>
    </cfRule>
  </conditionalFormatting>
  <conditionalFormatting sqref="S22">
    <cfRule type="containsText" dxfId="43" priority="6" operator="containsText" text="국도비">
      <formula>NOT(ISERROR(SEARCH("국도비",S22)))</formula>
    </cfRule>
  </conditionalFormatting>
  <conditionalFormatting sqref="G22">
    <cfRule type="expression" dxfId="42" priority="5">
      <formula>($D22="2회추경")</formula>
    </cfRule>
  </conditionalFormatting>
  <conditionalFormatting sqref="T22:W22 AA22:AC22">
    <cfRule type="containsText" dxfId="41" priority="4" operator="containsText" text="직접입력">
      <formula>NOT(ISERROR(SEARCH("직접입력",T22)))</formula>
    </cfRule>
  </conditionalFormatting>
  <conditionalFormatting sqref="S12">
    <cfRule type="containsText" dxfId="40" priority="3" operator="containsText" text="국도비">
      <formula>NOT(ISERROR(SEARCH("국도비",S12)))</formula>
    </cfRule>
  </conditionalFormatting>
  <conditionalFormatting sqref="G12">
    <cfRule type="expression" dxfId="39" priority="2">
      <formula>($D12="2회추경")</formula>
    </cfRule>
  </conditionalFormatting>
  <conditionalFormatting sqref="AA12:AC12 T12:W12">
    <cfRule type="containsText" dxfId="38" priority="1" operator="containsText" text="직접입력">
      <formula>NOT(ISERROR(SEARCH("직접입력",T12)))</formula>
    </cfRule>
  </conditionalFormatting>
  <printOptions horizontalCentered="1"/>
  <pageMargins left="0.35433070866141736" right="0.31496062992125984" top="0.59055118110236227" bottom="0.39370078740157483" header="0.51181102362204722" footer="0.31496062992125984"/>
  <pageSetup paperSize="9" scale="63" fitToHeight="0" orientation="landscape" horizontalDpi="4294967293" verticalDpi="4294967293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구분표!$K$2:$K$7</xm:f>
          </x14:formula1>
          <xm:sqref>U7:U11 U13:U23</xm:sqref>
        </x14:dataValidation>
        <x14:dataValidation type="list" allowBlank="1" showInputMessage="1" showErrorMessage="1">
          <x14:formula1>
            <xm:f>구분표!$O$2:$O$5</xm:f>
          </x14:formula1>
          <xm:sqref>D7:D11 D13:D23</xm:sqref>
        </x14:dataValidation>
        <x14:dataValidation type="list" allowBlank="1" showInputMessage="1" showErrorMessage="1">
          <x14:formula1>
            <xm:f>[5]구분표!#REF!</xm:f>
          </x14:formula1>
          <xm:sqref>D12 U12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7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C3" sqref="C3"/>
    </sheetView>
  </sheetViews>
  <sheetFormatPr defaultColWidth="8.75" defaultRowHeight="13.5"/>
  <cols>
    <col min="1" max="1" width="12.25" style="38" customWidth="1"/>
    <col min="2" max="2" width="10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6.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15.5" style="38" customWidth="1"/>
    <col min="18" max="18" width="3" style="38" hidden="1" customWidth="1"/>
    <col min="19" max="19" width="6.125" style="11" hidden="1" customWidth="1"/>
    <col min="20" max="20" width="3" style="38" hidden="1" customWidth="1"/>
    <col min="21" max="21" width="6.125" style="25" hidden="1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89" t="s">
        <v>562</v>
      </c>
      <c r="B1" s="389"/>
      <c r="C1" s="389"/>
      <c r="D1" s="389"/>
      <c r="E1" s="389"/>
      <c r="F1" s="389"/>
      <c r="G1" s="390"/>
      <c r="H1" s="390"/>
      <c r="I1" s="390"/>
      <c r="J1" s="389"/>
      <c r="K1" s="389"/>
      <c r="L1" s="389"/>
      <c r="M1" s="389"/>
      <c r="N1" s="389"/>
      <c r="O1" s="389"/>
      <c r="P1" s="389"/>
      <c r="Q1" s="389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J3" s="67">
        <f>COUNTA(J7:J35)</f>
        <v>11</v>
      </c>
      <c r="K3" s="67">
        <f>COUNTA(K7:K35)</f>
        <v>18</v>
      </c>
      <c r="L3" s="281">
        <f>J6+K6</f>
        <v>-10509862</v>
      </c>
      <c r="M3" s="67">
        <f>COUNTA(M25:M35)</f>
        <v>0</v>
      </c>
      <c r="N3" s="67">
        <f>COUNTA(N25:N35)</f>
        <v>0</v>
      </c>
      <c r="O3" s="25"/>
      <c r="P3" s="30"/>
      <c r="Q3" s="62" t="s">
        <v>9</v>
      </c>
      <c r="V3" s="27" t="str">
        <f>IF(V6='2추일입'!$V$6,"OK","@@")</f>
        <v>OK</v>
      </c>
      <c r="W3" s="38">
        <f>V6+W6</f>
        <v>-10509862</v>
      </c>
      <c r="X3" s="27" t="str">
        <f>IF(COUNTIF(X6:X928,"@@")&gt;0,"@@","OK")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IF(COUNTIF(AC6:AC928,"@@")&gt;0,"@@","OK")</f>
        <v>OK</v>
      </c>
      <c r="AE3" s="63"/>
    </row>
    <row r="4" spans="1:31" ht="30" customHeight="1">
      <c r="A4" s="391" t="s">
        <v>555</v>
      </c>
      <c r="B4" s="395" t="s">
        <v>141</v>
      </c>
      <c r="C4" s="391" t="s">
        <v>4</v>
      </c>
      <c r="D4" s="393" t="s">
        <v>142</v>
      </c>
      <c r="E4" s="394" t="s">
        <v>81</v>
      </c>
      <c r="F4" s="391" t="s">
        <v>143</v>
      </c>
      <c r="G4" s="394" t="s">
        <v>137</v>
      </c>
      <c r="H4" s="394" t="s">
        <v>135</v>
      </c>
      <c r="I4" s="394" t="s">
        <v>138</v>
      </c>
      <c r="J4" s="360" t="s">
        <v>139</v>
      </c>
      <c r="K4" s="361"/>
      <c r="L4" s="362" t="s">
        <v>80</v>
      </c>
      <c r="M4" s="380" t="s">
        <v>140</v>
      </c>
      <c r="N4" s="379"/>
      <c r="O4" s="377" t="s">
        <v>136</v>
      </c>
      <c r="P4" s="383" t="s">
        <v>144</v>
      </c>
      <c r="Q4" s="384" t="s">
        <v>134</v>
      </c>
      <c r="S4" s="381" t="s">
        <v>554</v>
      </c>
      <c r="U4" s="385" t="s">
        <v>6</v>
      </c>
      <c r="V4" s="376" t="s">
        <v>8</v>
      </c>
      <c r="W4" s="361"/>
      <c r="X4" s="361"/>
      <c r="Z4" s="387" t="s">
        <v>6</v>
      </c>
      <c r="AA4" s="379" t="s">
        <v>79</v>
      </c>
      <c r="AB4" s="379"/>
      <c r="AC4" s="379"/>
      <c r="AE4" s="381" t="s">
        <v>145</v>
      </c>
    </row>
    <row r="5" spans="1:31" ht="18" customHeight="1">
      <c r="A5" s="392"/>
      <c r="B5" s="396"/>
      <c r="C5" s="392"/>
      <c r="D5" s="392"/>
      <c r="E5" s="394"/>
      <c r="F5" s="392"/>
      <c r="G5" s="384"/>
      <c r="H5" s="384"/>
      <c r="I5" s="384"/>
      <c r="J5" s="61" t="s">
        <v>0</v>
      </c>
      <c r="K5" s="61" t="s">
        <v>1</v>
      </c>
      <c r="L5" s="363"/>
      <c r="M5" s="60" t="s">
        <v>0</v>
      </c>
      <c r="N5" s="60" t="s">
        <v>1</v>
      </c>
      <c r="O5" s="378"/>
      <c r="P5" s="383"/>
      <c r="Q5" s="384"/>
      <c r="S5" s="382"/>
      <c r="U5" s="386"/>
      <c r="V5" s="238" t="s">
        <v>3</v>
      </c>
      <c r="W5" s="238" t="s">
        <v>2</v>
      </c>
      <c r="X5" s="238" t="s">
        <v>77</v>
      </c>
      <c r="Z5" s="388"/>
      <c r="AA5" s="60" t="s">
        <v>3</v>
      </c>
      <c r="AB5" s="60" t="s">
        <v>2</v>
      </c>
      <c r="AC5" s="60" t="s">
        <v>77</v>
      </c>
      <c r="AE5" s="382"/>
    </row>
    <row r="6" spans="1:31" ht="47.25" customHeight="1">
      <c r="A6" s="175" t="s">
        <v>585</v>
      </c>
      <c r="B6" s="257" t="s">
        <v>585</v>
      </c>
      <c r="C6" s="13"/>
      <c r="D6" s="175" t="s">
        <v>579</v>
      </c>
      <c r="E6" s="14"/>
      <c r="F6" s="175" t="s">
        <v>587</v>
      </c>
      <c r="G6" s="19">
        <f t="shared" ref="G6:L6" si="0">SUBTOTAL(9,G7:G840)</f>
        <v>1399375985</v>
      </c>
      <c r="H6" s="19">
        <f t="shared" si="0"/>
        <v>1619302025</v>
      </c>
      <c r="I6" s="19">
        <f t="shared" si="0"/>
        <v>29748719</v>
      </c>
      <c r="J6" s="19">
        <f t="shared" si="0"/>
        <v>-18660181</v>
      </c>
      <c r="K6" s="19">
        <f t="shared" si="0"/>
        <v>8150319</v>
      </c>
      <c r="L6" s="19">
        <f t="shared" si="0"/>
        <v>1638540882</v>
      </c>
      <c r="M6" s="19">
        <f>SUBTOTAL(9,M25:M840)</f>
        <v>0</v>
      </c>
      <c r="N6" s="19">
        <f>SUBTOTAL(9,N25:N840)</f>
        <v>0</v>
      </c>
      <c r="O6" s="19">
        <f>SUBTOTAL(9,O25:O840)</f>
        <v>527650642</v>
      </c>
      <c r="P6" s="37"/>
      <c r="Q6" s="28"/>
      <c r="S6" s="39"/>
      <c r="U6" s="201" t="s">
        <v>590</v>
      </c>
      <c r="V6" s="19">
        <f>SUBTOTAL(9,V7:V840)</f>
        <v>-9083646</v>
      </c>
      <c r="W6" s="19">
        <f>SUBTOTAL(9,W7:W840)</f>
        <v>-1426216</v>
      </c>
      <c r="X6" s="29" t="str">
        <f>IF((J6+K6)=(V6+W6),"OK","검토")</f>
        <v>OK</v>
      </c>
      <c r="Z6" s="53"/>
      <c r="AA6" s="19">
        <f>SUBTOTAL(9,AA25:AA840)</f>
        <v>0</v>
      </c>
      <c r="AB6" s="19">
        <f>SUBTOTAL(9,AB25:AB840)</f>
        <v>0</v>
      </c>
      <c r="AC6" s="29" t="str">
        <f>IF((M6+N6)=(AA6+AB6),"OK","검토")</f>
        <v>OK</v>
      </c>
      <c r="AE6" s="29" t="str">
        <f>IF(COUNTIF(AE25:AE657,"@@")&gt;0,"@@","OK")</f>
        <v>OK</v>
      </c>
    </row>
    <row r="7" spans="1:31" s="24" customFormat="1" ht="57.6" customHeight="1">
      <c r="A7" s="226" t="str">
        <f>IFERROR(VLOOKUP('2추일출'!$C7,구분표!$A$2:$C$1001,2,FALSE),"")</f>
        <v>보건복지위원회</v>
      </c>
      <c r="B7" s="226" t="str">
        <f>IFERROR(VLOOKUP('2추일출'!$C7,구분표!$A$2:$C$1001,3,FALSE),"")</f>
        <v>보건복지국</v>
      </c>
      <c r="C7" s="227" t="s">
        <v>633</v>
      </c>
      <c r="D7" s="228" t="s">
        <v>570</v>
      </c>
      <c r="E7" s="228">
        <v>361</v>
      </c>
      <c r="F7" s="227" t="s">
        <v>635</v>
      </c>
      <c r="G7" s="184">
        <v>290337772</v>
      </c>
      <c r="H7" s="184">
        <v>285856843</v>
      </c>
      <c r="I7" s="229">
        <f>IF(SUMPRODUCT(COUNTIF($D7,{"*본예산*","*1회추경*","*신규*"})),"-",G7-H7)</f>
        <v>4480929</v>
      </c>
      <c r="J7" s="184">
        <v>-2188023</v>
      </c>
      <c r="K7" s="184"/>
      <c r="L7" s="229">
        <f t="shared" ref="L7" si="1">IF(G7=0,H7+J7+K7,G7+J7+K7)</f>
        <v>288149749</v>
      </c>
      <c r="M7" s="184"/>
      <c r="N7" s="184"/>
      <c r="O7" s="229">
        <f t="shared" ref="O7" si="2">IF(G7=0,H7+M7+N7,G7+M7+N7)</f>
        <v>290337772</v>
      </c>
      <c r="P7" s="230" t="str">
        <f t="shared" ref="P7" si="3">IF(J7-M7&lt;0,"동의필요","-")</f>
        <v>동의필요</v>
      </c>
      <c r="Q7" s="294" t="s">
        <v>634</v>
      </c>
      <c r="R7" s="80"/>
      <c r="S7" s="190"/>
      <c r="T7" s="80"/>
      <c r="U7" s="78" t="str">
        <f t="shared" ref="U7:U35" si="4"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84">
        <v>-1929180</v>
      </c>
      <c r="W7" s="178">
        <f t="shared" ref="W7:W24" si="5">IF($U7="도비",SUM($J7:$K7),IF($S7="국도비","직접입력",SUM($J7:$K7)-$V7))</f>
        <v>-258843</v>
      </c>
      <c r="X7" s="231" t="str">
        <f t="shared" ref="X7:X35" si="6">IF($S7="국도비","ok",IF(($J7+$K7)=($V7+$W7),"ok","검토"))</f>
        <v>ok</v>
      </c>
      <c r="Y7" s="80"/>
      <c r="Z7" s="232" t="str">
        <f t="shared" ref="Z7:Z35" si="7">$U7</f>
        <v>국비</v>
      </c>
      <c r="AA7" s="184">
        <f t="shared" ref="AA7:AA14" si="8">IF($Z7&lt;&gt;"도비",IF($S7="국도비","직접입력",SUM($M7:$N7)),)</f>
        <v>0</v>
      </c>
      <c r="AB7" s="184">
        <f t="shared" ref="AB7:AB14" si="9">IF($Z7="도비",SUM($M7:$N7),IF($S7="국도비","직접입력",SUM($M7:$N7)-$AA7))</f>
        <v>0</v>
      </c>
      <c r="AC7" s="231" t="str">
        <f t="shared" ref="AC7:AC35" si="10">IF($S7="국도비","ok",IF(($M7+$N7)=($AA7+$AB7),"ok","검토"))</f>
        <v>ok</v>
      </c>
      <c r="AD7" s="80"/>
      <c r="AE7" s="233" t="str">
        <f t="array" ref="AE7">IFERROR(IF($C7="","",INDEX(구분표!$I$2:$I$1001,MATCH(1,(구분표!$B$2:$B$1001='2추일출'!$A7)*(구분표!$C$2:$C$1001='2추일출'!$B7)*(구분표!$A$2:$A$1001='2추일출'!$C7),0))),"@@")</f>
        <v>1901</v>
      </c>
    </row>
    <row r="8" spans="1:31" s="24" customFormat="1" ht="57.6" customHeight="1">
      <c r="A8" s="226" t="str">
        <f>IFERROR(VLOOKUP('2추일출'!$C8,구분표!$A$2:$C$1001,2,FALSE),"")</f>
        <v>보건복지위원회</v>
      </c>
      <c r="B8" s="226" t="str">
        <f>IFERROR(VLOOKUP('2추일출'!$C8,구분표!$A$2:$C$1001,3,FALSE),"")</f>
        <v>보건복지국</v>
      </c>
      <c r="C8" s="227" t="s">
        <v>637</v>
      </c>
      <c r="D8" s="228" t="s">
        <v>599</v>
      </c>
      <c r="E8" s="228">
        <v>254</v>
      </c>
      <c r="F8" s="227" t="s">
        <v>636</v>
      </c>
      <c r="G8" s="184">
        <v>0</v>
      </c>
      <c r="H8" s="184">
        <v>80910727</v>
      </c>
      <c r="I8" s="229" t="str">
        <f>IF(SUMPRODUCT(COUNTIF($D8,{"*본예산*","*1회추경*","*신규*"})),"-",G8-H8)</f>
        <v>-</v>
      </c>
      <c r="J8" s="184">
        <v>-6118357</v>
      </c>
      <c r="K8" s="184"/>
      <c r="L8" s="229">
        <f t="shared" ref="L8:L11" si="11">IF(G8=0,H8+J8+K8,G8+J8+K8)</f>
        <v>74792370</v>
      </c>
      <c r="M8" s="184"/>
      <c r="N8" s="184"/>
      <c r="O8" s="229">
        <f t="shared" ref="O8:O11" si="12">IF(G8=0,H8+M8+N8,G8+M8+N8)</f>
        <v>80910727</v>
      </c>
      <c r="P8" s="230" t="str">
        <f t="shared" ref="P8:P11" si="13">IF(J8-M8&lt;0,"동의필요","-")</f>
        <v>동의필요</v>
      </c>
      <c r="Q8" s="294" t="s">
        <v>634</v>
      </c>
      <c r="R8" s="80"/>
      <c r="S8" s="190"/>
      <c r="T8" s="80"/>
      <c r="U8" s="78" t="str">
        <f t="shared" si="4"/>
        <v>국비</v>
      </c>
      <c r="V8" s="184">
        <v>-5383455</v>
      </c>
      <c r="W8" s="184">
        <f t="shared" si="5"/>
        <v>-734902</v>
      </c>
      <c r="X8" s="231" t="str">
        <f t="shared" si="6"/>
        <v>ok</v>
      </c>
      <c r="Y8" s="80"/>
      <c r="Z8" s="232" t="str">
        <f t="shared" si="7"/>
        <v>국비</v>
      </c>
      <c r="AA8" s="184">
        <f t="shared" si="8"/>
        <v>0</v>
      </c>
      <c r="AB8" s="184">
        <f t="shared" si="9"/>
        <v>0</v>
      </c>
      <c r="AC8" s="231" t="str">
        <f t="shared" si="10"/>
        <v>ok</v>
      </c>
      <c r="AD8" s="80"/>
      <c r="AE8" s="233" t="str">
        <f t="array" ref="AE8">IFERROR(IF($C8="","",INDEX(구분표!$I$2:$I$1001,MATCH(1,(구분표!$B$2:$B$1001='2추일출'!$A8)*(구분표!$C$2:$C$1001='2추일출'!$B8)*(구분표!$A$2:$A$1001='2추일출'!$C8),0))),"@@")</f>
        <v>1901</v>
      </c>
    </row>
    <row r="9" spans="1:31" s="24" customFormat="1" ht="57.6" customHeight="1">
      <c r="A9" s="226" t="str">
        <f>IFERROR(VLOOKUP('2추일출'!$C9,구분표!$A$2:$C$1001,2,FALSE),"")</f>
        <v>보건복지위원회</v>
      </c>
      <c r="B9" s="226" t="str">
        <f>IFERROR(VLOOKUP('2추일출'!$C9,구분표!$A$2:$C$1001,3,FALSE),"")</f>
        <v>보건복지국</v>
      </c>
      <c r="C9" s="227" t="s">
        <v>638</v>
      </c>
      <c r="D9" s="228" t="s">
        <v>632</v>
      </c>
      <c r="E9" s="228"/>
      <c r="F9" s="227" t="s">
        <v>639</v>
      </c>
      <c r="G9" s="184">
        <v>0</v>
      </c>
      <c r="H9" s="184">
        <v>0</v>
      </c>
      <c r="I9" s="229" t="str">
        <f>IF(SUMPRODUCT(COUNTIF($D9,{"*본예산*","*1회추경*","*신규*"})),"-",G9-H9)</f>
        <v>-</v>
      </c>
      <c r="J9" s="184"/>
      <c r="K9" s="184">
        <v>1000</v>
      </c>
      <c r="L9" s="229">
        <f t="shared" si="11"/>
        <v>1000</v>
      </c>
      <c r="M9" s="184"/>
      <c r="N9" s="184"/>
      <c r="O9" s="229">
        <f t="shared" si="12"/>
        <v>0</v>
      </c>
      <c r="P9" s="230" t="str">
        <f t="shared" si="13"/>
        <v>-</v>
      </c>
      <c r="Q9" s="294" t="s">
        <v>640</v>
      </c>
      <c r="R9" s="80"/>
      <c r="S9" s="190"/>
      <c r="T9" s="80"/>
      <c r="U9" s="78" t="str">
        <f t="shared" si="4"/>
        <v>국비</v>
      </c>
      <c r="V9" s="184">
        <v>1000</v>
      </c>
      <c r="W9" s="184">
        <f t="shared" si="5"/>
        <v>0</v>
      </c>
      <c r="X9" s="231" t="str">
        <f t="shared" si="6"/>
        <v>ok</v>
      </c>
      <c r="Y9" s="80"/>
      <c r="Z9" s="232" t="str">
        <f t="shared" si="7"/>
        <v>국비</v>
      </c>
      <c r="AA9" s="184">
        <f t="shared" si="8"/>
        <v>0</v>
      </c>
      <c r="AB9" s="184">
        <f t="shared" si="9"/>
        <v>0</v>
      </c>
      <c r="AC9" s="231" t="str">
        <f t="shared" si="10"/>
        <v>ok</v>
      </c>
      <c r="AD9" s="80"/>
      <c r="AE9" s="233" t="str">
        <f t="array" ref="AE9">IFERROR(IF($C9="","",INDEX(구분표!$I$2:$I$1001,MATCH(1,(구분표!$B$2:$B$1001='2추일출'!$A9)*(구분표!$C$2:$C$1001='2추일출'!$B9)*(구분표!$A$2:$A$1001='2추일출'!$C9),0))),"@@")</f>
        <v>1901</v>
      </c>
    </row>
    <row r="10" spans="1:31" s="24" customFormat="1" ht="57.6" customHeight="1">
      <c r="A10" s="226" t="str">
        <f>IFERROR(VLOOKUP('2추일출'!$C10,구분표!$A$2:$C$1001,2,FALSE),"")</f>
        <v>보건복지위원회</v>
      </c>
      <c r="B10" s="226" t="str">
        <f>IFERROR(VLOOKUP('2추일출'!$C10,구분표!$A$2:$C$1001,3,FALSE),"")</f>
        <v>보건복지국</v>
      </c>
      <c r="C10" s="227" t="s">
        <v>641</v>
      </c>
      <c r="D10" s="228" t="s">
        <v>597</v>
      </c>
      <c r="E10" s="228">
        <v>365</v>
      </c>
      <c r="F10" s="227" t="s">
        <v>609</v>
      </c>
      <c r="G10" s="184">
        <v>609141216</v>
      </c>
      <c r="H10" s="184">
        <v>594015670</v>
      </c>
      <c r="I10" s="229">
        <f>IF(SUMPRODUCT(COUNTIF($D10,{"*본예산*","*1회추경*","*신규*"})),"-",G10-H10)</f>
        <v>15125546</v>
      </c>
      <c r="J10" s="184">
        <v>-2158055</v>
      </c>
      <c r="K10" s="184"/>
      <c r="L10" s="229">
        <f t="shared" si="11"/>
        <v>606983161</v>
      </c>
      <c r="M10" s="184"/>
      <c r="N10" s="184"/>
      <c r="O10" s="229">
        <f t="shared" si="12"/>
        <v>609141216</v>
      </c>
      <c r="P10" s="230" t="str">
        <f t="shared" si="13"/>
        <v>동의필요</v>
      </c>
      <c r="Q10" s="294" t="s">
        <v>642</v>
      </c>
      <c r="R10" s="80"/>
      <c r="S10" s="190"/>
      <c r="T10" s="80"/>
      <c r="U10" s="78" t="str">
        <f t="shared" si="4"/>
        <v>국비</v>
      </c>
      <c r="V10" s="184">
        <v>-1934964</v>
      </c>
      <c r="W10" s="184">
        <f t="shared" si="5"/>
        <v>-223091</v>
      </c>
      <c r="X10" s="231" t="str">
        <f t="shared" si="6"/>
        <v>ok</v>
      </c>
      <c r="Y10" s="80"/>
      <c r="Z10" s="232" t="str">
        <f t="shared" si="7"/>
        <v>국비</v>
      </c>
      <c r="AA10" s="184">
        <f t="shared" ref="AA10:AA35" si="14">IF($Z10&lt;&gt;"도비",IF($S10="국도비","직접입력",SUM($M10:$N10)),)</f>
        <v>0</v>
      </c>
      <c r="AB10" s="184">
        <f t="shared" ref="AB10:AB35" si="15">IF($Z10="도비",SUM($M10:$N10),IF($S10="국도비","직접입력",SUM($M10:$N10)-$AA10))</f>
        <v>0</v>
      </c>
      <c r="AC10" s="231" t="str">
        <f t="shared" si="10"/>
        <v>ok</v>
      </c>
      <c r="AD10" s="80"/>
      <c r="AE10" s="233" t="str">
        <f t="array" ref="AE10">IFERROR(IF($C10="","",INDEX(구분표!$I$2:$I$1001,MATCH(1,(구분표!$B$2:$B$1001='2추일출'!$A10)*(구분표!$C$2:$C$1001='2추일출'!$B10)*(구분표!$A$2:$A$1001='2추일출'!$C10),0))),"@@")</f>
        <v>1903</v>
      </c>
    </row>
    <row r="11" spans="1:31" s="24" customFormat="1" ht="57.6" customHeight="1">
      <c r="A11" s="226" t="str">
        <f>IFERROR(VLOOKUP('2추일출'!$C11,구분표!$A$2:$C$1001,2,FALSE),"")</f>
        <v>보건복지위원회</v>
      </c>
      <c r="B11" s="226" t="str">
        <f>IFERROR(VLOOKUP('2추일출'!$C11,구분표!$A$2:$C$1001,3,FALSE),"")</f>
        <v>보건복지국</v>
      </c>
      <c r="C11" s="227" t="s">
        <v>641</v>
      </c>
      <c r="D11" s="228" t="s">
        <v>605</v>
      </c>
      <c r="E11" s="228">
        <v>365</v>
      </c>
      <c r="F11" s="227" t="s">
        <v>643</v>
      </c>
      <c r="G11" s="184">
        <v>820949</v>
      </c>
      <c r="H11" s="184">
        <v>790241</v>
      </c>
      <c r="I11" s="229">
        <f>IF(SUMPRODUCT(COUNTIF($D11,{"*본예산*","*1회추경*","*신규*"})),"-",G11-H11)</f>
        <v>30708</v>
      </c>
      <c r="J11" s="184"/>
      <c r="K11" s="184">
        <v>2725</v>
      </c>
      <c r="L11" s="229">
        <f t="shared" si="11"/>
        <v>823674</v>
      </c>
      <c r="M11" s="184"/>
      <c r="N11" s="184"/>
      <c r="O11" s="229">
        <f t="shared" si="12"/>
        <v>820949</v>
      </c>
      <c r="P11" s="230" t="str">
        <f t="shared" si="13"/>
        <v>-</v>
      </c>
      <c r="Q11" s="294" t="s">
        <v>644</v>
      </c>
      <c r="R11" s="80"/>
      <c r="S11" s="190"/>
      <c r="T11" s="80"/>
      <c r="U11" s="78" t="str">
        <f t="shared" si="4"/>
        <v>국비</v>
      </c>
      <c r="V11" s="184">
        <v>2725</v>
      </c>
      <c r="W11" s="184">
        <f t="shared" si="5"/>
        <v>0</v>
      </c>
      <c r="X11" s="231" t="str">
        <f t="shared" si="6"/>
        <v>ok</v>
      </c>
      <c r="Y11" s="80"/>
      <c r="Z11" s="232" t="str">
        <f t="shared" si="7"/>
        <v>국비</v>
      </c>
      <c r="AA11" s="184">
        <f t="shared" si="14"/>
        <v>0</v>
      </c>
      <c r="AB11" s="184">
        <f t="shared" si="15"/>
        <v>0</v>
      </c>
      <c r="AC11" s="231" t="str">
        <f t="shared" si="10"/>
        <v>ok</v>
      </c>
      <c r="AD11" s="80"/>
      <c r="AE11" s="233" t="str">
        <f t="array" ref="AE11">IFERROR(IF($C11="","",INDEX([6]구분표!$I$2:$I$1001,MATCH(1,([6]구분표!$B$2:$B$1001='[6]2추일출'!$A6)*([6]구분표!$C$2:$C$1001='[6]2추일출'!$B6)*([6]구분표!$A$2:$A$1001='[6]2추일출'!$C6),0))),"@@")</f>
        <v>@@</v>
      </c>
    </row>
    <row r="12" spans="1:31" s="24" customFormat="1" ht="57.6" customHeight="1">
      <c r="A12" s="226" t="str">
        <f>IFERROR(VLOOKUP('2추일출'!$C12,구분표!$A$2:$C$1001,2,FALSE),"")</f>
        <v>보건복지위원회</v>
      </c>
      <c r="B12" s="226" t="str">
        <f>IFERROR(VLOOKUP('2추일출'!$C12,구분표!$A$2:$C$1001,3,FALSE),"")</f>
        <v>보건복지국</v>
      </c>
      <c r="C12" s="227" t="s">
        <v>645</v>
      </c>
      <c r="D12" s="228" t="s">
        <v>588</v>
      </c>
      <c r="E12" s="228">
        <v>272</v>
      </c>
      <c r="F12" s="227" t="s">
        <v>610</v>
      </c>
      <c r="G12" s="184">
        <v>0</v>
      </c>
      <c r="H12" s="184">
        <v>5999485</v>
      </c>
      <c r="I12" s="229" t="str">
        <f>IF(SUMPRODUCT(COUNTIF($D12,{"*본예산*","*1회추경*","*신규*"})),"-",G12-H12)</f>
        <v>-</v>
      </c>
      <c r="J12" s="184">
        <v>-59142</v>
      </c>
      <c r="K12" s="184"/>
      <c r="L12" s="229">
        <f t="shared" ref="L12:L22" si="16">IF(G12=0,H12+J12+K12,G12+J12+K12)</f>
        <v>5940343</v>
      </c>
      <c r="M12" s="184"/>
      <c r="N12" s="184"/>
      <c r="O12" s="229">
        <f t="shared" ref="O12:O22" si="17">IF(G12=0,H12+M12+N12,G12+M12+N12)</f>
        <v>5999485</v>
      </c>
      <c r="P12" s="230" t="str">
        <f t="shared" ref="P12:P22" si="18">IF(J12-M12&lt;0,"동의필요","-")</f>
        <v>동의필요</v>
      </c>
      <c r="Q12" s="294" t="s">
        <v>646</v>
      </c>
      <c r="R12" s="80"/>
      <c r="S12" s="190"/>
      <c r="T12" s="80"/>
      <c r="U12" s="78" t="str">
        <f t="shared" si="4"/>
        <v>국비</v>
      </c>
      <c r="V12" s="184">
        <v>-55570</v>
      </c>
      <c r="W12" s="184">
        <f t="shared" si="5"/>
        <v>-3572</v>
      </c>
      <c r="X12" s="231" t="str">
        <f t="shared" si="6"/>
        <v>ok</v>
      </c>
      <c r="Y12" s="80"/>
      <c r="Z12" s="232" t="str">
        <f t="shared" si="7"/>
        <v>국비</v>
      </c>
      <c r="AA12" s="184">
        <f t="shared" si="8"/>
        <v>0</v>
      </c>
      <c r="AB12" s="184">
        <f t="shared" si="9"/>
        <v>0</v>
      </c>
      <c r="AC12" s="231" t="str">
        <f t="shared" si="10"/>
        <v>ok</v>
      </c>
      <c r="AD12" s="80"/>
      <c r="AE12" s="233" t="str">
        <f t="array" ref="AE12">IFERROR(IF($C12="","",INDEX(구분표!$I$2:$I$1001,MATCH(1,(구분표!$B$2:$B$1001='2추일출'!$A12)*(구분표!$C$2:$C$1001='2추일출'!$B12)*(구분표!$A$2:$A$1001='2추일출'!$C12),0))),"@@")</f>
        <v>1904</v>
      </c>
    </row>
    <row r="13" spans="1:31" s="24" customFormat="1" ht="57.6" customHeight="1">
      <c r="A13" s="226" t="str">
        <f>IFERROR(VLOOKUP('2추일출'!$C13,구분표!$A$2:$C$1001,2,FALSE),"")</f>
        <v>보건복지위원회</v>
      </c>
      <c r="B13" s="226" t="str">
        <f>IFERROR(VLOOKUP('2추일출'!$C13,구분표!$A$2:$C$1001,3,FALSE),"")</f>
        <v>보건복지국</v>
      </c>
      <c r="C13" s="237" t="s">
        <v>645</v>
      </c>
      <c r="D13" s="239" t="s">
        <v>605</v>
      </c>
      <c r="E13" s="239">
        <v>367</v>
      </c>
      <c r="F13" s="237" t="s">
        <v>606</v>
      </c>
      <c r="G13" s="184">
        <v>5939672</v>
      </c>
      <c r="H13" s="184">
        <v>6032265</v>
      </c>
      <c r="I13" s="229">
        <f>IF(SUMPRODUCT(COUNTIF($D13,{"*본예산*","*1회추경*","*신규*"})),"-",G13-H13)</f>
        <v>-92593</v>
      </c>
      <c r="J13" s="184"/>
      <c r="K13" s="184">
        <v>154322</v>
      </c>
      <c r="L13" s="229">
        <f t="shared" si="16"/>
        <v>6093994</v>
      </c>
      <c r="M13" s="184"/>
      <c r="N13" s="184"/>
      <c r="O13" s="229">
        <f t="shared" si="17"/>
        <v>5939672</v>
      </c>
      <c r="P13" s="230" t="str">
        <f t="shared" si="18"/>
        <v>-</v>
      </c>
      <c r="Q13" s="293" t="s">
        <v>768</v>
      </c>
      <c r="R13" s="80"/>
      <c r="S13" s="190"/>
      <c r="T13" s="80"/>
      <c r="U13" s="78" t="str">
        <f t="shared" si="4"/>
        <v>국비</v>
      </c>
      <c r="V13" s="184">
        <v>145000</v>
      </c>
      <c r="W13" s="184">
        <f t="shared" si="5"/>
        <v>9322</v>
      </c>
      <c r="X13" s="231" t="str">
        <f t="shared" si="6"/>
        <v>ok</v>
      </c>
      <c r="Y13" s="80"/>
      <c r="Z13" s="232" t="str">
        <f t="shared" si="7"/>
        <v>국비</v>
      </c>
      <c r="AA13" s="184">
        <f t="shared" si="8"/>
        <v>0</v>
      </c>
      <c r="AB13" s="184">
        <f t="shared" si="9"/>
        <v>0</v>
      </c>
      <c r="AC13" s="231" t="str">
        <f t="shared" si="10"/>
        <v>ok</v>
      </c>
      <c r="AD13" s="80"/>
      <c r="AE13" s="233" t="str">
        <f t="array" ref="AE13">IFERROR(IF($C13="","",INDEX(구분표!$I$2:$I$1001,MATCH(1,(구분표!$B$2:$B$1001='2추일출'!$A13)*(구분표!$C$2:$C$1001='2추일출'!$B13)*(구분표!$A$2:$A$1001='2추일출'!$C13),0))),"@@")</f>
        <v>1904</v>
      </c>
    </row>
    <row r="14" spans="1:31" s="24" customFormat="1" ht="57.6" customHeight="1">
      <c r="A14" s="226" t="str">
        <f>IFERROR(VLOOKUP('2추일출'!$C14,구분표!$A$2:$C$1001,2,FALSE),"")</f>
        <v>보건복지위원회</v>
      </c>
      <c r="B14" s="226" t="str">
        <f>IFERROR(VLOOKUP('2추일출'!$C14,구분표!$A$2:$C$1001,3,FALSE),"")</f>
        <v>보건복지국</v>
      </c>
      <c r="C14" s="227" t="s">
        <v>645</v>
      </c>
      <c r="D14" s="228" t="s">
        <v>605</v>
      </c>
      <c r="E14" s="228">
        <v>367</v>
      </c>
      <c r="F14" s="227" t="s">
        <v>647</v>
      </c>
      <c r="G14" s="184">
        <v>53710961</v>
      </c>
      <c r="H14" s="184">
        <v>59433934</v>
      </c>
      <c r="I14" s="229">
        <f>IF(SUMPRODUCT(COUNTIF($D14,{"*본예산*","*1회추경*","*신규*"})),"-",G14-H14)</f>
        <v>-5722973</v>
      </c>
      <c r="J14" s="184"/>
      <c r="K14" s="184">
        <v>1829212</v>
      </c>
      <c r="L14" s="229">
        <f t="shared" si="16"/>
        <v>55540173</v>
      </c>
      <c r="M14" s="184"/>
      <c r="N14" s="184"/>
      <c r="O14" s="229">
        <f t="shared" si="17"/>
        <v>53710961</v>
      </c>
      <c r="P14" s="230" t="str">
        <f t="shared" si="18"/>
        <v>-</v>
      </c>
      <c r="Q14" s="294" t="s">
        <v>648</v>
      </c>
      <c r="R14" s="80"/>
      <c r="S14" s="190"/>
      <c r="T14" s="80"/>
      <c r="U14" s="78" t="str">
        <f t="shared" si="4"/>
        <v>국비</v>
      </c>
      <c r="V14" s="184">
        <v>1718724</v>
      </c>
      <c r="W14" s="184">
        <f t="shared" si="5"/>
        <v>110488</v>
      </c>
      <c r="X14" s="231" t="str">
        <f t="shared" si="6"/>
        <v>ok</v>
      </c>
      <c r="Y14" s="80"/>
      <c r="Z14" s="232" t="str">
        <f t="shared" si="7"/>
        <v>국비</v>
      </c>
      <c r="AA14" s="184">
        <f t="shared" si="8"/>
        <v>0</v>
      </c>
      <c r="AB14" s="184">
        <f t="shared" si="9"/>
        <v>0</v>
      </c>
      <c r="AC14" s="231" t="str">
        <f t="shared" si="10"/>
        <v>ok</v>
      </c>
      <c r="AD14" s="80"/>
      <c r="AE14" s="233" t="str">
        <f t="array" ref="AE14">IFERROR(IF($C14="","",INDEX(구분표!$I$2:$I$1001,MATCH(1,(구분표!$B$2:$B$1001='2추일출'!$A14)*(구분표!$C$2:$C$1001='2추일출'!$B14)*(구분표!$A$2:$A$1001='2추일출'!$C14),0))),"@@")</f>
        <v>1904</v>
      </c>
    </row>
    <row r="15" spans="1:31" s="24" customFormat="1" ht="57.6" customHeight="1">
      <c r="A15" s="226" t="str">
        <f>IFERROR(VLOOKUP('2추일출'!$C15,구분표!$A$2:$C$1001,2,FALSE),"")</f>
        <v>보건복지위원회</v>
      </c>
      <c r="B15" s="226" t="str">
        <f>IFERROR(VLOOKUP('2추일출'!$C15,구분표!$A$2:$C$1001,3,FALSE),"")</f>
        <v>보건복지국</v>
      </c>
      <c r="C15" s="227" t="s">
        <v>645</v>
      </c>
      <c r="D15" s="228" t="s">
        <v>588</v>
      </c>
      <c r="E15" s="228">
        <v>275</v>
      </c>
      <c r="F15" s="227" t="s">
        <v>613</v>
      </c>
      <c r="G15" s="184">
        <v>0</v>
      </c>
      <c r="H15" s="184">
        <v>67722680</v>
      </c>
      <c r="I15" s="229" t="str">
        <f>IF(SUMPRODUCT(COUNTIF($D15,{"*본예산*","*1회추경*","*신규*"})),"-",G15-H15)</f>
        <v>-</v>
      </c>
      <c r="J15" s="184">
        <v>-3261207</v>
      </c>
      <c r="K15" s="184"/>
      <c r="L15" s="229">
        <f t="shared" si="16"/>
        <v>64461473</v>
      </c>
      <c r="M15" s="184"/>
      <c r="N15" s="184"/>
      <c r="O15" s="229">
        <f t="shared" si="17"/>
        <v>67722680</v>
      </c>
      <c r="P15" s="230" t="str">
        <f t="shared" si="18"/>
        <v>동의필요</v>
      </c>
      <c r="Q15" s="294" t="s">
        <v>649</v>
      </c>
      <c r="R15" s="80"/>
      <c r="S15" s="190"/>
      <c r="T15" s="80"/>
      <c r="U15" s="78" t="str">
        <f t="shared" si="4"/>
        <v>국비</v>
      </c>
      <c r="V15" s="184">
        <v>-3061410</v>
      </c>
      <c r="W15" s="184">
        <f t="shared" si="5"/>
        <v>-199797</v>
      </c>
      <c r="X15" s="231" t="str">
        <f t="shared" si="6"/>
        <v>ok</v>
      </c>
      <c r="Y15" s="80"/>
      <c r="Z15" s="232" t="str">
        <f t="shared" si="7"/>
        <v>국비</v>
      </c>
      <c r="AA15" s="184">
        <f t="shared" si="14"/>
        <v>0</v>
      </c>
      <c r="AB15" s="184">
        <f t="shared" si="15"/>
        <v>0</v>
      </c>
      <c r="AC15" s="231" t="str">
        <f t="shared" si="10"/>
        <v>ok</v>
      </c>
      <c r="AD15" s="80"/>
      <c r="AE15" s="233" t="str">
        <f t="array" ref="AE15">IFERROR(IF($C15="","",INDEX(구분표!$I$2:$I$1001,MATCH(1,(구분표!$B$2:$B$1001='2추일출'!$A15)*(구분표!$C$2:$C$1001='2추일출'!$B15)*(구분표!$A$2:$A$1001='2추일출'!$C15),0))),"@@")</f>
        <v>1904</v>
      </c>
    </row>
    <row r="16" spans="1:31" s="24" customFormat="1" ht="57.6" customHeight="1">
      <c r="A16" s="226" t="str">
        <f>IFERROR(VLOOKUP('2추일출'!$C16,구분표!$A$2:$C$1001,2,FALSE),"")</f>
        <v>보건복지위원회</v>
      </c>
      <c r="B16" s="226" t="str">
        <f>IFERROR(VLOOKUP('2추일출'!$C16,구분표!$A$2:$C$1001,3,FALSE),"")</f>
        <v>보건복지국</v>
      </c>
      <c r="C16" s="227" t="s">
        <v>645</v>
      </c>
      <c r="D16" s="228" t="s">
        <v>588</v>
      </c>
      <c r="E16" s="228">
        <v>276</v>
      </c>
      <c r="F16" s="227" t="s">
        <v>650</v>
      </c>
      <c r="G16" s="184">
        <v>0</v>
      </c>
      <c r="H16" s="184">
        <v>78225</v>
      </c>
      <c r="I16" s="229" t="str">
        <f>IF(SUMPRODUCT(COUNTIF($D16,{"*본예산*","*1회추경*","*신규*"})),"-",G16-H16)</f>
        <v>-</v>
      </c>
      <c r="J16" s="184"/>
      <c r="K16" s="184">
        <v>22350</v>
      </c>
      <c r="L16" s="229">
        <f t="shared" si="16"/>
        <v>100575</v>
      </c>
      <c r="M16" s="184"/>
      <c r="N16" s="184"/>
      <c r="O16" s="229">
        <f t="shared" si="17"/>
        <v>78225</v>
      </c>
      <c r="P16" s="230" t="str">
        <f t="shared" si="18"/>
        <v>-</v>
      </c>
      <c r="Q16" s="294" t="s">
        <v>651</v>
      </c>
      <c r="R16" s="80"/>
      <c r="S16" s="190"/>
      <c r="T16" s="80"/>
      <c r="U16" s="78" t="str">
        <f t="shared" si="4"/>
        <v>국비</v>
      </c>
      <c r="V16" s="184">
        <v>21000</v>
      </c>
      <c r="W16" s="184">
        <f t="shared" si="5"/>
        <v>1350</v>
      </c>
      <c r="X16" s="231" t="str">
        <f t="shared" si="6"/>
        <v>ok</v>
      </c>
      <c r="Y16" s="80"/>
      <c r="Z16" s="232" t="str">
        <f t="shared" si="7"/>
        <v>국비</v>
      </c>
      <c r="AA16" s="184">
        <f t="shared" si="14"/>
        <v>0</v>
      </c>
      <c r="AB16" s="184">
        <f t="shared" si="15"/>
        <v>0</v>
      </c>
      <c r="AC16" s="231" t="str">
        <f t="shared" si="10"/>
        <v>ok</v>
      </c>
      <c r="AD16" s="80"/>
      <c r="AE16" s="233" t="str">
        <f t="array" ref="AE16">IFERROR(IF($C16="","",INDEX([6]구분표!$I$2:$I$1001,MATCH(1,([6]구분표!$B$2:$B$1001='[6]2추일출'!$A11)*([6]구분표!$C$2:$C$1001='[6]2추일출'!$B11)*([6]구분표!$A$2:$A$1001='[6]2추일출'!$C11),0))),"@@")</f>
        <v>2001</v>
      </c>
    </row>
    <row r="17" spans="1:31" s="24" customFormat="1" ht="57.6" customHeight="1">
      <c r="A17" s="226" t="str">
        <f>IFERROR(VLOOKUP('2추일출'!$C17,구분표!$A$2:$C$1001,2,FALSE),"")</f>
        <v>보건복지위원회</v>
      </c>
      <c r="B17" s="226" t="str">
        <f>IFERROR(VLOOKUP('2추일출'!$C17,구분표!$A$2:$C$1001,3,FALSE),"")</f>
        <v>보건복지국</v>
      </c>
      <c r="C17" s="227" t="s">
        <v>645</v>
      </c>
      <c r="D17" s="228" t="s">
        <v>618</v>
      </c>
      <c r="E17" s="228">
        <v>147</v>
      </c>
      <c r="F17" s="262" t="s">
        <v>652</v>
      </c>
      <c r="G17" s="184">
        <v>0</v>
      </c>
      <c r="H17" s="178">
        <v>40500</v>
      </c>
      <c r="I17" s="229" t="str">
        <f>IF(SUMPRODUCT(COUNTIF($D17,{"*본예산*","*1회추경*","*신규*"})),"-",G17-H17)</f>
        <v>-</v>
      </c>
      <c r="J17" s="184"/>
      <c r="K17" s="178">
        <v>24760</v>
      </c>
      <c r="L17" s="229">
        <f t="shared" si="16"/>
        <v>65260</v>
      </c>
      <c r="M17" s="184"/>
      <c r="N17" s="184"/>
      <c r="O17" s="229">
        <f t="shared" si="17"/>
        <v>40500</v>
      </c>
      <c r="P17" s="230" t="str">
        <f t="shared" si="18"/>
        <v>-</v>
      </c>
      <c r="Q17" s="292" t="s">
        <v>651</v>
      </c>
      <c r="R17" s="80"/>
      <c r="S17" s="190"/>
      <c r="T17" s="80"/>
      <c r="U17" s="78" t="str">
        <f t="shared" si="4"/>
        <v>국비</v>
      </c>
      <c r="V17" s="282">
        <v>19810</v>
      </c>
      <c r="W17" s="282">
        <v>4950</v>
      </c>
      <c r="X17" s="231" t="str">
        <f t="shared" si="6"/>
        <v>ok</v>
      </c>
      <c r="Y17" s="80"/>
      <c r="Z17" s="232" t="str">
        <f t="shared" si="7"/>
        <v>국비</v>
      </c>
      <c r="AA17" s="184">
        <f t="shared" si="14"/>
        <v>0</v>
      </c>
      <c r="AB17" s="184">
        <f t="shared" si="15"/>
        <v>0</v>
      </c>
      <c r="AC17" s="231" t="str">
        <f t="shared" si="10"/>
        <v>ok</v>
      </c>
      <c r="AD17" s="80"/>
      <c r="AE17" s="233" t="str">
        <f t="array" ref="AE17">IFERROR(IF($C17="","",INDEX(구분표!$I$2:$I$1001,MATCH(1,(구분표!$B$2:$B$1001='2추일출'!$A17)*(구분표!$C$2:$C$1001='2추일출'!$B17)*(구분표!$A$2:$A$1001='2추일출'!$C17),0))),"@@")</f>
        <v>1904</v>
      </c>
    </row>
    <row r="18" spans="1:31" s="24" customFormat="1" ht="57.6" customHeight="1">
      <c r="A18" s="226" t="str">
        <f>IFERROR(VLOOKUP('2추일출'!$C18,구분표!$A$2:$C$1001,2,FALSE),"")</f>
        <v>보건복지위원회</v>
      </c>
      <c r="B18" s="226" t="str">
        <f>IFERROR(VLOOKUP('2추일출'!$C18,구분표!$A$2:$C$1001,3,FALSE),"")</f>
        <v>보건복지국</v>
      </c>
      <c r="C18" s="227" t="s">
        <v>296</v>
      </c>
      <c r="D18" s="228" t="s">
        <v>632</v>
      </c>
      <c r="E18" s="228"/>
      <c r="F18" s="227" t="s">
        <v>653</v>
      </c>
      <c r="G18" s="184">
        <v>0</v>
      </c>
      <c r="H18" s="184">
        <v>0</v>
      </c>
      <c r="I18" s="229" t="str">
        <f>IF(SUMPRODUCT(COUNTIF($D18,{"*본예산*","*1회추경*","*신규*"})),"-",G18-H18)</f>
        <v>-</v>
      </c>
      <c r="J18" s="184"/>
      <c r="K18" s="184">
        <v>150000</v>
      </c>
      <c r="L18" s="229">
        <f t="shared" si="16"/>
        <v>150000</v>
      </c>
      <c r="M18" s="184"/>
      <c r="N18" s="184"/>
      <c r="O18" s="229">
        <f t="shared" si="17"/>
        <v>0</v>
      </c>
      <c r="P18" s="230" t="str">
        <f t="shared" si="18"/>
        <v>-</v>
      </c>
      <c r="Q18" s="294" t="s">
        <v>655</v>
      </c>
      <c r="R18" s="80"/>
      <c r="S18" s="190"/>
      <c r="T18" s="80"/>
      <c r="U18" s="78" t="str">
        <f t="shared" si="4"/>
        <v>기금</v>
      </c>
      <c r="V18" s="184">
        <v>150000</v>
      </c>
      <c r="W18" s="184">
        <f t="shared" si="5"/>
        <v>0</v>
      </c>
      <c r="X18" s="231" t="str">
        <f t="shared" si="6"/>
        <v>ok</v>
      </c>
      <c r="Y18" s="80"/>
      <c r="Z18" s="232" t="str">
        <f t="shared" si="7"/>
        <v>기금</v>
      </c>
      <c r="AA18" s="184">
        <f t="shared" si="14"/>
        <v>0</v>
      </c>
      <c r="AB18" s="184">
        <f t="shared" si="15"/>
        <v>0</v>
      </c>
      <c r="AC18" s="231" t="str">
        <f t="shared" si="10"/>
        <v>ok</v>
      </c>
      <c r="AD18" s="80"/>
      <c r="AE18" s="233" t="str">
        <f t="array" ref="AE18">IFERROR(IF($C18="","",INDEX(구분표!$I$2:$I$1001,MATCH(1,(구분표!$B$2:$B$1001='2추일출'!$A18)*(구분표!$C$2:$C$1001='2추일출'!$B18)*(구분표!$A$2:$A$1001='2추일출'!$C18),0))),"@@")</f>
        <v>1905</v>
      </c>
    </row>
    <row r="19" spans="1:31" s="202" customFormat="1" ht="57.6" customHeight="1">
      <c r="A19" s="226" t="str">
        <f>IFERROR(VLOOKUP('2추일출'!$C19,구분표!$A$2:$C$1001,2,FALSE),"")</f>
        <v>보건복지위원회</v>
      </c>
      <c r="B19" s="226" t="str">
        <f>IFERROR(VLOOKUP('2추일출'!$C19,구분표!$A$2:$C$1001,3,FALSE),"")</f>
        <v>보건복지국</v>
      </c>
      <c r="C19" s="176" t="s">
        <v>296</v>
      </c>
      <c r="D19" s="177" t="s">
        <v>632</v>
      </c>
      <c r="E19" s="177"/>
      <c r="F19" s="176" t="s">
        <v>654</v>
      </c>
      <c r="G19" s="178">
        <v>0</v>
      </c>
      <c r="H19" s="178">
        <v>0</v>
      </c>
      <c r="I19" s="73" t="str">
        <f>IF(SUMPRODUCT(COUNTIF($D19,{"*본예산*","*1회추경*","*신규*"})),"-",G19-H19)</f>
        <v>-</v>
      </c>
      <c r="J19" s="178"/>
      <c r="K19" s="178">
        <v>200000</v>
      </c>
      <c r="L19" s="73">
        <f t="shared" si="16"/>
        <v>200000</v>
      </c>
      <c r="M19" s="178"/>
      <c r="N19" s="178"/>
      <c r="O19" s="73">
        <f t="shared" si="17"/>
        <v>0</v>
      </c>
      <c r="P19" s="74" t="str">
        <f t="shared" si="18"/>
        <v>-</v>
      </c>
      <c r="Q19" s="292" t="s">
        <v>656</v>
      </c>
      <c r="R19" s="203"/>
      <c r="S19" s="204"/>
      <c r="T19" s="203"/>
      <c r="U19" s="240" t="str">
        <f t="shared" si="4"/>
        <v>기금</v>
      </c>
      <c r="V19" s="178">
        <v>200000</v>
      </c>
      <c r="W19" s="178">
        <f t="shared" si="5"/>
        <v>0</v>
      </c>
      <c r="X19" s="77" t="str">
        <f t="shared" si="6"/>
        <v>ok</v>
      </c>
      <c r="Y19" s="203"/>
      <c r="Z19" s="76" t="str">
        <f t="shared" si="7"/>
        <v>기금</v>
      </c>
      <c r="AA19" s="178">
        <f t="shared" si="14"/>
        <v>0</v>
      </c>
      <c r="AB19" s="178">
        <f t="shared" si="15"/>
        <v>0</v>
      </c>
      <c r="AC19" s="77" t="str">
        <f t="shared" si="10"/>
        <v>ok</v>
      </c>
      <c r="AD19" s="203"/>
      <c r="AE19" s="79" t="str">
        <f t="array" ref="AE19">IFERROR(IF($C19="","",INDEX(구분표!$I$2:$I$1001,MATCH(1,(구분표!$B$2:$B$1001='2추일출'!$A19)*(구분표!$C$2:$C$1001='2추일출'!$B19)*(구분표!$A$2:$A$1001='2추일출'!$C19),0))),"@@")</f>
        <v>1905</v>
      </c>
    </row>
    <row r="20" spans="1:31" s="202" customFormat="1" ht="57.6" customHeight="1">
      <c r="A20" s="226" t="str">
        <f>IFERROR(VLOOKUP('2추일출'!$C20,구분표!$A$2:$C$1001,2,FALSE),"")</f>
        <v>보건복지위원회</v>
      </c>
      <c r="B20" s="226" t="str">
        <f>IFERROR(VLOOKUP('2추일출'!$C20,구분표!$A$2:$C$1001,3,FALSE),"")</f>
        <v>보건복지국</v>
      </c>
      <c r="C20" s="176" t="s">
        <v>296</v>
      </c>
      <c r="D20" s="177" t="s">
        <v>632</v>
      </c>
      <c r="E20" s="177"/>
      <c r="F20" s="176" t="s">
        <v>902</v>
      </c>
      <c r="G20" s="178">
        <v>0</v>
      </c>
      <c r="H20" s="178">
        <v>0</v>
      </c>
      <c r="I20" s="73" t="str">
        <f>IF(SUMPRODUCT(COUNTIF($D20,{"*본예산*","*1회추경*","*신규*"})),"-",G20-H20)</f>
        <v>-</v>
      </c>
      <c r="J20" s="178"/>
      <c r="K20" s="178">
        <v>95000</v>
      </c>
      <c r="L20" s="73">
        <f t="shared" ref="L20" si="19">IF(G20=0,H20+J20+K20,G20+J20+K20)</f>
        <v>95000</v>
      </c>
      <c r="M20" s="178"/>
      <c r="N20" s="178"/>
      <c r="O20" s="73">
        <f t="shared" ref="O20" si="20">IF(G20=0,H20+M20+N20,G20+M20+N20)</f>
        <v>0</v>
      </c>
      <c r="P20" s="74" t="str">
        <f t="shared" ref="P20" si="21">IF(J20-M20&lt;0,"동의필요","-")</f>
        <v>-</v>
      </c>
      <c r="Q20" s="292"/>
      <c r="R20" s="203"/>
      <c r="S20" s="204"/>
      <c r="T20" s="203"/>
      <c r="U20" s="240" t="str">
        <f t="shared" si="4"/>
        <v>기금</v>
      </c>
      <c r="V20" s="178">
        <v>95000</v>
      </c>
      <c r="W20" s="178">
        <f t="shared" si="5"/>
        <v>0</v>
      </c>
      <c r="X20" s="77" t="str">
        <f t="shared" si="6"/>
        <v>ok</v>
      </c>
      <c r="Y20" s="203"/>
      <c r="Z20" s="76" t="str">
        <f t="shared" si="7"/>
        <v>기금</v>
      </c>
      <c r="AA20" s="178">
        <f t="shared" si="14"/>
        <v>0</v>
      </c>
      <c r="AB20" s="178">
        <f t="shared" si="15"/>
        <v>0</v>
      </c>
      <c r="AC20" s="77" t="str">
        <f t="shared" si="10"/>
        <v>ok</v>
      </c>
      <c r="AD20" s="203"/>
      <c r="AE20" s="79" t="str">
        <f t="array" ref="AE20">IFERROR(IF($C20="","",INDEX(구분표!$I$2:$I$1001,MATCH(1,(구분표!$B$2:$B$1001='2추일출'!$A20)*(구분표!$C$2:$C$1001='2추일출'!$B20)*(구분표!$A$2:$A$1001='2추일출'!$C20),0))),"@@")</f>
        <v>1905</v>
      </c>
    </row>
    <row r="21" spans="1:31" s="202" customFormat="1" ht="57.6" customHeight="1">
      <c r="A21" s="226" t="str">
        <f>IFERROR(VLOOKUP('2추일출'!$C21,구분표!$A$2:$C$1001,2,FALSE),"")</f>
        <v>보건복지위원회</v>
      </c>
      <c r="B21" s="226" t="str">
        <f>IFERROR(VLOOKUP('2추일출'!$C21,구분표!$A$2:$C$1001,3,FALSE),"")</f>
        <v>보건복지국</v>
      </c>
      <c r="C21" s="176" t="s">
        <v>296</v>
      </c>
      <c r="D21" s="177" t="s">
        <v>618</v>
      </c>
      <c r="E21" s="177">
        <v>154</v>
      </c>
      <c r="F21" s="176" t="s">
        <v>657</v>
      </c>
      <c r="G21" s="178">
        <v>0</v>
      </c>
      <c r="H21" s="178">
        <v>25000</v>
      </c>
      <c r="I21" s="73" t="str">
        <f>IF(SUMPRODUCT(COUNTIF($D21,{"*본예산*","*1회추경*","*신규*"})),"-",G21-H21)</f>
        <v>-</v>
      </c>
      <c r="J21" s="178"/>
      <c r="K21" s="178">
        <v>12947</v>
      </c>
      <c r="L21" s="73">
        <f t="shared" si="16"/>
        <v>37947</v>
      </c>
      <c r="M21" s="178"/>
      <c r="N21" s="178"/>
      <c r="O21" s="73">
        <f t="shared" si="17"/>
        <v>25000</v>
      </c>
      <c r="P21" s="74" t="str">
        <f t="shared" si="18"/>
        <v>-</v>
      </c>
      <c r="Q21" s="292" t="s">
        <v>658</v>
      </c>
      <c r="R21" s="203"/>
      <c r="S21" s="204"/>
      <c r="T21" s="203"/>
      <c r="U21" s="240" t="str">
        <f t="shared" si="4"/>
        <v>기금</v>
      </c>
      <c r="V21" s="178">
        <v>12947</v>
      </c>
      <c r="W21" s="178">
        <f t="shared" si="5"/>
        <v>0</v>
      </c>
      <c r="X21" s="77" t="str">
        <f t="shared" si="6"/>
        <v>ok</v>
      </c>
      <c r="Y21" s="203"/>
      <c r="Z21" s="76" t="str">
        <f t="shared" si="7"/>
        <v>기금</v>
      </c>
      <c r="AA21" s="178">
        <f t="shared" si="14"/>
        <v>0</v>
      </c>
      <c r="AB21" s="178">
        <f t="shared" si="15"/>
        <v>0</v>
      </c>
      <c r="AC21" s="77" t="str">
        <f t="shared" si="10"/>
        <v>ok</v>
      </c>
      <c r="AD21" s="203"/>
      <c r="AE21" s="79" t="str">
        <f t="array" ref="AE21">IFERROR(IF($C21="","",INDEX(구분표!$I$2:$I$1001,MATCH(1,(구분표!$B$2:$B$1001='2추일출'!$A21)*(구분표!$C$2:$C$1001='2추일출'!$B21)*(구분표!$A$2:$A$1001='2추일출'!$C21),0))),"@@")</f>
        <v>1905</v>
      </c>
    </row>
    <row r="22" spans="1:31" s="202" customFormat="1" ht="57.6" customHeight="1">
      <c r="A22" s="226" t="str">
        <f>IFERROR(VLOOKUP('2추일출'!$C22,구분표!$A$2:$C$1001,2,FALSE),"")</f>
        <v>보건복지위원회</v>
      </c>
      <c r="B22" s="226" t="str">
        <f>IFERROR(VLOOKUP('2추일출'!$C22,구분표!$A$2:$C$1001,3,FALSE),"")</f>
        <v>보건복지국</v>
      </c>
      <c r="C22" s="176" t="s">
        <v>296</v>
      </c>
      <c r="D22" s="177" t="s">
        <v>588</v>
      </c>
      <c r="E22" s="177">
        <v>292</v>
      </c>
      <c r="F22" s="176" t="s">
        <v>659</v>
      </c>
      <c r="G22" s="178">
        <v>0</v>
      </c>
      <c r="H22" s="178">
        <v>538664</v>
      </c>
      <c r="I22" s="73" t="str">
        <f>IF(SUMPRODUCT(COUNTIF($D22,{"*본예산*","*1회추경*","*신규*"})),"-",G22-H22)</f>
        <v>-</v>
      </c>
      <c r="J22" s="178"/>
      <c r="K22" s="178">
        <v>1928</v>
      </c>
      <c r="L22" s="73">
        <f t="shared" si="16"/>
        <v>540592</v>
      </c>
      <c r="M22" s="178"/>
      <c r="N22" s="178"/>
      <c r="O22" s="73">
        <f t="shared" si="17"/>
        <v>538664</v>
      </c>
      <c r="P22" s="74" t="str">
        <f t="shared" si="18"/>
        <v>-</v>
      </c>
      <c r="Q22" s="292" t="s">
        <v>660</v>
      </c>
      <c r="R22" s="203"/>
      <c r="S22" s="204"/>
      <c r="T22" s="203"/>
      <c r="U22" s="240" t="str">
        <f t="shared" si="4"/>
        <v>기금</v>
      </c>
      <c r="V22" s="178">
        <v>1928</v>
      </c>
      <c r="W22" s="178">
        <f t="shared" si="5"/>
        <v>0</v>
      </c>
      <c r="X22" s="77" t="str">
        <f t="shared" si="6"/>
        <v>ok</v>
      </c>
      <c r="Y22" s="203"/>
      <c r="Z22" s="76" t="str">
        <f t="shared" si="7"/>
        <v>기금</v>
      </c>
      <c r="AA22" s="178">
        <f t="shared" si="14"/>
        <v>0</v>
      </c>
      <c r="AB22" s="178">
        <f t="shared" si="15"/>
        <v>0</v>
      </c>
      <c r="AC22" s="77" t="str">
        <f t="shared" si="10"/>
        <v>ok</v>
      </c>
      <c r="AD22" s="203"/>
      <c r="AE22" s="79">
        <f t="array" ref="AE22">IFERROR(IF($C22="","",INDEX([6]구분표!$I$2:$I$1001,MATCH(1,([6]구분표!$B$2:$B$1001='[6]2추일출'!$A16)*([6]구분표!$C$2:$C$1001='[6]2추일출'!$B16)*([6]구분표!$A$2:$A$1001='[6]2추일출'!$C16),0))),"@@")</f>
        <v>0</v>
      </c>
    </row>
    <row r="23" spans="1:31" s="202" customFormat="1" ht="57.6" customHeight="1">
      <c r="A23" s="226" t="str">
        <f>IFERROR(VLOOKUP('2추일출'!$C23,구분표!$A$2:$C$1001,2,FALSE),"")</f>
        <v>보건복지위원회</v>
      </c>
      <c r="B23" s="226" t="str">
        <f>IFERROR(VLOOKUP('2추일출'!$C23,구분표!$A$2:$C$1001,3,FALSE),"")</f>
        <v>보건복지국</v>
      </c>
      <c r="C23" s="176" t="s">
        <v>297</v>
      </c>
      <c r="D23" s="177" t="s">
        <v>618</v>
      </c>
      <c r="E23" s="177">
        <v>158</v>
      </c>
      <c r="F23" s="176" t="s">
        <v>596</v>
      </c>
      <c r="G23" s="178">
        <v>0</v>
      </c>
      <c r="H23" s="282">
        <v>2596417</v>
      </c>
      <c r="I23" s="73" t="str">
        <f>IF(SUMPRODUCT(COUNTIF($D23,{"*본예산*","*1회추경*","*신규*"})),"-",G23-H23)</f>
        <v>-</v>
      </c>
      <c r="J23" s="178"/>
      <c r="K23" s="178">
        <v>845929</v>
      </c>
      <c r="L23" s="73">
        <f t="shared" ref="L23:L24" si="22">IF(G23=0,H23+J23+K23,G23+J23+K23)</f>
        <v>3442346</v>
      </c>
      <c r="M23" s="178"/>
      <c r="N23" s="178"/>
      <c r="O23" s="73">
        <f t="shared" ref="O23:O24" si="23">IF(G23=0,H23+M23+N23,G23+M23+N23)</f>
        <v>2596417</v>
      </c>
      <c r="P23" s="74" t="str">
        <f t="shared" ref="P23:P24" si="24">IF(J23-M23&lt;0,"동의필요","-")</f>
        <v>-</v>
      </c>
      <c r="Q23" s="292" t="s">
        <v>661</v>
      </c>
      <c r="R23" s="203"/>
      <c r="S23" s="204"/>
      <c r="T23" s="203"/>
      <c r="U23" s="240" t="str">
        <f t="shared" si="4"/>
        <v>기금</v>
      </c>
      <c r="V23" s="178">
        <v>650715</v>
      </c>
      <c r="W23" s="178">
        <f t="shared" si="5"/>
        <v>195214</v>
      </c>
      <c r="X23" s="77" t="str">
        <f t="shared" si="6"/>
        <v>ok</v>
      </c>
      <c r="Y23" s="203"/>
      <c r="Z23" s="76" t="str">
        <f t="shared" si="7"/>
        <v>기금</v>
      </c>
      <c r="AA23" s="178">
        <f t="shared" si="14"/>
        <v>0</v>
      </c>
      <c r="AB23" s="178">
        <f t="shared" si="15"/>
        <v>0</v>
      </c>
      <c r="AC23" s="77" t="str">
        <f t="shared" si="10"/>
        <v>ok</v>
      </c>
      <c r="AD23" s="203"/>
      <c r="AE23" s="79" t="str">
        <f t="array" ref="AE23">IFERROR(IF($C23="","",INDEX(구분표!$I$2:$I$1001,MATCH(1,(구분표!$B$2:$B$1001='2추일출'!$A23)*(구분표!$C$2:$C$1001='2추일출'!$B23)*(구분표!$A$2:$A$1001='2추일출'!$C23),0))),"@@")</f>
        <v>1906</v>
      </c>
    </row>
    <row r="24" spans="1:31" s="202" customFormat="1" ht="57.6" customHeight="1">
      <c r="A24" s="226" t="str">
        <f>IFERROR(VLOOKUP('2추일출'!$C24,구분표!$A$2:$C$1001,2,FALSE),"")</f>
        <v>보건복지위원회</v>
      </c>
      <c r="B24" s="226" t="str">
        <f>IFERROR(VLOOKUP('2추일출'!$C24,구분표!$A$2:$C$1001,3,FALSE),"")</f>
        <v>보건복지국</v>
      </c>
      <c r="C24" s="176" t="s">
        <v>297</v>
      </c>
      <c r="D24" s="177" t="s">
        <v>618</v>
      </c>
      <c r="E24" s="177">
        <v>159</v>
      </c>
      <c r="F24" s="176" t="s">
        <v>615</v>
      </c>
      <c r="G24" s="178">
        <v>0</v>
      </c>
      <c r="H24" s="178">
        <v>3537834</v>
      </c>
      <c r="I24" s="73" t="str">
        <f>IF(SUMPRODUCT(COUNTIF($D24,{"*본예산*","*1회추경*","*신규*"})),"-",G24-H24)</f>
        <v>-</v>
      </c>
      <c r="J24" s="178"/>
      <c r="K24" s="178">
        <v>362742</v>
      </c>
      <c r="L24" s="73">
        <f t="shared" si="22"/>
        <v>3900576</v>
      </c>
      <c r="M24" s="178"/>
      <c r="N24" s="178"/>
      <c r="O24" s="73">
        <f t="shared" si="23"/>
        <v>3537834</v>
      </c>
      <c r="P24" s="74" t="str">
        <f t="shared" si="24"/>
        <v>-</v>
      </c>
      <c r="Q24" s="292" t="s">
        <v>662</v>
      </c>
      <c r="R24" s="203"/>
      <c r="S24" s="204"/>
      <c r="T24" s="203"/>
      <c r="U24" s="240" t="str">
        <f t="shared" si="4"/>
        <v>기금</v>
      </c>
      <c r="V24" s="178">
        <v>362742</v>
      </c>
      <c r="W24" s="178">
        <f t="shared" si="5"/>
        <v>0</v>
      </c>
      <c r="X24" s="77" t="str">
        <f t="shared" si="6"/>
        <v>ok</v>
      </c>
      <c r="Y24" s="203"/>
      <c r="Z24" s="76" t="str">
        <f t="shared" si="7"/>
        <v>기금</v>
      </c>
      <c r="AA24" s="178">
        <f t="shared" si="14"/>
        <v>0</v>
      </c>
      <c r="AB24" s="178">
        <f t="shared" si="15"/>
        <v>0</v>
      </c>
      <c r="AC24" s="77" t="str">
        <f t="shared" si="10"/>
        <v>ok</v>
      </c>
      <c r="AD24" s="203"/>
      <c r="AE24" s="79" t="str">
        <f t="array" ref="AE24">IFERROR(IF($C24="","",INDEX(구분표!$I$2:$I$1001,MATCH(1,(구분표!$B$2:$B$1001='2추일출'!$A24)*(구분표!$C$2:$C$1001='2추일출'!$B24)*(구분표!$A$2:$A$1001='2추일출'!$C24),0))),"@@")</f>
        <v>1906</v>
      </c>
    </row>
    <row r="25" spans="1:31" ht="57.6" customHeight="1">
      <c r="A25" s="226" t="str">
        <f>IFERROR(VLOOKUP('2추일출'!$C25,구분표!$A$2:$C$1001,2,FALSE),"")</f>
        <v>보건복지위원회</v>
      </c>
      <c r="B25" s="226" t="str">
        <f>IFERROR(VLOOKUP('2추일출'!$C25,구분표!$A$2:$C$1001,3,FALSE),"")</f>
        <v>복지여성실</v>
      </c>
      <c r="C25" s="176" t="s">
        <v>600</v>
      </c>
      <c r="D25" s="179" t="s">
        <v>597</v>
      </c>
      <c r="E25" s="179">
        <v>378</v>
      </c>
      <c r="F25" s="234" t="s">
        <v>607</v>
      </c>
      <c r="G25" s="178">
        <v>145146353</v>
      </c>
      <c r="H25" s="178">
        <v>139154437</v>
      </c>
      <c r="I25" s="205">
        <f>IF(SUMPRODUCT(COUNTIF($D25,{"*본예산*","*1회추경*","*신규*"})),"-",G25-H25)</f>
        <v>5991916</v>
      </c>
      <c r="J25" s="178">
        <v>-529673</v>
      </c>
      <c r="K25" s="178"/>
      <c r="L25" s="73">
        <f t="shared" ref="L25:L26" si="25">IF(G25=0,H25+J25+K25,G25+J25+K25)</f>
        <v>144616680</v>
      </c>
      <c r="M25" s="178"/>
      <c r="N25" s="178"/>
      <c r="O25" s="73">
        <f t="shared" ref="O25:O26" si="26">IF(G25=0,H25+M25+N25,G25+M25+N25)</f>
        <v>145146353</v>
      </c>
      <c r="P25" s="74" t="str">
        <f t="shared" ref="P25:P26" si="27">IF(J25-M25&lt;0,"동의필요","-")</f>
        <v>동의필요</v>
      </c>
      <c r="Q25" s="292" t="s">
        <v>623</v>
      </c>
      <c r="R25" s="75"/>
      <c r="S25" s="189"/>
      <c r="T25" s="75"/>
      <c r="U25" s="78" t="str">
        <f t="shared" si="4"/>
        <v>국비</v>
      </c>
      <c r="V25" s="178">
        <v>-470820</v>
      </c>
      <c r="W25" s="178">
        <f t="shared" ref="W25:W35" si="28">IF($U25="도비",SUM($J25:$K25),IF($S25="국도비","직접입력",SUM($J25:$K25)-$V25))</f>
        <v>-58853</v>
      </c>
      <c r="X25" s="77" t="str">
        <f t="shared" si="6"/>
        <v>ok</v>
      </c>
      <c r="Y25" s="75"/>
      <c r="Z25" s="76" t="str">
        <f t="shared" si="7"/>
        <v>국비</v>
      </c>
      <c r="AA25" s="178">
        <f t="shared" si="14"/>
        <v>0</v>
      </c>
      <c r="AB25" s="178">
        <f t="shared" si="15"/>
        <v>0</v>
      </c>
      <c r="AC25" s="77" t="str">
        <f t="shared" si="10"/>
        <v>ok</v>
      </c>
      <c r="AD25" s="75"/>
      <c r="AE25" s="79" t="str">
        <f t="array" ref="AE25">IFERROR(IF($C25="","",INDEX(구분표!$I$2:$I$1001,MATCH(1,(구분표!$B$2:$B$1001='2추일출'!$A25)*(구분표!$C$2:$C$1001='2추일출'!$B25)*(구분표!$A$2:$A$1001='2추일출'!$C25),0))),"@@")</f>
        <v>2001</v>
      </c>
    </row>
    <row r="26" spans="1:31" ht="57.6" customHeight="1">
      <c r="A26" s="226" t="str">
        <f>IFERROR(VLOOKUP('2추일출'!$C26,구분표!$A$2:$C$1001,2,FALSE),"")</f>
        <v>보건복지위원회</v>
      </c>
      <c r="B26" s="226" t="str">
        <f>IFERROR(VLOOKUP('2추일출'!$C26,구분표!$A$2:$C$1001,3,FALSE),"")</f>
        <v>복지여성실</v>
      </c>
      <c r="C26" s="176" t="s">
        <v>591</v>
      </c>
      <c r="D26" s="177" t="s">
        <v>599</v>
      </c>
      <c r="E26" s="177">
        <v>770</v>
      </c>
      <c r="F26" s="234" t="s">
        <v>608</v>
      </c>
      <c r="G26" s="178">
        <v>0</v>
      </c>
      <c r="H26" s="178">
        <v>38723049</v>
      </c>
      <c r="I26" s="205" t="str">
        <f>IF(SUMPRODUCT(COUNTIF($D26,{"*본예산*","*1회추경*","*신규*"})),"-",G26-H26)</f>
        <v>-</v>
      </c>
      <c r="J26" s="178">
        <v>-2227740</v>
      </c>
      <c r="K26" s="178"/>
      <c r="L26" s="73">
        <f t="shared" si="25"/>
        <v>36495309</v>
      </c>
      <c r="M26" s="178"/>
      <c r="N26" s="178"/>
      <c r="O26" s="73">
        <f t="shared" si="26"/>
        <v>38723049</v>
      </c>
      <c r="P26" s="74" t="str">
        <f t="shared" si="27"/>
        <v>동의필요</v>
      </c>
      <c r="Q26" s="292" t="s">
        <v>620</v>
      </c>
      <c r="R26" s="75"/>
      <c r="S26" s="189"/>
      <c r="T26" s="75"/>
      <c r="U26" s="78" t="str">
        <f t="shared" si="4"/>
        <v>국비</v>
      </c>
      <c r="V26" s="178">
        <v>-1951393</v>
      </c>
      <c r="W26" s="178">
        <f t="shared" si="28"/>
        <v>-276347</v>
      </c>
      <c r="X26" s="77" t="str">
        <f t="shared" si="6"/>
        <v>ok</v>
      </c>
      <c r="Y26" s="75"/>
      <c r="Z26" s="76" t="str">
        <f t="shared" si="7"/>
        <v>국비</v>
      </c>
      <c r="AA26" s="178">
        <f t="shared" si="14"/>
        <v>0</v>
      </c>
      <c r="AB26" s="178">
        <f t="shared" si="15"/>
        <v>0</v>
      </c>
      <c r="AC26" s="77" t="str">
        <f t="shared" si="10"/>
        <v>ok</v>
      </c>
      <c r="AD26" s="75"/>
      <c r="AE26" s="79" t="str">
        <f t="array" ref="AE26">IFERROR(IF($C26="","",INDEX(구분표!$I$2:$I$1001,MATCH(1,(구분표!$B$2:$B$1001='2추일출'!$A26)*(구분표!$C$2:$C$1001='2추일출'!$B26)*(구분표!$A$2:$A$1001='2추일출'!$C26),0))),"@@")</f>
        <v>2001</v>
      </c>
    </row>
    <row r="27" spans="1:31" ht="57.6" customHeight="1">
      <c r="A27" s="226" t="str">
        <f>IFERROR(VLOOKUP('2추일출'!$C27,구분표!$A$2:$C$1001,2,FALSE),"")</f>
        <v>보건복지위원회</v>
      </c>
      <c r="B27" s="226" t="str">
        <f>IFERROR(VLOOKUP('2추일출'!$C27,구분표!$A$2:$C$1001,3,FALSE),"")</f>
        <v>복지여성실</v>
      </c>
      <c r="C27" s="176" t="s">
        <v>591</v>
      </c>
      <c r="D27" s="177" t="s">
        <v>605</v>
      </c>
      <c r="E27" s="177">
        <v>380</v>
      </c>
      <c r="F27" s="234" t="s">
        <v>609</v>
      </c>
      <c r="G27" s="178">
        <v>288668148</v>
      </c>
      <c r="H27" s="178">
        <v>279006483</v>
      </c>
      <c r="I27" s="205">
        <f>IF(SUMPRODUCT(COUNTIF($D27,{"*본예산*","*1회추경*","*신규*"})),"-",G27-H27)</f>
        <v>9661665</v>
      </c>
      <c r="J27" s="178">
        <v>-1319626</v>
      </c>
      <c r="K27" s="178"/>
      <c r="L27" s="73">
        <f t="shared" ref="L27:L35" si="29">IF(G27=0,H27+J27+K27,G27+J27+K27)</f>
        <v>287348522</v>
      </c>
      <c r="M27" s="178"/>
      <c r="N27" s="178"/>
      <c r="O27" s="73">
        <f t="shared" ref="O27:O35" si="30">IF(G27=0,H27+M27+N27,G27+M27+N27)</f>
        <v>288668148</v>
      </c>
      <c r="P27" s="74" t="str">
        <f t="shared" ref="P27:P35" si="31">IF(J27-M27&lt;0,"동의필요","-")</f>
        <v>동의필요</v>
      </c>
      <c r="Q27" s="292" t="s">
        <v>621</v>
      </c>
      <c r="R27" s="75"/>
      <c r="S27" s="189"/>
      <c r="T27" s="75"/>
      <c r="U27" s="78" t="str">
        <f t="shared" si="4"/>
        <v>국비</v>
      </c>
      <c r="V27" s="178">
        <v>-1220288</v>
      </c>
      <c r="W27" s="178">
        <f t="shared" si="28"/>
        <v>-99338</v>
      </c>
      <c r="X27" s="77" t="str">
        <f t="shared" si="6"/>
        <v>ok</v>
      </c>
      <c r="Y27" s="75"/>
      <c r="Z27" s="76" t="str">
        <f t="shared" si="7"/>
        <v>국비</v>
      </c>
      <c r="AA27" s="178">
        <f t="shared" si="14"/>
        <v>0</v>
      </c>
      <c r="AB27" s="178">
        <f t="shared" si="15"/>
        <v>0</v>
      </c>
      <c r="AC27" s="77" t="str">
        <f t="shared" si="10"/>
        <v>ok</v>
      </c>
      <c r="AD27" s="75"/>
      <c r="AE27" s="79" t="str">
        <f t="array" ref="AE27">IFERROR(IF($C27="","",INDEX(구분표!$I$2:$I$1001,MATCH(1,(구분표!$B$2:$B$1001='2추일출'!$A27)*(구분표!$C$2:$C$1001='2추일출'!$B27)*(구분표!$A$2:$A$1001='2추일출'!$C27),0))),"@@")</f>
        <v>2001</v>
      </c>
    </row>
    <row r="28" spans="1:31" ht="57.6" customHeight="1">
      <c r="A28" s="226" t="str">
        <f>IFERROR(VLOOKUP('2추일출'!$C28,구분표!$A$2:$C$1001,2,FALSE),"")</f>
        <v>보건복지위원회</v>
      </c>
      <c r="B28" s="226" t="str">
        <f>IFERROR(VLOOKUP('2추일출'!$C28,구분표!$A$2:$C$1001,3,FALSE),"")</f>
        <v>복지여성실</v>
      </c>
      <c r="C28" s="176" t="s">
        <v>591</v>
      </c>
      <c r="D28" s="177" t="s">
        <v>597</v>
      </c>
      <c r="E28" s="177">
        <v>381</v>
      </c>
      <c r="F28" s="234" t="s">
        <v>610</v>
      </c>
      <c r="G28" s="178">
        <v>2887301</v>
      </c>
      <c r="H28" s="178">
        <v>2571208</v>
      </c>
      <c r="I28" s="205">
        <f>IF(SUMPRODUCT(COUNTIF($D28,{"*본예산*","*1회추경*","*신규*"})),"-",G28-H28)</f>
        <v>316093</v>
      </c>
      <c r="J28" s="178"/>
      <c r="K28" s="178">
        <v>59142</v>
      </c>
      <c r="L28" s="73">
        <f t="shared" si="29"/>
        <v>2946443</v>
      </c>
      <c r="M28" s="178"/>
      <c r="N28" s="178"/>
      <c r="O28" s="73">
        <f t="shared" si="30"/>
        <v>2887301</v>
      </c>
      <c r="P28" s="74" t="str">
        <f t="shared" si="31"/>
        <v>-</v>
      </c>
      <c r="Q28" s="292" t="s">
        <v>622</v>
      </c>
      <c r="R28" s="75"/>
      <c r="S28" s="189"/>
      <c r="T28" s="75"/>
      <c r="U28" s="78" t="str">
        <f t="shared" si="4"/>
        <v>국비</v>
      </c>
      <c r="V28" s="178">
        <v>55570</v>
      </c>
      <c r="W28" s="178">
        <f t="shared" si="28"/>
        <v>3572</v>
      </c>
      <c r="X28" s="77" t="str">
        <f t="shared" si="6"/>
        <v>ok</v>
      </c>
      <c r="Y28" s="75"/>
      <c r="Z28" s="76" t="str">
        <f t="shared" si="7"/>
        <v>국비</v>
      </c>
      <c r="AA28" s="178">
        <f t="shared" si="14"/>
        <v>0</v>
      </c>
      <c r="AB28" s="178">
        <f t="shared" si="15"/>
        <v>0</v>
      </c>
      <c r="AC28" s="77" t="str">
        <f t="shared" si="10"/>
        <v>ok</v>
      </c>
      <c r="AD28" s="75"/>
      <c r="AE28" s="79" t="str">
        <f t="array" ref="AE28">IFERROR(IF($C28="","",INDEX(구분표!$I$2:$I$1001,MATCH(1,(구분표!$B$2:$B$1001='2추일출'!$A28)*(구분표!$C$2:$C$1001='2추일출'!$B28)*(구분표!$A$2:$A$1001='2추일출'!$C28),0))),"@@")</f>
        <v>2001</v>
      </c>
    </row>
    <row r="29" spans="1:31" s="24" customFormat="1" ht="57.6" customHeight="1">
      <c r="A29" s="226" t="str">
        <f>IFERROR(VLOOKUP('2추일출'!$C29,구분표!$A$2:$C$1001,2,FALSE),"")</f>
        <v>보건복지위원회</v>
      </c>
      <c r="B29" s="226" t="str">
        <f>IFERROR(VLOOKUP('2추일출'!$C29,구분표!$A$2:$C$1001,3,FALSE),"")</f>
        <v>복지여성실</v>
      </c>
      <c r="C29" s="227" t="s">
        <v>591</v>
      </c>
      <c r="D29" s="228" t="s">
        <v>570</v>
      </c>
      <c r="E29" s="228">
        <v>381</v>
      </c>
      <c r="F29" s="237" t="s">
        <v>606</v>
      </c>
      <c r="G29" s="184">
        <f>2559100+164513</f>
        <v>2723613</v>
      </c>
      <c r="H29" s="184">
        <f>2599100+167085</f>
        <v>2766185</v>
      </c>
      <c r="I29" s="229">
        <f>IF(SUMPRODUCT(COUNTIF($D29,{"*본예산*","*1회추경*","*신규*"})),"-",G29-H29)</f>
        <v>-42572</v>
      </c>
      <c r="J29" s="184"/>
      <c r="K29" s="184">
        <f>42572+5322</f>
        <v>47894</v>
      </c>
      <c r="L29" s="229">
        <f t="shared" si="29"/>
        <v>2771507</v>
      </c>
      <c r="M29" s="184"/>
      <c r="N29" s="184"/>
      <c r="O29" s="229">
        <f t="shared" si="30"/>
        <v>2723613</v>
      </c>
      <c r="P29" s="230" t="str">
        <f t="shared" si="31"/>
        <v>-</v>
      </c>
      <c r="Q29" s="293" t="s">
        <v>612</v>
      </c>
      <c r="R29" s="80"/>
      <c r="S29" s="190"/>
      <c r="T29" s="80"/>
      <c r="U29" s="78" t="str">
        <f t="shared" si="4"/>
        <v>국비</v>
      </c>
      <c r="V29" s="184">
        <v>45000</v>
      </c>
      <c r="W29" s="184">
        <f t="shared" ref="W29" si="32">IF($U29="도비",SUM($J29:$K29),IF($S29="국도비","직접입력",SUM($J29:$K29)-$V29))</f>
        <v>2894</v>
      </c>
      <c r="X29" s="231" t="str">
        <f t="shared" si="6"/>
        <v>ok</v>
      </c>
      <c r="Y29" s="80"/>
      <c r="Z29" s="232" t="str">
        <f t="shared" si="7"/>
        <v>국비</v>
      </c>
      <c r="AA29" s="184">
        <f t="shared" si="14"/>
        <v>0</v>
      </c>
      <c r="AB29" s="184">
        <f t="shared" si="15"/>
        <v>0</v>
      </c>
      <c r="AC29" s="231" t="str">
        <f t="shared" si="10"/>
        <v>ok</v>
      </c>
      <c r="AD29" s="80"/>
      <c r="AE29" s="233" t="str">
        <f t="array" ref="AE29">IFERROR(IF($C29="","",INDEX([6]구분표!$I$2:$I$1001,MATCH(1,([6]구분표!$B$2:$B$1001='[6]2추일출'!$A11)*([6]구분표!$C$2:$C$1001='[6]2추일출'!$B11)*([6]구분표!$A$2:$A$1001='[6]2추일출'!$C11),0))),"@@")</f>
        <v>2001</v>
      </c>
    </row>
    <row r="30" spans="1:31" ht="57.6" customHeight="1">
      <c r="A30" s="226" t="str">
        <f>IFERROR(VLOOKUP('2추일출'!$C30,구분표!$A$2:$C$1001,2,FALSE),"")</f>
        <v>보건복지위원회</v>
      </c>
      <c r="B30" s="226" t="str">
        <f>IFERROR(VLOOKUP('2추일출'!$C30,구분표!$A$2:$C$1001,3,FALSE),"")</f>
        <v>복지여성실</v>
      </c>
      <c r="C30" s="176" t="s">
        <v>591</v>
      </c>
      <c r="D30" s="179" t="s">
        <v>588</v>
      </c>
      <c r="E30" s="179">
        <v>780</v>
      </c>
      <c r="F30" s="236" t="s">
        <v>611</v>
      </c>
      <c r="G30" s="178">
        <v>0</v>
      </c>
      <c r="H30" s="181">
        <v>25471686</v>
      </c>
      <c r="I30" s="205" t="str">
        <f>IF(SUMPRODUCT(COUNTIF($D30,{"*본예산*","*1회추경*","*신규*"})),"-",G30-H30)</f>
        <v>-</v>
      </c>
      <c r="J30" s="178">
        <v>-651358</v>
      </c>
      <c r="K30" s="178"/>
      <c r="L30" s="73">
        <f t="shared" si="29"/>
        <v>24820328</v>
      </c>
      <c r="M30" s="178"/>
      <c r="N30" s="178"/>
      <c r="O30" s="73">
        <f t="shared" si="30"/>
        <v>25471686</v>
      </c>
      <c r="P30" s="74" t="str">
        <f t="shared" si="31"/>
        <v>동의필요</v>
      </c>
      <c r="Q30" s="292" t="s">
        <v>624</v>
      </c>
      <c r="R30" s="75"/>
      <c r="S30" s="189"/>
      <c r="T30" s="75"/>
      <c r="U30" s="78" t="str">
        <f t="shared" si="4"/>
        <v>국비</v>
      </c>
      <c r="V30" s="178">
        <v>-612018</v>
      </c>
      <c r="W30" s="178">
        <f t="shared" si="28"/>
        <v>-39340</v>
      </c>
      <c r="X30" s="77" t="str">
        <f t="shared" si="6"/>
        <v>ok</v>
      </c>
      <c r="Y30" s="75"/>
      <c r="Z30" s="76" t="str">
        <f t="shared" si="7"/>
        <v>국비</v>
      </c>
      <c r="AA30" s="178">
        <f t="shared" si="14"/>
        <v>0</v>
      </c>
      <c r="AB30" s="178">
        <f t="shared" si="15"/>
        <v>0</v>
      </c>
      <c r="AC30" s="77" t="str">
        <f t="shared" si="10"/>
        <v>ok</v>
      </c>
      <c r="AD30" s="75"/>
      <c r="AE30" s="79" t="str">
        <f t="array" ref="AE30">IFERROR(IF($C30="","",INDEX(구분표!$I$2:$I$1001,MATCH(1,(구분표!$B$2:$B$1001='2추일출'!$A30)*(구분표!$C$2:$C$1001='2추일출'!$B30)*(구분표!$A$2:$A$1001='2추일출'!$C30),0))),"@@")</f>
        <v>2001</v>
      </c>
    </row>
    <row r="31" spans="1:31" ht="57.6" customHeight="1">
      <c r="A31" s="226" t="str">
        <f>IFERROR(VLOOKUP('2추일출'!$C31,구분표!$A$2:$C$1001,2,FALSE),"")</f>
        <v>보건복지위원회</v>
      </c>
      <c r="B31" s="226" t="str">
        <f>IFERROR(VLOOKUP('2추일출'!$C31,구분표!$A$2:$C$1001,3,FALSE),"")</f>
        <v>복지여성실</v>
      </c>
      <c r="C31" s="176" t="s">
        <v>591</v>
      </c>
      <c r="D31" s="177" t="s">
        <v>588</v>
      </c>
      <c r="E31" s="177">
        <v>782</v>
      </c>
      <c r="F31" s="234" t="s">
        <v>614</v>
      </c>
      <c r="G31" s="178">
        <v>0</v>
      </c>
      <c r="H31" s="178">
        <v>20229891</v>
      </c>
      <c r="I31" s="205" t="str">
        <f>IF(SUMPRODUCT(COUNTIF($D31,{"*본예산*","*1회추경*","*신규*"})),"-",G31-H31)</f>
        <v>-</v>
      </c>
      <c r="J31" s="178"/>
      <c r="K31" s="178">
        <v>3865537</v>
      </c>
      <c r="L31" s="73">
        <f t="shared" si="29"/>
        <v>24095428</v>
      </c>
      <c r="M31" s="178"/>
      <c r="N31" s="178"/>
      <c r="O31" s="73">
        <f t="shared" si="30"/>
        <v>20229891</v>
      </c>
      <c r="P31" s="74" t="str">
        <f t="shared" si="31"/>
        <v>-</v>
      </c>
      <c r="Q31" s="292" t="s">
        <v>625</v>
      </c>
      <c r="R31" s="75"/>
      <c r="S31" s="189"/>
      <c r="T31" s="75"/>
      <c r="U31" s="78" t="str">
        <f t="shared" si="4"/>
        <v>국비</v>
      </c>
      <c r="V31" s="178">
        <v>3632000</v>
      </c>
      <c r="W31" s="178">
        <f t="shared" si="28"/>
        <v>233537</v>
      </c>
      <c r="X31" s="77" t="str">
        <f t="shared" si="6"/>
        <v>ok</v>
      </c>
      <c r="Y31" s="75"/>
      <c r="Z31" s="76" t="str">
        <f t="shared" si="7"/>
        <v>국비</v>
      </c>
      <c r="AA31" s="178">
        <f t="shared" si="14"/>
        <v>0</v>
      </c>
      <c r="AB31" s="178">
        <f t="shared" si="15"/>
        <v>0</v>
      </c>
      <c r="AC31" s="77" t="str">
        <f t="shared" si="10"/>
        <v>ok</v>
      </c>
      <c r="AD31" s="75"/>
      <c r="AE31" s="79" t="str">
        <f t="array" ref="AE31">IFERROR(IF($C31="","",INDEX(구분표!$I$2:$I$1001,MATCH(1,(구분표!$B$2:$B$1001='2추일출'!$A31)*(구분표!$C$2:$C$1001='2추일출'!$B31)*(구분표!$A$2:$A$1001='2추일출'!$C31),0))),"@@")</f>
        <v>2001</v>
      </c>
    </row>
    <row r="32" spans="1:31" ht="57.6" customHeight="1">
      <c r="A32" s="226" t="str">
        <f>IFERROR(VLOOKUP('2추일출'!$C32,구분표!$A$2:$C$1001,2,FALSE),"")</f>
        <v>보건복지위원회</v>
      </c>
      <c r="B32" s="226" t="str">
        <f>IFERROR(VLOOKUP('2추일출'!$C32,구분표!$A$2:$C$1001,3,FALSE),"")</f>
        <v>복지여성실</v>
      </c>
      <c r="C32" s="176" t="s">
        <v>591</v>
      </c>
      <c r="D32" s="177" t="s">
        <v>588</v>
      </c>
      <c r="E32" s="177">
        <v>786</v>
      </c>
      <c r="F32" s="237" t="s">
        <v>617</v>
      </c>
      <c r="G32" s="178">
        <v>0</v>
      </c>
      <c r="H32" s="178">
        <v>1217530</v>
      </c>
      <c r="I32" s="205" t="str">
        <f>IF(SUMPRODUCT(COUNTIF($D32,{"*본예산*","*1회추경*","*신규*"})),"-",G32-H32)</f>
        <v>-</v>
      </c>
      <c r="J32" s="178">
        <v>-77000</v>
      </c>
      <c r="K32" s="178"/>
      <c r="L32" s="73">
        <f t="shared" si="29"/>
        <v>1140530</v>
      </c>
      <c r="M32" s="178"/>
      <c r="N32" s="178"/>
      <c r="O32" s="73">
        <f t="shared" si="30"/>
        <v>1217530</v>
      </c>
      <c r="P32" s="74" t="str">
        <f t="shared" si="31"/>
        <v>동의필요</v>
      </c>
      <c r="Q32" s="292" t="s">
        <v>626</v>
      </c>
      <c r="R32" s="75"/>
      <c r="S32" s="189"/>
      <c r="T32" s="75"/>
      <c r="U32" s="78" t="str">
        <f t="shared" si="4"/>
        <v>분권</v>
      </c>
      <c r="V32" s="178">
        <v>0</v>
      </c>
      <c r="W32" s="178">
        <f t="shared" si="28"/>
        <v>-77000</v>
      </c>
      <c r="X32" s="77" t="str">
        <f t="shared" si="6"/>
        <v>ok</v>
      </c>
      <c r="Y32" s="75"/>
      <c r="Z32" s="76" t="str">
        <f t="shared" si="7"/>
        <v>분권</v>
      </c>
      <c r="AA32" s="178">
        <f t="shared" si="14"/>
        <v>0</v>
      </c>
      <c r="AB32" s="178">
        <f t="shared" si="15"/>
        <v>0</v>
      </c>
      <c r="AC32" s="77" t="str">
        <f t="shared" si="10"/>
        <v>ok</v>
      </c>
      <c r="AD32" s="75"/>
      <c r="AE32" s="79" t="str">
        <f t="array" ref="AE32">IFERROR(IF($C32="","",INDEX(구분표!$I$2:$I$1001,MATCH(1,(구분표!$B$2:$B$1001='2추일출'!$A32)*(구분표!$C$2:$C$1001='2추일출'!$B32)*(구분표!$A$2:$A$1001='2추일출'!$C32),0))),"@@")</f>
        <v>2001</v>
      </c>
    </row>
    <row r="33" spans="1:31" ht="57.6" customHeight="1">
      <c r="A33" s="226" t="str">
        <f>IFERROR(VLOOKUP('2추일출'!$C33,구분표!$A$2:$C$1001,2,FALSE),"")</f>
        <v>보건복지위원회</v>
      </c>
      <c r="B33" s="226" t="str">
        <f>IFERROR(VLOOKUP('2추일출'!$C33,구분표!$A$2:$C$1001,3,FALSE),"")</f>
        <v>복지여성실</v>
      </c>
      <c r="C33" s="176" t="s">
        <v>591</v>
      </c>
      <c r="D33" s="177" t="s">
        <v>588</v>
      </c>
      <c r="E33" s="177">
        <v>786</v>
      </c>
      <c r="F33" s="237" t="s">
        <v>616</v>
      </c>
      <c r="G33" s="178">
        <v>0</v>
      </c>
      <c r="H33" s="178">
        <v>70000</v>
      </c>
      <c r="I33" s="205" t="str">
        <f>IF(SUMPRODUCT(COUNTIF($D33,{"*본예산*","*1회추경*","*신규*"})),"-",G33-H33)</f>
        <v>-</v>
      </c>
      <c r="J33" s="178">
        <v>-70000</v>
      </c>
      <c r="K33" s="178"/>
      <c r="L33" s="73">
        <f t="shared" si="29"/>
        <v>0</v>
      </c>
      <c r="M33" s="178"/>
      <c r="N33" s="178"/>
      <c r="O33" s="73">
        <f t="shared" si="30"/>
        <v>70000</v>
      </c>
      <c r="P33" s="74" t="str">
        <f t="shared" si="31"/>
        <v>동의필요</v>
      </c>
      <c r="Q33" s="290" t="s">
        <v>627</v>
      </c>
      <c r="R33" s="75"/>
      <c r="S33" s="189"/>
      <c r="T33" s="75"/>
      <c r="U33" s="78" t="str">
        <f t="shared" si="4"/>
        <v>분권</v>
      </c>
      <c r="V33" s="178">
        <v>0</v>
      </c>
      <c r="W33" s="178">
        <f t="shared" si="28"/>
        <v>-70000</v>
      </c>
      <c r="X33" s="77" t="str">
        <f t="shared" si="6"/>
        <v>ok</v>
      </c>
      <c r="Y33" s="75"/>
      <c r="Z33" s="76" t="str">
        <f t="shared" si="7"/>
        <v>분권</v>
      </c>
      <c r="AA33" s="178">
        <f t="shared" si="14"/>
        <v>0</v>
      </c>
      <c r="AB33" s="178">
        <f t="shared" si="15"/>
        <v>0</v>
      </c>
      <c r="AC33" s="77" t="str">
        <f t="shared" si="10"/>
        <v>ok</v>
      </c>
      <c r="AD33" s="75"/>
      <c r="AE33" s="79" t="str">
        <f t="array" ref="AE33">IFERROR(IF($C33="","",INDEX(구분표!$I$2:$I$1001,MATCH(1,(구분표!$B$2:$B$1001='2추일출'!$A33)*(구분표!$C$2:$C$1001='2추일출'!$B33)*(구분표!$A$2:$A$1001='2추일출'!$C33),0))),"@@")</f>
        <v>2001</v>
      </c>
    </row>
    <row r="34" spans="1:31" ht="57.6" customHeight="1">
      <c r="A34" s="226" t="str">
        <f>IFERROR(VLOOKUP('2추일출'!$C34,구분표!$A$2:$C$1001,2,FALSE),"")</f>
        <v>보건복지위원회</v>
      </c>
      <c r="B34" s="226" t="str">
        <f>IFERROR(VLOOKUP('2추일출'!$C34,구분표!$A$2:$C$1001,3,FALSE),"")</f>
        <v>복지여성실</v>
      </c>
      <c r="C34" s="180" t="s">
        <v>595</v>
      </c>
      <c r="D34" s="179" t="s">
        <v>598</v>
      </c>
      <c r="E34" s="179">
        <v>325</v>
      </c>
      <c r="F34" s="236" t="s">
        <v>615</v>
      </c>
      <c r="G34" s="178">
        <v>0</v>
      </c>
      <c r="H34" s="178">
        <v>1602000</v>
      </c>
      <c r="I34" s="205" t="str">
        <f>IF(SUMPRODUCT(COUNTIF($D34,{"*본예산*","*1회추경*","*신규*"})),"-",G34-H34)</f>
        <v>-</v>
      </c>
      <c r="J34" s="178"/>
      <c r="K34" s="178">
        <v>242827</v>
      </c>
      <c r="L34" s="73">
        <f t="shared" si="29"/>
        <v>1844827</v>
      </c>
      <c r="M34" s="178"/>
      <c r="N34" s="178"/>
      <c r="O34" s="73">
        <f t="shared" si="30"/>
        <v>1602000</v>
      </c>
      <c r="P34" s="74" t="str">
        <f t="shared" si="31"/>
        <v>-</v>
      </c>
      <c r="Q34" s="290" t="s">
        <v>628</v>
      </c>
      <c r="R34" s="75"/>
      <c r="S34" s="189"/>
      <c r="T34" s="75"/>
      <c r="U34" s="78" t="str">
        <f t="shared" si="4"/>
        <v>기금</v>
      </c>
      <c r="V34" s="178">
        <f t="shared" ref="V34" si="33">IF($U34&lt;&gt;"도비",IF($S34="국도비","직접입력",SUM($J34:$K34)),)</f>
        <v>242827</v>
      </c>
      <c r="W34" s="178">
        <f t="shared" si="28"/>
        <v>0</v>
      </c>
      <c r="X34" s="77" t="str">
        <f t="shared" si="6"/>
        <v>ok</v>
      </c>
      <c r="Y34" s="75"/>
      <c r="Z34" s="76" t="str">
        <f t="shared" si="7"/>
        <v>기금</v>
      </c>
      <c r="AA34" s="178">
        <f t="shared" si="14"/>
        <v>0</v>
      </c>
      <c r="AB34" s="178">
        <f t="shared" si="15"/>
        <v>0</v>
      </c>
      <c r="AC34" s="77" t="str">
        <f t="shared" si="10"/>
        <v>ok</v>
      </c>
      <c r="AD34" s="75"/>
      <c r="AE34" s="79" t="str">
        <f t="array" ref="AE34">IFERROR(IF($C34="","",INDEX(구분표!$I$2:$I$1001,MATCH(1,(구분표!$B$2:$B$1001='2추일출'!$A34)*(구분표!$C$2:$C$1001='2추일출'!$B34)*(구분표!$A$2:$A$1001='2추일출'!$C34),0))),"@@")</f>
        <v>2002</v>
      </c>
    </row>
    <row r="35" spans="1:31" ht="57.6" customHeight="1">
      <c r="A35" s="226" t="str">
        <f>IFERROR(VLOOKUP('2추일출'!$C35,구분표!$A$2:$C$1001,2,FALSE),"")</f>
        <v>보건복지위원회</v>
      </c>
      <c r="B35" s="226" t="str">
        <f>IFERROR(VLOOKUP('2추일출'!$C35,구분표!$A$2:$C$1001,3,FALSE),"")</f>
        <v>복지여성실</v>
      </c>
      <c r="C35" s="180" t="s">
        <v>595</v>
      </c>
      <c r="D35" s="179" t="s">
        <v>618</v>
      </c>
      <c r="E35" s="179">
        <v>327</v>
      </c>
      <c r="F35" s="236" t="s">
        <v>619</v>
      </c>
      <c r="G35" s="178">
        <v>0</v>
      </c>
      <c r="H35" s="178">
        <v>911071</v>
      </c>
      <c r="I35" s="205" t="str">
        <f>IF(SUMPRODUCT(COUNTIF($D35,{"*본예산*","*1회추경*","*신규*"})),"-",G35-H35)</f>
        <v>-</v>
      </c>
      <c r="J35" s="178"/>
      <c r="K35" s="178">
        <v>232004</v>
      </c>
      <c r="L35" s="73">
        <f t="shared" si="29"/>
        <v>1143075</v>
      </c>
      <c r="M35" s="178"/>
      <c r="N35" s="178"/>
      <c r="O35" s="73">
        <f t="shared" si="30"/>
        <v>911071</v>
      </c>
      <c r="P35" s="74" t="str">
        <f t="shared" si="31"/>
        <v>-</v>
      </c>
      <c r="Q35" s="290" t="s">
        <v>629</v>
      </c>
      <c r="R35" s="75"/>
      <c r="S35" s="189"/>
      <c r="T35" s="75"/>
      <c r="U35" s="78" t="str">
        <f t="shared" si="4"/>
        <v>기금</v>
      </c>
      <c r="V35" s="178">
        <v>178464</v>
      </c>
      <c r="W35" s="178">
        <f t="shared" si="28"/>
        <v>53540</v>
      </c>
      <c r="X35" s="77" t="str">
        <f t="shared" si="6"/>
        <v>ok</v>
      </c>
      <c r="Y35" s="75"/>
      <c r="Z35" s="76" t="str">
        <f t="shared" si="7"/>
        <v>기금</v>
      </c>
      <c r="AA35" s="178">
        <f t="shared" si="14"/>
        <v>0</v>
      </c>
      <c r="AB35" s="178">
        <f t="shared" si="15"/>
        <v>0</v>
      </c>
      <c r="AC35" s="77" t="str">
        <f t="shared" si="10"/>
        <v>ok</v>
      </c>
      <c r="AD35" s="75"/>
      <c r="AE35" s="79" t="str">
        <f t="array" ref="AE35">IFERROR(IF($C35="","",INDEX(구분표!$I$2:$I$1001,MATCH(1,(구분표!$B$2:$B$1001='2추일출'!$A35)*(구분표!$C$2:$C$1001='2추일출'!$B35)*(구분표!$A$2:$A$1001='2추일출'!$C35),0))),"@@")</f>
        <v>2002</v>
      </c>
    </row>
    <row r="36" spans="1:31" ht="24" customHeight="1"/>
    <row r="37" spans="1:31" ht="24" customHeight="1"/>
  </sheetData>
  <sheetProtection formatCells="0" formatColumns="0" formatRows="0" autoFilter="0"/>
  <autoFilter ref="A6:AF35"/>
  <mergeCells count="22">
    <mergeCell ref="Z4:Z5"/>
    <mergeCell ref="F4:F5"/>
    <mergeCell ref="D4:D5"/>
    <mergeCell ref="E4:E5"/>
    <mergeCell ref="U4:U5"/>
    <mergeCell ref="V4:X4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AA4:AC4"/>
  </mergeCells>
  <phoneticPr fontId="2" type="noConversion"/>
  <conditionalFormatting sqref="S25:S28 S30:S657">
    <cfRule type="containsText" dxfId="37" priority="73" operator="containsText" text="국도비">
      <formula>NOT(ISERROR(SEARCH("국도비",S25)))</formula>
    </cfRule>
  </conditionalFormatting>
  <conditionalFormatting sqref="G23:G28 G30:G657">
    <cfRule type="expression" dxfId="36" priority="71">
      <formula>($D23="2회추경")</formula>
    </cfRule>
  </conditionalFormatting>
  <conditionalFormatting sqref="AA25:AC28 T25:W28 AA30:AC657 T30:W657">
    <cfRule type="containsText" dxfId="35" priority="68" operator="containsText" text="직접입력">
      <formula>NOT(ISERROR(SEARCH("직접입력",T25)))</formula>
    </cfRule>
  </conditionalFormatting>
  <conditionalFormatting sqref="S29">
    <cfRule type="containsText" dxfId="34" priority="66" operator="containsText" text="국도비">
      <formula>NOT(ISERROR(SEARCH("국도비",S29)))</formula>
    </cfRule>
  </conditionalFormatting>
  <conditionalFormatting sqref="G29">
    <cfRule type="expression" dxfId="33" priority="65">
      <formula>($D29="2회추경")</formula>
    </cfRule>
  </conditionalFormatting>
  <conditionalFormatting sqref="T29:W29 AA29:AC29">
    <cfRule type="containsText" dxfId="32" priority="64" operator="containsText" text="직접입력">
      <formula>NOT(ISERROR(SEARCH("직접입력",T29)))</formula>
    </cfRule>
  </conditionalFormatting>
  <conditionalFormatting sqref="S8:S10">
    <cfRule type="containsText" dxfId="31" priority="63" operator="containsText" text="국도비">
      <formula>NOT(ISERROR(SEARCH("국도비",S8)))</formula>
    </cfRule>
  </conditionalFormatting>
  <conditionalFormatting sqref="G8:G10">
    <cfRule type="expression" dxfId="30" priority="62">
      <formula>($D8="2회추경")</formula>
    </cfRule>
  </conditionalFormatting>
  <conditionalFormatting sqref="T8:V10 AA8:AC10">
    <cfRule type="containsText" dxfId="29" priority="61" operator="containsText" text="직접입력">
      <formula>NOT(ISERROR(SEARCH("직접입력",T8)))</formula>
    </cfRule>
  </conditionalFormatting>
  <conditionalFormatting sqref="S11">
    <cfRule type="containsText" dxfId="28" priority="60" operator="containsText" text="국도비">
      <formula>NOT(ISERROR(SEARCH("국도비",S11)))</formula>
    </cfRule>
  </conditionalFormatting>
  <conditionalFormatting sqref="G11">
    <cfRule type="expression" dxfId="27" priority="59">
      <formula>($D11="2회추경")</formula>
    </cfRule>
  </conditionalFormatting>
  <conditionalFormatting sqref="T11:U11 AA11:AC11">
    <cfRule type="containsText" dxfId="26" priority="58" operator="containsText" text="직접입력">
      <formula>NOT(ISERROR(SEARCH("직접입력",T11)))</formula>
    </cfRule>
  </conditionalFormatting>
  <conditionalFormatting sqref="S12:S15">
    <cfRule type="containsText" dxfId="25" priority="57" operator="containsText" text="국도비">
      <formula>NOT(ISERROR(SEARCH("국도비",S12)))</formula>
    </cfRule>
  </conditionalFormatting>
  <conditionalFormatting sqref="G12:G15">
    <cfRule type="expression" dxfId="24" priority="56">
      <formula>($D12="2회추경")</formula>
    </cfRule>
  </conditionalFormatting>
  <conditionalFormatting sqref="AA12:AC15 T12:V15">
    <cfRule type="containsText" dxfId="23" priority="55" operator="containsText" text="직접입력">
      <formula>NOT(ISERROR(SEARCH("직접입력",T12)))</formula>
    </cfRule>
  </conditionalFormatting>
  <conditionalFormatting sqref="S16">
    <cfRule type="containsText" dxfId="22" priority="54" operator="containsText" text="국도비">
      <formula>NOT(ISERROR(SEARCH("국도비",S16)))</formula>
    </cfRule>
  </conditionalFormatting>
  <conditionalFormatting sqref="G16">
    <cfRule type="expression" dxfId="21" priority="53">
      <formula>($D16="2회추경")</formula>
    </cfRule>
  </conditionalFormatting>
  <conditionalFormatting sqref="T16:V16 AA16:AC16">
    <cfRule type="containsText" dxfId="20" priority="52" operator="containsText" text="직접입력">
      <formula>NOT(ISERROR(SEARCH("직접입력",T16)))</formula>
    </cfRule>
  </conditionalFormatting>
  <conditionalFormatting sqref="S17:S19 S21">
    <cfRule type="containsText" dxfId="19" priority="51" operator="containsText" text="국도비">
      <formula>NOT(ISERROR(SEARCH("국도비",S17)))</formula>
    </cfRule>
  </conditionalFormatting>
  <conditionalFormatting sqref="G17:G19 G21">
    <cfRule type="expression" dxfId="18" priority="50">
      <formula>($D17="2회추경")</formula>
    </cfRule>
  </conditionalFormatting>
  <conditionalFormatting sqref="AA17:AC19 T17:V19 T21:V21 AA21:AC21">
    <cfRule type="containsText" dxfId="17" priority="49" operator="containsText" text="직접입력">
      <formula>NOT(ISERROR(SEARCH("직접입력",T17)))</formula>
    </cfRule>
  </conditionalFormatting>
  <conditionalFormatting sqref="S22">
    <cfRule type="containsText" dxfId="16" priority="48" operator="containsText" text="국도비">
      <formula>NOT(ISERROR(SEARCH("국도비",S22)))</formula>
    </cfRule>
  </conditionalFormatting>
  <conditionalFormatting sqref="G22">
    <cfRule type="expression" dxfId="15" priority="47">
      <formula>($D22="2회추경")</formula>
    </cfRule>
  </conditionalFormatting>
  <conditionalFormatting sqref="T22:V22 AA22:AC22">
    <cfRule type="containsText" dxfId="14" priority="46" operator="containsText" text="직접입력">
      <formula>NOT(ISERROR(SEARCH("직접입력",T22)))</formula>
    </cfRule>
  </conditionalFormatting>
  <conditionalFormatting sqref="S23:S24">
    <cfRule type="containsText" dxfId="13" priority="45" operator="containsText" text="국도비">
      <formula>NOT(ISERROR(SEARCH("국도비",S23)))</formula>
    </cfRule>
  </conditionalFormatting>
  <conditionalFormatting sqref="AA23:AC24 T23:V24">
    <cfRule type="containsText" dxfId="12" priority="43" operator="containsText" text="직접입력">
      <formula>NOT(ISERROR(SEARCH("직접입력",T23)))</formula>
    </cfRule>
  </conditionalFormatting>
  <conditionalFormatting sqref="W8:W19 W21:W24">
    <cfRule type="containsText" dxfId="11" priority="39" operator="containsText" text="직접입력">
      <formula>NOT(ISERROR(SEARCH("직접입력",W8)))</formula>
    </cfRule>
  </conditionalFormatting>
  <conditionalFormatting sqref="H8">
    <cfRule type="expression" dxfId="10" priority="38">
      <formula>($D8="2회추경")</formula>
    </cfRule>
  </conditionalFormatting>
  <conditionalFormatting sqref="V11">
    <cfRule type="containsText" dxfId="9" priority="37" operator="containsText" text="직접입력">
      <formula>NOT(ISERROR(SEARCH("직접입력",V11)))</formula>
    </cfRule>
  </conditionalFormatting>
  <conditionalFormatting sqref="H12">
    <cfRule type="expression" dxfId="8" priority="36">
      <formula>($D12="2회추경")</formula>
    </cfRule>
  </conditionalFormatting>
  <conditionalFormatting sqref="S7">
    <cfRule type="containsText" dxfId="7" priority="35" operator="containsText" text="국도비">
      <formula>NOT(ISERROR(SEARCH("국도비",S7)))</formula>
    </cfRule>
  </conditionalFormatting>
  <conditionalFormatting sqref="G7">
    <cfRule type="expression" dxfId="6" priority="34">
      <formula>($D7="2회추경")</formula>
    </cfRule>
  </conditionalFormatting>
  <conditionalFormatting sqref="AA7:AC7 T7:V7">
    <cfRule type="containsText" dxfId="5" priority="33" operator="containsText" text="직접입력">
      <formula>NOT(ISERROR(SEARCH("직접입력",T7)))</formula>
    </cfRule>
  </conditionalFormatting>
  <conditionalFormatting sqref="W7">
    <cfRule type="containsText" dxfId="4" priority="32" operator="containsText" text="직접입력">
      <formula>NOT(ISERROR(SEARCH("직접입력",W7)))</formula>
    </cfRule>
  </conditionalFormatting>
  <conditionalFormatting sqref="S20">
    <cfRule type="containsText" dxfId="3" priority="4" operator="containsText" text="국도비">
      <formula>NOT(ISERROR(SEARCH("국도비",S20)))</formula>
    </cfRule>
  </conditionalFormatting>
  <conditionalFormatting sqref="G20">
    <cfRule type="expression" dxfId="2" priority="3">
      <formula>($D20="2회추경")</formula>
    </cfRule>
  </conditionalFormatting>
  <conditionalFormatting sqref="AA20:AC20 T20:V20">
    <cfRule type="containsText" dxfId="1" priority="2" operator="containsText" text="직접입력">
      <formula>NOT(ISERROR(SEARCH("직접입력",T20)))</formula>
    </cfRule>
  </conditionalFormatting>
  <conditionalFormatting sqref="W20">
    <cfRule type="containsText" dxfId="0" priority="1" operator="containsText" text="직접입력">
      <formula>NOT(ISERROR(SEARCH("직접입력",W20)))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64" fitToHeight="0" orientation="landscape" horizontalDpi="4294967293" verticalDpi="4294967293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구분표!$O$2:$O$5</xm:f>
          </x14:formula1>
          <xm:sqref>D30:D35 D7:D28</xm:sqref>
        </x14:dataValidation>
        <x14:dataValidation type="list" allowBlank="1" showInputMessage="1" showErrorMessage="1">
          <x14:formula1>
            <xm:f>[6]구분표!#REF!</xm:f>
          </x14:formula1>
          <xm:sqref>D29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21</vt:i4>
      </vt:variant>
    </vt:vector>
  </HeadingPairs>
  <TitlesOfParts>
    <vt:vector size="39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15년기금</vt:lpstr>
      <vt:lpstr>2추위원회별</vt:lpstr>
      <vt:lpstr>2추일입</vt:lpstr>
      <vt:lpstr>2추일출</vt:lpstr>
      <vt:lpstr>'15년검증'!Print_Area</vt:lpstr>
      <vt:lpstr>'15년기금'!Print_Area</vt:lpstr>
      <vt:lpstr>'15년위원회별'!Print_Area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'15년기금'!Print_Titles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2014-11-27T14:44:41Z</cp:lastPrinted>
  <dcterms:created xsi:type="dcterms:W3CDTF">2013-08-23T08:00:50Z</dcterms:created>
  <dcterms:modified xsi:type="dcterms:W3CDTF">2015-01-03T01:52:14Z</dcterms:modified>
</cp:coreProperties>
</file>