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13635" tabRatio="751" firstSheet="3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2추검증" sheetId="3" state="hidden" r:id="rId5"/>
    <sheet name="2추총괄표" sheetId="4" r:id="rId6"/>
    <sheet name="2추총괄표(실국)" sheetId="5" state="hidden" r:id="rId7"/>
    <sheet name="2추일입" sheetId="13" r:id="rId8"/>
    <sheet name="2추일출" sheetId="15" r:id="rId9"/>
    <sheet name="2추특입" sheetId="14" r:id="rId10"/>
    <sheet name="2추특출" sheetId="16" r:id="rId11"/>
  </sheets>
  <definedNames>
    <definedName name="_xlnm._FilterDatabase" localSheetId="7" hidden="1">'2추일입'!$A$6:$AQ$60</definedName>
    <definedName name="_xlnm._FilterDatabase" localSheetId="8" hidden="1">'2추일출'!$A$6:$AL$294</definedName>
    <definedName name="_xlnm._FilterDatabase" localSheetId="9" hidden="1">'2추특입'!$A$6:$AQ$6</definedName>
    <definedName name="_xlnm._FilterDatabase" localSheetId="10" hidden="1">'2추특출'!$A$6:$AL$6</definedName>
    <definedName name="_xlnm.Print_Area" localSheetId="7">'2추일입'!$A:$Q</definedName>
    <definedName name="_xlnm.Print_Area" localSheetId="8">'2추일출'!$A$1:$Q$294</definedName>
    <definedName name="_xlnm.Print_Area" localSheetId="5">'2추총괄표'!$A$1:$H$25</definedName>
    <definedName name="_xlnm.Print_Area" localSheetId="9">'2추특입'!$A$1:$Q$50</definedName>
    <definedName name="_xlnm.Print_Area" localSheetId="10">'2추특출'!$A:$Q</definedName>
    <definedName name="_xlnm.Print_Titles" localSheetId="8">'2추일출'!$3:$5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4" l="1"/>
  <c r="B25" i="4"/>
  <c r="B230" i="15" l="1"/>
  <c r="A230" i="15"/>
  <c r="O230" i="15"/>
  <c r="L230" i="15"/>
  <c r="I230" i="15"/>
  <c r="AE229" i="15"/>
  <c r="AH229" i="15" s="1"/>
  <c r="AB229" i="15"/>
  <c r="AA229" i="15"/>
  <c r="W229" i="15"/>
  <c r="V229" i="15"/>
  <c r="O229" i="15"/>
  <c r="L229" i="15"/>
  <c r="I229" i="15"/>
  <c r="B229" i="15"/>
  <c r="AJ229" i="15" s="1" a="1"/>
  <c r="AJ229" i="15" s="1"/>
  <c r="A229" i="15"/>
  <c r="P229" i="15" l="1"/>
  <c r="AC229" i="15"/>
  <c r="X229" i="15"/>
  <c r="P230" i="15"/>
  <c r="AA1" i="13"/>
  <c r="F30" i="4"/>
  <c r="E30" i="4"/>
  <c r="D30" i="4"/>
  <c r="C31" i="4"/>
  <c r="C30" i="4" s="1"/>
  <c r="C40" i="4"/>
  <c r="B40" i="4"/>
  <c r="C39" i="4"/>
  <c r="B39" i="4"/>
  <c r="C38" i="4"/>
  <c r="B38" i="4"/>
  <c r="C37" i="4"/>
  <c r="B37" i="4"/>
  <c r="C36" i="4"/>
  <c r="B36" i="4"/>
  <c r="C35" i="4"/>
  <c r="B35" i="4"/>
  <c r="C34" i="4"/>
  <c r="B34" i="4"/>
  <c r="C33" i="4"/>
  <c r="B33" i="4"/>
  <c r="C32" i="4"/>
  <c r="B32" i="4"/>
  <c r="B31" i="4"/>
  <c r="B30" i="4" s="1"/>
  <c r="O101" i="15" l="1"/>
  <c r="L101" i="15"/>
  <c r="AE89" i="15" l="1"/>
  <c r="AA89" i="15"/>
  <c r="V89" i="15"/>
  <c r="O89" i="15"/>
  <c r="L89" i="15"/>
  <c r="I89" i="15"/>
  <c r="B89" i="15"/>
  <c r="A89" i="15"/>
  <c r="AE88" i="15"/>
  <c r="AA88" i="15"/>
  <c r="AB88" i="15" s="1"/>
  <c r="AC88" i="15" s="1"/>
  <c r="V88" i="15"/>
  <c r="O88" i="15"/>
  <c r="L88" i="15"/>
  <c r="I88" i="15"/>
  <c r="B88" i="15"/>
  <c r="A88" i="15"/>
  <c r="AJ88" i="15" l="1" a="1"/>
  <c r="AJ88" i="15" s="1"/>
  <c r="AJ89" i="15" a="1"/>
  <c r="AJ89" i="15" s="1"/>
  <c r="AH89" i="15"/>
  <c r="AH88" i="15"/>
  <c r="P89" i="15"/>
  <c r="W89" i="15"/>
  <c r="X89" i="15" s="1"/>
  <c r="W88" i="15"/>
  <c r="X88" i="15" s="1"/>
  <c r="AB89" i="15"/>
  <c r="AC89" i="15" s="1"/>
  <c r="AE273" i="15"/>
  <c r="AH273" i="15" s="1"/>
  <c r="AB273" i="15"/>
  <c r="AA273" i="15"/>
  <c r="W273" i="15"/>
  <c r="V273" i="15"/>
  <c r="O273" i="15"/>
  <c r="L273" i="15"/>
  <c r="I273" i="15"/>
  <c r="B273" i="15"/>
  <c r="A273" i="15"/>
  <c r="AH162" i="15"/>
  <c r="AC162" i="15"/>
  <c r="O162" i="15"/>
  <c r="L162" i="15"/>
  <c r="I162" i="15"/>
  <c r="B162" i="15"/>
  <c r="A162" i="15"/>
  <c r="AJ273" i="15" l="1" a="1"/>
  <c r="AJ273" i="15" s="1"/>
  <c r="AC273" i="15"/>
  <c r="X273" i="15"/>
  <c r="AJ162" i="15" a="1"/>
  <c r="AJ162" i="15" s="1"/>
  <c r="P273" i="15"/>
  <c r="P162" i="15"/>
  <c r="X162" i="15"/>
  <c r="N188" i="15"/>
  <c r="P264" i="15" l="1"/>
  <c r="I15" i="15"/>
  <c r="V134" i="15"/>
  <c r="W134" i="15"/>
  <c r="AA134" i="15"/>
  <c r="AB134" i="15"/>
  <c r="AE134" i="15"/>
  <c r="AH134" i="15" s="1"/>
  <c r="AJ10" i="15" a="1"/>
  <c r="AJ10" i="15" s="1"/>
  <c r="AE10" i="15"/>
  <c r="AH10" i="15" s="1"/>
  <c r="AA10" i="15"/>
  <c r="AB10" i="15"/>
  <c r="V10" i="15"/>
  <c r="W10" i="15"/>
  <c r="H254" i="15"/>
  <c r="J254" i="15"/>
  <c r="K254" i="15"/>
  <c r="M254" i="15"/>
  <c r="N254" i="15"/>
  <c r="H231" i="15"/>
  <c r="J231" i="15"/>
  <c r="K231" i="15"/>
  <c r="M231" i="15"/>
  <c r="N231" i="15"/>
  <c r="H211" i="15"/>
  <c r="J211" i="15"/>
  <c r="K211" i="15"/>
  <c r="M211" i="15"/>
  <c r="N211" i="15"/>
  <c r="H163" i="15"/>
  <c r="J163" i="15"/>
  <c r="K163" i="15"/>
  <c r="M163" i="15"/>
  <c r="N163" i="15"/>
  <c r="H126" i="15"/>
  <c r="J126" i="15"/>
  <c r="K126" i="15"/>
  <c r="M126" i="15"/>
  <c r="N126" i="15"/>
  <c r="H90" i="15"/>
  <c r="J90" i="15"/>
  <c r="K90" i="15"/>
  <c r="M90" i="15"/>
  <c r="N90" i="15"/>
  <c r="H57" i="15"/>
  <c r="J57" i="15"/>
  <c r="K57" i="15"/>
  <c r="M57" i="15"/>
  <c r="N57" i="15"/>
  <c r="H41" i="15"/>
  <c r="J41" i="15"/>
  <c r="K41" i="15"/>
  <c r="M41" i="15"/>
  <c r="N41" i="15"/>
  <c r="H30" i="15"/>
  <c r="J30" i="15"/>
  <c r="K30" i="15"/>
  <c r="M30" i="15"/>
  <c r="N30" i="15"/>
  <c r="H7" i="15"/>
  <c r="J7" i="15"/>
  <c r="K7" i="15"/>
  <c r="M7" i="15"/>
  <c r="N7" i="15"/>
  <c r="O10" i="15"/>
  <c r="L10" i="15"/>
  <c r="I10" i="15"/>
  <c r="O134" i="15"/>
  <c r="L134" i="15"/>
  <c r="L135" i="15"/>
  <c r="I134" i="15"/>
  <c r="AJ134" i="15" a="1"/>
  <c r="AJ134" i="15" s="1"/>
  <c r="X10" i="15" l="1"/>
  <c r="X134" i="15"/>
  <c r="P10" i="15"/>
  <c r="K6" i="15"/>
  <c r="M6" i="15"/>
  <c r="AC134" i="15"/>
  <c r="N6" i="15"/>
  <c r="H6" i="15"/>
  <c r="J6" i="15"/>
  <c r="P134" i="15"/>
  <c r="AC10" i="15"/>
  <c r="AE264" i="15" l="1"/>
  <c r="AB264" i="15"/>
  <c r="AA264" i="15"/>
  <c r="A47" i="13" l="1"/>
  <c r="B47" i="13"/>
  <c r="AG47" i="13" s="1" a="1"/>
  <c r="AG47" i="13" s="1"/>
  <c r="I47" i="13"/>
  <c r="L47" i="13"/>
  <c r="O47" i="13"/>
  <c r="V47" i="13"/>
  <c r="AA47" i="13"/>
  <c r="AB47" i="13" s="1"/>
  <c r="A48" i="13"/>
  <c r="B48" i="13"/>
  <c r="AG48" i="13" s="1" a="1"/>
  <c r="AG48" i="13" s="1"/>
  <c r="I48" i="13"/>
  <c r="L48" i="13"/>
  <c r="O48" i="13"/>
  <c r="V48" i="13"/>
  <c r="W48" i="13" s="1"/>
  <c r="X48" i="13" s="1"/>
  <c r="AA48" i="13"/>
  <c r="AE294" i="15"/>
  <c r="AA294" i="15"/>
  <c r="AB294" i="15" s="1"/>
  <c r="AC294" i="15" s="1"/>
  <c r="V294" i="15"/>
  <c r="O294" i="15"/>
  <c r="L294" i="15"/>
  <c r="I294" i="15"/>
  <c r="B294" i="15"/>
  <c r="A294" i="15"/>
  <c r="AE275" i="15"/>
  <c r="AA275" i="15"/>
  <c r="AB275" i="15" s="1"/>
  <c r="AC275" i="15" s="1"/>
  <c r="V275" i="15"/>
  <c r="O275" i="15"/>
  <c r="L275" i="15"/>
  <c r="I275" i="15"/>
  <c r="B275" i="15"/>
  <c r="A275" i="15"/>
  <c r="AE221" i="15"/>
  <c r="AH221" i="15" s="1"/>
  <c r="AB221" i="15"/>
  <c r="AA221" i="15"/>
  <c r="W221" i="15"/>
  <c r="V221" i="15"/>
  <c r="O221" i="15"/>
  <c r="L221" i="15"/>
  <c r="I221" i="15"/>
  <c r="B221" i="15"/>
  <c r="A221" i="15"/>
  <c r="AE136" i="15"/>
  <c r="AH136" i="15" s="1"/>
  <c r="AB136" i="15"/>
  <c r="AA136" i="15"/>
  <c r="W136" i="15"/>
  <c r="V136" i="15"/>
  <c r="O136" i="15"/>
  <c r="L136" i="15"/>
  <c r="I136" i="15"/>
  <c r="B136" i="15"/>
  <c r="A136" i="15"/>
  <c r="O56" i="15"/>
  <c r="AE86" i="15"/>
  <c r="AA86" i="15"/>
  <c r="V86" i="15"/>
  <c r="O86" i="15"/>
  <c r="L86" i="15"/>
  <c r="I86" i="15"/>
  <c r="B86" i="15"/>
  <c r="A86" i="15"/>
  <c r="AE80" i="15"/>
  <c r="AA80" i="15"/>
  <c r="AB80" i="15" s="1"/>
  <c r="V80" i="15"/>
  <c r="W80" i="15" s="1"/>
  <c r="X80" i="15" s="1"/>
  <c r="O80" i="15"/>
  <c r="L80" i="15"/>
  <c r="I80" i="15"/>
  <c r="B80" i="15"/>
  <c r="A80" i="15"/>
  <c r="P136" i="15" l="1"/>
  <c r="P221" i="15"/>
  <c r="P80" i="15"/>
  <c r="P86" i="15"/>
  <c r="P275" i="15"/>
  <c r="P294" i="15"/>
  <c r="AH80" i="15"/>
  <c r="AH86" i="15"/>
  <c r="AH275" i="15"/>
  <c r="AH294" i="15"/>
  <c r="P48" i="13"/>
  <c r="P47" i="13"/>
  <c r="AJ294" i="15" a="1"/>
  <c r="AJ294" i="15" s="1"/>
  <c r="AC47" i="13"/>
  <c r="AB48" i="13"/>
  <c r="AC48" i="13" s="1"/>
  <c r="W47" i="13"/>
  <c r="X47" i="13" s="1"/>
  <c r="AJ136" i="15" a="1"/>
  <c r="AJ136" i="15" s="1"/>
  <c r="AJ221" i="15" a="1"/>
  <c r="AJ221" i="15" s="1"/>
  <c r="AJ275" i="15" a="1"/>
  <c r="AJ275" i="15" s="1"/>
  <c r="W294" i="15"/>
  <c r="X294" i="15" s="1"/>
  <c r="AJ86" i="15" a="1"/>
  <c r="AJ86" i="15" s="1"/>
  <c r="X221" i="15"/>
  <c r="W275" i="15"/>
  <c r="X275" i="15" s="1"/>
  <c r="AC221" i="15"/>
  <c r="AC136" i="15"/>
  <c r="X136" i="15"/>
  <c r="AJ80" i="15" a="1"/>
  <c r="AJ80" i="15" s="1"/>
  <c r="AB86" i="15"/>
  <c r="AC86" i="15" s="1"/>
  <c r="AC80" i="15"/>
  <c r="W86" i="15"/>
  <c r="X86" i="15" s="1"/>
  <c r="AE149" i="15"/>
  <c r="AH149" i="15" s="1"/>
  <c r="AB149" i="15"/>
  <c r="AA149" i="15"/>
  <c r="W149" i="15"/>
  <c r="V149" i="15"/>
  <c r="O149" i="15"/>
  <c r="L149" i="15"/>
  <c r="I149" i="15"/>
  <c r="B149" i="15"/>
  <c r="A149" i="15"/>
  <c r="P149" i="15" l="1"/>
  <c r="AJ149" i="15" a="1"/>
  <c r="AJ149" i="15" s="1"/>
  <c r="X149" i="15"/>
  <c r="AC149" i="15"/>
  <c r="O140" i="15" l="1"/>
  <c r="O141" i="15"/>
  <c r="O142" i="15"/>
  <c r="O143" i="15"/>
  <c r="O144" i="15"/>
  <c r="AE45" i="15" l="1"/>
  <c r="AH45" i="15" s="1"/>
  <c r="AB45" i="15"/>
  <c r="AA45" i="15"/>
  <c r="W45" i="15"/>
  <c r="V45" i="15"/>
  <c r="O45" i="15"/>
  <c r="L45" i="15"/>
  <c r="I45" i="15"/>
  <c r="B45" i="15"/>
  <c r="A45" i="15"/>
  <c r="P45" i="15" l="1"/>
  <c r="AJ45" i="15" a="1"/>
  <c r="AJ45" i="15" s="1"/>
  <c r="AC45" i="15"/>
  <c r="X45" i="15"/>
  <c r="AA265" i="15"/>
  <c r="AB265" i="15"/>
  <c r="AA266" i="15"/>
  <c r="AB266" i="15"/>
  <c r="AA267" i="15"/>
  <c r="AB267" i="15"/>
  <c r="AE196" i="15" l="1"/>
  <c r="AH196" i="15" s="1"/>
  <c r="AA196" i="15"/>
  <c r="AB196" i="15" s="1"/>
  <c r="AC196" i="15" s="1"/>
  <c r="V196" i="15"/>
  <c r="O196" i="15"/>
  <c r="L196" i="15"/>
  <c r="I196" i="15"/>
  <c r="B196" i="15"/>
  <c r="A196" i="15"/>
  <c r="AH209" i="15"/>
  <c r="O209" i="15"/>
  <c r="L209" i="15"/>
  <c r="I209" i="15"/>
  <c r="B209" i="15"/>
  <c r="A209" i="15"/>
  <c r="AH208" i="15"/>
  <c r="AC208" i="15"/>
  <c r="O208" i="15"/>
  <c r="L208" i="15"/>
  <c r="I208" i="15"/>
  <c r="B208" i="15"/>
  <c r="A208" i="15"/>
  <c r="G211" i="15"/>
  <c r="AE211" i="15"/>
  <c r="AG211" i="15" s="1"/>
  <c r="AH211" i="15"/>
  <c r="AJ211" i="15" a="1"/>
  <c r="AJ211" i="15" s="1"/>
  <c r="AH210" i="15"/>
  <c r="O210" i="15"/>
  <c r="L210" i="15"/>
  <c r="I210" i="15"/>
  <c r="B210" i="15"/>
  <c r="A210" i="15"/>
  <c r="AH207" i="15"/>
  <c r="AC207" i="15"/>
  <c r="O207" i="15"/>
  <c r="L207" i="15"/>
  <c r="I207" i="15"/>
  <c r="B207" i="15"/>
  <c r="A207" i="15"/>
  <c r="P210" i="15" l="1"/>
  <c r="P209" i="15"/>
  <c r="P196" i="15"/>
  <c r="P207" i="15"/>
  <c r="P208" i="15"/>
  <c r="AJ210" i="15" a="1"/>
  <c r="AJ210" i="15" s="1"/>
  <c r="AJ196" i="15" a="1"/>
  <c r="AJ196" i="15" s="1"/>
  <c r="AJ208" i="15" a="1"/>
  <c r="AJ208" i="15" s="1"/>
  <c r="AJ209" i="15" a="1"/>
  <c r="AJ209" i="15" s="1"/>
  <c r="AJ207" i="15" a="1"/>
  <c r="AJ207" i="15" s="1"/>
  <c r="AC210" i="15"/>
  <c r="X208" i="15"/>
  <c r="AC209" i="15"/>
  <c r="X209" i="15"/>
  <c r="X207" i="15"/>
  <c r="W196" i="15"/>
  <c r="X196" i="15" s="1"/>
  <c r="X210" i="15"/>
  <c r="I281" i="15" l="1"/>
  <c r="L281" i="15"/>
  <c r="I282" i="15"/>
  <c r="L282" i="15"/>
  <c r="I283" i="15"/>
  <c r="L283" i="15"/>
  <c r="I284" i="15"/>
  <c r="L284" i="15"/>
  <c r="I285" i="15"/>
  <c r="L285" i="15"/>
  <c r="I286" i="15"/>
  <c r="L286" i="15"/>
  <c r="AH286" i="15"/>
  <c r="X286" i="15"/>
  <c r="O286" i="15"/>
  <c r="B286" i="15"/>
  <c r="A286" i="15"/>
  <c r="AH285" i="15"/>
  <c r="O285" i="15"/>
  <c r="B285" i="15"/>
  <c r="A285" i="15"/>
  <c r="AH284" i="15"/>
  <c r="AC284" i="15"/>
  <c r="O284" i="15"/>
  <c r="B284" i="15"/>
  <c r="A284" i="15"/>
  <c r="AH283" i="15"/>
  <c r="X283" i="15"/>
  <c r="O283" i="15"/>
  <c r="B283" i="15"/>
  <c r="A283" i="15"/>
  <c r="AE292" i="15"/>
  <c r="AH292" i="15" s="1"/>
  <c r="AA292" i="15"/>
  <c r="AB292" i="15" s="1"/>
  <c r="AC292" i="15" s="1"/>
  <c r="V292" i="15"/>
  <c r="O292" i="15"/>
  <c r="L292" i="15"/>
  <c r="I292" i="15"/>
  <c r="B292" i="15"/>
  <c r="A292" i="15"/>
  <c r="AE291" i="15"/>
  <c r="AH291" i="15" s="1"/>
  <c r="AA291" i="15"/>
  <c r="V291" i="15"/>
  <c r="O291" i="15"/>
  <c r="L291" i="15"/>
  <c r="I291" i="15"/>
  <c r="B291" i="15"/>
  <c r="A291" i="15"/>
  <c r="AE290" i="15"/>
  <c r="AH290" i="15" s="1"/>
  <c r="AA290" i="15"/>
  <c r="AB290" i="15" s="1"/>
  <c r="V290" i="15"/>
  <c r="O290" i="15"/>
  <c r="L290" i="15"/>
  <c r="I290" i="15"/>
  <c r="B290" i="15"/>
  <c r="A290" i="15"/>
  <c r="AE289" i="15"/>
  <c r="AA289" i="15"/>
  <c r="AB289" i="15" s="1"/>
  <c r="AC289" i="15" s="1"/>
  <c r="V289" i="15"/>
  <c r="W289" i="15" s="1"/>
  <c r="O289" i="15"/>
  <c r="L289" i="15"/>
  <c r="I289" i="15"/>
  <c r="B289" i="15"/>
  <c r="A289" i="15"/>
  <c r="P289" i="15" l="1"/>
  <c r="P290" i="15"/>
  <c r="P291" i="15"/>
  <c r="P292" i="15"/>
  <c r="P286" i="15"/>
  <c r="P285" i="15"/>
  <c r="P284" i="15"/>
  <c r="P283" i="15"/>
  <c r="AH289" i="15"/>
  <c r="AJ292" i="15" a="1"/>
  <c r="AJ292" i="15" s="1"/>
  <c r="AJ290" i="15" a="1"/>
  <c r="AJ290" i="15" s="1"/>
  <c r="AJ291" i="15" a="1"/>
  <c r="AJ291" i="15" s="1"/>
  <c r="AJ289" i="15" a="1"/>
  <c r="AJ289" i="15" s="1"/>
  <c r="AJ285" i="15" a="1"/>
  <c r="AJ285" i="15" s="1"/>
  <c r="AJ284" i="15" a="1"/>
  <c r="AJ284" i="15" s="1"/>
  <c r="AJ286" i="15" a="1"/>
  <c r="AJ286" i="15" s="1"/>
  <c r="AJ283" i="15" a="1"/>
  <c r="AJ283" i="15" s="1"/>
  <c r="AC283" i="15"/>
  <c r="X284" i="15"/>
  <c r="AC285" i="15"/>
  <c r="W292" i="15"/>
  <c r="X292" i="15" s="1"/>
  <c r="X285" i="15"/>
  <c r="AC286" i="15"/>
  <c r="X289" i="15"/>
  <c r="W290" i="15"/>
  <c r="X290" i="15" s="1"/>
  <c r="AC290" i="15"/>
  <c r="AB291" i="15"/>
  <c r="AC291" i="15" s="1"/>
  <c r="W291" i="15"/>
  <c r="X291" i="15" s="1"/>
  <c r="AB144" i="15" l="1"/>
  <c r="AA144" i="15"/>
  <c r="V144" i="15"/>
  <c r="W144" i="15"/>
  <c r="O167" i="15"/>
  <c r="L166" i="15"/>
  <c r="O166" i="15"/>
  <c r="X172" i="15"/>
  <c r="P166" i="15" l="1"/>
  <c r="A87" i="15"/>
  <c r="B87" i="15"/>
  <c r="I87" i="15"/>
  <c r="L87" i="15"/>
  <c r="O87" i="15"/>
  <c r="V87" i="15"/>
  <c r="W87" i="15" s="1"/>
  <c r="X87" i="15" s="1"/>
  <c r="AA87" i="15"/>
  <c r="AB87" i="15" s="1"/>
  <c r="AC87" i="15" s="1"/>
  <c r="AE87" i="15"/>
  <c r="AG87" i="15" s="1"/>
  <c r="AH87" i="15"/>
  <c r="AJ87" i="15" l="1" a="1"/>
  <c r="AJ87" i="15" s="1"/>
  <c r="P87" i="15"/>
  <c r="AE293" i="15"/>
  <c r="AA293" i="15"/>
  <c r="AB293" i="15" s="1"/>
  <c r="V293" i="15"/>
  <c r="W293" i="15" s="1"/>
  <c r="O293" i="15"/>
  <c r="L293" i="15"/>
  <c r="I293" i="15"/>
  <c r="B293" i="15"/>
  <c r="A293" i="15"/>
  <c r="AE124" i="15"/>
  <c r="AA124" i="15"/>
  <c r="V124" i="15"/>
  <c r="O124" i="15"/>
  <c r="L124" i="15"/>
  <c r="I124" i="15"/>
  <c r="B124" i="15"/>
  <c r="A124" i="15"/>
  <c r="AE125" i="15"/>
  <c r="AA125" i="15"/>
  <c r="AB125" i="15" s="1"/>
  <c r="AC125" i="15" s="1"/>
  <c r="V125" i="15"/>
  <c r="W125" i="15" s="1"/>
  <c r="O125" i="15"/>
  <c r="L125" i="15"/>
  <c r="I125" i="15"/>
  <c r="B125" i="15"/>
  <c r="A125" i="15"/>
  <c r="AE107" i="15"/>
  <c r="AA107" i="15"/>
  <c r="AB107" i="15" s="1"/>
  <c r="V107" i="15"/>
  <c r="W107" i="15" s="1"/>
  <c r="X107" i="15" s="1"/>
  <c r="O107" i="15"/>
  <c r="L107" i="15"/>
  <c r="I107" i="15"/>
  <c r="B107" i="15"/>
  <c r="A107" i="15"/>
  <c r="AE93" i="15"/>
  <c r="AA93" i="15"/>
  <c r="AB93" i="15" s="1"/>
  <c r="AC93" i="15" s="1"/>
  <c r="V93" i="15"/>
  <c r="W93" i="15" s="1"/>
  <c r="X93" i="15" s="1"/>
  <c r="O93" i="15"/>
  <c r="L93" i="15"/>
  <c r="I93" i="15"/>
  <c r="B93" i="15"/>
  <c r="A93" i="15"/>
  <c r="AE106" i="15"/>
  <c r="AA106" i="15"/>
  <c r="V106" i="15"/>
  <c r="W106" i="15" s="1"/>
  <c r="X106" i="15" s="1"/>
  <c r="O106" i="15"/>
  <c r="L106" i="15"/>
  <c r="I106" i="15"/>
  <c r="B106" i="15"/>
  <c r="A106" i="15"/>
  <c r="AE94" i="15"/>
  <c r="AA94" i="15"/>
  <c r="AB94" i="15" s="1"/>
  <c r="AC94" i="15" s="1"/>
  <c r="V94" i="15"/>
  <c r="O94" i="15"/>
  <c r="L94" i="15"/>
  <c r="I94" i="15"/>
  <c r="B94" i="15"/>
  <c r="A94" i="15"/>
  <c r="P94" i="15" l="1"/>
  <c r="P106" i="15"/>
  <c r="P93" i="15"/>
  <c r="P107" i="15"/>
  <c r="P125" i="15"/>
  <c r="P124" i="15"/>
  <c r="P293" i="15"/>
  <c r="AH125" i="15"/>
  <c r="AH293" i="15"/>
  <c r="AJ293" i="15" a="1"/>
  <c r="AJ293" i="15" s="1"/>
  <c r="AJ106" i="15" a="1"/>
  <c r="AJ106" i="15" s="1"/>
  <c r="AJ93" i="15" a="1"/>
  <c r="AJ93" i="15" s="1"/>
  <c r="AJ125" i="15" a="1"/>
  <c r="AJ125" i="15" s="1"/>
  <c r="AJ124" i="15" a="1"/>
  <c r="AJ124" i="15" s="1"/>
  <c r="AJ107" i="15" a="1"/>
  <c r="AJ107" i="15" s="1"/>
  <c r="AH124" i="15"/>
  <c r="AH107" i="15"/>
  <c r="AH106" i="15"/>
  <c r="AH94" i="15"/>
  <c r="AH93" i="15"/>
  <c r="AC293" i="15"/>
  <c r="X293" i="15"/>
  <c r="AB124" i="15"/>
  <c r="AC124" i="15" s="1"/>
  <c r="W124" i="15"/>
  <c r="X124" i="15" s="1"/>
  <c r="X125" i="15"/>
  <c r="AJ94" i="15" a="1"/>
  <c r="AJ94" i="15" s="1"/>
  <c r="AC107" i="15"/>
  <c r="AB106" i="15"/>
  <c r="AC106" i="15" s="1"/>
  <c r="W94" i="15"/>
  <c r="X94" i="15" s="1"/>
  <c r="AH270" i="15" l="1"/>
  <c r="AC270" i="15"/>
  <c r="O270" i="15"/>
  <c r="L270" i="15"/>
  <c r="I270" i="15"/>
  <c r="B270" i="15"/>
  <c r="A270" i="15"/>
  <c r="AH269" i="15"/>
  <c r="O269" i="15"/>
  <c r="L269" i="15"/>
  <c r="I269" i="15"/>
  <c r="B269" i="15"/>
  <c r="A269" i="15"/>
  <c r="AH268" i="15"/>
  <c r="O268" i="15"/>
  <c r="L268" i="15"/>
  <c r="I268" i="15"/>
  <c r="B268" i="15"/>
  <c r="A268" i="15"/>
  <c r="AE267" i="15"/>
  <c r="V267" i="15"/>
  <c r="W267" i="15" s="1"/>
  <c r="X267" i="15" s="1"/>
  <c r="O267" i="15"/>
  <c r="L267" i="15"/>
  <c r="I267" i="15"/>
  <c r="B267" i="15"/>
  <c r="A267" i="15"/>
  <c r="AE266" i="15"/>
  <c r="AH266" i="15" s="1"/>
  <c r="V266" i="15"/>
  <c r="O266" i="15"/>
  <c r="L266" i="15"/>
  <c r="I266" i="15"/>
  <c r="B266" i="15"/>
  <c r="A266" i="15"/>
  <c r="AE265" i="15"/>
  <c r="AH265" i="15" s="1"/>
  <c r="V265" i="15"/>
  <c r="O265" i="15"/>
  <c r="L265" i="15"/>
  <c r="I265" i="15"/>
  <c r="B265" i="15"/>
  <c r="A265" i="15"/>
  <c r="AH263" i="15"/>
  <c r="AC263" i="15"/>
  <c r="X263" i="15"/>
  <c r="O263" i="15"/>
  <c r="L263" i="15"/>
  <c r="I263" i="15"/>
  <c r="B263" i="15"/>
  <c r="A263" i="15"/>
  <c r="AH262" i="15"/>
  <c r="X262" i="15"/>
  <c r="O262" i="15"/>
  <c r="L262" i="15"/>
  <c r="I262" i="15"/>
  <c r="B262" i="15"/>
  <c r="A262" i="15"/>
  <c r="AH261" i="15"/>
  <c r="O261" i="15"/>
  <c r="L261" i="15"/>
  <c r="I261" i="15"/>
  <c r="B261" i="15"/>
  <c r="A261" i="15"/>
  <c r="AH260" i="15"/>
  <c r="AC260" i="15"/>
  <c r="O260" i="15"/>
  <c r="L260" i="15"/>
  <c r="I260" i="15"/>
  <c r="B260" i="15"/>
  <c r="A260" i="15"/>
  <c r="AH259" i="15"/>
  <c r="O259" i="15"/>
  <c r="L259" i="15"/>
  <c r="I259" i="15"/>
  <c r="B259" i="15"/>
  <c r="A259" i="15"/>
  <c r="AH258" i="15"/>
  <c r="O258" i="15"/>
  <c r="L258" i="15"/>
  <c r="I258" i="15"/>
  <c r="B258" i="15"/>
  <c r="A258" i="15"/>
  <c r="AE257" i="15"/>
  <c r="AH257" i="15" s="1"/>
  <c r="AA257" i="15"/>
  <c r="V257" i="15"/>
  <c r="O257" i="15"/>
  <c r="L257" i="15"/>
  <c r="I257" i="15"/>
  <c r="B257" i="15"/>
  <c r="A257" i="15"/>
  <c r="AE252" i="15"/>
  <c r="AA252" i="15"/>
  <c r="V252" i="15"/>
  <c r="O252" i="15"/>
  <c r="L252" i="15"/>
  <c r="I252" i="15"/>
  <c r="B252" i="15"/>
  <c r="A252" i="15"/>
  <c r="AE251" i="15"/>
  <c r="AH251" i="15" s="1"/>
  <c r="AA251" i="15"/>
  <c r="V251" i="15"/>
  <c r="O251" i="15"/>
  <c r="L251" i="15"/>
  <c r="I251" i="15"/>
  <c r="B251" i="15"/>
  <c r="A251" i="15"/>
  <c r="AE250" i="15"/>
  <c r="AH250" i="15" s="1"/>
  <c r="AA250" i="15"/>
  <c r="AB250" i="15" s="1"/>
  <c r="AC250" i="15" s="1"/>
  <c r="V250" i="15"/>
  <c r="O250" i="15"/>
  <c r="L250" i="15"/>
  <c r="I250" i="15"/>
  <c r="B250" i="15"/>
  <c r="A250" i="15"/>
  <c r="AE249" i="15"/>
  <c r="AH249" i="15" s="1"/>
  <c r="AA249" i="15"/>
  <c r="AB249" i="15" s="1"/>
  <c r="AC249" i="15" s="1"/>
  <c r="V249" i="15"/>
  <c r="O249" i="15"/>
  <c r="L249" i="15"/>
  <c r="I249" i="15"/>
  <c r="B249" i="15"/>
  <c r="A249" i="15"/>
  <c r="AE230" i="15"/>
  <c r="AA230" i="15"/>
  <c r="AB230" i="15" s="1"/>
  <c r="V230" i="15"/>
  <c r="W230" i="15" s="1"/>
  <c r="X230" i="15" s="1"/>
  <c r="AE228" i="15"/>
  <c r="AA228" i="15"/>
  <c r="AB228" i="15" s="1"/>
  <c r="V228" i="15"/>
  <c r="O228" i="15"/>
  <c r="L228" i="15"/>
  <c r="I228" i="15"/>
  <c r="B228" i="15"/>
  <c r="A228" i="15"/>
  <c r="AE227" i="15"/>
  <c r="AH227" i="15" s="1"/>
  <c r="AA227" i="15"/>
  <c r="AB227" i="15" s="1"/>
  <c r="AC227" i="15" s="1"/>
  <c r="V227" i="15"/>
  <c r="W227" i="15" s="1"/>
  <c r="O227" i="15"/>
  <c r="L227" i="15"/>
  <c r="I227" i="15"/>
  <c r="B227" i="15"/>
  <c r="A227" i="15"/>
  <c r="AE226" i="15"/>
  <c r="AH226" i="15" s="1"/>
  <c r="AA226" i="15"/>
  <c r="AB226" i="15" s="1"/>
  <c r="AC226" i="15" s="1"/>
  <c r="V226" i="15"/>
  <c r="W226" i="15" s="1"/>
  <c r="X226" i="15" s="1"/>
  <c r="O226" i="15"/>
  <c r="L226" i="15"/>
  <c r="I226" i="15"/>
  <c r="B226" i="15"/>
  <c r="A226" i="15"/>
  <c r="AE225" i="15"/>
  <c r="AH225" i="15" s="1"/>
  <c r="AA225" i="15"/>
  <c r="AB225" i="15" s="1"/>
  <c r="V225" i="15"/>
  <c r="W225" i="15" s="1"/>
  <c r="X225" i="15" s="1"/>
  <c r="O225" i="15"/>
  <c r="L225" i="15"/>
  <c r="I225" i="15"/>
  <c r="A225" i="15"/>
  <c r="AJ225" i="15" s="1" a="1"/>
  <c r="AJ225" i="15" s="1"/>
  <c r="AE224" i="15"/>
  <c r="AA224" i="15"/>
  <c r="AB224" i="15" s="1"/>
  <c r="V224" i="15"/>
  <c r="O224" i="15"/>
  <c r="L224" i="15"/>
  <c r="I224" i="15"/>
  <c r="B224" i="15"/>
  <c r="A224" i="15"/>
  <c r="AE191" i="15"/>
  <c r="AA191" i="15"/>
  <c r="AB191" i="15" s="1"/>
  <c r="AC191" i="15" s="1"/>
  <c r="V191" i="15"/>
  <c r="W191" i="15" s="1"/>
  <c r="X191" i="15" s="1"/>
  <c r="O191" i="15"/>
  <c r="L191" i="15"/>
  <c r="I191" i="15"/>
  <c r="B191" i="15"/>
  <c r="A191" i="15"/>
  <c r="AE190" i="15"/>
  <c r="AA190" i="15"/>
  <c r="AB190" i="15" s="1"/>
  <c r="V190" i="15"/>
  <c r="O190" i="15"/>
  <c r="L190" i="15"/>
  <c r="I190" i="15"/>
  <c r="B190" i="15"/>
  <c r="A190" i="15"/>
  <c r="AE189" i="15"/>
  <c r="AA189" i="15"/>
  <c r="AB189" i="15" s="1"/>
  <c r="AC189" i="15" s="1"/>
  <c r="V189" i="15"/>
  <c r="O189" i="15"/>
  <c r="L189" i="15"/>
  <c r="I189" i="15"/>
  <c r="B189" i="15"/>
  <c r="A189" i="15"/>
  <c r="AE188" i="15"/>
  <c r="AA188" i="15"/>
  <c r="AB188" i="15" s="1"/>
  <c r="AC188" i="15" s="1"/>
  <c r="V188" i="15"/>
  <c r="W188" i="15" s="1"/>
  <c r="X188" i="15" s="1"/>
  <c r="O188" i="15"/>
  <c r="L188" i="15"/>
  <c r="I188" i="15"/>
  <c r="B188" i="15"/>
  <c r="A188" i="15"/>
  <c r="AE187" i="15"/>
  <c r="AA187" i="15"/>
  <c r="V187" i="15"/>
  <c r="W187" i="15" s="1"/>
  <c r="O187" i="15"/>
  <c r="L187" i="15"/>
  <c r="I187" i="15"/>
  <c r="B187" i="15"/>
  <c r="A187" i="15"/>
  <c r="AH186" i="15"/>
  <c r="O186" i="15"/>
  <c r="L186" i="15"/>
  <c r="I186" i="15"/>
  <c r="B186" i="15"/>
  <c r="A186" i="15"/>
  <c r="AH185" i="15"/>
  <c r="AC185" i="15"/>
  <c r="O185" i="15"/>
  <c r="L185" i="15"/>
  <c r="I185" i="15"/>
  <c r="B185" i="15"/>
  <c r="A185" i="15"/>
  <c r="AH184" i="15"/>
  <c r="X184" i="15"/>
  <c r="O184" i="15"/>
  <c r="L184" i="15"/>
  <c r="I184" i="15"/>
  <c r="B184" i="15"/>
  <c r="A184" i="15"/>
  <c r="AH183" i="15"/>
  <c r="O183" i="15"/>
  <c r="L183" i="15"/>
  <c r="I183" i="15"/>
  <c r="B183" i="15"/>
  <c r="A183" i="15"/>
  <c r="AH182" i="15"/>
  <c r="O182" i="15"/>
  <c r="L182" i="15"/>
  <c r="I182" i="15"/>
  <c r="B182" i="15"/>
  <c r="A182" i="15"/>
  <c r="AH181" i="15"/>
  <c r="AC181" i="15"/>
  <c r="O181" i="15"/>
  <c r="L181" i="15"/>
  <c r="I181" i="15"/>
  <c r="B181" i="15"/>
  <c r="A181" i="15"/>
  <c r="AH179" i="15"/>
  <c r="O179" i="15"/>
  <c r="L179" i="15"/>
  <c r="I179" i="15"/>
  <c r="B179" i="15"/>
  <c r="A179" i="15"/>
  <c r="AC178" i="15"/>
  <c r="O178" i="15"/>
  <c r="L178" i="15"/>
  <c r="I178" i="15"/>
  <c r="B178" i="15"/>
  <c r="A178" i="15"/>
  <c r="AC177" i="15"/>
  <c r="X177" i="15"/>
  <c r="O177" i="15"/>
  <c r="L177" i="15"/>
  <c r="I177" i="15"/>
  <c r="B177" i="15"/>
  <c r="A177" i="15"/>
  <c r="AH176" i="15"/>
  <c r="X176" i="15"/>
  <c r="O176" i="15"/>
  <c r="L176" i="15"/>
  <c r="I176" i="15"/>
  <c r="B176" i="15"/>
  <c r="A176" i="15"/>
  <c r="AH175" i="15"/>
  <c r="O175" i="15"/>
  <c r="L175" i="15"/>
  <c r="I175" i="15"/>
  <c r="B175" i="15"/>
  <c r="A175" i="15"/>
  <c r="AH174" i="15"/>
  <c r="AC174" i="15"/>
  <c r="O174" i="15"/>
  <c r="L174" i="15"/>
  <c r="I174" i="15"/>
  <c r="B174" i="15"/>
  <c r="A174" i="15"/>
  <c r="AH173" i="15"/>
  <c r="AC173" i="15"/>
  <c r="X173" i="15"/>
  <c r="O173" i="15"/>
  <c r="L173" i="15"/>
  <c r="I173" i="15"/>
  <c r="B173" i="15"/>
  <c r="A173" i="15"/>
  <c r="AH172" i="15"/>
  <c r="O172" i="15"/>
  <c r="L172" i="15"/>
  <c r="I172" i="15"/>
  <c r="B172" i="15"/>
  <c r="A172" i="15"/>
  <c r="AH171" i="15"/>
  <c r="O171" i="15"/>
  <c r="L171" i="15"/>
  <c r="I171" i="15"/>
  <c r="B171" i="15"/>
  <c r="A171" i="15"/>
  <c r="AH170" i="15"/>
  <c r="AC170" i="15"/>
  <c r="O170" i="15"/>
  <c r="L170" i="15"/>
  <c r="I170" i="15"/>
  <c r="B170" i="15"/>
  <c r="A170" i="15"/>
  <c r="AC169" i="15"/>
  <c r="X169" i="15"/>
  <c r="O169" i="15"/>
  <c r="L169" i="15"/>
  <c r="I169" i="15"/>
  <c r="B169" i="15"/>
  <c r="A169" i="15"/>
  <c r="AH168" i="15"/>
  <c r="X168" i="15"/>
  <c r="O168" i="15"/>
  <c r="L168" i="15"/>
  <c r="I168" i="15"/>
  <c r="B168" i="15"/>
  <c r="A168" i="15"/>
  <c r="L167" i="15"/>
  <c r="P167" i="15" s="1"/>
  <c r="I167" i="15"/>
  <c r="B167" i="15"/>
  <c r="A167" i="15"/>
  <c r="AC166" i="15"/>
  <c r="I166" i="15"/>
  <c r="B166" i="15"/>
  <c r="A166" i="15"/>
  <c r="AE158" i="15"/>
  <c r="AA158" i="15"/>
  <c r="V158" i="15"/>
  <c r="O158" i="15"/>
  <c r="L158" i="15"/>
  <c r="I158" i="15"/>
  <c r="B158" i="15"/>
  <c r="A158" i="15"/>
  <c r="AE157" i="15"/>
  <c r="AA157" i="15"/>
  <c r="AB157" i="15" s="1"/>
  <c r="AC157" i="15" s="1"/>
  <c r="V157" i="15"/>
  <c r="O157" i="15"/>
  <c r="L157" i="15"/>
  <c r="I157" i="15"/>
  <c r="B157" i="15"/>
  <c r="A157" i="15"/>
  <c r="AE156" i="15"/>
  <c r="AA156" i="15"/>
  <c r="AB156" i="15" s="1"/>
  <c r="AC156" i="15" s="1"/>
  <c r="V156" i="15"/>
  <c r="W156" i="15" s="1"/>
  <c r="X156" i="15" s="1"/>
  <c r="O156" i="15"/>
  <c r="L156" i="15"/>
  <c r="I156" i="15"/>
  <c r="B156" i="15"/>
  <c r="A156" i="15"/>
  <c r="AE155" i="15"/>
  <c r="AA155" i="15"/>
  <c r="V155" i="15"/>
  <c r="W155" i="15" s="1"/>
  <c r="X155" i="15" s="1"/>
  <c r="O155" i="15"/>
  <c r="L155" i="15"/>
  <c r="I155" i="15"/>
  <c r="B155" i="15"/>
  <c r="A155" i="15"/>
  <c r="AE154" i="15"/>
  <c r="AA154" i="15"/>
  <c r="V154" i="15"/>
  <c r="O154" i="15"/>
  <c r="L154" i="15"/>
  <c r="I154" i="15"/>
  <c r="B154" i="15"/>
  <c r="A154" i="15"/>
  <c r="AE160" i="15"/>
  <c r="AA160" i="15"/>
  <c r="V160" i="15"/>
  <c r="O160" i="15"/>
  <c r="L160" i="15"/>
  <c r="I160" i="15"/>
  <c r="B160" i="15"/>
  <c r="A160" i="15"/>
  <c r="AE159" i="15"/>
  <c r="AH159" i="15" s="1"/>
  <c r="AA159" i="15"/>
  <c r="V159" i="15"/>
  <c r="O159" i="15"/>
  <c r="L159" i="15"/>
  <c r="I159" i="15"/>
  <c r="B159" i="15"/>
  <c r="A159" i="15"/>
  <c r="AE153" i="15"/>
  <c r="AH153" i="15" s="1"/>
  <c r="AA153" i="15"/>
  <c r="V153" i="15"/>
  <c r="O153" i="15"/>
  <c r="L153" i="15"/>
  <c r="I153" i="15"/>
  <c r="B153" i="15"/>
  <c r="A153" i="15"/>
  <c r="AE152" i="15"/>
  <c r="AA152" i="15"/>
  <c r="AB152" i="15" s="1"/>
  <c r="V152" i="15"/>
  <c r="O152" i="15"/>
  <c r="L152" i="15"/>
  <c r="I152" i="15"/>
  <c r="B152" i="15"/>
  <c r="A152" i="15"/>
  <c r="AE151" i="15"/>
  <c r="AA151" i="15"/>
  <c r="V151" i="15"/>
  <c r="W151" i="15" s="1"/>
  <c r="O151" i="15"/>
  <c r="L151" i="15"/>
  <c r="I151" i="15"/>
  <c r="B151" i="15"/>
  <c r="A151" i="15"/>
  <c r="AE150" i="15"/>
  <c r="AA150" i="15"/>
  <c r="AB150" i="15" s="1"/>
  <c r="V150" i="15"/>
  <c r="O150" i="15"/>
  <c r="L150" i="15"/>
  <c r="I150" i="15"/>
  <c r="B150" i="15"/>
  <c r="A150" i="15"/>
  <c r="AE148" i="15"/>
  <c r="AA148" i="15"/>
  <c r="V148" i="15"/>
  <c r="W148" i="15" s="1"/>
  <c r="X148" i="15" s="1"/>
  <c r="O148" i="15"/>
  <c r="L148" i="15"/>
  <c r="I148" i="15"/>
  <c r="B148" i="15"/>
  <c r="A148" i="15"/>
  <c r="AE147" i="15"/>
  <c r="AA147" i="15"/>
  <c r="AB147" i="15" s="1"/>
  <c r="V147" i="15"/>
  <c r="O147" i="15"/>
  <c r="L147" i="15"/>
  <c r="I147" i="15"/>
  <c r="B147" i="15"/>
  <c r="A147" i="15"/>
  <c r="AE146" i="15"/>
  <c r="AA146" i="15"/>
  <c r="V146" i="15"/>
  <c r="W146" i="15" s="1"/>
  <c r="O146" i="15"/>
  <c r="L146" i="15"/>
  <c r="I146" i="15"/>
  <c r="B146" i="15"/>
  <c r="A146" i="15"/>
  <c r="AE119" i="15"/>
  <c r="AH119" i="15" s="1"/>
  <c r="AA119" i="15"/>
  <c r="AB119" i="15" s="1"/>
  <c r="V119" i="15"/>
  <c r="O119" i="15"/>
  <c r="L119" i="15"/>
  <c r="I119" i="15"/>
  <c r="B119" i="15"/>
  <c r="A119" i="15"/>
  <c r="AE118" i="15"/>
  <c r="AH118" i="15" s="1"/>
  <c r="AA118" i="15"/>
  <c r="AB118" i="15" s="1"/>
  <c r="AC118" i="15" s="1"/>
  <c r="V118" i="15"/>
  <c r="O118" i="15"/>
  <c r="L118" i="15"/>
  <c r="I118" i="15"/>
  <c r="B118" i="15"/>
  <c r="A118" i="15"/>
  <c r="AE117" i="15"/>
  <c r="AH117" i="15" s="1"/>
  <c r="AA117" i="15"/>
  <c r="AB117" i="15" s="1"/>
  <c r="V117" i="15"/>
  <c r="W117" i="15" s="1"/>
  <c r="O117" i="15"/>
  <c r="L117" i="15"/>
  <c r="I117" i="15"/>
  <c r="B117" i="15"/>
  <c r="A117" i="15"/>
  <c r="AE116" i="15"/>
  <c r="AH116" i="15" s="1"/>
  <c r="AA116" i="15"/>
  <c r="V116" i="15"/>
  <c r="W116" i="15" s="1"/>
  <c r="X116" i="15" s="1"/>
  <c r="O116" i="15"/>
  <c r="L116" i="15"/>
  <c r="I116" i="15"/>
  <c r="B116" i="15"/>
  <c r="A116" i="15"/>
  <c r="AE115" i="15"/>
  <c r="AH115" i="15" s="1"/>
  <c r="AA115" i="15"/>
  <c r="V115" i="15"/>
  <c r="O115" i="15"/>
  <c r="L115" i="15"/>
  <c r="I115" i="15"/>
  <c r="B115" i="15"/>
  <c r="A115" i="15"/>
  <c r="AE114" i="15"/>
  <c r="AH114" i="15" s="1"/>
  <c r="AA114" i="15"/>
  <c r="AB114" i="15" s="1"/>
  <c r="AC114" i="15" s="1"/>
  <c r="V114" i="15"/>
  <c r="O114" i="15"/>
  <c r="L114" i="15"/>
  <c r="I114" i="15"/>
  <c r="B114" i="15"/>
  <c r="A114" i="15"/>
  <c r="AE113" i="15"/>
  <c r="AH113" i="15" s="1"/>
  <c r="AA113" i="15"/>
  <c r="AB113" i="15" s="1"/>
  <c r="AC113" i="15" s="1"/>
  <c r="V113" i="15"/>
  <c r="O113" i="15"/>
  <c r="L113" i="15"/>
  <c r="I113" i="15"/>
  <c r="B113" i="15"/>
  <c r="A113" i="15"/>
  <c r="AE84" i="15"/>
  <c r="AA84" i="15"/>
  <c r="AB84" i="15" s="1"/>
  <c r="AC84" i="15" s="1"/>
  <c r="V84" i="15"/>
  <c r="W84" i="15" s="1"/>
  <c r="O84" i="15"/>
  <c r="L84" i="15"/>
  <c r="I84" i="15"/>
  <c r="A84" i="15"/>
  <c r="AJ84" i="15" s="1" a="1"/>
  <c r="AJ84" i="15" s="1"/>
  <c r="AC83" i="15"/>
  <c r="X83" i="15"/>
  <c r="O83" i="15"/>
  <c r="L83" i="15"/>
  <c r="I83" i="15"/>
  <c r="B83" i="15"/>
  <c r="A83" i="15"/>
  <c r="AE82" i="15"/>
  <c r="AA82" i="15"/>
  <c r="AB82" i="15" s="1"/>
  <c r="V82" i="15"/>
  <c r="W82" i="15" s="1"/>
  <c r="X82" i="15" s="1"/>
  <c r="O82" i="15"/>
  <c r="L82" i="15"/>
  <c r="I82" i="15"/>
  <c r="B82" i="15"/>
  <c r="A82" i="15"/>
  <c r="AE81" i="15"/>
  <c r="AA81" i="15"/>
  <c r="AB81" i="15" s="1"/>
  <c r="V81" i="15"/>
  <c r="O81" i="15"/>
  <c r="L81" i="15"/>
  <c r="I81" i="15"/>
  <c r="B81" i="15"/>
  <c r="A81" i="15"/>
  <c r="AE79" i="15"/>
  <c r="AA79" i="15"/>
  <c r="AB79" i="15" s="1"/>
  <c r="AC79" i="15" s="1"/>
  <c r="V79" i="15"/>
  <c r="W79" i="15" s="1"/>
  <c r="O79" i="15"/>
  <c r="L79" i="15"/>
  <c r="I79" i="15"/>
  <c r="B79" i="15"/>
  <c r="A79" i="15"/>
  <c r="P79" i="15" l="1"/>
  <c r="P81" i="15"/>
  <c r="P82" i="15"/>
  <c r="P83" i="15"/>
  <c r="P84" i="15"/>
  <c r="P113" i="15"/>
  <c r="P114" i="15"/>
  <c r="P115" i="15"/>
  <c r="P116" i="15"/>
  <c r="P117" i="15"/>
  <c r="P118" i="15"/>
  <c r="P119" i="15"/>
  <c r="P146" i="15"/>
  <c r="P147" i="15"/>
  <c r="P148" i="15"/>
  <c r="P150" i="15"/>
  <c r="P151" i="15"/>
  <c r="P152" i="15"/>
  <c r="P153" i="15"/>
  <c r="P159" i="15"/>
  <c r="P160" i="15"/>
  <c r="P154" i="15"/>
  <c r="P155" i="15"/>
  <c r="P156" i="15"/>
  <c r="P157" i="15"/>
  <c r="P158" i="15"/>
  <c r="P168" i="15"/>
  <c r="P170" i="15"/>
  <c r="P175" i="15"/>
  <c r="P176" i="15"/>
  <c r="P178" i="15"/>
  <c r="P179" i="15"/>
  <c r="P181" i="15"/>
  <c r="P185" i="15"/>
  <c r="P228" i="15"/>
  <c r="P249" i="15"/>
  <c r="P250" i="15"/>
  <c r="P251" i="15"/>
  <c r="P252" i="15"/>
  <c r="P261" i="15"/>
  <c r="P262" i="15"/>
  <c r="P266" i="15"/>
  <c r="P268" i="15"/>
  <c r="P269" i="15"/>
  <c r="P270" i="15"/>
  <c r="P257" i="15"/>
  <c r="P258" i="15"/>
  <c r="P169" i="15"/>
  <c r="P171" i="15"/>
  <c r="P172" i="15"/>
  <c r="P173" i="15"/>
  <c r="P174" i="15"/>
  <c r="P177" i="15"/>
  <c r="P182" i="15"/>
  <c r="P183" i="15"/>
  <c r="P184" i="15"/>
  <c r="P186" i="15"/>
  <c r="P187" i="15"/>
  <c r="P188" i="15"/>
  <c r="P189" i="15"/>
  <c r="P190" i="15"/>
  <c r="P191" i="15"/>
  <c r="P224" i="15"/>
  <c r="P225" i="15"/>
  <c r="P226" i="15"/>
  <c r="P227" i="15"/>
  <c r="P259" i="15"/>
  <c r="P260" i="15"/>
  <c r="P263" i="15"/>
  <c r="P265" i="15"/>
  <c r="P267" i="15"/>
  <c r="AH252" i="15"/>
  <c r="AH160" i="15"/>
  <c r="AJ252" i="15" a="1"/>
  <c r="AJ252" i="15" s="1"/>
  <c r="AJ160" i="15" a="1"/>
  <c r="AJ160" i="15" s="1"/>
  <c r="AJ270" i="15" a="1"/>
  <c r="AJ270" i="15" s="1"/>
  <c r="AJ266" i="15" a="1"/>
  <c r="AJ266" i="15" s="1"/>
  <c r="AH84" i="15"/>
  <c r="AJ227" i="15" a="1"/>
  <c r="AJ227" i="15" s="1"/>
  <c r="AC268" i="15"/>
  <c r="AJ269" i="15" a="1"/>
  <c r="AJ269" i="15" s="1"/>
  <c r="AH267" i="15"/>
  <c r="AH230" i="15"/>
  <c r="AH228" i="15"/>
  <c r="AH224" i="15"/>
  <c r="AH191" i="15"/>
  <c r="AH190" i="15"/>
  <c r="AH189" i="15"/>
  <c r="AH188" i="15"/>
  <c r="AH187" i="15"/>
  <c r="AH177" i="15"/>
  <c r="AH178" i="15"/>
  <c r="AH167" i="15"/>
  <c r="AH169" i="15"/>
  <c r="AH166" i="15"/>
  <c r="AH157" i="15"/>
  <c r="AH158" i="15"/>
  <c r="AH156" i="15"/>
  <c r="AH155" i="15"/>
  <c r="AH154" i="15"/>
  <c r="AH152" i="15"/>
  <c r="AH151" i="15"/>
  <c r="AH150" i="15"/>
  <c r="AH148" i="15"/>
  <c r="AH147" i="15"/>
  <c r="AH146" i="15"/>
  <c r="AH81" i="15"/>
  <c r="AH83" i="15"/>
  <c r="AH82" i="15"/>
  <c r="AH79" i="15"/>
  <c r="AJ159" i="15" a="1"/>
  <c r="AJ159" i="15" s="1"/>
  <c r="AJ226" i="15" a="1"/>
  <c r="AJ226" i="15" s="1"/>
  <c r="AJ230" i="15" a="1"/>
  <c r="AJ230" i="15" s="1"/>
  <c r="AJ228" i="15" a="1"/>
  <c r="AJ228" i="15" s="1"/>
  <c r="AJ250" i="15" a="1"/>
  <c r="AJ250" i="15" s="1"/>
  <c r="AJ268" i="15" a="1"/>
  <c r="AJ268" i="15" s="1"/>
  <c r="AJ181" i="15" a="1"/>
  <c r="AJ181" i="15" s="1"/>
  <c r="AJ251" i="15" a="1"/>
  <c r="AJ251" i="15" s="1"/>
  <c r="AJ259" i="15" a="1"/>
  <c r="AJ259" i="15" s="1"/>
  <c r="AJ179" i="15" a="1"/>
  <c r="AJ179" i="15" s="1"/>
  <c r="AJ182" i="15" a="1"/>
  <c r="AJ182" i="15" s="1"/>
  <c r="AJ186" i="15" a="1"/>
  <c r="AJ186" i="15" s="1"/>
  <c r="AJ258" i="15" a="1"/>
  <c r="AJ258" i="15" s="1"/>
  <c r="AJ262" i="15" a="1"/>
  <c r="AJ262" i="15" s="1"/>
  <c r="AJ265" i="15" a="1"/>
  <c r="AJ265" i="15" s="1"/>
  <c r="AC267" i="15"/>
  <c r="AJ152" i="15" a="1"/>
  <c r="AJ152" i="15" s="1"/>
  <c r="AJ169" i="15" a="1"/>
  <c r="AJ169" i="15" s="1"/>
  <c r="AJ173" i="15" a="1"/>
  <c r="AJ173" i="15" s="1"/>
  <c r="AJ191" i="15" a="1"/>
  <c r="AJ191" i="15" s="1"/>
  <c r="AJ257" i="15" a="1"/>
  <c r="AJ257" i="15" s="1"/>
  <c r="AJ263" i="15" a="1"/>
  <c r="AJ263" i="15" s="1"/>
  <c r="AJ267" i="15" a="1"/>
  <c r="AJ267" i="15" s="1"/>
  <c r="AJ224" i="15" a="1"/>
  <c r="AJ224" i="15" s="1"/>
  <c r="AC259" i="15"/>
  <c r="AJ261" i="15" a="1"/>
  <c r="AJ261" i="15" s="1"/>
  <c r="AJ260" i="15" a="1"/>
  <c r="AJ260" i="15" s="1"/>
  <c r="W266" i="15"/>
  <c r="X266" i="15" s="1"/>
  <c r="X258" i="15"/>
  <c r="X259" i="15"/>
  <c r="AJ185" i="15" a="1"/>
  <c r="AJ185" i="15" s="1"/>
  <c r="AJ249" i="15" a="1"/>
  <c r="AJ249" i="15" s="1"/>
  <c r="W252" i="15"/>
  <c r="X252" i="15" s="1"/>
  <c r="AB257" i="15"/>
  <c r="AC257" i="15" s="1"/>
  <c r="X260" i="15"/>
  <c r="AC261" i="15"/>
  <c r="AC265" i="15"/>
  <c r="AC269" i="15"/>
  <c r="AJ166" i="15" a="1"/>
  <c r="AJ166" i="15" s="1"/>
  <c r="AJ167" i="15" a="1"/>
  <c r="AJ167" i="15" s="1"/>
  <c r="AJ177" i="15" a="1"/>
  <c r="AJ177" i="15" s="1"/>
  <c r="AJ190" i="15" a="1"/>
  <c r="AJ190" i="15" s="1"/>
  <c r="W257" i="15"/>
  <c r="X257" i="15" s="1"/>
  <c r="AC258" i="15"/>
  <c r="X261" i="15"/>
  <c r="AC262" i="15"/>
  <c r="W265" i="15"/>
  <c r="X265" i="15" s="1"/>
  <c r="AC266" i="15"/>
  <c r="AJ187" i="15" a="1"/>
  <c r="AJ187" i="15" s="1"/>
  <c r="W249" i="15"/>
  <c r="X249" i="15" s="1"/>
  <c r="AJ146" i="15" a="1"/>
  <c r="AJ146" i="15" s="1"/>
  <c r="AJ183" i="15" a="1"/>
  <c r="AJ183" i="15" s="1"/>
  <c r="W250" i="15"/>
  <c r="X250" i="15" s="1"/>
  <c r="AB251" i="15"/>
  <c r="AC251" i="15" s="1"/>
  <c r="AJ174" i="15" a="1"/>
  <c r="AJ174" i="15" s="1"/>
  <c r="AC225" i="15"/>
  <c r="W228" i="15"/>
  <c r="X228" i="15" s="1"/>
  <c r="AC230" i="15"/>
  <c r="W251" i="15"/>
  <c r="X251" i="15" s="1"/>
  <c r="AB252" i="15"/>
  <c r="AC252" i="15" s="1"/>
  <c r="AJ150" i="15" a="1"/>
  <c r="AJ150" i="15" s="1"/>
  <c r="AJ178" i="15" a="1"/>
  <c r="AJ178" i="15" s="1"/>
  <c r="W224" i="15"/>
  <c r="X224" i="15" s="1"/>
  <c r="AJ153" i="15" a="1"/>
  <c r="AJ153" i="15" s="1"/>
  <c r="AJ158" i="15" a="1"/>
  <c r="AJ158" i="15" s="1"/>
  <c r="AJ154" i="15" a="1"/>
  <c r="AJ154" i="15" s="1"/>
  <c r="AJ156" i="15" a="1"/>
  <c r="AJ156" i="15" s="1"/>
  <c r="AJ175" i="15" a="1"/>
  <c r="AJ175" i="15" s="1"/>
  <c r="AC184" i="15"/>
  <c r="X187" i="15"/>
  <c r="AC224" i="15"/>
  <c r="X227" i="15"/>
  <c r="AC228" i="15"/>
  <c r="AJ184" i="15" a="1"/>
  <c r="AJ184" i="15" s="1"/>
  <c r="AJ172" i="15" a="1"/>
  <c r="AJ172" i="15" s="1"/>
  <c r="AJ176" i="15" a="1"/>
  <c r="AJ176" i="15" s="1"/>
  <c r="AJ151" i="15" a="1"/>
  <c r="AJ151" i="15" s="1"/>
  <c r="AJ155" i="15" a="1"/>
  <c r="AJ155" i="15" s="1"/>
  <c r="AJ188" i="15" a="1"/>
  <c r="AJ188" i="15" s="1"/>
  <c r="AJ189" i="15" a="1"/>
  <c r="AJ189" i="15" s="1"/>
  <c r="AC190" i="15"/>
  <c r="X183" i="15"/>
  <c r="AJ170" i="15" a="1"/>
  <c r="AJ170" i="15" s="1"/>
  <c r="AJ168" i="15" a="1"/>
  <c r="AJ168" i="15" s="1"/>
  <c r="AJ171" i="15" a="1"/>
  <c r="AJ171" i="15" s="1"/>
  <c r="AJ114" i="15" a="1"/>
  <c r="AJ114" i="15" s="1"/>
  <c r="AJ147" i="15" a="1"/>
  <c r="AJ147" i="15" s="1"/>
  <c r="X181" i="15"/>
  <c r="AC182" i="15"/>
  <c r="X185" i="15"/>
  <c r="AC186" i="15"/>
  <c r="W189" i="15"/>
  <c r="X189" i="15" s="1"/>
  <c r="X167" i="15"/>
  <c r="AC168" i="15"/>
  <c r="AC176" i="15"/>
  <c r="X182" i="15"/>
  <c r="AC183" i="15"/>
  <c r="X186" i="15"/>
  <c r="AB187" i="15"/>
  <c r="AC187" i="15" s="1"/>
  <c r="W190" i="15"/>
  <c r="X190" i="15" s="1"/>
  <c r="X171" i="15"/>
  <c r="AC172" i="15"/>
  <c r="AJ116" i="15" a="1"/>
  <c r="AJ116" i="15" s="1"/>
  <c r="AJ79" i="15" a="1"/>
  <c r="AJ79" i="15" s="1"/>
  <c r="AJ83" i="15" a="1"/>
  <c r="AJ83" i="15" s="1"/>
  <c r="AJ113" i="15" a="1"/>
  <c r="AJ113" i="15" s="1"/>
  <c r="AJ148" i="15" a="1"/>
  <c r="AJ148" i="15" s="1"/>
  <c r="AC150" i="15"/>
  <c r="W159" i="15"/>
  <c r="X159" i="15" s="1"/>
  <c r="X166" i="15"/>
  <c r="AC167" i="15"/>
  <c r="X170" i="15"/>
  <c r="AC171" i="15"/>
  <c r="X174" i="15"/>
  <c r="AC175" i="15"/>
  <c r="X178" i="15"/>
  <c r="AC179" i="15"/>
  <c r="X175" i="15"/>
  <c r="X179" i="15"/>
  <c r="AJ157" i="15" a="1"/>
  <c r="AJ157" i="15" s="1"/>
  <c r="AB146" i="15"/>
  <c r="AC146" i="15" s="1"/>
  <c r="W150" i="15"/>
  <c r="X150" i="15" s="1"/>
  <c r="W153" i="15"/>
  <c r="X153" i="15" s="1"/>
  <c r="AB154" i="15"/>
  <c r="AC154" i="15" s="1"/>
  <c r="W157" i="15"/>
  <c r="X157" i="15" s="1"/>
  <c r="AB158" i="15"/>
  <c r="AC158" i="15" s="1"/>
  <c r="AJ119" i="15" a="1"/>
  <c r="AJ119" i="15" s="1"/>
  <c r="X146" i="15"/>
  <c r="AC147" i="15"/>
  <c r="AB151" i="15"/>
  <c r="AC151" i="15" s="1"/>
  <c r="AB159" i="15"/>
  <c r="AC159" i="15" s="1"/>
  <c r="AB160" i="15"/>
  <c r="AC160" i="15" s="1"/>
  <c r="W154" i="15"/>
  <c r="X154" i="15" s="1"/>
  <c r="AB155" i="15"/>
  <c r="AC155" i="15" s="1"/>
  <c r="W158" i="15"/>
  <c r="X158" i="15" s="1"/>
  <c r="AJ115" i="15" a="1"/>
  <c r="AJ115" i="15" s="1"/>
  <c r="AC117" i="15"/>
  <c r="X151" i="15"/>
  <c r="AC152" i="15"/>
  <c r="AJ81" i="15" a="1"/>
  <c r="AJ81" i="15" s="1"/>
  <c r="AJ117" i="15" a="1"/>
  <c r="AJ117" i="15" s="1"/>
  <c r="AJ118" i="15" a="1"/>
  <c r="AJ118" i="15" s="1"/>
  <c r="AC119" i="15"/>
  <c r="W147" i="15"/>
  <c r="X147" i="15" s="1"/>
  <c r="AB148" i="15"/>
  <c r="AC148" i="15" s="1"/>
  <c r="W152" i="15"/>
  <c r="X152" i="15" s="1"/>
  <c r="AB153" i="15"/>
  <c r="AC153" i="15" s="1"/>
  <c r="W160" i="15"/>
  <c r="X160" i="15" s="1"/>
  <c r="AJ82" i="15" a="1"/>
  <c r="AJ82" i="15" s="1"/>
  <c r="W113" i="15"/>
  <c r="X113" i="15" s="1"/>
  <c r="X117" i="15"/>
  <c r="W114" i="15"/>
  <c r="X114" i="15" s="1"/>
  <c r="AB115" i="15"/>
  <c r="AC115" i="15" s="1"/>
  <c r="W118" i="15"/>
  <c r="X118" i="15" s="1"/>
  <c r="W115" i="15"/>
  <c r="X115" i="15" s="1"/>
  <c r="AB116" i="15"/>
  <c r="AC116" i="15" s="1"/>
  <c r="W119" i="15"/>
  <c r="X119" i="15" s="1"/>
  <c r="AC82" i="15"/>
  <c r="X79" i="15"/>
  <c r="AC81" i="15"/>
  <c r="X84" i="15"/>
  <c r="W81" i="15"/>
  <c r="X81" i="15" s="1"/>
  <c r="AE278" i="15" l="1"/>
  <c r="AH278" i="15" s="1"/>
  <c r="AA278" i="15"/>
  <c r="V278" i="15"/>
  <c r="O278" i="15"/>
  <c r="L278" i="15"/>
  <c r="I278" i="15"/>
  <c r="A278" i="15"/>
  <c r="AJ278" i="15" s="1" a="1"/>
  <c r="AJ278" i="15" s="1"/>
  <c r="AE248" i="15"/>
  <c r="AA248" i="15"/>
  <c r="V248" i="15"/>
  <c r="O248" i="15"/>
  <c r="L248" i="15"/>
  <c r="I248" i="15"/>
  <c r="B248" i="15"/>
  <c r="A248" i="15"/>
  <c r="AH247" i="15"/>
  <c r="AC247" i="15"/>
  <c r="O247" i="15"/>
  <c r="L247" i="15"/>
  <c r="I247" i="15"/>
  <c r="B247" i="15"/>
  <c r="A247" i="15"/>
  <c r="AE246" i="15"/>
  <c r="AA246" i="15"/>
  <c r="V246" i="15"/>
  <c r="W246" i="15" s="1"/>
  <c r="X246" i="15" s="1"/>
  <c r="O246" i="15"/>
  <c r="L246" i="15"/>
  <c r="I246" i="15"/>
  <c r="B246" i="15"/>
  <c r="A246" i="15"/>
  <c r="AE245" i="15"/>
  <c r="AA245" i="15"/>
  <c r="V245" i="15"/>
  <c r="W245" i="15" s="1"/>
  <c r="X245" i="15" s="1"/>
  <c r="O245" i="15"/>
  <c r="L245" i="15"/>
  <c r="I245" i="15"/>
  <c r="B245" i="15"/>
  <c r="A245" i="15"/>
  <c r="AE244" i="15"/>
  <c r="AA244" i="15"/>
  <c r="AB244" i="15" s="1"/>
  <c r="AC244" i="15" s="1"/>
  <c r="V244" i="15"/>
  <c r="O244" i="15"/>
  <c r="L244" i="15"/>
  <c r="I244" i="15"/>
  <c r="B244" i="15"/>
  <c r="A244" i="15"/>
  <c r="AC243" i="15"/>
  <c r="X243" i="15"/>
  <c r="O243" i="15"/>
  <c r="L243" i="15"/>
  <c r="I243" i="15"/>
  <c r="B243" i="15"/>
  <c r="A243" i="15"/>
  <c r="AE253" i="15"/>
  <c r="AA253" i="15"/>
  <c r="V253" i="15"/>
  <c r="W253" i="15" s="1"/>
  <c r="O253" i="15"/>
  <c r="L253" i="15"/>
  <c r="I253" i="15"/>
  <c r="B253" i="15"/>
  <c r="A253" i="15"/>
  <c r="AH242" i="15"/>
  <c r="O242" i="15"/>
  <c r="L242" i="15"/>
  <c r="I242" i="15"/>
  <c r="B242" i="15"/>
  <c r="A242" i="15"/>
  <c r="AC241" i="15"/>
  <c r="O241" i="15"/>
  <c r="L241" i="15"/>
  <c r="I241" i="15"/>
  <c r="B241" i="15"/>
  <c r="A241" i="15"/>
  <c r="AH240" i="15"/>
  <c r="O240" i="15"/>
  <c r="L240" i="15"/>
  <c r="I240" i="15"/>
  <c r="B240" i="15"/>
  <c r="A240" i="15"/>
  <c r="AH239" i="15"/>
  <c r="AC239" i="15"/>
  <c r="O239" i="15"/>
  <c r="L239" i="15"/>
  <c r="I239" i="15"/>
  <c r="B239" i="15"/>
  <c r="A239" i="15"/>
  <c r="AE238" i="15"/>
  <c r="AH238" i="15" s="1"/>
  <c r="AA238" i="15"/>
  <c r="AB238" i="15" s="1"/>
  <c r="AC238" i="15" s="1"/>
  <c r="V238" i="15"/>
  <c r="W238" i="15" s="1"/>
  <c r="X238" i="15" s="1"/>
  <c r="O238" i="15"/>
  <c r="L238" i="15"/>
  <c r="I238" i="15"/>
  <c r="B238" i="15"/>
  <c r="A238" i="15"/>
  <c r="AE237" i="15"/>
  <c r="AH237" i="15" s="1"/>
  <c r="AA237" i="15"/>
  <c r="V237" i="15"/>
  <c r="W237" i="15" s="1"/>
  <c r="O237" i="15"/>
  <c r="L237" i="15"/>
  <c r="I237" i="15"/>
  <c r="B237" i="15"/>
  <c r="A237" i="15"/>
  <c r="AE223" i="15"/>
  <c r="AH223" i="15" s="1"/>
  <c r="AA223" i="15"/>
  <c r="V223" i="15"/>
  <c r="O223" i="15"/>
  <c r="L223" i="15"/>
  <c r="I223" i="15"/>
  <c r="B223" i="15"/>
  <c r="A223" i="15"/>
  <c r="AE222" i="15"/>
  <c r="AH222" i="15" s="1"/>
  <c r="AA222" i="15"/>
  <c r="AB222" i="15" s="1"/>
  <c r="V222" i="15"/>
  <c r="O222" i="15"/>
  <c r="L222" i="15"/>
  <c r="I222" i="15"/>
  <c r="B222" i="15"/>
  <c r="A222" i="15"/>
  <c r="AE220" i="15"/>
  <c r="AA220" i="15"/>
  <c r="V220" i="15"/>
  <c r="W220" i="15" s="1"/>
  <c r="O220" i="15"/>
  <c r="L220" i="15"/>
  <c r="I220" i="15"/>
  <c r="B220" i="15"/>
  <c r="A220" i="15"/>
  <c r="AE219" i="15"/>
  <c r="AA219" i="15"/>
  <c r="V219" i="15"/>
  <c r="O219" i="15"/>
  <c r="L219" i="15"/>
  <c r="I219" i="15"/>
  <c r="B219" i="15"/>
  <c r="A219" i="15"/>
  <c r="AE218" i="15"/>
  <c r="AA218" i="15"/>
  <c r="V218" i="15"/>
  <c r="W218" i="15" s="1"/>
  <c r="X218" i="15" s="1"/>
  <c r="O218" i="15"/>
  <c r="L218" i="15"/>
  <c r="I218" i="15"/>
  <c r="B218" i="15"/>
  <c r="A218" i="15"/>
  <c r="AE203" i="15"/>
  <c r="AH203" i="15" s="1"/>
  <c r="AA203" i="15"/>
  <c r="AB203" i="15" s="1"/>
  <c r="V203" i="15"/>
  <c r="O203" i="15"/>
  <c r="L203" i="15"/>
  <c r="I203" i="15"/>
  <c r="B203" i="15"/>
  <c r="A203" i="15"/>
  <c r="AE202" i="15"/>
  <c r="AA202" i="15"/>
  <c r="AB202" i="15" s="1"/>
  <c r="AC202" i="15" s="1"/>
  <c r="V202" i="15"/>
  <c r="W202" i="15" s="1"/>
  <c r="O202" i="15"/>
  <c r="L202" i="15"/>
  <c r="I202" i="15"/>
  <c r="B202" i="15"/>
  <c r="A202" i="15"/>
  <c r="AE201" i="15"/>
  <c r="AA201" i="15"/>
  <c r="AB201" i="15" s="1"/>
  <c r="AC201" i="15" s="1"/>
  <c r="V201" i="15"/>
  <c r="W201" i="15" s="1"/>
  <c r="X201" i="15" s="1"/>
  <c r="O201" i="15"/>
  <c r="L201" i="15"/>
  <c r="I201" i="15"/>
  <c r="B201" i="15"/>
  <c r="A201" i="15"/>
  <c r="AE200" i="15"/>
  <c r="AH200" i="15" s="1"/>
  <c r="AA200" i="15"/>
  <c r="V200" i="15"/>
  <c r="W200" i="15" s="1"/>
  <c r="X200" i="15" s="1"/>
  <c r="O200" i="15"/>
  <c r="L200" i="15"/>
  <c r="I200" i="15"/>
  <c r="B200" i="15"/>
  <c r="A200" i="15"/>
  <c r="AE199" i="15"/>
  <c r="AA199" i="15"/>
  <c r="AB199" i="15" s="1"/>
  <c r="V199" i="15"/>
  <c r="O199" i="15"/>
  <c r="L199" i="15"/>
  <c r="I199" i="15"/>
  <c r="B199" i="15"/>
  <c r="A199" i="15"/>
  <c r="AH206" i="15"/>
  <c r="X206" i="15"/>
  <c r="O206" i="15"/>
  <c r="L206" i="15"/>
  <c r="I206" i="15"/>
  <c r="B206" i="15"/>
  <c r="A206" i="15"/>
  <c r="AH205" i="15"/>
  <c r="O205" i="15"/>
  <c r="L205" i="15"/>
  <c r="I205" i="15"/>
  <c r="B205" i="15"/>
  <c r="A205" i="15"/>
  <c r="AH204" i="15"/>
  <c r="O204" i="15"/>
  <c r="L204" i="15"/>
  <c r="I204" i="15"/>
  <c r="B204" i="15"/>
  <c r="A204" i="15"/>
  <c r="A212" i="15"/>
  <c r="B212" i="15"/>
  <c r="I212" i="15"/>
  <c r="L212" i="15"/>
  <c r="O212" i="15"/>
  <c r="V212" i="15"/>
  <c r="AA212" i="15"/>
  <c r="AB212" i="15" s="1"/>
  <c r="AE212" i="15"/>
  <c r="AE198" i="15"/>
  <c r="AA198" i="15"/>
  <c r="V198" i="15"/>
  <c r="O198" i="15"/>
  <c r="L198" i="15"/>
  <c r="I198" i="15"/>
  <c r="B198" i="15"/>
  <c r="A198" i="15"/>
  <c r="AE197" i="15"/>
  <c r="AH197" i="15" s="1"/>
  <c r="AA197" i="15"/>
  <c r="AB197" i="15" s="1"/>
  <c r="V197" i="15"/>
  <c r="O197" i="15"/>
  <c r="L197" i="15"/>
  <c r="I197" i="15"/>
  <c r="B197" i="15"/>
  <c r="A197" i="15"/>
  <c r="AE195" i="15"/>
  <c r="AH195" i="15" s="1"/>
  <c r="AA195" i="15"/>
  <c r="AB195" i="15" s="1"/>
  <c r="V195" i="15"/>
  <c r="W195" i="15" s="1"/>
  <c r="O195" i="15"/>
  <c r="L195" i="15"/>
  <c r="I195" i="15"/>
  <c r="B195" i="15"/>
  <c r="A195" i="15"/>
  <c r="AE194" i="15"/>
  <c r="AH194" i="15" s="1"/>
  <c r="AA194" i="15"/>
  <c r="AB194" i="15" s="1"/>
  <c r="V194" i="15"/>
  <c r="W194" i="15" s="1"/>
  <c r="O194" i="15"/>
  <c r="L194" i="15"/>
  <c r="I194" i="15"/>
  <c r="B194" i="15"/>
  <c r="A194" i="15"/>
  <c r="AE145" i="15"/>
  <c r="AA145" i="15"/>
  <c r="V145" i="15"/>
  <c r="O145" i="15"/>
  <c r="L145" i="15"/>
  <c r="I145" i="15"/>
  <c r="B145" i="15"/>
  <c r="A145" i="15"/>
  <c r="L144" i="15"/>
  <c r="P144" i="15" s="1"/>
  <c r="I144" i="15"/>
  <c r="B144" i="15"/>
  <c r="A144" i="15"/>
  <c r="AE143" i="15"/>
  <c r="AA143" i="15"/>
  <c r="AB143" i="15" s="1"/>
  <c r="AC143" i="15" s="1"/>
  <c r="V143" i="15"/>
  <c r="W143" i="15" s="1"/>
  <c r="L143" i="15"/>
  <c r="P143" i="15" s="1"/>
  <c r="I143" i="15"/>
  <c r="B143" i="15"/>
  <c r="A143" i="15"/>
  <c r="AE142" i="15"/>
  <c r="AA142" i="15"/>
  <c r="AB142" i="15" s="1"/>
  <c r="AC142" i="15" s="1"/>
  <c r="V142" i="15"/>
  <c r="W142" i="15" s="1"/>
  <c r="X142" i="15" s="1"/>
  <c r="L142" i="15"/>
  <c r="P142" i="15" s="1"/>
  <c r="I142" i="15"/>
  <c r="B142" i="15"/>
  <c r="A142" i="15"/>
  <c r="AE141" i="15"/>
  <c r="AA141" i="15"/>
  <c r="AB141" i="15" s="1"/>
  <c r="V141" i="15"/>
  <c r="W141" i="15" s="1"/>
  <c r="X141" i="15" s="1"/>
  <c r="L141" i="15"/>
  <c r="P141" i="15" s="1"/>
  <c r="I141" i="15"/>
  <c r="B141" i="15"/>
  <c r="A141" i="15"/>
  <c r="AE140" i="15"/>
  <c r="AH140" i="15" s="1"/>
  <c r="AA140" i="15"/>
  <c r="V140" i="15"/>
  <c r="W140" i="15" s="1"/>
  <c r="X140" i="15" s="1"/>
  <c r="L140" i="15"/>
  <c r="P140" i="15" s="1"/>
  <c r="I140" i="15"/>
  <c r="B140" i="15"/>
  <c r="A140" i="15"/>
  <c r="AE139" i="15"/>
  <c r="AA139" i="15"/>
  <c r="V139" i="15"/>
  <c r="O139" i="15"/>
  <c r="L139" i="15"/>
  <c r="I139" i="15"/>
  <c r="B139" i="15"/>
  <c r="A139" i="15"/>
  <c r="O138" i="15"/>
  <c r="L138" i="15"/>
  <c r="I138" i="15"/>
  <c r="B138" i="15"/>
  <c r="A138" i="15"/>
  <c r="AE137" i="15"/>
  <c r="AA137" i="15"/>
  <c r="V137" i="15"/>
  <c r="O137" i="15"/>
  <c r="L137" i="15"/>
  <c r="I137" i="15"/>
  <c r="B137" i="15"/>
  <c r="A137" i="15"/>
  <c r="AE135" i="15"/>
  <c r="AA135" i="15"/>
  <c r="V135" i="15"/>
  <c r="O135" i="15"/>
  <c r="P135" i="15" s="1"/>
  <c r="I135" i="15"/>
  <c r="B135" i="15"/>
  <c r="A135" i="15"/>
  <c r="AE161" i="15"/>
  <c r="AA161" i="15"/>
  <c r="AB161" i="15" s="1"/>
  <c r="V161" i="15"/>
  <c r="O161" i="15"/>
  <c r="L161" i="15"/>
  <c r="I161" i="15"/>
  <c r="B161" i="15"/>
  <c r="A161" i="15"/>
  <c r="AE133" i="15"/>
  <c r="AH133" i="15" s="1"/>
  <c r="AA133" i="15"/>
  <c r="AB133" i="15" s="1"/>
  <c r="AC133" i="15" s="1"/>
  <c r="V133" i="15"/>
  <c r="O133" i="15"/>
  <c r="L133" i="15"/>
  <c r="I133" i="15"/>
  <c r="B133" i="15"/>
  <c r="AE123" i="15"/>
  <c r="AA123" i="15"/>
  <c r="V123" i="15"/>
  <c r="O123" i="15"/>
  <c r="L123" i="15"/>
  <c r="I123" i="15"/>
  <c r="B123" i="15"/>
  <c r="A123" i="15"/>
  <c r="AE103" i="15"/>
  <c r="AH103" i="15" s="1"/>
  <c r="AA103" i="15"/>
  <c r="V103" i="15"/>
  <c r="W103" i="15" s="1"/>
  <c r="O103" i="15"/>
  <c r="L103" i="15"/>
  <c r="I103" i="15"/>
  <c r="B103" i="15"/>
  <c r="A103" i="15"/>
  <c r="AE122" i="15"/>
  <c r="AA122" i="15"/>
  <c r="V122" i="15"/>
  <c r="W122" i="15" s="1"/>
  <c r="X122" i="15" s="1"/>
  <c r="O122" i="15"/>
  <c r="L122" i="15"/>
  <c r="I122" i="15"/>
  <c r="B122" i="15"/>
  <c r="A122" i="15"/>
  <c r="AE121" i="15"/>
  <c r="AA121" i="15"/>
  <c r="V121" i="15"/>
  <c r="W121" i="15" s="1"/>
  <c r="X121" i="15" s="1"/>
  <c r="O121" i="15"/>
  <c r="L121" i="15"/>
  <c r="I121" i="15"/>
  <c r="B121" i="15"/>
  <c r="A121" i="15"/>
  <c r="AE120" i="15"/>
  <c r="AA120" i="15"/>
  <c r="V120" i="15"/>
  <c r="W120" i="15" s="1"/>
  <c r="O120" i="15"/>
  <c r="L120" i="15"/>
  <c r="I120" i="15"/>
  <c r="B120" i="15"/>
  <c r="A120" i="15"/>
  <c r="AH112" i="15"/>
  <c r="AC112" i="15"/>
  <c r="X112" i="15"/>
  <c r="O112" i="15"/>
  <c r="L112" i="15"/>
  <c r="I112" i="15"/>
  <c r="B112" i="15"/>
  <c r="A112" i="15"/>
  <c r="AH111" i="15"/>
  <c r="O111" i="15"/>
  <c r="L111" i="15"/>
  <c r="I111" i="15"/>
  <c r="B111" i="15"/>
  <c r="A111" i="15"/>
  <c r="AH110" i="15"/>
  <c r="O110" i="15"/>
  <c r="L110" i="15"/>
  <c r="I110" i="15"/>
  <c r="B110" i="15"/>
  <c r="A110" i="15"/>
  <c r="AH109" i="15"/>
  <c r="O109" i="15"/>
  <c r="L109" i="15"/>
  <c r="I109" i="15"/>
  <c r="B109" i="15"/>
  <c r="A109" i="15"/>
  <c r="AE108" i="15"/>
  <c r="AA108" i="15"/>
  <c r="V108" i="15"/>
  <c r="W108" i="15" s="1"/>
  <c r="O108" i="15"/>
  <c r="L108" i="15"/>
  <c r="I108" i="15"/>
  <c r="B108" i="15"/>
  <c r="A108" i="15"/>
  <c r="AE105" i="15"/>
  <c r="AA105" i="15"/>
  <c r="AB105" i="15" s="1"/>
  <c r="AC105" i="15" s="1"/>
  <c r="V105" i="15"/>
  <c r="W105" i="15" s="1"/>
  <c r="O105" i="15"/>
  <c r="L105" i="15"/>
  <c r="I105" i="15"/>
  <c r="B105" i="15"/>
  <c r="A105" i="15"/>
  <c r="AE104" i="15"/>
  <c r="AH104" i="15" s="1"/>
  <c r="AA104" i="15"/>
  <c r="AB104" i="15" s="1"/>
  <c r="V104" i="15"/>
  <c r="O104" i="15"/>
  <c r="L104" i="15"/>
  <c r="I104" i="15"/>
  <c r="B104" i="15"/>
  <c r="A104" i="15"/>
  <c r="A102" i="15"/>
  <c r="B102" i="15"/>
  <c r="I102" i="15"/>
  <c r="L102" i="15"/>
  <c r="O102" i="15"/>
  <c r="V102" i="15"/>
  <c r="W102" i="15" s="1"/>
  <c r="AA102" i="15"/>
  <c r="AB102" i="15" s="1"/>
  <c r="AE102" i="15"/>
  <c r="G126" i="15"/>
  <c r="AE126" i="15"/>
  <c r="AG126" i="15" s="1"/>
  <c r="AH126" i="15"/>
  <c r="AJ126" i="15" a="1"/>
  <c r="AJ126" i="15" s="1"/>
  <c r="A127" i="15"/>
  <c r="B127" i="15"/>
  <c r="I127" i="15"/>
  <c r="L127" i="15"/>
  <c r="O127" i="15"/>
  <c r="AC127" i="15"/>
  <c r="AH127" i="15"/>
  <c r="A128" i="15"/>
  <c r="B128" i="15"/>
  <c r="I128" i="15"/>
  <c r="L128" i="15"/>
  <c r="O128" i="15"/>
  <c r="AH128" i="15"/>
  <c r="A129" i="15"/>
  <c r="B129" i="15"/>
  <c r="I129" i="15"/>
  <c r="L129" i="15"/>
  <c r="O129" i="15"/>
  <c r="V129" i="15"/>
  <c r="W129" i="15" s="1"/>
  <c r="X129" i="15" s="1"/>
  <c r="AA129" i="15"/>
  <c r="AB129" i="15" s="1"/>
  <c r="AE129" i="15"/>
  <c r="A130" i="15"/>
  <c r="B130" i="15"/>
  <c r="I130" i="15"/>
  <c r="L130" i="15"/>
  <c r="O130" i="15"/>
  <c r="V130" i="15"/>
  <c r="W130" i="15" s="1"/>
  <c r="AA130" i="15"/>
  <c r="AB130" i="15" s="1"/>
  <c r="AC130" i="15" s="1"/>
  <c r="AE130" i="15"/>
  <c r="AH130" i="15" s="1"/>
  <c r="A131" i="15"/>
  <c r="B131" i="15"/>
  <c r="I131" i="15"/>
  <c r="L131" i="15"/>
  <c r="O131" i="15"/>
  <c r="V131" i="15"/>
  <c r="W131" i="15" s="1"/>
  <c r="AA131" i="15"/>
  <c r="AB131" i="15" s="1"/>
  <c r="AC131" i="15" s="1"/>
  <c r="AE131" i="15"/>
  <c r="AE101" i="15"/>
  <c r="AH101" i="15" s="1"/>
  <c r="AA101" i="15"/>
  <c r="V101" i="15"/>
  <c r="W101" i="15" s="1"/>
  <c r="X101" i="15" s="1"/>
  <c r="I101" i="15"/>
  <c r="B101" i="15"/>
  <c r="A101" i="15"/>
  <c r="AE100" i="15"/>
  <c r="AH100" i="15" s="1"/>
  <c r="AA100" i="15"/>
  <c r="AB100" i="15" s="1"/>
  <c r="V100" i="15"/>
  <c r="O100" i="15"/>
  <c r="L100" i="15"/>
  <c r="I100" i="15"/>
  <c r="B100" i="15"/>
  <c r="A100" i="15"/>
  <c r="AH99" i="15"/>
  <c r="O99" i="15"/>
  <c r="L99" i="15"/>
  <c r="I99" i="15"/>
  <c r="B99" i="15"/>
  <c r="A99" i="15"/>
  <c r="AE98" i="15"/>
  <c r="AH98" i="15" s="1"/>
  <c r="AA98" i="15"/>
  <c r="AB98" i="15" s="1"/>
  <c r="AC98" i="15" s="1"/>
  <c r="V98" i="15"/>
  <c r="W98" i="15" s="1"/>
  <c r="O98" i="15"/>
  <c r="L98" i="15"/>
  <c r="I98" i="15"/>
  <c r="B98" i="15"/>
  <c r="A98" i="15"/>
  <c r="AE72" i="15"/>
  <c r="AH72" i="15" s="1"/>
  <c r="AA72" i="15"/>
  <c r="V72" i="15"/>
  <c r="O72" i="15"/>
  <c r="L72" i="15"/>
  <c r="I72" i="15"/>
  <c r="B72" i="15"/>
  <c r="A72" i="15"/>
  <c r="AE71" i="15"/>
  <c r="AH71" i="15" s="1"/>
  <c r="AA71" i="15"/>
  <c r="AB71" i="15" s="1"/>
  <c r="V71" i="15"/>
  <c r="O71" i="15"/>
  <c r="L71" i="15"/>
  <c r="I71" i="15"/>
  <c r="B71" i="15"/>
  <c r="A71" i="15"/>
  <c r="AE70" i="15"/>
  <c r="AA70" i="15"/>
  <c r="V70" i="15"/>
  <c r="W70" i="15" s="1"/>
  <c r="O70" i="15"/>
  <c r="L70" i="15"/>
  <c r="I70" i="15"/>
  <c r="B70" i="15"/>
  <c r="A70" i="15"/>
  <c r="AE69" i="15"/>
  <c r="AA69" i="15"/>
  <c r="AB69" i="15" s="1"/>
  <c r="AC69" i="15" s="1"/>
  <c r="V69" i="15"/>
  <c r="W69" i="15" s="1"/>
  <c r="O69" i="15"/>
  <c r="L69" i="15"/>
  <c r="I69" i="15"/>
  <c r="B69" i="15"/>
  <c r="A69" i="15"/>
  <c r="AE68" i="15"/>
  <c r="AA68" i="15"/>
  <c r="V68" i="15"/>
  <c r="W68" i="15" s="1"/>
  <c r="X68" i="15" s="1"/>
  <c r="O68" i="15"/>
  <c r="L68" i="15"/>
  <c r="I68" i="15"/>
  <c r="B68" i="15"/>
  <c r="A68" i="15"/>
  <c r="AE67" i="15"/>
  <c r="AA67" i="15"/>
  <c r="AB67" i="15" s="1"/>
  <c r="V67" i="15"/>
  <c r="O67" i="15"/>
  <c r="L67" i="15"/>
  <c r="I67" i="15"/>
  <c r="B67" i="15"/>
  <c r="A67" i="15"/>
  <c r="AE66" i="15"/>
  <c r="AA66" i="15"/>
  <c r="AB66" i="15" s="1"/>
  <c r="V66" i="15"/>
  <c r="W66" i="15" s="1"/>
  <c r="O66" i="15"/>
  <c r="L66" i="15"/>
  <c r="I66" i="15"/>
  <c r="B66" i="15"/>
  <c r="A66" i="15"/>
  <c r="AE65" i="15"/>
  <c r="AH65" i="15" s="1"/>
  <c r="AA65" i="15"/>
  <c r="AB65" i="15" s="1"/>
  <c r="AC65" i="15" s="1"/>
  <c r="V65" i="15"/>
  <c r="W65" i="15" s="1"/>
  <c r="O65" i="15"/>
  <c r="L65" i="15"/>
  <c r="I65" i="15"/>
  <c r="B65" i="15"/>
  <c r="A65" i="15"/>
  <c r="AE64" i="15"/>
  <c r="AA64" i="15"/>
  <c r="V64" i="15"/>
  <c r="W64" i="15" s="1"/>
  <c r="X64" i="15" s="1"/>
  <c r="O64" i="15"/>
  <c r="L64" i="15"/>
  <c r="I64" i="15"/>
  <c r="B64" i="15"/>
  <c r="A64" i="15"/>
  <c r="AE63" i="15"/>
  <c r="AA63" i="15"/>
  <c r="AB63" i="15" s="1"/>
  <c r="V63" i="15"/>
  <c r="O63" i="15"/>
  <c r="L63" i="15"/>
  <c r="I63" i="15"/>
  <c r="B63" i="15"/>
  <c r="A63" i="15"/>
  <c r="AE62" i="15"/>
  <c r="AA62" i="15"/>
  <c r="AB62" i="15" s="1"/>
  <c r="AC62" i="15" s="1"/>
  <c r="V62" i="15"/>
  <c r="O62" i="15"/>
  <c r="L62" i="15"/>
  <c r="I62" i="15"/>
  <c r="B62" i="15"/>
  <c r="A62" i="15"/>
  <c r="AE85" i="15"/>
  <c r="AA85" i="15"/>
  <c r="V85" i="15"/>
  <c r="W85" i="15" s="1"/>
  <c r="O85" i="15"/>
  <c r="L85" i="15"/>
  <c r="I85" i="15"/>
  <c r="B85" i="15"/>
  <c r="A85" i="15"/>
  <c r="AE78" i="15"/>
  <c r="AA78" i="15"/>
  <c r="V78" i="15"/>
  <c r="O78" i="15"/>
  <c r="L78" i="15"/>
  <c r="I78" i="15"/>
  <c r="B78" i="15"/>
  <c r="A78" i="15"/>
  <c r="AE77" i="15"/>
  <c r="AA77" i="15"/>
  <c r="AB77" i="15" s="1"/>
  <c r="AC77" i="15" s="1"/>
  <c r="V77" i="15"/>
  <c r="O77" i="15"/>
  <c r="L77" i="15"/>
  <c r="I77" i="15"/>
  <c r="B77" i="15"/>
  <c r="A77" i="15"/>
  <c r="AE76" i="15"/>
  <c r="AH76" i="15" s="1"/>
  <c r="AA76" i="15"/>
  <c r="V76" i="15"/>
  <c r="W76" i="15" s="1"/>
  <c r="X76" i="15" s="1"/>
  <c r="O76" i="15"/>
  <c r="L76" i="15"/>
  <c r="I76" i="15"/>
  <c r="B76" i="15"/>
  <c r="A76" i="15"/>
  <c r="AE75" i="15"/>
  <c r="AH75" i="15" s="1"/>
  <c r="AA75" i="15"/>
  <c r="V75" i="15"/>
  <c r="O75" i="15"/>
  <c r="L75" i="15"/>
  <c r="I75" i="15"/>
  <c r="B75" i="15"/>
  <c r="A75" i="15"/>
  <c r="AE56" i="15"/>
  <c r="AA56" i="15"/>
  <c r="V56" i="15"/>
  <c r="W56" i="15" s="1"/>
  <c r="X56" i="15" s="1"/>
  <c r="L56" i="15"/>
  <c r="P56" i="15" s="1"/>
  <c r="I56" i="15"/>
  <c r="B56" i="15"/>
  <c r="A56" i="15"/>
  <c r="AE55" i="15"/>
  <c r="AA55" i="15"/>
  <c r="V55" i="15"/>
  <c r="O55" i="15"/>
  <c r="L55" i="15"/>
  <c r="I55" i="15"/>
  <c r="B55" i="15"/>
  <c r="A55" i="15"/>
  <c r="AE54" i="15"/>
  <c r="AH54" i="15" s="1"/>
  <c r="AA54" i="15"/>
  <c r="AB54" i="15" s="1"/>
  <c r="V54" i="15"/>
  <c r="O54" i="15"/>
  <c r="L54" i="15"/>
  <c r="I54" i="15"/>
  <c r="B54" i="15"/>
  <c r="A54" i="15"/>
  <c r="AE53" i="15"/>
  <c r="AA53" i="15"/>
  <c r="V53" i="15"/>
  <c r="W53" i="15" s="1"/>
  <c r="O53" i="15"/>
  <c r="L53" i="15"/>
  <c r="I53" i="15"/>
  <c r="B53" i="15"/>
  <c r="A53" i="15"/>
  <c r="AE52" i="15"/>
  <c r="AA52" i="15"/>
  <c r="AB52" i="15" s="1"/>
  <c r="AC52" i="15" s="1"/>
  <c r="V52" i="15"/>
  <c r="O52" i="15"/>
  <c r="L52" i="15"/>
  <c r="I52" i="15"/>
  <c r="B52" i="15"/>
  <c r="A52" i="15"/>
  <c r="G57" i="15"/>
  <c r="AE57" i="15"/>
  <c r="AG57" i="15" s="1"/>
  <c r="AH57" i="15"/>
  <c r="AJ57" i="15" a="1"/>
  <c r="AJ57" i="15" s="1"/>
  <c r="A58" i="15"/>
  <c r="B58" i="15"/>
  <c r="I58" i="15"/>
  <c r="L58" i="15"/>
  <c r="O58" i="15"/>
  <c r="V58" i="15"/>
  <c r="W58" i="15" s="1"/>
  <c r="AA58" i="15"/>
  <c r="AB58" i="15" s="1"/>
  <c r="AE58" i="15"/>
  <c r="A59" i="15"/>
  <c r="B59" i="15"/>
  <c r="I59" i="15"/>
  <c r="L59" i="15"/>
  <c r="O59" i="15"/>
  <c r="V59" i="15"/>
  <c r="W59" i="15" s="1"/>
  <c r="AA59" i="15"/>
  <c r="AB59" i="15" s="1"/>
  <c r="AE59" i="15"/>
  <c r="A60" i="15"/>
  <c r="B60" i="15"/>
  <c r="I60" i="15"/>
  <c r="L60" i="15"/>
  <c r="O60" i="15"/>
  <c r="V60" i="15"/>
  <c r="W60" i="15" s="1"/>
  <c r="X60" i="15" s="1"/>
  <c r="AA60" i="15"/>
  <c r="AB60" i="15" s="1"/>
  <c r="AC60" i="15" s="1"/>
  <c r="AE60" i="15"/>
  <c r="AH60" i="15" s="1"/>
  <c r="A61" i="15"/>
  <c r="B61" i="15"/>
  <c r="I61" i="15"/>
  <c r="L61" i="15"/>
  <c r="O61" i="15"/>
  <c r="V61" i="15"/>
  <c r="W61" i="15" s="1"/>
  <c r="AA61" i="15"/>
  <c r="AB61" i="15" s="1"/>
  <c r="AC61" i="15" s="1"/>
  <c r="AE61" i="15"/>
  <c r="AH61" i="15" s="1"/>
  <c r="A73" i="15"/>
  <c r="B73" i="15"/>
  <c r="I73" i="15"/>
  <c r="L73" i="15"/>
  <c r="O73" i="15"/>
  <c r="V73" i="15"/>
  <c r="W73" i="15" s="1"/>
  <c r="AA73" i="15"/>
  <c r="AB73" i="15" s="1"/>
  <c r="AE73" i="15"/>
  <c r="AH73" i="15" s="1"/>
  <c r="AE51" i="15"/>
  <c r="AH51" i="15" s="1"/>
  <c r="AA51" i="15"/>
  <c r="AB51" i="15" s="1"/>
  <c r="AC51" i="15" s="1"/>
  <c r="V51" i="15"/>
  <c r="O51" i="15"/>
  <c r="L51" i="15"/>
  <c r="I51" i="15"/>
  <c r="B51" i="15"/>
  <c r="A51" i="15"/>
  <c r="AE50" i="15"/>
  <c r="AH50" i="15" s="1"/>
  <c r="AA50" i="15"/>
  <c r="AB50" i="15" s="1"/>
  <c r="AC50" i="15" s="1"/>
  <c r="V50" i="15"/>
  <c r="W50" i="15" s="1"/>
  <c r="O50" i="15"/>
  <c r="L50" i="15"/>
  <c r="I50" i="15"/>
  <c r="B50" i="15"/>
  <c r="A50" i="15"/>
  <c r="AC49" i="15"/>
  <c r="X49" i="15"/>
  <c r="O49" i="15"/>
  <c r="L49" i="15"/>
  <c r="I49" i="15"/>
  <c r="B49" i="15"/>
  <c r="A49" i="15"/>
  <c r="AE48" i="15"/>
  <c r="AA48" i="15"/>
  <c r="V48" i="15"/>
  <c r="W48" i="15" s="1"/>
  <c r="X48" i="15" s="1"/>
  <c r="O48" i="15"/>
  <c r="L48" i="15"/>
  <c r="I48" i="15"/>
  <c r="B48" i="15"/>
  <c r="A48" i="15"/>
  <c r="AE40" i="15"/>
  <c r="AH40" i="15" s="1"/>
  <c r="AA40" i="15"/>
  <c r="V40" i="15"/>
  <c r="O40" i="15"/>
  <c r="L40" i="15"/>
  <c r="I40" i="15"/>
  <c r="B40" i="15"/>
  <c r="A40" i="15"/>
  <c r="AE39" i="15"/>
  <c r="AH39" i="15" s="1"/>
  <c r="AA39" i="15"/>
  <c r="AB39" i="15" s="1"/>
  <c r="V39" i="15"/>
  <c r="O39" i="15"/>
  <c r="L39" i="15"/>
  <c r="I39" i="15"/>
  <c r="B39" i="15"/>
  <c r="A39" i="15"/>
  <c r="AE38" i="15"/>
  <c r="AA38" i="15"/>
  <c r="AB38" i="15" s="1"/>
  <c r="V38" i="15"/>
  <c r="W38" i="15" s="1"/>
  <c r="O38" i="15"/>
  <c r="L38" i="15"/>
  <c r="I38" i="15"/>
  <c r="B38" i="15"/>
  <c r="A38" i="15"/>
  <c r="G41" i="15"/>
  <c r="AE41" i="15"/>
  <c r="AG41" i="15" s="1"/>
  <c r="AH41" i="15"/>
  <c r="AJ41" i="15" a="1"/>
  <c r="AJ41" i="15" s="1"/>
  <c r="A42" i="15"/>
  <c r="B42" i="15"/>
  <c r="I42" i="15"/>
  <c r="L42" i="15"/>
  <c r="O42" i="15"/>
  <c r="V42" i="15"/>
  <c r="W42" i="15" s="1"/>
  <c r="AA42" i="15"/>
  <c r="AB42" i="15" s="1"/>
  <c r="AE42" i="15"/>
  <c r="A43" i="15"/>
  <c r="B43" i="15"/>
  <c r="I43" i="15"/>
  <c r="L43" i="15"/>
  <c r="O43" i="15"/>
  <c r="V43" i="15"/>
  <c r="W43" i="15" s="1"/>
  <c r="X43" i="15" s="1"/>
  <c r="AA43" i="15"/>
  <c r="AB43" i="15" s="1"/>
  <c r="AE43" i="15"/>
  <c r="A44" i="15"/>
  <c r="B44" i="15"/>
  <c r="I44" i="15"/>
  <c r="L44" i="15"/>
  <c r="O44" i="15"/>
  <c r="V44" i="15"/>
  <c r="W44" i="15" s="1"/>
  <c r="X44" i="15" s="1"/>
  <c r="AA44" i="15"/>
  <c r="AB44" i="15" s="1"/>
  <c r="AC44" i="15" s="1"/>
  <c r="AE44" i="15"/>
  <c r="A46" i="15"/>
  <c r="B46" i="15"/>
  <c r="I46" i="15"/>
  <c r="L46" i="15"/>
  <c r="O46" i="15"/>
  <c r="V46" i="15"/>
  <c r="W46" i="15" s="1"/>
  <c r="AA46" i="15"/>
  <c r="AB46" i="15" s="1"/>
  <c r="AC46" i="15" s="1"/>
  <c r="AE46" i="15"/>
  <c r="A47" i="15"/>
  <c r="B47" i="15"/>
  <c r="I47" i="15"/>
  <c r="L47" i="15"/>
  <c r="O47" i="15"/>
  <c r="V47" i="15"/>
  <c r="W47" i="15" s="1"/>
  <c r="AA47" i="15"/>
  <c r="AB47" i="15" s="1"/>
  <c r="AE47" i="15"/>
  <c r="AE37" i="15"/>
  <c r="AA37" i="15"/>
  <c r="AB37" i="15" s="1"/>
  <c r="AC37" i="15" s="1"/>
  <c r="V37" i="15"/>
  <c r="O37" i="15"/>
  <c r="L37" i="15"/>
  <c r="I37" i="15"/>
  <c r="B37" i="15"/>
  <c r="A37" i="15"/>
  <c r="AE36" i="15"/>
  <c r="AA36" i="15"/>
  <c r="AB36" i="15" s="1"/>
  <c r="AC36" i="15" s="1"/>
  <c r="V36" i="15"/>
  <c r="W36" i="15" s="1"/>
  <c r="O36" i="15"/>
  <c r="L36" i="15"/>
  <c r="I36" i="15"/>
  <c r="A36" i="15"/>
  <c r="AJ36" i="15" s="1" a="1"/>
  <c r="AJ36" i="15" s="1"/>
  <c r="AE26" i="15"/>
  <c r="AH26" i="15" s="1"/>
  <c r="AA26" i="15"/>
  <c r="V26" i="15"/>
  <c r="W26" i="15" s="1"/>
  <c r="X26" i="15" s="1"/>
  <c r="O26" i="15"/>
  <c r="L26" i="15"/>
  <c r="I26" i="15"/>
  <c r="B26" i="15"/>
  <c r="A26" i="15"/>
  <c r="AE25" i="15"/>
  <c r="AA25" i="15"/>
  <c r="AB25" i="15" s="1"/>
  <c r="V25" i="15"/>
  <c r="O25" i="15"/>
  <c r="L25" i="15"/>
  <c r="I25" i="15"/>
  <c r="B25" i="15"/>
  <c r="A25" i="15"/>
  <c r="AE24" i="15"/>
  <c r="AA24" i="15"/>
  <c r="V24" i="15"/>
  <c r="W24" i="15" s="1"/>
  <c r="O24" i="15"/>
  <c r="L24" i="15"/>
  <c r="I24" i="15"/>
  <c r="B24" i="15"/>
  <c r="A24" i="15"/>
  <c r="AE23" i="15"/>
  <c r="AH23" i="15" s="1"/>
  <c r="AA23" i="15"/>
  <c r="AB23" i="15" s="1"/>
  <c r="AC23" i="15" s="1"/>
  <c r="V23" i="15"/>
  <c r="O23" i="15"/>
  <c r="L23" i="15"/>
  <c r="I23" i="15"/>
  <c r="B23" i="15"/>
  <c r="A23" i="15"/>
  <c r="AE22" i="15"/>
  <c r="AH22" i="15" s="1"/>
  <c r="AA22" i="15"/>
  <c r="V22" i="15"/>
  <c r="W22" i="15" s="1"/>
  <c r="X22" i="15" s="1"/>
  <c r="O22" i="15"/>
  <c r="L22" i="15"/>
  <c r="I22" i="15"/>
  <c r="B22" i="15"/>
  <c r="A22" i="15"/>
  <c r="AE21" i="15"/>
  <c r="AA21" i="15"/>
  <c r="V21" i="15"/>
  <c r="O21" i="15"/>
  <c r="L21" i="15"/>
  <c r="I21" i="15"/>
  <c r="B21" i="15"/>
  <c r="A21" i="15"/>
  <c r="AE20" i="15"/>
  <c r="AH20" i="15" s="1"/>
  <c r="AA20" i="15"/>
  <c r="V20" i="15"/>
  <c r="O20" i="15"/>
  <c r="L20" i="15"/>
  <c r="I20" i="15"/>
  <c r="B20" i="15"/>
  <c r="A20" i="15"/>
  <c r="AE29" i="15"/>
  <c r="AA29" i="15"/>
  <c r="V29" i="15"/>
  <c r="W29" i="15" s="1"/>
  <c r="O29" i="15"/>
  <c r="L29" i="15"/>
  <c r="I29" i="15"/>
  <c r="B29" i="15"/>
  <c r="A29" i="15"/>
  <c r="AE28" i="15"/>
  <c r="AA28" i="15"/>
  <c r="V28" i="15"/>
  <c r="O28" i="15"/>
  <c r="L28" i="15"/>
  <c r="I28" i="15"/>
  <c r="B28" i="15"/>
  <c r="A28" i="15"/>
  <c r="AE27" i="15"/>
  <c r="AH27" i="15" s="1"/>
  <c r="AA27" i="15"/>
  <c r="AB27" i="15" s="1"/>
  <c r="V27" i="15"/>
  <c r="O27" i="15"/>
  <c r="L27" i="15"/>
  <c r="I27" i="15"/>
  <c r="B27" i="15"/>
  <c r="A27" i="15"/>
  <c r="AE19" i="15"/>
  <c r="AH19" i="15" s="1"/>
  <c r="AA19" i="15"/>
  <c r="AB19" i="15" s="1"/>
  <c r="AC19" i="15" s="1"/>
  <c r="V19" i="15"/>
  <c r="W19" i="15" s="1"/>
  <c r="O19" i="15"/>
  <c r="L19" i="15"/>
  <c r="I19" i="15"/>
  <c r="B19" i="15"/>
  <c r="A19" i="15"/>
  <c r="AE18" i="15"/>
  <c r="AH18" i="15" s="1"/>
  <c r="AA18" i="15"/>
  <c r="AB18" i="15" s="1"/>
  <c r="V18" i="15"/>
  <c r="O18" i="15"/>
  <c r="L18" i="15"/>
  <c r="I18" i="15"/>
  <c r="B18" i="15"/>
  <c r="A18" i="15"/>
  <c r="G30" i="15"/>
  <c r="AE30" i="15"/>
  <c r="AG30" i="15" s="1"/>
  <c r="AH30" i="15"/>
  <c r="AJ30" i="15" a="1"/>
  <c r="AJ30" i="15" s="1"/>
  <c r="A31" i="15"/>
  <c r="B31" i="15"/>
  <c r="I31" i="15"/>
  <c r="L31" i="15"/>
  <c r="O31" i="15"/>
  <c r="V31" i="15"/>
  <c r="W31" i="15" s="1"/>
  <c r="X31" i="15" s="1"/>
  <c r="AA31" i="15"/>
  <c r="AB31" i="15" s="1"/>
  <c r="AE31" i="15"/>
  <c r="AH31" i="15" s="1"/>
  <c r="A32" i="15"/>
  <c r="B32" i="15"/>
  <c r="I32" i="15"/>
  <c r="L32" i="15"/>
  <c r="O32" i="15"/>
  <c r="V32" i="15"/>
  <c r="W32" i="15" s="1"/>
  <c r="X32" i="15" s="1"/>
  <c r="AA32" i="15"/>
  <c r="AB32" i="15" s="1"/>
  <c r="AC32" i="15" s="1"/>
  <c r="AE32" i="15"/>
  <c r="A33" i="15"/>
  <c r="B33" i="15"/>
  <c r="I33" i="15"/>
  <c r="L33" i="15"/>
  <c r="O33" i="15"/>
  <c r="V33" i="15"/>
  <c r="W33" i="15" s="1"/>
  <c r="AA33" i="15"/>
  <c r="AB33" i="15" s="1"/>
  <c r="AC33" i="15" s="1"/>
  <c r="AE33" i="15"/>
  <c r="AH33" i="15" s="1"/>
  <c r="A34" i="15"/>
  <c r="B34" i="15"/>
  <c r="I34" i="15"/>
  <c r="L34" i="15"/>
  <c r="O34" i="15"/>
  <c r="V34" i="15"/>
  <c r="W34" i="15" s="1"/>
  <c r="AA34" i="15"/>
  <c r="AB34" i="15" s="1"/>
  <c r="AE34" i="15"/>
  <c r="G7" i="15"/>
  <c r="AE17" i="15"/>
  <c r="AA17" i="15"/>
  <c r="AB17" i="15" s="1"/>
  <c r="AC17" i="15" s="1"/>
  <c r="V17" i="15"/>
  <c r="W17" i="15" s="1"/>
  <c r="X17" i="15" s="1"/>
  <c r="O17" i="15"/>
  <c r="L17" i="15"/>
  <c r="I17" i="15"/>
  <c r="B17" i="15"/>
  <c r="A17" i="15"/>
  <c r="AE16" i="15"/>
  <c r="AA16" i="15"/>
  <c r="V16" i="15"/>
  <c r="W16" i="15" s="1"/>
  <c r="X16" i="15" s="1"/>
  <c r="O16" i="15"/>
  <c r="L16" i="15"/>
  <c r="I16" i="15"/>
  <c r="B16" i="15"/>
  <c r="A16" i="15"/>
  <c r="AE15" i="15"/>
  <c r="AA15" i="15"/>
  <c r="AB15" i="15" s="1"/>
  <c r="V15" i="15"/>
  <c r="O15" i="15"/>
  <c r="L15" i="15"/>
  <c r="B15" i="15"/>
  <c r="A15" i="15"/>
  <c r="AJ161" i="15" l="1" a="1"/>
  <c r="AJ161" i="15" s="1"/>
  <c r="AH161" i="15"/>
  <c r="P34" i="15"/>
  <c r="P33" i="15"/>
  <c r="P31" i="15"/>
  <c r="P32" i="15"/>
  <c r="P15" i="15"/>
  <c r="P16" i="15"/>
  <c r="P17" i="15"/>
  <c r="P47" i="15"/>
  <c r="P46" i="15"/>
  <c r="P44" i="15"/>
  <c r="P43" i="15"/>
  <c r="P42" i="15"/>
  <c r="P50" i="15"/>
  <c r="P51" i="15"/>
  <c r="P52" i="15"/>
  <c r="P53" i="15"/>
  <c r="P54" i="15"/>
  <c r="P55" i="15"/>
  <c r="P131" i="15"/>
  <c r="P130" i="15"/>
  <c r="P129" i="15"/>
  <c r="P128" i="15"/>
  <c r="P104" i="15"/>
  <c r="P105" i="15"/>
  <c r="P108" i="15"/>
  <c r="P109" i="15"/>
  <c r="P110" i="15"/>
  <c r="P111" i="15"/>
  <c r="P112" i="15"/>
  <c r="P120" i="15"/>
  <c r="P121" i="15"/>
  <c r="P122" i="15"/>
  <c r="P103" i="15"/>
  <c r="P123" i="15"/>
  <c r="P137" i="15"/>
  <c r="P138" i="15"/>
  <c r="P212" i="15"/>
  <c r="P199" i="15"/>
  <c r="P200" i="15"/>
  <c r="P201" i="15"/>
  <c r="P202" i="15"/>
  <c r="P203" i="15"/>
  <c r="P218" i="15"/>
  <c r="P219" i="15"/>
  <c r="P220" i="15"/>
  <c r="P222" i="15"/>
  <c r="P223" i="15"/>
  <c r="P237" i="15"/>
  <c r="P238" i="15"/>
  <c r="P239" i="15"/>
  <c r="P244" i="15"/>
  <c r="P245" i="15"/>
  <c r="P246" i="15"/>
  <c r="P247" i="15"/>
  <c r="P278" i="15"/>
  <c r="P36" i="15"/>
  <c r="P37" i="15"/>
  <c r="P38" i="15"/>
  <c r="P39" i="15"/>
  <c r="P40" i="15"/>
  <c r="P48" i="15"/>
  <c r="P49" i="15"/>
  <c r="P73" i="15"/>
  <c r="P61" i="15"/>
  <c r="P60" i="15"/>
  <c r="P59" i="15"/>
  <c r="P58" i="15"/>
  <c r="P75" i="15"/>
  <c r="P76" i="15"/>
  <c r="P77" i="15"/>
  <c r="P78" i="15"/>
  <c r="P85" i="15"/>
  <c r="P62" i="15"/>
  <c r="P63" i="15"/>
  <c r="P64" i="15"/>
  <c r="P65" i="15"/>
  <c r="P66" i="15"/>
  <c r="P67" i="15"/>
  <c r="P68" i="15"/>
  <c r="P69" i="15"/>
  <c r="P70" i="15"/>
  <c r="P71" i="15"/>
  <c r="P72" i="15"/>
  <c r="P98" i="15"/>
  <c r="P99" i="15"/>
  <c r="P100" i="15"/>
  <c r="P101" i="15"/>
  <c r="P127" i="15"/>
  <c r="P102" i="15"/>
  <c r="P133" i="15"/>
  <c r="P161" i="15"/>
  <c r="P139" i="15"/>
  <c r="P145" i="15"/>
  <c r="P194" i="15"/>
  <c r="P195" i="15"/>
  <c r="P197" i="15"/>
  <c r="P198" i="15"/>
  <c r="P204" i="15"/>
  <c r="P205" i="15"/>
  <c r="P206" i="15"/>
  <c r="P240" i="15"/>
  <c r="P241" i="15"/>
  <c r="P242" i="15"/>
  <c r="AJ253" i="15" a="1"/>
  <c r="AJ253" i="15" s="1"/>
  <c r="P253" i="15"/>
  <c r="P243" i="15"/>
  <c r="P248" i="15"/>
  <c r="P18" i="15"/>
  <c r="P19" i="15"/>
  <c r="P27" i="15"/>
  <c r="P28" i="15"/>
  <c r="P29" i="15"/>
  <c r="P20" i="15"/>
  <c r="P21" i="15"/>
  <c r="P22" i="15"/>
  <c r="P23" i="15"/>
  <c r="P24" i="15"/>
  <c r="P25" i="15"/>
  <c r="P26" i="15"/>
  <c r="AH253" i="15"/>
  <c r="O41" i="15"/>
  <c r="I41" i="15"/>
  <c r="L41" i="15"/>
  <c r="AH102" i="15"/>
  <c r="AH85" i="15"/>
  <c r="AH56" i="15"/>
  <c r="AJ39" i="15" a="1"/>
  <c r="AJ39" i="15" s="1"/>
  <c r="AJ40" i="15" a="1"/>
  <c r="AJ40" i="15" s="1"/>
  <c r="AJ56" i="15" a="1"/>
  <c r="AJ56" i="15" s="1"/>
  <c r="AJ85" i="15" a="1"/>
  <c r="AJ85" i="15" s="1"/>
  <c r="AJ102" i="15" a="1"/>
  <c r="AJ102" i="15" s="1"/>
  <c r="W212" i="15"/>
  <c r="X212" i="15" s="1"/>
  <c r="AJ204" i="15" a="1"/>
  <c r="AJ204" i="15" s="1"/>
  <c r="AJ52" i="15" a="1"/>
  <c r="AJ52" i="15" s="1"/>
  <c r="AJ53" i="15" a="1"/>
  <c r="AJ53" i="15" s="1"/>
  <c r="AJ50" i="15" a="1"/>
  <c r="AJ50" i="15" s="1"/>
  <c r="AJ54" i="15" a="1"/>
  <c r="AJ54" i="15" s="1"/>
  <c r="AJ55" i="15" a="1"/>
  <c r="AJ55" i="15" s="1"/>
  <c r="AJ51" i="15" a="1"/>
  <c r="AJ51" i="15" s="1"/>
  <c r="AH246" i="15"/>
  <c r="AH248" i="15"/>
  <c r="AH108" i="15"/>
  <c r="AH52" i="15"/>
  <c r="AH53" i="15"/>
  <c r="AH55" i="15"/>
  <c r="AH36" i="15"/>
  <c r="AH21" i="15"/>
  <c r="AH15" i="15"/>
  <c r="AH16" i="15"/>
  <c r="AH17" i="15"/>
  <c r="AJ206" i="15" a="1"/>
  <c r="AJ206" i="15" s="1"/>
  <c r="AJ205" i="15" a="1"/>
  <c r="AJ205" i="15" s="1"/>
  <c r="AH245" i="15"/>
  <c r="AH244" i="15"/>
  <c r="AH243" i="15"/>
  <c r="AH241" i="15"/>
  <c r="AH220" i="15"/>
  <c r="AH219" i="15"/>
  <c r="AH218" i="15"/>
  <c r="AH212" i="15"/>
  <c r="AH202" i="15"/>
  <c r="AH201" i="15"/>
  <c r="AH199" i="15"/>
  <c r="AH198" i="15"/>
  <c r="AH145" i="15"/>
  <c r="AH144" i="15"/>
  <c r="AH143" i="15"/>
  <c r="AH142" i="15"/>
  <c r="AH139" i="15"/>
  <c r="AH141" i="15"/>
  <c r="AH138" i="15"/>
  <c r="AH137" i="15"/>
  <c r="AH135" i="15"/>
  <c r="AH131" i="15"/>
  <c r="AH129" i="15"/>
  <c r="AH32" i="15"/>
  <c r="AH123" i="15"/>
  <c r="AH122" i="15"/>
  <c r="AH121" i="15"/>
  <c r="AH120" i="15"/>
  <c r="AH105" i="15"/>
  <c r="AJ239" i="15" a="1"/>
  <c r="AJ239" i="15" s="1"/>
  <c r="AJ243" i="15" a="1"/>
  <c r="AJ243" i="15" s="1"/>
  <c r="AJ38" i="15" a="1"/>
  <c r="AJ38" i="15" s="1"/>
  <c r="AH77" i="15"/>
  <c r="AJ244" i="15" a="1"/>
  <c r="AJ244" i="15" s="1"/>
  <c r="AH78" i="15"/>
  <c r="AH70" i="15"/>
  <c r="AH69" i="15"/>
  <c r="AH68" i="15"/>
  <c r="AH67" i="15"/>
  <c r="AH66" i="15"/>
  <c r="AH64" i="15"/>
  <c r="AH63" i="15"/>
  <c r="AH62" i="15"/>
  <c r="AH59" i="15"/>
  <c r="AH58" i="15"/>
  <c r="AH48" i="15"/>
  <c r="AH47" i="15"/>
  <c r="AH46" i="15"/>
  <c r="AH49" i="15"/>
  <c r="AH44" i="15"/>
  <c r="AH43" i="15"/>
  <c r="AH42" i="15"/>
  <c r="AJ37" i="15" a="1"/>
  <c r="AJ37" i="15" s="1"/>
  <c r="AJ246" i="15" a="1"/>
  <c r="AJ246" i="15" s="1"/>
  <c r="AH38" i="15"/>
  <c r="AH37" i="15"/>
  <c r="AH34" i="15"/>
  <c r="AH29" i="15"/>
  <c r="AH28" i="15"/>
  <c r="AH25" i="15"/>
  <c r="AH24" i="15"/>
  <c r="AJ248" i="15" a="1"/>
  <c r="AJ248" i="15" s="1"/>
  <c r="AJ121" i="15" a="1"/>
  <c r="AJ121" i="15" s="1"/>
  <c r="AJ123" i="15" a="1"/>
  <c r="AJ123" i="15" s="1"/>
  <c r="AJ103" i="15" a="1"/>
  <c r="AJ103" i="15" s="1"/>
  <c r="AJ122" i="15" a="1"/>
  <c r="AJ122" i="15" s="1"/>
  <c r="AJ203" i="15" a="1"/>
  <c r="AJ203" i="15" s="1"/>
  <c r="AJ222" i="15" a="1"/>
  <c r="AJ222" i="15" s="1"/>
  <c r="AJ247" i="15" a="1"/>
  <c r="AJ247" i="15" s="1"/>
  <c r="AJ237" i="15" a="1"/>
  <c r="AJ237" i="15" s="1"/>
  <c r="AJ241" i="15" a="1"/>
  <c r="AJ241" i="15" s="1"/>
  <c r="AJ34" i="15" a="1"/>
  <c r="AJ34" i="15" s="1"/>
  <c r="AJ242" i="15" a="1"/>
  <c r="AJ242" i="15" s="1"/>
  <c r="AJ46" i="15" a="1"/>
  <c r="AJ46" i="15" s="1"/>
  <c r="AJ131" i="15" a="1"/>
  <c r="AJ131" i="15" s="1"/>
  <c r="AJ137" i="15" a="1"/>
  <c r="AJ137" i="15" s="1"/>
  <c r="AJ140" i="15" a="1"/>
  <c r="AJ140" i="15" s="1"/>
  <c r="AJ144" i="15" a="1"/>
  <c r="AJ144" i="15" s="1"/>
  <c r="AJ194" i="15" a="1"/>
  <c r="AJ194" i="15" s="1"/>
  <c r="AJ200" i="15" a="1"/>
  <c r="AJ200" i="15" s="1"/>
  <c r="AJ245" i="15" a="1"/>
  <c r="AJ245" i="15" s="1"/>
  <c r="AJ129" i="15" a="1"/>
  <c r="AJ129" i="15" s="1"/>
  <c r="AJ197" i="15" a="1"/>
  <c r="AJ197" i="15" s="1"/>
  <c r="AJ212" i="15" a="1"/>
  <c r="AJ212" i="15" s="1"/>
  <c r="AJ220" i="15" a="1"/>
  <c r="AJ220" i="15" s="1"/>
  <c r="AJ238" i="15" a="1"/>
  <c r="AJ238" i="15" s="1"/>
  <c r="AJ240" i="15" a="1"/>
  <c r="AJ240" i="15" s="1"/>
  <c r="AJ195" i="15" a="1"/>
  <c r="AJ195" i="15" s="1"/>
  <c r="AJ201" i="15" a="1"/>
  <c r="AJ201" i="15" s="1"/>
  <c r="AJ218" i="15" a="1"/>
  <c r="AJ218" i="15" s="1"/>
  <c r="AJ223" i="15" a="1"/>
  <c r="AJ223" i="15" s="1"/>
  <c r="W278" i="15"/>
  <c r="X278" i="15" s="1"/>
  <c r="AJ202" i="15" a="1"/>
  <c r="AJ202" i="15" s="1"/>
  <c r="AJ219" i="15" a="1"/>
  <c r="AJ219" i="15" s="1"/>
  <c r="AJ73" i="15" a="1"/>
  <c r="AJ73" i="15" s="1"/>
  <c r="AJ198" i="15" a="1"/>
  <c r="AJ198" i="15" s="1"/>
  <c r="AJ199" i="15" a="1"/>
  <c r="AJ199" i="15" s="1"/>
  <c r="AJ105" i="15" a="1"/>
  <c r="AJ105" i="15" s="1"/>
  <c r="AJ111" i="15" a="1"/>
  <c r="AJ111" i="15" s="1"/>
  <c r="AJ135" i="15" a="1"/>
  <c r="AJ135" i="15" s="1"/>
  <c r="AJ139" i="15" a="1"/>
  <c r="AJ139" i="15" s="1"/>
  <c r="AJ143" i="15" a="1"/>
  <c r="AJ143" i="15" s="1"/>
  <c r="AJ128" i="15" a="1"/>
  <c r="AJ128" i="15" s="1"/>
  <c r="AJ32" i="15" a="1"/>
  <c r="AJ32" i="15" s="1"/>
  <c r="AJ98" i="15" a="1"/>
  <c r="AJ98" i="15" s="1"/>
  <c r="AJ130" i="15" a="1"/>
  <c r="AJ130" i="15" s="1"/>
  <c r="AJ21" i="15" a="1"/>
  <c r="AJ21" i="15" s="1"/>
  <c r="AJ67" i="15" a="1"/>
  <c r="AJ67" i="15" s="1"/>
  <c r="AJ100" i="15" a="1"/>
  <c r="AJ100" i="15" s="1"/>
  <c r="AJ127" i="15" a="1"/>
  <c r="AJ127" i="15" s="1"/>
  <c r="AJ104" i="15" a="1"/>
  <c r="AJ104" i="15" s="1"/>
  <c r="AJ109" i="15" a="1"/>
  <c r="AJ109" i="15" s="1"/>
  <c r="AJ120" i="15" a="1"/>
  <c r="AJ120" i="15" s="1"/>
  <c r="AJ141" i="15" a="1"/>
  <c r="AJ141" i="15" s="1"/>
  <c r="AJ145" i="15" a="1"/>
  <c r="AJ145" i="15" s="1"/>
  <c r="AJ29" i="15" a="1"/>
  <c r="AJ29" i="15" s="1"/>
  <c r="AJ25" i="15" a="1"/>
  <c r="AJ25" i="15" s="1"/>
  <c r="AJ71" i="15" a="1"/>
  <c r="AJ71" i="15" s="1"/>
  <c r="AJ33" i="15" a="1"/>
  <c r="AJ33" i="15" s="1"/>
  <c r="AJ133" i="15" a="1"/>
  <c r="AJ133" i="15" s="1"/>
  <c r="AJ138" i="15" a="1"/>
  <c r="AJ138" i="15" s="1"/>
  <c r="AJ142" i="15" a="1"/>
  <c r="AJ142" i="15" s="1"/>
  <c r="AJ18" i="15" a="1"/>
  <c r="AJ18" i="15" s="1"/>
  <c r="AJ43" i="15" a="1"/>
  <c r="AJ43" i="15" s="1"/>
  <c r="AJ48" i="15" a="1"/>
  <c r="AJ48" i="15" s="1"/>
  <c r="AJ75" i="15" a="1"/>
  <c r="AJ75" i="15" s="1"/>
  <c r="AJ62" i="15" a="1"/>
  <c r="AJ62" i="15" s="1"/>
  <c r="AJ66" i="15" a="1"/>
  <c r="AJ66" i="15" s="1"/>
  <c r="AJ70" i="15" a="1"/>
  <c r="AJ70" i="15" s="1"/>
  <c r="AJ99" i="15" a="1"/>
  <c r="AJ99" i="15" s="1"/>
  <c r="AJ110" i="15" a="1"/>
  <c r="AJ110" i="15" s="1"/>
  <c r="AJ58" i="15" a="1"/>
  <c r="AJ58" i="15" s="1"/>
  <c r="AJ63" i="15" a="1"/>
  <c r="AJ63" i="15" s="1"/>
  <c r="AJ76" i="15" a="1"/>
  <c r="AJ76" i="15" s="1"/>
  <c r="AJ31" i="15" a="1"/>
  <c r="AJ31" i="15" s="1"/>
  <c r="AJ28" i="15" a="1"/>
  <c r="AJ28" i="15" s="1"/>
  <c r="AJ20" i="15" a="1"/>
  <c r="AJ20" i="15" s="1"/>
  <c r="AJ24" i="15" a="1"/>
  <c r="AJ24" i="15" s="1"/>
  <c r="AJ44" i="15" a="1"/>
  <c r="AJ44" i="15" s="1"/>
  <c r="AJ61" i="15" a="1"/>
  <c r="AJ61" i="15" s="1"/>
  <c r="AJ60" i="15" a="1"/>
  <c r="AJ60" i="15" s="1"/>
  <c r="AJ101" i="15" a="1"/>
  <c r="AJ101" i="15" s="1"/>
  <c r="AJ108" i="15" a="1"/>
  <c r="AJ108" i="15" s="1"/>
  <c r="AJ112" i="15" a="1"/>
  <c r="AJ112" i="15" s="1"/>
  <c r="AJ19" i="15" a="1"/>
  <c r="AJ19" i="15" s="1"/>
  <c r="AJ49" i="15" a="1"/>
  <c r="AJ49" i="15" s="1"/>
  <c r="AJ77" i="15" a="1"/>
  <c r="AJ77" i="15" s="1"/>
  <c r="AJ64" i="15" a="1"/>
  <c r="AJ64" i="15" s="1"/>
  <c r="AJ68" i="15" a="1"/>
  <c r="AJ68" i="15" s="1"/>
  <c r="AJ72" i="15" a="1"/>
  <c r="AJ72" i="15" s="1"/>
  <c r="AJ42" i="15" a="1"/>
  <c r="AJ42" i="15" s="1"/>
  <c r="AJ59" i="15" a="1"/>
  <c r="AJ59" i="15" s="1"/>
  <c r="AJ78" i="15" a="1"/>
  <c r="AJ78" i="15" s="1"/>
  <c r="AJ65" i="15" a="1"/>
  <c r="AJ65" i="15" s="1"/>
  <c r="AJ69" i="15" a="1"/>
  <c r="AJ69" i="15" s="1"/>
  <c r="AJ15" i="15" a="1"/>
  <c r="AJ15" i="15" s="1"/>
  <c r="AJ16" i="15" a="1"/>
  <c r="AJ16" i="15" s="1"/>
  <c r="AJ22" i="15" a="1"/>
  <c r="AJ22" i="15" s="1"/>
  <c r="AJ26" i="15" a="1"/>
  <c r="AJ26" i="15" s="1"/>
  <c r="AJ17" i="15" a="1"/>
  <c r="AJ17" i="15" s="1"/>
  <c r="AJ27" i="15" a="1"/>
  <c r="AJ27" i="15" s="1"/>
  <c r="AJ23" i="15" a="1"/>
  <c r="AJ23" i="15" s="1"/>
  <c r="AJ47" i="15" a="1"/>
  <c r="AJ47" i="15" s="1"/>
  <c r="X240" i="15"/>
  <c r="AB246" i="15"/>
  <c r="AC246" i="15" s="1"/>
  <c r="AB278" i="15"/>
  <c r="AC278" i="15" s="1"/>
  <c r="W244" i="15"/>
  <c r="X244" i="15" s="1"/>
  <c r="X247" i="15"/>
  <c r="AB248" i="15"/>
  <c r="AC248" i="15" s="1"/>
  <c r="AC240" i="15"/>
  <c r="X241" i="15"/>
  <c r="AC242" i="15"/>
  <c r="X253" i="15"/>
  <c r="AB245" i="15"/>
  <c r="AC245" i="15" s="1"/>
  <c r="W248" i="15"/>
  <c r="X248" i="15" s="1"/>
  <c r="AB219" i="15"/>
  <c r="AC219" i="15" s="1"/>
  <c r="AB220" i="15"/>
  <c r="AC220" i="15" s="1"/>
  <c r="X242" i="15"/>
  <c r="AB253" i="15"/>
  <c r="AC253" i="15" s="1"/>
  <c r="X220" i="15"/>
  <c r="AC222" i="15"/>
  <c r="X237" i="15"/>
  <c r="W219" i="15"/>
  <c r="X219" i="15" s="1"/>
  <c r="W223" i="15"/>
  <c r="X223" i="15" s="1"/>
  <c r="AB237" i="15"/>
  <c r="AC237" i="15" s="1"/>
  <c r="X239" i="15"/>
  <c r="AB218" i="15"/>
  <c r="AC218" i="15" s="1"/>
  <c r="W222" i="15"/>
  <c r="X222" i="15" s="1"/>
  <c r="AB223" i="15"/>
  <c r="AC223" i="15" s="1"/>
  <c r="AC212" i="15"/>
  <c r="AC206" i="15"/>
  <c r="AB200" i="15"/>
  <c r="AC200" i="15" s="1"/>
  <c r="W199" i="15"/>
  <c r="X199" i="15" s="1"/>
  <c r="AC199" i="15"/>
  <c r="X202" i="15"/>
  <c r="W203" i="15"/>
  <c r="X203" i="15" s="1"/>
  <c r="AC203" i="15"/>
  <c r="AC194" i="15"/>
  <c r="AC195" i="15"/>
  <c r="AC204" i="15"/>
  <c r="X194" i="15"/>
  <c r="X204" i="15"/>
  <c r="AC205" i="15"/>
  <c r="X195" i="15"/>
  <c r="AC197" i="15"/>
  <c r="X205" i="15"/>
  <c r="W198" i="15"/>
  <c r="X198" i="15" s="1"/>
  <c r="W197" i="15"/>
  <c r="X197" i="15" s="1"/>
  <c r="AB198" i="15"/>
  <c r="AC198" i="15" s="1"/>
  <c r="AB103" i="15"/>
  <c r="AC103" i="15" s="1"/>
  <c r="W137" i="15"/>
  <c r="X137" i="15" s="1"/>
  <c r="AC141" i="15"/>
  <c r="AB145" i="15"/>
  <c r="AC145" i="15" s="1"/>
  <c r="AC138" i="15"/>
  <c r="X143" i="15"/>
  <c r="X144" i="15"/>
  <c r="AC144" i="15"/>
  <c r="W133" i="15"/>
  <c r="X133" i="15" s="1"/>
  <c r="X138" i="15"/>
  <c r="AB139" i="15"/>
  <c r="AC139" i="15" s="1"/>
  <c r="W145" i="15"/>
  <c r="X145" i="15" s="1"/>
  <c r="AB135" i="15"/>
  <c r="AC135" i="15" s="1"/>
  <c r="W135" i="15"/>
  <c r="X135" i="15" s="1"/>
  <c r="AB137" i="15"/>
  <c r="AC137" i="15" s="1"/>
  <c r="W139" i="15"/>
  <c r="X139" i="15" s="1"/>
  <c r="AB140" i="15"/>
  <c r="AC140" i="15" s="1"/>
  <c r="AC161" i="15"/>
  <c r="X105" i="15"/>
  <c r="AC111" i="15"/>
  <c r="AB120" i="15"/>
  <c r="AC120" i="15" s="1"/>
  <c r="AB122" i="15"/>
  <c r="AC122" i="15" s="1"/>
  <c r="W161" i="15"/>
  <c r="X161" i="15" s="1"/>
  <c r="X120" i="15"/>
  <c r="W123" i="15"/>
  <c r="X123" i="15" s="1"/>
  <c r="X103" i="15"/>
  <c r="AB70" i="15"/>
  <c r="AC70" i="15" s="1"/>
  <c r="X102" i="15"/>
  <c r="AC104" i="15"/>
  <c r="AB108" i="15"/>
  <c r="AC108" i="15" s="1"/>
  <c r="AB121" i="15"/>
  <c r="AC121" i="15" s="1"/>
  <c r="AB123" i="15"/>
  <c r="AC123" i="15" s="1"/>
  <c r="AC109" i="15"/>
  <c r="X111" i="15"/>
  <c r="X130" i="15"/>
  <c r="X108" i="15"/>
  <c r="X131" i="15"/>
  <c r="X127" i="15"/>
  <c r="AC66" i="15"/>
  <c r="X69" i="15"/>
  <c r="X98" i="15"/>
  <c r="AC99" i="15"/>
  <c r="AC129" i="15"/>
  <c r="X128" i="15"/>
  <c r="AC102" i="15"/>
  <c r="W104" i="15"/>
  <c r="X104" i="15" s="1"/>
  <c r="X109" i="15"/>
  <c r="AC110" i="15"/>
  <c r="X65" i="15"/>
  <c r="X99" i="15"/>
  <c r="AC100" i="15"/>
  <c r="AC128" i="15"/>
  <c r="X110" i="15"/>
  <c r="W62" i="15"/>
  <c r="X62" i="15" s="1"/>
  <c r="W100" i="15"/>
  <c r="X100" i="15" s="1"/>
  <c r="AB101" i="15"/>
  <c r="AC101" i="15" s="1"/>
  <c r="X66" i="15"/>
  <c r="X70" i="15"/>
  <c r="AC63" i="15"/>
  <c r="AC67" i="15"/>
  <c r="AC71" i="15"/>
  <c r="AB85" i="15"/>
  <c r="AC85" i="15" s="1"/>
  <c r="W63" i="15"/>
  <c r="X63" i="15" s="1"/>
  <c r="AB64" i="15"/>
  <c r="AC64" i="15" s="1"/>
  <c r="W67" i="15"/>
  <c r="X67" i="15" s="1"/>
  <c r="AB68" i="15"/>
  <c r="AC68" i="15" s="1"/>
  <c r="W71" i="15"/>
  <c r="X71" i="15" s="1"/>
  <c r="AB72" i="15"/>
  <c r="AC72" i="15" s="1"/>
  <c r="AB76" i="15"/>
  <c r="AC76" i="15" s="1"/>
  <c r="W72" i="15"/>
  <c r="X72" i="15" s="1"/>
  <c r="W75" i="15"/>
  <c r="X75" i="15" s="1"/>
  <c r="X85" i="15"/>
  <c r="W52" i="15"/>
  <c r="X52" i="15" s="1"/>
  <c r="W55" i="15"/>
  <c r="X55" i="15" s="1"/>
  <c r="W77" i="15"/>
  <c r="X77" i="15" s="1"/>
  <c r="AB78" i="15"/>
  <c r="AC78" i="15" s="1"/>
  <c r="X59" i="15"/>
  <c r="AB53" i="15"/>
  <c r="AC53" i="15" s="1"/>
  <c r="AB75" i="15"/>
  <c r="AC75" i="15" s="1"/>
  <c r="W78" i="15"/>
  <c r="X78" i="15" s="1"/>
  <c r="X53" i="15"/>
  <c r="AC54" i="15"/>
  <c r="W40" i="15"/>
  <c r="X40" i="15" s="1"/>
  <c r="X73" i="15"/>
  <c r="AC59" i="15"/>
  <c r="X58" i="15"/>
  <c r="W54" i="15"/>
  <c r="X54" i="15" s="1"/>
  <c r="AB55" i="15"/>
  <c r="AC55" i="15" s="1"/>
  <c r="AB56" i="15"/>
  <c r="AC56" i="15" s="1"/>
  <c r="AC73" i="15"/>
  <c r="X61" i="15"/>
  <c r="AC58" i="15"/>
  <c r="AC38" i="15"/>
  <c r="X50" i="15"/>
  <c r="X38" i="15"/>
  <c r="AC39" i="15"/>
  <c r="AB48" i="15"/>
  <c r="AC48" i="15" s="1"/>
  <c r="W51" i="15"/>
  <c r="X51" i="15" s="1"/>
  <c r="X47" i="15"/>
  <c r="AC43" i="15"/>
  <c r="X42" i="15"/>
  <c r="W39" i="15"/>
  <c r="X39" i="15" s="1"/>
  <c r="AB40" i="15"/>
  <c r="AC40" i="15" s="1"/>
  <c r="AC47" i="15"/>
  <c r="X46" i="15"/>
  <c r="AC42" i="15"/>
  <c r="X29" i="15"/>
  <c r="AB20" i="15"/>
  <c r="AC20" i="15" s="1"/>
  <c r="X36" i="15"/>
  <c r="W37" i="15"/>
  <c r="X37" i="15" s="1"/>
  <c r="W23" i="15"/>
  <c r="X23" i="15" s="1"/>
  <c r="AB29" i="15"/>
  <c r="AC29" i="15" s="1"/>
  <c r="W20" i="15"/>
  <c r="X20" i="15" s="1"/>
  <c r="AB21" i="15"/>
  <c r="AC21" i="15" s="1"/>
  <c r="AB24" i="15"/>
  <c r="AC24" i="15" s="1"/>
  <c r="AC18" i="15"/>
  <c r="X24" i="15"/>
  <c r="AC25" i="15"/>
  <c r="W18" i="15"/>
  <c r="X18" i="15" s="1"/>
  <c r="W28" i="15"/>
  <c r="X28" i="15" s="1"/>
  <c r="W21" i="15"/>
  <c r="X21" i="15" s="1"/>
  <c r="AB22" i="15"/>
  <c r="AC22" i="15" s="1"/>
  <c r="W25" i="15"/>
  <c r="X25" i="15" s="1"/>
  <c r="AB26" i="15"/>
  <c r="AC26" i="15" s="1"/>
  <c r="X19" i="15"/>
  <c r="AC27" i="15"/>
  <c r="X34" i="15"/>
  <c r="AC31" i="15"/>
  <c r="W27" i="15"/>
  <c r="X27" i="15" s="1"/>
  <c r="AB28" i="15"/>
  <c r="AC28" i="15" s="1"/>
  <c r="AC34" i="15"/>
  <c r="X33" i="15"/>
  <c r="AC15" i="15"/>
  <c r="W15" i="15"/>
  <c r="X15" i="15" s="1"/>
  <c r="AB16" i="15"/>
  <c r="AC16" i="15" s="1"/>
  <c r="O7" i="13" l="1"/>
  <c r="L7" i="13"/>
  <c r="B16" i="4" l="1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7" i="5"/>
  <c r="I8" i="5"/>
  <c r="B8" i="5" s="1"/>
  <c r="I9" i="5"/>
  <c r="I10" i="5"/>
  <c r="I11" i="5"/>
  <c r="B11" i="5" s="1"/>
  <c r="I12" i="5"/>
  <c r="I13" i="5"/>
  <c r="I14" i="5"/>
  <c r="I15" i="5"/>
  <c r="B15" i="5" s="1"/>
  <c r="I16" i="5"/>
  <c r="B16" i="5" s="1"/>
  <c r="I17" i="5"/>
  <c r="I18" i="5"/>
  <c r="I19" i="5"/>
  <c r="B19" i="5" s="1"/>
  <c r="I20" i="5"/>
  <c r="B20" i="5" s="1"/>
  <c r="I21" i="5"/>
  <c r="I22" i="5"/>
  <c r="I23" i="5"/>
  <c r="B23" i="5" s="1"/>
  <c r="I24" i="5"/>
  <c r="I25" i="5"/>
  <c r="I26" i="5"/>
  <c r="I27" i="5"/>
  <c r="B27" i="5" s="1"/>
  <c r="I28" i="5"/>
  <c r="I29" i="5"/>
  <c r="I30" i="5"/>
  <c r="I31" i="5"/>
  <c r="I32" i="5"/>
  <c r="B32" i="5" s="1"/>
  <c r="I33" i="5"/>
  <c r="I34" i="5"/>
  <c r="I35" i="5"/>
  <c r="I36" i="5"/>
  <c r="B36" i="5" s="1"/>
  <c r="I7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C48" i="5"/>
  <c r="D47" i="5"/>
  <c r="E47" i="5"/>
  <c r="F47" i="5"/>
  <c r="B7" i="5" l="1"/>
  <c r="B33" i="5"/>
  <c r="B25" i="5"/>
  <c r="B21" i="5"/>
  <c r="B13" i="5"/>
  <c r="B9" i="5"/>
  <c r="B24" i="5"/>
  <c r="B30" i="5"/>
  <c r="B12" i="5"/>
  <c r="B31" i="5"/>
  <c r="B35" i="5"/>
  <c r="B34" i="5"/>
  <c r="B29" i="5"/>
  <c r="P6" i="5"/>
  <c r="B17" i="5"/>
  <c r="C47" i="5"/>
  <c r="B47" i="5" s="1"/>
  <c r="B28" i="5"/>
  <c r="B26" i="5"/>
  <c r="B22" i="5"/>
  <c r="B18" i="5"/>
  <c r="B10" i="5"/>
  <c r="B14" i="5"/>
  <c r="I6" i="5"/>
  <c r="B6" i="5" l="1"/>
  <c r="K1" i="3" l="1"/>
  <c r="M1" i="3" s="1"/>
  <c r="D8" i="3"/>
  <c r="D11" i="3"/>
  <c r="D12" i="3"/>
  <c r="D13" i="3"/>
  <c r="D10" i="3"/>
  <c r="K7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F12" i="3" l="1"/>
  <c r="F11" i="3"/>
  <c r="F13" i="3"/>
  <c r="D9" i="3"/>
  <c r="M13" i="3"/>
  <c r="I9" i="3"/>
  <c r="M10" i="3"/>
  <c r="B9" i="3"/>
  <c r="F10" i="3"/>
  <c r="I6" i="3"/>
  <c r="B6" i="3"/>
  <c r="B5" i="3" l="1"/>
  <c r="F9" i="3"/>
  <c r="I5" i="3"/>
  <c r="B9" i="4" l="1"/>
  <c r="B10" i="4"/>
  <c r="B11" i="4"/>
  <c r="B12" i="4"/>
  <c r="B13" i="4"/>
  <c r="B14" i="4"/>
  <c r="B15" i="4"/>
  <c r="B17" i="4"/>
  <c r="AJ40" i="16" l="1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E37" i="16"/>
  <c r="AG37" i="16" s="1"/>
  <c r="AA37" i="16"/>
  <c r="V37" i="16"/>
  <c r="O37" i="16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V29" i="16"/>
  <c r="W29" i="16" s="1"/>
  <c r="O29" i="16"/>
  <c r="L29" i="16"/>
  <c r="I29" i="16"/>
  <c r="B29" i="16"/>
  <c r="A29" i="16"/>
  <c r="AJ28" i="16" a="1"/>
  <c r="AJ28" i="16" s="1"/>
  <c r="AH28" i="16"/>
  <c r="AE28" i="16"/>
  <c r="AG28" i="16" s="1"/>
  <c r="AA28" i="16"/>
  <c r="AB28" i="16" s="1"/>
  <c r="AC28" i="16" s="1"/>
  <c r="V28" i="16"/>
  <c r="O28" i="16"/>
  <c r="L28" i="16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I26" i="16"/>
  <c r="B26" i="16"/>
  <c r="A26" i="16"/>
  <c r="AJ25" i="16" a="1"/>
  <c r="AJ25" i="16" s="1"/>
  <c r="AH25" i="16"/>
  <c r="AE25" i="16"/>
  <c r="AG25" i="16" s="1"/>
  <c r="AA25" i="16"/>
  <c r="V25" i="16"/>
  <c r="O25" i="16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E13" i="16"/>
  <c r="AG13" i="16" s="1"/>
  <c r="AA13" i="16"/>
  <c r="V13" i="16"/>
  <c r="W13" i="16" s="1"/>
  <c r="X13" i="16" s="1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H9" i="16"/>
  <c r="AE9" i="16"/>
  <c r="AG9" i="16" s="1"/>
  <c r="AA9" i="16"/>
  <c r="V9" i="16"/>
  <c r="O9" i="16"/>
  <c r="L9" i="16"/>
  <c r="I9" i="16"/>
  <c r="B9" i="16"/>
  <c r="AJ9" i="16" s="1" a="1"/>
  <c r="AJ9" i="16" s="1"/>
  <c r="A9" i="16"/>
  <c r="AH8" i="16"/>
  <c r="AE8" i="16"/>
  <c r="AG8" i="16" s="1"/>
  <c r="AA8" i="16"/>
  <c r="V8" i="16"/>
  <c r="O8" i="16"/>
  <c r="L8" i="16"/>
  <c r="I8" i="16"/>
  <c r="B8" i="16"/>
  <c r="AJ8" i="16" s="1" a="1"/>
  <c r="AJ8" i="16" s="1"/>
  <c r="A8" i="16"/>
  <c r="AJ7" i="16" a="1"/>
  <c r="AJ7" i="16" s="1"/>
  <c r="AH7" i="16"/>
  <c r="AG7" i="16"/>
  <c r="AE7" i="16"/>
  <c r="N7" i="16"/>
  <c r="M7" i="16"/>
  <c r="M3" i="16" s="1"/>
  <c r="K7" i="16"/>
  <c r="K3" i="16" s="1"/>
  <c r="J7" i="16"/>
  <c r="J3" i="16" s="1"/>
  <c r="H7" i="16"/>
  <c r="G7" i="16"/>
  <c r="G6" i="16" s="1"/>
  <c r="AE8" i="15"/>
  <c r="AE9" i="15"/>
  <c r="AH9" i="15" s="1"/>
  <c r="AE11" i="15"/>
  <c r="AH11" i="15" s="1"/>
  <c r="AE12" i="15"/>
  <c r="AH12" i="15" s="1"/>
  <c r="AE13" i="15"/>
  <c r="AE14" i="15"/>
  <c r="AH14" i="15" s="1"/>
  <c r="AE35" i="15"/>
  <c r="AH35" i="15" s="1"/>
  <c r="AE74" i="15"/>
  <c r="AH74" i="15" s="1"/>
  <c r="AE90" i="15"/>
  <c r="AG90" i="15" s="1"/>
  <c r="AH90" i="15"/>
  <c r="AE91" i="15"/>
  <c r="AE92" i="15"/>
  <c r="AH92" i="15" s="1"/>
  <c r="AE95" i="15"/>
  <c r="AH95" i="15" s="1"/>
  <c r="AE96" i="15"/>
  <c r="AH96" i="15" s="1"/>
  <c r="AE97" i="15"/>
  <c r="AE132" i="15"/>
  <c r="AH132" i="15" s="1"/>
  <c r="AE163" i="15"/>
  <c r="AG163" i="15" s="1"/>
  <c r="AH163" i="15"/>
  <c r="AE164" i="15"/>
  <c r="AH180" i="15"/>
  <c r="AE192" i="15"/>
  <c r="AH192" i="15" s="1"/>
  <c r="AE193" i="15"/>
  <c r="AE213" i="15"/>
  <c r="AH213" i="15" s="1"/>
  <c r="AE214" i="15"/>
  <c r="AE215" i="15"/>
  <c r="AE216" i="15"/>
  <c r="AH216" i="15" s="1"/>
  <c r="AE217" i="15"/>
  <c r="AH217" i="15" s="1"/>
  <c r="AE231" i="15"/>
  <c r="AG231" i="15" s="1"/>
  <c r="AH231" i="15"/>
  <c r="AE232" i="15"/>
  <c r="AE233" i="15"/>
  <c r="AH233" i="15" s="1"/>
  <c r="AE234" i="15"/>
  <c r="AH234" i="15" s="1"/>
  <c r="AE235" i="15"/>
  <c r="AH235" i="15" s="1"/>
  <c r="AE236" i="15"/>
  <c r="AH236" i="15" s="1"/>
  <c r="AE254" i="15"/>
  <c r="AG254" i="15" s="1"/>
  <c r="AH254" i="15"/>
  <c r="AE255" i="15"/>
  <c r="AE256" i="15"/>
  <c r="AH256" i="15" s="1"/>
  <c r="AH271" i="15"/>
  <c r="AE272" i="15"/>
  <c r="AH272" i="15" s="1"/>
  <c r="AE274" i="15"/>
  <c r="AE276" i="15"/>
  <c r="AE277" i="15"/>
  <c r="AE279" i="15"/>
  <c r="AE280" i="15"/>
  <c r="AH280" i="15" s="1"/>
  <c r="AH281" i="15"/>
  <c r="AH287" i="15"/>
  <c r="AH288" i="15"/>
  <c r="AE7" i="15"/>
  <c r="AH7" i="15"/>
  <c r="G254" i="15"/>
  <c r="AA277" i="15"/>
  <c r="AB277" i="15" s="1"/>
  <c r="V277" i="15"/>
  <c r="W277" i="15" s="1"/>
  <c r="X277" i="15" s="1"/>
  <c r="O277" i="15"/>
  <c r="L277" i="15"/>
  <c r="I277" i="15"/>
  <c r="A277" i="15"/>
  <c r="AJ277" i="15" s="1" a="1"/>
  <c r="AJ277" i="15" s="1"/>
  <c r="G231" i="15"/>
  <c r="G163" i="15"/>
  <c r="G90" i="15"/>
  <c r="AC288" i="15"/>
  <c r="O288" i="15"/>
  <c r="L288" i="15"/>
  <c r="I288" i="15"/>
  <c r="B288" i="15"/>
  <c r="A288" i="15"/>
  <c r="O287" i="15"/>
  <c r="L287" i="15"/>
  <c r="I287" i="15"/>
  <c r="B287" i="15"/>
  <c r="A287" i="15"/>
  <c r="O282" i="15"/>
  <c r="P282" i="15" s="1"/>
  <c r="B282" i="15"/>
  <c r="A282" i="15"/>
  <c r="X281" i="15"/>
  <c r="O281" i="15"/>
  <c r="P281" i="15" s="1"/>
  <c r="B281" i="15"/>
  <c r="A281" i="15"/>
  <c r="AA280" i="15"/>
  <c r="AB280" i="15" s="1"/>
  <c r="V280" i="15"/>
  <c r="W280" i="15" s="1"/>
  <c r="O280" i="15"/>
  <c r="L280" i="15"/>
  <c r="I280" i="15"/>
  <c r="B280" i="15"/>
  <c r="A280" i="15"/>
  <c r="AA279" i="15"/>
  <c r="AB279" i="15" s="1"/>
  <c r="V279" i="15"/>
  <c r="W279" i="15" s="1"/>
  <c r="X279" i="15" s="1"/>
  <c r="O279" i="15"/>
  <c r="L279" i="15"/>
  <c r="I279" i="15"/>
  <c r="A279" i="15"/>
  <c r="AJ279" i="15" s="1" a="1"/>
  <c r="AJ279" i="15" s="1"/>
  <c r="AA276" i="15"/>
  <c r="AB276" i="15" s="1"/>
  <c r="AC276" i="15" s="1"/>
  <c r="V276" i="15"/>
  <c r="O276" i="15"/>
  <c r="L276" i="15"/>
  <c r="I276" i="15"/>
  <c r="B276" i="15"/>
  <c r="A276" i="15"/>
  <c r="AA274" i="15"/>
  <c r="V274" i="15"/>
  <c r="W274" i="15" s="1"/>
  <c r="O274" i="15"/>
  <c r="L274" i="15"/>
  <c r="I274" i="15"/>
  <c r="B274" i="15"/>
  <c r="A274" i="15"/>
  <c r="AA272" i="15"/>
  <c r="AB272" i="15" s="1"/>
  <c r="AC272" i="15" s="1"/>
  <c r="V272" i="15"/>
  <c r="W272" i="15" s="1"/>
  <c r="X272" i="15" s="1"/>
  <c r="O272" i="15"/>
  <c r="L272" i="15"/>
  <c r="I272" i="15"/>
  <c r="B272" i="15"/>
  <c r="A272" i="15"/>
  <c r="AC271" i="15"/>
  <c r="O271" i="15"/>
  <c r="L271" i="15"/>
  <c r="I271" i="15"/>
  <c r="B271" i="15"/>
  <c r="A271" i="15"/>
  <c r="AA256" i="15"/>
  <c r="V256" i="15"/>
  <c r="W256" i="15" s="1"/>
  <c r="O256" i="15"/>
  <c r="L256" i="15"/>
  <c r="I256" i="15"/>
  <c r="B256" i="15"/>
  <c r="A256" i="15"/>
  <c r="AA255" i="15"/>
  <c r="AB255" i="15" s="1"/>
  <c r="V255" i="15"/>
  <c r="W255" i="15" s="1"/>
  <c r="O255" i="15"/>
  <c r="L255" i="15"/>
  <c r="I255" i="15"/>
  <c r="B255" i="15"/>
  <c r="A255" i="15"/>
  <c r="AJ254" i="15" a="1"/>
  <c r="AJ254" i="15" s="1"/>
  <c r="AA236" i="15"/>
  <c r="AB236" i="15" s="1"/>
  <c r="K11" i="3" s="1"/>
  <c r="M11" i="3" s="1"/>
  <c r="V236" i="15"/>
  <c r="O236" i="15"/>
  <c r="L236" i="15"/>
  <c r="I236" i="15"/>
  <c r="B236" i="15"/>
  <c r="A236" i="15"/>
  <c r="AA235" i="15"/>
  <c r="AB235" i="15" s="1"/>
  <c r="V235" i="15"/>
  <c r="W235" i="15" s="1"/>
  <c r="X235" i="15" s="1"/>
  <c r="O235" i="15"/>
  <c r="L235" i="15"/>
  <c r="I235" i="15"/>
  <c r="B235" i="15"/>
  <c r="A235" i="15"/>
  <c r="AA234" i="15"/>
  <c r="AB234" i="15" s="1"/>
  <c r="AC234" i="15" s="1"/>
  <c r="V234" i="15"/>
  <c r="O234" i="15"/>
  <c r="L234" i="15"/>
  <c r="I234" i="15"/>
  <c r="B234" i="15"/>
  <c r="A234" i="15"/>
  <c r="AA233" i="15"/>
  <c r="V233" i="15"/>
  <c r="W233" i="15" s="1"/>
  <c r="O233" i="15"/>
  <c r="L233" i="15"/>
  <c r="I233" i="15"/>
  <c r="B233" i="15"/>
  <c r="A233" i="15"/>
  <c r="AA232" i="15"/>
  <c r="AB232" i="15" s="1"/>
  <c r="V232" i="15"/>
  <c r="W232" i="15" s="1"/>
  <c r="X232" i="15" s="1"/>
  <c r="O232" i="15"/>
  <c r="L232" i="15"/>
  <c r="I232" i="15"/>
  <c r="B232" i="15"/>
  <c r="A232" i="15"/>
  <c r="AJ231" i="15" a="1"/>
  <c r="AJ231" i="15" s="1"/>
  <c r="AA217" i="15"/>
  <c r="V217" i="15"/>
  <c r="W217" i="15" s="1"/>
  <c r="O217" i="15"/>
  <c r="L217" i="15"/>
  <c r="I217" i="15"/>
  <c r="B217" i="15"/>
  <c r="A217" i="15"/>
  <c r="AA216" i="15"/>
  <c r="AB216" i="15" s="1"/>
  <c r="V216" i="15"/>
  <c r="W216" i="15" s="1"/>
  <c r="X216" i="15" s="1"/>
  <c r="O216" i="15"/>
  <c r="L216" i="15"/>
  <c r="I216" i="15"/>
  <c r="B216" i="15"/>
  <c r="A216" i="15"/>
  <c r="AA215" i="15"/>
  <c r="AB215" i="15" s="1"/>
  <c r="AC215" i="15" s="1"/>
  <c r="V215" i="15"/>
  <c r="W215" i="15" s="1"/>
  <c r="X215" i="15" s="1"/>
  <c r="O215" i="15"/>
  <c r="L215" i="15"/>
  <c r="I215" i="15"/>
  <c r="B215" i="15"/>
  <c r="A215" i="15"/>
  <c r="AA214" i="15"/>
  <c r="AB214" i="15" s="1"/>
  <c r="AC214" i="15" s="1"/>
  <c r="V214" i="15"/>
  <c r="O214" i="15"/>
  <c r="L214" i="15"/>
  <c r="I214" i="15"/>
  <c r="B214" i="15"/>
  <c r="A214" i="15"/>
  <c r="AA213" i="15"/>
  <c r="V213" i="15"/>
  <c r="W213" i="15" s="1"/>
  <c r="O213" i="15"/>
  <c r="L213" i="15"/>
  <c r="I213" i="15"/>
  <c r="B213" i="15"/>
  <c r="A213" i="15"/>
  <c r="AA193" i="15"/>
  <c r="AB193" i="15" s="1"/>
  <c r="V193" i="15"/>
  <c r="W193" i="15" s="1"/>
  <c r="O193" i="15"/>
  <c r="L193" i="15"/>
  <c r="I193" i="15"/>
  <c r="B193" i="15"/>
  <c r="A193" i="15"/>
  <c r="AA192" i="15"/>
  <c r="AB192" i="15" s="1"/>
  <c r="V192" i="15"/>
  <c r="W192" i="15" s="1"/>
  <c r="X192" i="15" s="1"/>
  <c r="O192" i="15"/>
  <c r="L192" i="15"/>
  <c r="I192" i="15"/>
  <c r="B192" i="15"/>
  <c r="A192" i="15"/>
  <c r="O180" i="15"/>
  <c r="L180" i="15"/>
  <c r="I180" i="15"/>
  <c r="B180" i="15"/>
  <c r="A180" i="15"/>
  <c r="O165" i="15"/>
  <c r="L165" i="15"/>
  <c r="I165" i="15"/>
  <c r="B165" i="15"/>
  <c r="A165" i="15"/>
  <c r="AA164" i="15"/>
  <c r="AB164" i="15" s="1"/>
  <c r="V164" i="15"/>
  <c r="W164" i="15" s="1"/>
  <c r="O164" i="15"/>
  <c r="L164" i="15"/>
  <c r="I164" i="15"/>
  <c r="B164" i="15"/>
  <c r="A164" i="15"/>
  <c r="AJ163" i="15" a="1"/>
  <c r="AJ163" i="15" s="1"/>
  <c r="AA132" i="15"/>
  <c r="V132" i="15"/>
  <c r="W132" i="15" s="1"/>
  <c r="O132" i="15"/>
  <c r="L132" i="15"/>
  <c r="I132" i="15"/>
  <c r="B132" i="15"/>
  <c r="A132" i="15"/>
  <c r="AA97" i="15"/>
  <c r="V97" i="15"/>
  <c r="W97" i="15" s="1"/>
  <c r="O97" i="15"/>
  <c r="L97" i="15"/>
  <c r="I97" i="15"/>
  <c r="B97" i="15"/>
  <c r="A97" i="15"/>
  <c r="AA96" i="15"/>
  <c r="AB96" i="15" s="1"/>
  <c r="V96" i="15"/>
  <c r="W96" i="15" s="1"/>
  <c r="X96" i="15" s="1"/>
  <c r="O96" i="15"/>
  <c r="L96" i="15"/>
  <c r="I96" i="15"/>
  <c r="B96" i="15"/>
  <c r="A96" i="15"/>
  <c r="AA95" i="15"/>
  <c r="V95" i="15"/>
  <c r="W95" i="15" s="1"/>
  <c r="X95" i="15" s="1"/>
  <c r="O95" i="15"/>
  <c r="L95" i="15"/>
  <c r="I95" i="15"/>
  <c r="B95" i="15"/>
  <c r="A95" i="15"/>
  <c r="AA92" i="15"/>
  <c r="AB92" i="15" s="1"/>
  <c r="AC92" i="15" s="1"/>
  <c r="V92" i="15"/>
  <c r="O92" i="15"/>
  <c r="L92" i="15"/>
  <c r="I92" i="15"/>
  <c r="B92" i="15"/>
  <c r="A92" i="15"/>
  <c r="AA91" i="15"/>
  <c r="V91" i="15"/>
  <c r="W91" i="15" s="1"/>
  <c r="O91" i="15"/>
  <c r="L91" i="15"/>
  <c r="I91" i="15"/>
  <c r="B91" i="15"/>
  <c r="A91" i="15"/>
  <c r="AJ90" i="15" a="1"/>
  <c r="AJ90" i="15" s="1"/>
  <c r="AA74" i="15"/>
  <c r="AB74" i="15" s="1"/>
  <c r="AC74" i="15" s="1"/>
  <c r="V74" i="15"/>
  <c r="O74" i="15"/>
  <c r="L74" i="15"/>
  <c r="I74" i="15"/>
  <c r="B74" i="15"/>
  <c r="A74" i="15"/>
  <c r="AA35" i="15"/>
  <c r="V35" i="15"/>
  <c r="W35" i="15" s="1"/>
  <c r="O35" i="15"/>
  <c r="O30" i="15" s="1"/>
  <c r="L35" i="15"/>
  <c r="I35" i="15"/>
  <c r="I30" i="15" s="1"/>
  <c r="A35" i="15"/>
  <c r="AJ35" i="15" s="1" a="1"/>
  <c r="AJ35" i="15" s="1"/>
  <c r="AA14" i="15"/>
  <c r="AB14" i="15" s="1"/>
  <c r="AC14" i="15" s="1"/>
  <c r="V14" i="15"/>
  <c r="O14" i="15"/>
  <c r="L14" i="15"/>
  <c r="I14" i="15"/>
  <c r="B14" i="15"/>
  <c r="A14" i="15"/>
  <c r="AA13" i="15"/>
  <c r="AB13" i="15" s="1"/>
  <c r="V13" i="15"/>
  <c r="O13" i="15"/>
  <c r="L13" i="15"/>
  <c r="I13" i="15"/>
  <c r="B13" i="15"/>
  <c r="A13" i="15"/>
  <c r="AA12" i="15"/>
  <c r="V12" i="15"/>
  <c r="W12" i="15" s="1"/>
  <c r="X12" i="15" s="1"/>
  <c r="O12" i="15"/>
  <c r="L12" i="15"/>
  <c r="I12" i="15"/>
  <c r="B12" i="15"/>
  <c r="A12" i="15"/>
  <c r="AA11" i="15"/>
  <c r="AB11" i="15" s="1"/>
  <c r="AC11" i="15" s="1"/>
  <c r="V11" i="15"/>
  <c r="W11" i="15" s="1"/>
  <c r="X11" i="15" s="1"/>
  <c r="O11" i="15"/>
  <c r="L11" i="15"/>
  <c r="I11" i="15"/>
  <c r="B11" i="15"/>
  <c r="A11" i="15"/>
  <c r="AA9" i="15"/>
  <c r="AB9" i="15" s="1"/>
  <c r="AC9" i="15" s="1"/>
  <c r="V9" i="15"/>
  <c r="O9" i="15"/>
  <c r="L9" i="15"/>
  <c r="I9" i="15"/>
  <c r="B9" i="15"/>
  <c r="A9" i="15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 s="1"/>
  <c r="AC49" i="14" s="1"/>
  <c r="AG49" i="14" a="1"/>
  <c r="AG49" i="14" s="1"/>
  <c r="AE49" i="14" s="1"/>
  <c r="AL49" i="14" s="1"/>
  <c r="AG50" i="14" a="1"/>
  <c r="AG50" i="14" s="1"/>
  <c r="AE50" i="14" s="1"/>
  <c r="AL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L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L47" i="14" s="1"/>
  <c r="AA47" i="14"/>
  <c r="V47" i="14"/>
  <c r="W47" i="14" s="1"/>
  <c r="O47" i="14"/>
  <c r="L47" i="14"/>
  <c r="I47" i="14"/>
  <c r="B47" i="14"/>
  <c r="A47" i="14"/>
  <c r="AG46" i="14" a="1"/>
  <c r="AG46" i="14" s="1"/>
  <c r="AE46" i="14" s="1"/>
  <c r="AL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O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P44" i="14" s="1"/>
  <c r="AA44" i="14"/>
  <c r="V44" i="14"/>
  <c r="O44" i="14"/>
  <c r="L44" i="14"/>
  <c r="I44" i="14"/>
  <c r="B44" i="14"/>
  <c r="A44" i="14"/>
  <c r="AG43" i="14" a="1"/>
  <c r="AG43" i="14" s="1"/>
  <c r="AE43" i="14" s="1"/>
  <c r="AP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P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P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P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K39" i="14" s="1"/>
  <c r="AM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K38" i="14" s="1"/>
  <c r="AM38" i="14" s="1"/>
  <c r="AA38" i="14"/>
  <c r="AB38" i="14" s="1"/>
  <c r="AC38" i="14" s="1"/>
  <c r="V38" i="14"/>
  <c r="W38" i="14" s="1"/>
  <c r="O38" i="14"/>
  <c r="L38" i="14"/>
  <c r="I38" i="14"/>
  <c r="B38" i="14"/>
  <c r="A38" i="14"/>
  <c r="AG37" i="14" a="1"/>
  <c r="AG37" i="14" s="1"/>
  <c r="AE37" i="14" s="1"/>
  <c r="AK37" i="14" s="1"/>
  <c r="AM37" i="14" s="1"/>
  <c r="AA37" i="14"/>
  <c r="AB37" i="14" s="1"/>
  <c r="AC37" i="14" s="1"/>
  <c r="V37" i="14"/>
  <c r="W37" i="14" s="1"/>
  <c r="O37" i="14"/>
  <c r="L37" i="14"/>
  <c r="I37" i="14"/>
  <c r="B37" i="14"/>
  <c r="A37" i="14"/>
  <c r="AG36" i="14" a="1"/>
  <c r="AG36" i="14" s="1"/>
  <c r="AE36" i="14" s="1"/>
  <c r="AA36" i="14"/>
  <c r="V36" i="14"/>
  <c r="O36" i="14"/>
  <c r="L36" i="14"/>
  <c r="P36" i="14" s="1"/>
  <c r="I36" i="14"/>
  <c r="B36" i="14"/>
  <c r="A36" i="14"/>
  <c r="AG35" i="14" a="1"/>
  <c r="AG35" i="14" s="1"/>
  <c r="AE35" i="14" s="1"/>
  <c r="AK35" i="14" s="1"/>
  <c r="AM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K34" i="14" s="1"/>
  <c r="AM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K33" i="14" s="1"/>
  <c r="AM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K32" i="14" s="1"/>
  <c r="AM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L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L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O29" i="14" s="1"/>
  <c r="AQ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O28" i="14" s="1"/>
  <c r="AQ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P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P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P25" i="14" s="1"/>
  <c r="AA25" i="14"/>
  <c r="AB25" i="14" s="1"/>
  <c r="AC25" i="14" s="1"/>
  <c r="V25" i="14"/>
  <c r="W25" i="14" s="1"/>
  <c r="X25" i="14" s="1"/>
  <c r="O25" i="14"/>
  <c r="L25" i="14"/>
  <c r="I25" i="14"/>
  <c r="B25" i="14"/>
  <c r="A25" i="14"/>
  <c r="AG24" i="14" a="1"/>
  <c r="AG24" i="14" s="1"/>
  <c r="AE24" i="14" s="1"/>
  <c r="AP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P23" i="14" s="1"/>
  <c r="AA23" i="14"/>
  <c r="V23" i="14"/>
  <c r="W23" i="14" s="1"/>
  <c r="O23" i="14"/>
  <c r="L23" i="14"/>
  <c r="I23" i="14"/>
  <c r="B23" i="14"/>
  <c r="A23" i="14"/>
  <c r="AG22" i="14" a="1"/>
  <c r="AG22" i="14" s="1"/>
  <c r="AE22" i="14" s="1"/>
  <c r="AP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K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K20" i="14" s="1"/>
  <c r="AM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L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L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O17" i="14" s="1"/>
  <c r="AQ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O16" i="14" s="1"/>
  <c r="AQ16" i="14" s="1"/>
  <c r="AA16" i="14"/>
  <c r="AB16" i="14" s="1"/>
  <c r="AC16" i="14" s="1"/>
  <c r="V16" i="14"/>
  <c r="O16" i="14"/>
  <c r="L16" i="14"/>
  <c r="I16" i="14"/>
  <c r="B16" i="14"/>
  <c r="A16" i="14"/>
  <c r="AG15" i="14" a="1"/>
  <c r="AG15" i="14" s="1"/>
  <c r="AE15" i="14" s="1"/>
  <c r="AO15" i="14" s="1"/>
  <c r="AQ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O14" i="14" s="1"/>
  <c r="AQ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O13" i="14" s="1"/>
  <c r="AQ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O12" i="14" s="1"/>
  <c r="AQ12" i="14" s="1"/>
  <c r="AA12" i="14"/>
  <c r="AB12" i="14" s="1"/>
  <c r="AC12" i="14" s="1"/>
  <c r="V12" i="14"/>
  <c r="O12" i="14"/>
  <c r="L12" i="14"/>
  <c r="I12" i="14"/>
  <c r="B12" i="14"/>
  <c r="A12" i="14"/>
  <c r="AG11" i="14" a="1"/>
  <c r="AG11" i="14" s="1"/>
  <c r="AE11" i="14" s="1"/>
  <c r="AP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P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K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K8" i="14" s="1"/>
  <c r="AM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O7" i="14" s="1"/>
  <c r="AQ7" i="14" s="1"/>
  <c r="AA7" i="14"/>
  <c r="V7" i="14"/>
  <c r="W7" i="14" s="1"/>
  <c r="O7" i="14"/>
  <c r="L7" i="14"/>
  <c r="I7" i="14"/>
  <c r="B7" i="14"/>
  <c r="A7" i="14"/>
  <c r="N6" i="14"/>
  <c r="D25" i="4" s="1"/>
  <c r="M6" i="14"/>
  <c r="C25" i="4" s="1"/>
  <c r="K6" i="14"/>
  <c r="J6" i="14"/>
  <c r="H6" i="14"/>
  <c r="G6" i="14"/>
  <c r="N3" i="14"/>
  <c r="M3" i="14"/>
  <c r="K3" i="14"/>
  <c r="J3" i="14"/>
  <c r="AG50" i="13" a="1"/>
  <c r="AG50" i="13" s="1"/>
  <c r="AE50" i="13" s="1"/>
  <c r="AO50" i="13" s="1"/>
  <c r="AG51" i="13" a="1"/>
  <c r="AG51" i="13" s="1"/>
  <c r="AE51" i="13" s="1"/>
  <c r="AO51" i="13" s="1"/>
  <c r="AG52" i="13" a="1"/>
  <c r="AG52" i="13" s="1"/>
  <c r="AE52" i="13" s="1"/>
  <c r="AG53" i="13" a="1"/>
  <c r="AG53" i="13" s="1"/>
  <c r="AE53" i="13" s="1"/>
  <c r="AO53" i="13" s="1"/>
  <c r="AG54" i="13" a="1"/>
  <c r="AG54" i="13" s="1"/>
  <c r="AE54" i="13" s="1"/>
  <c r="AG55" i="13" a="1"/>
  <c r="AG55" i="13" s="1"/>
  <c r="AE55" i="13" s="1"/>
  <c r="AO55" i="13" s="1"/>
  <c r="AG56" i="13" a="1"/>
  <c r="AG56" i="13" s="1"/>
  <c r="AE56" i="13" s="1"/>
  <c r="AG57" i="13" a="1"/>
  <c r="AG57" i="13" s="1"/>
  <c r="AE57" i="13" s="1"/>
  <c r="AO57" i="13" s="1"/>
  <c r="AG58" i="13" a="1"/>
  <c r="AG58" i="13" s="1"/>
  <c r="AE58" i="13" s="1"/>
  <c r="AO58" i="13" s="1"/>
  <c r="AG59" i="13" a="1"/>
  <c r="AG59" i="13" s="1"/>
  <c r="AE59" i="13" s="1"/>
  <c r="AO59" i="13" s="1"/>
  <c r="AG60" i="13" a="1"/>
  <c r="AG60" i="13" s="1"/>
  <c r="AE60" i="13" s="1"/>
  <c r="AO60" i="13" s="1"/>
  <c r="AA8" i="13"/>
  <c r="AB8" i="13" s="1"/>
  <c r="AA9" i="13"/>
  <c r="AB9" i="13" s="1"/>
  <c r="AC9" i="13" s="1"/>
  <c r="AA10" i="13"/>
  <c r="AA11" i="13"/>
  <c r="AB11" i="13" s="1"/>
  <c r="AA12" i="13"/>
  <c r="AB12" i="13" s="1"/>
  <c r="AC12" i="13" s="1"/>
  <c r="AA13" i="13"/>
  <c r="AB13" i="13" s="1"/>
  <c r="AC13" i="13" s="1"/>
  <c r="AA14" i="13"/>
  <c r="AA15" i="13"/>
  <c r="AB15" i="13" s="1"/>
  <c r="AA16" i="13"/>
  <c r="AA17" i="13"/>
  <c r="AB17" i="13" s="1"/>
  <c r="AC17" i="13" s="1"/>
  <c r="AA18" i="13"/>
  <c r="AA19" i="13"/>
  <c r="AB19" i="13" s="1"/>
  <c r="AA20" i="13"/>
  <c r="AB20" i="13" s="1"/>
  <c r="AA21" i="13"/>
  <c r="AA22" i="13"/>
  <c r="AA23" i="13"/>
  <c r="AB23" i="13" s="1"/>
  <c r="AA24" i="13"/>
  <c r="AB24" i="13" s="1"/>
  <c r="AC24" i="13" s="1"/>
  <c r="AA25" i="13"/>
  <c r="AB25" i="13" s="1"/>
  <c r="AA26" i="13"/>
  <c r="AA27" i="13"/>
  <c r="AA28" i="13"/>
  <c r="AB28" i="13" s="1"/>
  <c r="AC28" i="13" s="1"/>
  <c r="AA29" i="13"/>
  <c r="AB29" i="13" s="1"/>
  <c r="AC29" i="13" s="1"/>
  <c r="AA30" i="13"/>
  <c r="AA31" i="13"/>
  <c r="AB31" i="13" s="1"/>
  <c r="AA32" i="13"/>
  <c r="AA33" i="13"/>
  <c r="AB33" i="13" s="1"/>
  <c r="AC33" i="13" s="1"/>
  <c r="AA34" i="13"/>
  <c r="AA35" i="13"/>
  <c r="AB35" i="13" s="1"/>
  <c r="AA36" i="13"/>
  <c r="AA37" i="13"/>
  <c r="AB37" i="13" s="1"/>
  <c r="AC37" i="13" s="1"/>
  <c r="AA38" i="13"/>
  <c r="AA39" i="13"/>
  <c r="AB39" i="13" s="1"/>
  <c r="AA40" i="13"/>
  <c r="AB40" i="13" s="1"/>
  <c r="AA41" i="13"/>
  <c r="AA42" i="13"/>
  <c r="AA43" i="13"/>
  <c r="AB43" i="13" s="1"/>
  <c r="AA44" i="13"/>
  <c r="AB44" i="13" s="1"/>
  <c r="AA45" i="13"/>
  <c r="AB45" i="13" s="1"/>
  <c r="AA46" i="13"/>
  <c r="AA49" i="13"/>
  <c r="AB49" i="13" s="1"/>
  <c r="AC49" i="13" s="1"/>
  <c r="AA50" i="13"/>
  <c r="AB50" i="13" s="1"/>
  <c r="AA51" i="13"/>
  <c r="AB51" i="13" s="1"/>
  <c r="AA52" i="13"/>
  <c r="AB52" i="13" s="1"/>
  <c r="AC52" i="13" s="1"/>
  <c r="AA53" i="13"/>
  <c r="AA54" i="13"/>
  <c r="AB54" i="13" s="1"/>
  <c r="AA55" i="13"/>
  <c r="AA56" i="13"/>
  <c r="AB56" i="13" s="1"/>
  <c r="AA57" i="13"/>
  <c r="AA58" i="13"/>
  <c r="AB58" i="13" s="1"/>
  <c r="AA59" i="13"/>
  <c r="AB59" i="13" s="1"/>
  <c r="AC59" i="13" s="1"/>
  <c r="AA60" i="13"/>
  <c r="AA7" i="13"/>
  <c r="AB7" i="13" s="1"/>
  <c r="V8" i="13"/>
  <c r="W8" i="13" s="1"/>
  <c r="X8" i="13" s="1"/>
  <c r="V9" i="13"/>
  <c r="W9" i="13" s="1"/>
  <c r="X9" i="13" s="1"/>
  <c r="V10" i="13"/>
  <c r="V11" i="13"/>
  <c r="W11" i="13" s="1"/>
  <c r="V12" i="13"/>
  <c r="W12" i="13" s="1"/>
  <c r="V13" i="13"/>
  <c r="W13" i="13" s="1"/>
  <c r="X13" i="13" s="1"/>
  <c r="V14" i="13"/>
  <c r="V15" i="13"/>
  <c r="W15" i="13" s="1"/>
  <c r="V16" i="13"/>
  <c r="W16" i="13" s="1"/>
  <c r="V17" i="13"/>
  <c r="W17" i="13" s="1"/>
  <c r="V18" i="13"/>
  <c r="V19" i="13"/>
  <c r="V20" i="13"/>
  <c r="W20" i="13" s="1"/>
  <c r="X20" i="13" s="1"/>
  <c r="V21" i="13"/>
  <c r="W21" i="13" s="1"/>
  <c r="X21" i="13" s="1"/>
  <c r="V22" i="13"/>
  <c r="V23" i="13"/>
  <c r="W23" i="13" s="1"/>
  <c r="V24" i="13"/>
  <c r="W24" i="13" s="1"/>
  <c r="V25" i="13"/>
  <c r="W25" i="13" s="1"/>
  <c r="X25" i="13" s="1"/>
  <c r="V26" i="13"/>
  <c r="V27" i="13"/>
  <c r="W27" i="13" s="1"/>
  <c r="V28" i="13"/>
  <c r="W28" i="13" s="1"/>
  <c r="V29" i="13"/>
  <c r="W29" i="13" s="1"/>
  <c r="X29" i="13" s="1"/>
  <c r="V30" i="13"/>
  <c r="V31" i="13"/>
  <c r="W31" i="13" s="1"/>
  <c r="V32" i="13"/>
  <c r="W32" i="13" s="1"/>
  <c r="X32" i="13" s="1"/>
  <c r="V33" i="13"/>
  <c r="W33" i="13" s="1"/>
  <c r="X33" i="13" s="1"/>
  <c r="V34" i="13"/>
  <c r="V35" i="13"/>
  <c r="V36" i="13"/>
  <c r="W36" i="13" s="1"/>
  <c r="X36" i="13" s="1"/>
  <c r="V37" i="13"/>
  <c r="W37" i="13" s="1"/>
  <c r="X37" i="13" s="1"/>
  <c r="V38" i="13"/>
  <c r="V39" i="13"/>
  <c r="W39" i="13" s="1"/>
  <c r="V40" i="13"/>
  <c r="W40" i="13" s="1"/>
  <c r="X40" i="13" s="1"/>
  <c r="V41" i="13"/>
  <c r="W41" i="13" s="1"/>
  <c r="V42" i="13"/>
  <c r="V43" i="13"/>
  <c r="W43" i="13" s="1"/>
  <c r="V44" i="13"/>
  <c r="W44" i="13" s="1"/>
  <c r="V45" i="13"/>
  <c r="W45" i="13" s="1"/>
  <c r="X45" i="13" s="1"/>
  <c r="V46" i="13"/>
  <c r="V49" i="13"/>
  <c r="V50" i="13"/>
  <c r="W50" i="13" s="1"/>
  <c r="V51" i="13"/>
  <c r="W51" i="13" s="1"/>
  <c r="V52" i="13"/>
  <c r="W52" i="13" s="1"/>
  <c r="X52" i="13" s="1"/>
  <c r="V53" i="13"/>
  <c r="V54" i="13"/>
  <c r="W54" i="13" s="1"/>
  <c r="V55" i="13"/>
  <c r="W55" i="13" s="1"/>
  <c r="V56" i="13"/>
  <c r="W56" i="13" s="1"/>
  <c r="X56" i="13" s="1"/>
  <c r="V57" i="13"/>
  <c r="V58" i="13"/>
  <c r="W58" i="13" s="1"/>
  <c r="V59" i="13"/>
  <c r="V60" i="13"/>
  <c r="W60" i="13" s="1"/>
  <c r="X60" i="13" s="1"/>
  <c r="V7" i="13"/>
  <c r="W7" i="13" s="1"/>
  <c r="P7" i="13"/>
  <c r="N3" i="13"/>
  <c r="M3" i="13"/>
  <c r="K3" i="13"/>
  <c r="J3" i="13"/>
  <c r="H6" i="13"/>
  <c r="J6" i="13"/>
  <c r="K6" i="13"/>
  <c r="M6" i="13"/>
  <c r="N6" i="13"/>
  <c r="D24" i="4" s="1"/>
  <c r="D23" i="4" s="1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B7" i="13"/>
  <c r="A7" i="13"/>
  <c r="AG229" i="15" l="1"/>
  <c r="AG210" i="15"/>
  <c r="AG88" i="15"/>
  <c r="AG89" i="15"/>
  <c r="P276" i="15"/>
  <c r="P9" i="15"/>
  <c r="P14" i="15"/>
  <c r="I57" i="15"/>
  <c r="P92" i="15"/>
  <c r="P180" i="15"/>
  <c r="P216" i="15"/>
  <c r="P235" i="15"/>
  <c r="AG273" i="15"/>
  <c r="P26" i="16"/>
  <c r="P28" i="16"/>
  <c r="H6" i="16"/>
  <c r="N3" i="16"/>
  <c r="O231" i="15"/>
  <c r="O254" i="15"/>
  <c r="I90" i="15"/>
  <c r="O211" i="15"/>
  <c r="AG253" i="15"/>
  <c r="AG162" i="15"/>
  <c r="AG46" i="13" a="1"/>
  <c r="AG46" i="13" s="1"/>
  <c r="AG44" i="13" a="1"/>
  <c r="AG44" i="13" s="1"/>
  <c r="AG42" i="13" a="1"/>
  <c r="AG42" i="13" s="1"/>
  <c r="AG40" i="13" a="1"/>
  <c r="AG40" i="13" s="1"/>
  <c r="AG49" i="13" a="1"/>
  <c r="AG49" i="13" s="1"/>
  <c r="AG38" i="13" a="1"/>
  <c r="AG38" i="13" s="1"/>
  <c r="AG161" i="15"/>
  <c r="P193" i="15"/>
  <c r="P12" i="15"/>
  <c r="P96" i="15"/>
  <c r="P288" i="15"/>
  <c r="P277" i="15"/>
  <c r="I211" i="15"/>
  <c r="P214" i="15"/>
  <c r="I231" i="15"/>
  <c r="P233" i="15"/>
  <c r="I254" i="15"/>
  <c r="P256" i="15"/>
  <c r="P279" i="15"/>
  <c r="O57" i="15"/>
  <c r="L30" i="15"/>
  <c r="P35" i="15"/>
  <c r="L126" i="15"/>
  <c r="P132" i="15"/>
  <c r="L163" i="15"/>
  <c r="P164" i="15"/>
  <c r="P8" i="15"/>
  <c r="P11" i="15"/>
  <c r="P13" i="15"/>
  <c r="P74" i="15"/>
  <c r="P91" i="15"/>
  <c r="P95" i="15"/>
  <c r="P97" i="15"/>
  <c r="P165" i="15"/>
  <c r="P192" i="15"/>
  <c r="P213" i="15"/>
  <c r="P215" i="15"/>
  <c r="P217" i="15"/>
  <c r="P232" i="15"/>
  <c r="P234" i="15"/>
  <c r="P236" i="15"/>
  <c r="P255" i="15"/>
  <c r="P271" i="15"/>
  <c r="P272" i="15"/>
  <c r="P274" i="15"/>
  <c r="P280" i="15"/>
  <c r="P287" i="15"/>
  <c r="O90" i="15"/>
  <c r="AG80" i="15"/>
  <c r="AG10" i="15"/>
  <c r="AG134" i="15"/>
  <c r="G6" i="15"/>
  <c r="I7" i="15"/>
  <c r="O7" i="15"/>
  <c r="L7" i="15"/>
  <c r="L57" i="15"/>
  <c r="L90" i="15"/>
  <c r="I126" i="15"/>
  <c r="O126" i="15"/>
  <c r="I163" i="15"/>
  <c r="O163" i="15"/>
  <c r="L211" i="15"/>
  <c r="L231" i="15"/>
  <c r="L254" i="15"/>
  <c r="AG36" i="13" a="1"/>
  <c r="AG36" i="13" s="1"/>
  <c r="AG34" i="13" a="1"/>
  <c r="AG34" i="13" s="1"/>
  <c r="AG32" i="13" a="1"/>
  <c r="AG32" i="13" s="1"/>
  <c r="AG30" i="13" a="1"/>
  <c r="AG30" i="13" s="1"/>
  <c r="AG28" i="13" a="1"/>
  <c r="AG28" i="13" s="1"/>
  <c r="AG26" i="13" a="1"/>
  <c r="AG26" i="13" s="1"/>
  <c r="AG22" i="13" a="1"/>
  <c r="AG22" i="13" s="1"/>
  <c r="AG289" i="15"/>
  <c r="AG290" i="15"/>
  <c r="AG291" i="15"/>
  <c r="AG292" i="15"/>
  <c r="AG252" i="15"/>
  <c r="AG196" i="15"/>
  <c r="AG85" i="15"/>
  <c r="AG102" i="15"/>
  <c r="AG86" i="15"/>
  <c r="AG275" i="15"/>
  <c r="AG294" i="15"/>
  <c r="AG125" i="15"/>
  <c r="AG293" i="15"/>
  <c r="AG160" i="15"/>
  <c r="AG56" i="15"/>
  <c r="AG39" i="15"/>
  <c r="AG40" i="15"/>
  <c r="AG24" i="13" a="1"/>
  <c r="AG24" i="13" s="1"/>
  <c r="AG20" i="13" a="1"/>
  <c r="AG20" i="13" s="1"/>
  <c r="AG18" i="13" a="1"/>
  <c r="AG18" i="13" s="1"/>
  <c r="AG16" i="13" a="1"/>
  <c r="AG16" i="13" s="1"/>
  <c r="AG14" i="13" a="1"/>
  <c r="AG14" i="13" s="1"/>
  <c r="AG12" i="13" a="1"/>
  <c r="AG12" i="13" s="1"/>
  <c r="AG10" i="13" a="1"/>
  <c r="AG10" i="13" s="1"/>
  <c r="AG282" i="15"/>
  <c r="P60" i="13"/>
  <c r="P59" i="13"/>
  <c r="P55" i="13"/>
  <c r="P51" i="13"/>
  <c r="P49" i="13"/>
  <c r="C17" i="4"/>
  <c r="AG45" i="13" a="1"/>
  <c r="AG45" i="13" s="1"/>
  <c r="AG43" i="13" a="1"/>
  <c r="AG43" i="13" s="1"/>
  <c r="AG41" i="13" a="1"/>
  <c r="AG41" i="13" s="1"/>
  <c r="AG37" i="13" a="1"/>
  <c r="AG37" i="13" s="1"/>
  <c r="AG35" i="13" a="1"/>
  <c r="AG35" i="13" s="1"/>
  <c r="AG33" i="13" a="1"/>
  <c r="AG33" i="13" s="1"/>
  <c r="AG29" i="13" a="1"/>
  <c r="AG29" i="13" s="1"/>
  <c r="AG27" i="13" a="1"/>
  <c r="AG27" i="13" s="1"/>
  <c r="AG25" i="13" a="1"/>
  <c r="AG25" i="13" s="1"/>
  <c r="AG21" i="13" a="1"/>
  <c r="AG21" i="13" s="1"/>
  <c r="AG19" i="13" a="1"/>
  <c r="AG19" i="13" s="1"/>
  <c r="P32" i="13"/>
  <c r="P28" i="13"/>
  <c r="P24" i="13"/>
  <c r="AG221" i="15"/>
  <c r="AG136" i="15"/>
  <c r="AG149" i="15"/>
  <c r="AJ215" i="15" a="1"/>
  <c r="AJ215" i="15" s="1"/>
  <c r="AJ280" i="15" a="1"/>
  <c r="AJ280" i="15" s="1"/>
  <c r="AJ287" i="15" a="1"/>
  <c r="AJ287" i="15" s="1"/>
  <c r="AK36" i="14"/>
  <c r="AM36" i="14" s="1"/>
  <c r="AL36" i="14"/>
  <c r="AO36" i="14"/>
  <c r="AQ36" i="14" s="1"/>
  <c r="AP36" i="14"/>
  <c r="AG17" i="13" a="1"/>
  <c r="AG17" i="13" s="1"/>
  <c r="AG15" i="13" a="1"/>
  <c r="AG15" i="13" s="1"/>
  <c r="AG13" i="13" a="1"/>
  <c r="AG13" i="13" s="1"/>
  <c r="AG11" i="13" a="1"/>
  <c r="AG11" i="13" s="1"/>
  <c r="AG9" i="13" a="1"/>
  <c r="AG9" i="13" s="1"/>
  <c r="AA6" i="14"/>
  <c r="X47" i="14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7" i="5"/>
  <c r="AP7" i="14"/>
  <c r="AK50" i="14"/>
  <c r="AM50" i="14" s="1"/>
  <c r="AK49" i="14"/>
  <c r="AM49" i="14" s="1"/>
  <c r="AK48" i="14"/>
  <c r="AM48" i="14" s="1"/>
  <c r="AK47" i="14"/>
  <c r="AM47" i="14" s="1"/>
  <c r="AK46" i="14"/>
  <c r="AM46" i="14" s="1"/>
  <c r="AO44" i="14"/>
  <c r="AQ44" i="14" s="1"/>
  <c r="AO43" i="14"/>
  <c r="AQ43" i="14" s="1"/>
  <c r="AO42" i="14"/>
  <c r="AQ42" i="14" s="1"/>
  <c r="AO41" i="14"/>
  <c r="AQ41" i="14" s="1"/>
  <c r="AO40" i="14"/>
  <c r="AQ40" i="14" s="1"/>
  <c r="AP39" i="14"/>
  <c r="AP38" i="14"/>
  <c r="AP37" i="14"/>
  <c r="AP35" i="14"/>
  <c r="AP34" i="14"/>
  <c r="AP33" i="14"/>
  <c r="AP32" i="14"/>
  <c r="AK31" i="14"/>
  <c r="AM31" i="14" s="1"/>
  <c r="AK30" i="14"/>
  <c r="AM30" i="14" s="1"/>
  <c r="AL29" i="14"/>
  <c r="AL28" i="14"/>
  <c r="AO27" i="14"/>
  <c r="AQ27" i="14" s="1"/>
  <c r="AO26" i="14"/>
  <c r="AQ26" i="14" s="1"/>
  <c r="AO25" i="14"/>
  <c r="AQ25" i="14" s="1"/>
  <c r="AO24" i="14"/>
  <c r="AQ24" i="14" s="1"/>
  <c r="AO23" i="14"/>
  <c r="AQ23" i="14" s="1"/>
  <c r="AO22" i="14"/>
  <c r="AQ22" i="14" s="1"/>
  <c r="AO21" i="14"/>
  <c r="AQ21" i="14" s="1"/>
  <c r="AP20" i="14"/>
  <c r="AK19" i="14"/>
  <c r="AM19" i="14" s="1"/>
  <c r="AK18" i="14"/>
  <c r="AM18" i="14" s="1"/>
  <c r="AL17" i="14"/>
  <c r="AL16" i="14"/>
  <c r="AL15" i="14"/>
  <c r="AL14" i="14"/>
  <c r="AL13" i="14"/>
  <c r="AL12" i="14"/>
  <c r="AO11" i="14"/>
  <c r="AQ11" i="14" s="1"/>
  <c r="AO10" i="14"/>
  <c r="AQ10" i="14" s="1"/>
  <c r="AO9" i="14"/>
  <c r="AQ9" i="14" s="1"/>
  <c r="AP8" i="14"/>
  <c r="P12" i="14"/>
  <c r="P16" i="14"/>
  <c r="P23" i="14"/>
  <c r="P25" i="14"/>
  <c r="X30" i="16"/>
  <c r="AL7" i="14"/>
  <c r="AP50" i="14"/>
  <c r="AP49" i="14"/>
  <c r="AP48" i="14"/>
  <c r="AP47" i="14"/>
  <c r="AP46" i="14"/>
  <c r="AQ45" i="14"/>
  <c r="AL45" i="14"/>
  <c r="AL44" i="14"/>
  <c r="AL43" i="14"/>
  <c r="AL42" i="14"/>
  <c r="AL41" i="14"/>
  <c r="AL40" i="14"/>
  <c r="AO39" i="14"/>
  <c r="AQ39" i="14" s="1"/>
  <c r="AO38" i="14"/>
  <c r="AQ38" i="14" s="1"/>
  <c r="AO37" i="14"/>
  <c r="AQ37" i="14" s="1"/>
  <c r="AO35" i="14"/>
  <c r="AQ35" i="14" s="1"/>
  <c r="AO34" i="14"/>
  <c r="AQ34" i="14" s="1"/>
  <c r="AO33" i="14"/>
  <c r="AQ33" i="14" s="1"/>
  <c r="AO32" i="14"/>
  <c r="AQ32" i="14" s="1"/>
  <c r="AP31" i="14"/>
  <c r="AP30" i="14"/>
  <c r="AP29" i="14"/>
  <c r="AK29" i="14"/>
  <c r="AM29" i="14" s="1"/>
  <c r="AK28" i="14"/>
  <c r="AM28" i="14" s="1"/>
  <c r="AL27" i="14"/>
  <c r="AL26" i="14"/>
  <c r="AL25" i="14"/>
  <c r="AL24" i="14"/>
  <c r="AL23" i="14"/>
  <c r="AL22" i="14"/>
  <c r="AM21" i="14"/>
  <c r="AO20" i="14"/>
  <c r="AQ20" i="14" s="1"/>
  <c r="AP19" i="14"/>
  <c r="AP18" i="14"/>
  <c r="AP17" i="14"/>
  <c r="AK17" i="14"/>
  <c r="AK16" i="14"/>
  <c r="AM16" i="14" s="1"/>
  <c r="AK15" i="14"/>
  <c r="AM15" i="14" s="1"/>
  <c r="AK14" i="14"/>
  <c r="AM14" i="14" s="1"/>
  <c r="AK13" i="14"/>
  <c r="AM13" i="14" s="1"/>
  <c r="AK12" i="14"/>
  <c r="AM12" i="14" s="1"/>
  <c r="AL11" i="14"/>
  <c r="AL10" i="14"/>
  <c r="AM9" i="14"/>
  <c r="AO8" i="14"/>
  <c r="AQ8" i="14" s="1"/>
  <c r="P25" i="16"/>
  <c r="P37" i="16"/>
  <c r="AC39" i="16"/>
  <c r="AK7" i="14"/>
  <c r="AM7" i="14" s="1"/>
  <c r="AO50" i="14"/>
  <c r="AQ50" i="14" s="1"/>
  <c r="AO49" i="14"/>
  <c r="AQ49" i="14" s="1"/>
  <c r="AO48" i="14"/>
  <c r="AQ48" i="14" s="1"/>
  <c r="AO47" i="14"/>
  <c r="AQ47" i="14" s="1"/>
  <c r="AO46" i="14"/>
  <c r="AQ46" i="14" s="1"/>
  <c r="AP45" i="14"/>
  <c r="AK45" i="14"/>
  <c r="AM45" i="14" s="1"/>
  <c r="AK44" i="14"/>
  <c r="AM44" i="14" s="1"/>
  <c r="AK43" i="14"/>
  <c r="AM43" i="14" s="1"/>
  <c r="AK42" i="14"/>
  <c r="AM42" i="14" s="1"/>
  <c r="AK41" i="14"/>
  <c r="AM41" i="14" s="1"/>
  <c r="AK40" i="14"/>
  <c r="AM40" i="14" s="1"/>
  <c r="AL39" i="14"/>
  <c r="AL38" i="14"/>
  <c r="AL37" i="14"/>
  <c r="AL35" i="14"/>
  <c r="AL34" i="14"/>
  <c r="AL33" i="14"/>
  <c r="AL32" i="14"/>
  <c r="AO31" i="14"/>
  <c r="AQ31" i="14" s="1"/>
  <c r="AO30" i="14"/>
  <c r="AQ30" i="14" s="1"/>
  <c r="AP28" i="14"/>
  <c r="AK27" i="14"/>
  <c r="AM27" i="14" s="1"/>
  <c r="AK26" i="14"/>
  <c r="AM26" i="14" s="1"/>
  <c r="AK25" i="14"/>
  <c r="AM25" i="14" s="1"/>
  <c r="AK24" i="14"/>
  <c r="AM24" i="14" s="1"/>
  <c r="AK23" i="14"/>
  <c r="AM23" i="14" s="1"/>
  <c r="AK22" i="14"/>
  <c r="AM22" i="14" s="1"/>
  <c r="AL21" i="14"/>
  <c r="AL20" i="14"/>
  <c r="AO19" i="14"/>
  <c r="AQ19" i="14" s="1"/>
  <c r="AO18" i="14"/>
  <c r="AQ18" i="14" s="1"/>
  <c r="AP16" i="14"/>
  <c r="AP15" i="14"/>
  <c r="AP14" i="14"/>
  <c r="AP13" i="14"/>
  <c r="AP12" i="14"/>
  <c r="AK11" i="14"/>
  <c r="AM11" i="14" s="1"/>
  <c r="AK10" i="14"/>
  <c r="AM10" i="14" s="1"/>
  <c r="AL9" i="14"/>
  <c r="AL8" i="14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7" i="5"/>
  <c r="R6" i="5" s="1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P29" i="16"/>
  <c r="AP21" i="14"/>
  <c r="AM17" i="14"/>
  <c r="AP9" i="14"/>
  <c r="AH8" i="15"/>
  <c r="AG45" i="15"/>
  <c r="AG287" i="15"/>
  <c r="P20" i="13"/>
  <c r="P16" i="13"/>
  <c r="P12" i="13"/>
  <c r="P8" i="13"/>
  <c r="AQ57" i="13"/>
  <c r="X51" i="13"/>
  <c r="AQ59" i="13"/>
  <c r="P56" i="13"/>
  <c r="P52" i="13"/>
  <c r="P33" i="13"/>
  <c r="P17" i="13"/>
  <c r="X55" i="13"/>
  <c r="W49" i="13"/>
  <c r="X49" i="13" s="1"/>
  <c r="AQ50" i="13"/>
  <c r="AA6" i="15"/>
  <c r="W236" i="15"/>
  <c r="X236" i="15" s="1"/>
  <c r="V6" i="15"/>
  <c r="P58" i="13"/>
  <c r="P54" i="13"/>
  <c r="P50" i="13"/>
  <c r="P35" i="13"/>
  <c r="P31" i="13"/>
  <c r="P27" i="13"/>
  <c r="P23" i="13"/>
  <c r="P19" i="13"/>
  <c r="P15" i="13"/>
  <c r="P11" i="13"/>
  <c r="X44" i="13"/>
  <c r="X41" i="13"/>
  <c r="AG8" i="13" a="1"/>
  <c r="AG8" i="13" s="1"/>
  <c r="P41" i="13"/>
  <c r="AC31" i="13"/>
  <c r="AQ53" i="13"/>
  <c r="P57" i="13"/>
  <c r="P53" i="13"/>
  <c r="AJ281" i="15" a="1"/>
  <c r="AJ281" i="15" s="1"/>
  <c r="AJ288" i="15" a="1"/>
  <c r="AJ288" i="15" s="1"/>
  <c r="AG39" i="13" a="1"/>
  <c r="AG39" i="13" s="1"/>
  <c r="AG31" i="13" a="1"/>
  <c r="AG31" i="13" s="1"/>
  <c r="AG23" i="13" a="1"/>
  <c r="AG23" i="13" s="1"/>
  <c r="P40" i="13"/>
  <c r="X7" i="13"/>
  <c r="W59" i="13"/>
  <c r="X59" i="13" s="1"/>
  <c r="X43" i="13"/>
  <c r="AB60" i="13"/>
  <c r="AC60" i="13" s="1"/>
  <c r="AQ58" i="13"/>
  <c r="AQ55" i="13"/>
  <c r="AQ51" i="13"/>
  <c r="X50" i="13"/>
  <c r="AO54" i="13"/>
  <c r="AQ54" i="13" s="1"/>
  <c r="AK54" i="13"/>
  <c r="AM54" i="13" s="1"/>
  <c r="AP54" i="13"/>
  <c r="AL54" i="13"/>
  <c r="P29" i="13"/>
  <c r="P25" i="13"/>
  <c r="P21" i="13"/>
  <c r="P13" i="13"/>
  <c r="X54" i="13"/>
  <c r="AC56" i="13"/>
  <c r="AQ60" i="13"/>
  <c r="I6" i="13"/>
  <c r="P38" i="13"/>
  <c r="P34" i="13"/>
  <c r="P30" i="13"/>
  <c r="P26" i="13"/>
  <c r="P22" i="13"/>
  <c r="P18" i="13"/>
  <c r="P14" i="13"/>
  <c r="P10" i="13"/>
  <c r="X58" i="13"/>
  <c r="AC58" i="13"/>
  <c r="AB55" i="13"/>
  <c r="AC55" i="13" s="1"/>
  <c r="AC51" i="13"/>
  <c r="AO56" i="13"/>
  <c r="AQ56" i="13" s="1"/>
  <c r="AK56" i="13"/>
  <c r="AM56" i="13" s="1"/>
  <c r="AP56" i="13"/>
  <c r="AL56" i="13"/>
  <c r="AO52" i="13"/>
  <c r="AQ52" i="13" s="1"/>
  <c r="AK52" i="13"/>
  <c r="AM52" i="13" s="1"/>
  <c r="AP52" i="13"/>
  <c r="AL52" i="13"/>
  <c r="AB32" i="13"/>
  <c r="AC32" i="13" s="1"/>
  <c r="AB21" i="13"/>
  <c r="AC21" i="13" s="1"/>
  <c r="AB16" i="13"/>
  <c r="AC16" i="13" s="1"/>
  <c r="AL60" i="13"/>
  <c r="AL59" i="13"/>
  <c r="AL57" i="13"/>
  <c r="AL55" i="13"/>
  <c r="AL53" i="13"/>
  <c r="AL51" i="13"/>
  <c r="AP60" i="13"/>
  <c r="AP59" i="13"/>
  <c r="AP57" i="13"/>
  <c r="AP55" i="13"/>
  <c r="AP53" i="13"/>
  <c r="AP51" i="13"/>
  <c r="AC23" i="13"/>
  <c r="AC11" i="13"/>
  <c r="AK60" i="13"/>
  <c r="AM60" i="13" s="1"/>
  <c r="AK59" i="13"/>
  <c r="AM59" i="13" s="1"/>
  <c r="AK57" i="13"/>
  <c r="AM57" i="13" s="1"/>
  <c r="AK55" i="13"/>
  <c r="AM55" i="13" s="1"/>
  <c r="AK53" i="13"/>
  <c r="AM53" i="13" s="1"/>
  <c r="AK51" i="13"/>
  <c r="AM51" i="13" s="1"/>
  <c r="AC54" i="13"/>
  <c r="AC25" i="13"/>
  <c r="AC20" i="13"/>
  <c r="AC19" i="13"/>
  <c r="AL58" i="13"/>
  <c r="AL50" i="13"/>
  <c r="AP58" i="13"/>
  <c r="AP50" i="13"/>
  <c r="AC50" i="13"/>
  <c r="AB41" i="13"/>
  <c r="AC41" i="13" s="1"/>
  <c r="AB27" i="13"/>
  <c r="AC27" i="13" s="1"/>
  <c r="AC15" i="13"/>
  <c r="AK58" i="13"/>
  <c r="AM58" i="13" s="1"/>
  <c r="AK50" i="13"/>
  <c r="AM50" i="13" s="1"/>
  <c r="AG288" i="15"/>
  <c r="AG279" i="15"/>
  <c r="AH282" i="15"/>
  <c r="AG277" i="15"/>
  <c r="AG283" i="15"/>
  <c r="AG278" i="15"/>
  <c r="AG234" i="15"/>
  <c r="AH279" i="15"/>
  <c r="AH277" i="15"/>
  <c r="AG232" i="15"/>
  <c r="AG225" i="15"/>
  <c r="AG249" i="15"/>
  <c r="AG250" i="15"/>
  <c r="AG251" i="15"/>
  <c r="AG203" i="15"/>
  <c r="AG248" i="15"/>
  <c r="AG108" i="15"/>
  <c r="AG119" i="15"/>
  <c r="AG55" i="15"/>
  <c r="AG53" i="15"/>
  <c r="AG52" i="15"/>
  <c r="AG84" i="15"/>
  <c r="AG114" i="15"/>
  <c r="AG50" i="15"/>
  <c r="AG237" i="15"/>
  <c r="AG238" i="15"/>
  <c r="AG115" i="15"/>
  <c r="AG116" i="15"/>
  <c r="AG51" i="15"/>
  <c r="AG246" i="15"/>
  <c r="AG117" i="15"/>
  <c r="AG118" i="15"/>
  <c r="AG54" i="15"/>
  <c r="AG13" i="15"/>
  <c r="AH232" i="15"/>
  <c r="AG35" i="15"/>
  <c r="AG36" i="15"/>
  <c r="AG31" i="15"/>
  <c r="AH13" i="15"/>
  <c r="AG11" i="15"/>
  <c r="AG14" i="15"/>
  <c r="AG12" i="15"/>
  <c r="AG9" i="15"/>
  <c r="AG20" i="15"/>
  <c r="AG17" i="15"/>
  <c r="AG23" i="15"/>
  <c r="AG15" i="15"/>
  <c r="AG18" i="15"/>
  <c r="AG21" i="15"/>
  <c r="AG16" i="15"/>
  <c r="AG22" i="15"/>
  <c r="AG19" i="15"/>
  <c r="AJ217" i="15" a="1"/>
  <c r="AJ217" i="15" s="1"/>
  <c r="AJ282" i="15" a="1"/>
  <c r="AJ282" i="15" s="1"/>
  <c r="AJ232" i="15" a="1"/>
  <c r="AJ232" i="15" s="1"/>
  <c r="AJ213" i="15" a="1"/>
  <c r="AJ213" i="15" s="1"/>
  <c r="AG209" i="15"/>
  <c r="AG208" i="15"/>
  <c r="AG207" i="15"/>
  <c r="AG204" i="15"/>
  <c r="AG206" i="15"/>
  <c r="AG205" i="15"/>
  <c r="AG8" i="15"/>
  <c r="AG286" i="15"/>
  <c r="AG285" i="15"/>
  <c r="AG284" i="15"/>
  <c r="AG281" i="15"/>
  <c r="P45" i="13"/>
  <c r="AA6" i="13"/>
  <c r="AC45" i="13"/>
  <c r="AC44" i="13"/>
  <c r="P46" i="13"/>
  <c r="P44" i="13"/>
  <c r="AJ236" i="15" a="1"/>
  <c r="AJ236" i="15" s="1"/>
  <c r="AJ276" i="15" a="1"/>
  <c r="AJ276" i="15" s="1"/>
  <c r="AJ271" i="15" a="1"/>
  <c r="AJ271" i="15" s="1"/>
  <c r="P43" i="13"/>
  <c r="P42" i="13"/>
  <c r="P39" i="13"/>
  <c r="O6" i="13"/>
  <c r="AB36" i="13"/>
  <c r="AC36" i="13" s="1"/>
  <c r="P36" i="13"/>
  <c r="AC43" i="13"/>
  <c r="P37" i="13"/>
  <c r="AC40" i="13"/>
  <c r="AC39" i="13"/>
  <c r="AC35" i="13"/>
  <c r="AC7" i="13"/>
  <c r="AG274" i="15"/>
  <c r="AG271" i="15"/>
  <c r="AG280" i="15"/>
  <c r="AG276" i="15"/>
  <c r="AG267" i="15"/>
  <c r="AG266" i="15"/>
  <c r="AH276" i="15"/>
  <c r="AH274" i="15"/>
  <c r="AG255" i="15"/>
  <c r="AG215" i="15"/>
  <c r="AG214" i="15"/>
  <c r="AG272" i="15"/>
  <c r="AG263" i="15"/>
  <c r="AG270" i="15"/>
  <c r="AG269" i="15"/>
  <c r="AG268" i="15"/>
  <c r="AG262" i="15"/>
  <c r="AG259" i="15"/>
  <c r="AG261" i="15"/>
  <c r="AG260" i="15"/>
  <c r="AG258" i="15"/>
  <c r="AG257" i="15"/>
  <c r="AG265" i="15"/>
  <c r="AG256" i="15"/>
  <c r="AH255" i="15"/>
  <c r="AG235" i="15"/>
  <c r="AH214" i="15"/>
  <c r="AG241" i="15"/>
  <c r="AG240" i="15"/>
  <c r="AG239" i="15"/>
  <c r="AG242" i="15"/>
  <c r="AG247" i="15"/>
  <c r="AG243" i="15"/>
  <c r="AG244" i="15"/>
  <c r="AG245" i="15"/>
  <c r="AG236" i="15"/>
  <c r="AG233" i="15"/>
  <c r="AG218" i="15"/>
  <c r="AG220" i="15"/>
  <c r="AG226" i="15"/>
  <c r="AG224" i="15"/>
  <c r="AG227" i="15"/>
  <c r="AG230" i="15"/>
  <c r="AG219" i="15"/>
  <c r="AG222" i="15"/>
  <c r="AG228" i="15"/>
  <c r="AG223" i="15"/>
  <c r="AG217" i="15"/>
  <c r="AG216" i="15"/>
  <c r="AH215" i="15"/>
  <c r="AG213" i="15"/>
  <c r="AG212" i="15"/>
  <c r="AG197" i="15"/>
  <c r="AG194" i="15"/>
  <c r="AG201" i="15"/>
  <c r="AG199" i="15"/>
  <c r="AG195" i="15"/>
  <c r="AG198" i="15"/>
  <c r="AG200" i="15"/>
  <c r="AG202" i="15"/>
  <c r="AG193" i="15"/>
  <c r="AH193" i="15"/>
  <c r="AG165" i="15"/>
  <c r="AG164" i="15"/>
  <c r="AG192" i="15"/>
  <c r="AG187" i="15"/>
  <c r="AG190" i="15"/>
  <c r="AG188" i="15"/>
  <c r="AG191" i="15"/>
  <c r="AG189" i="15"/>
  <c r="AG180" i="15"/>
  <c r="AG169" i="15"/>
  <c r="AG167" i="15"/>
  <c r="AG177" i="15"/>
  <c r="AG183" i="15"/>
  <c r="AG171" i="15"/>
  <c r="AG174" i="15"/>
  <c r="AG178" i="15"/>
  <c r="AG184" i="15"/>
  <c r="AG168" i="15"/>
  <c r="AG175" i="15"/>
  <c r="AG179" i="15"/>
  <c r="AG181" i="15"/>
  <c r="AG185" i="15"/>
  <c r="AG176" i="15"/>
  <c r="AG172" i="15"/>
  <c r="AG166" i="15"/>
  <c r="AG182" i="15"/>
  <c r="AG186" i="15"/>
  <c r="AG170" i="15"/>
  <c r="AG173" i="15"/>
  <c r="AH165" i="15"/>
  <c r="AH164" i="15"/>
  <c r="AG96" i="15"/>
  <c r="AG154" i="15"/>
  <c r="AG150" i="15"/>
  <c r="AG155" i="15"/>
  <c r="AG146" i="15"/>
  <c r="AG151" i="15"/>
  <c r="AG158" i="15"/>
  <c r="AG156" i="15"/>
  <c r="AG147" i="15"/>
  <c r="AG152" i="15"/>
  <c r="AG157" i="15"/>
  <c r="AG148" i="15"/>
  <c r="AG153" i="15"/>
  <c r="AG159" i="15"/>
  <c r="AG138" i="15"/>
  <c r="AG135" i="15"/>
  <c r="AG142" i="15"/>
  <c r="AG133" i="15"/>
  <c r="AG137" i="15"/>
  <c r="AG143" i="15"/>
  <c r="AG139" i="15"/>
  <c r="AG144" i="15"/>
  <c r="AG140" i="15"/>
  <c r="AG141" i="15"/>
  <c r="AG145" i="15"/>
  <c r="AG92" i="15"/>
  <c r="AG132" i="15"/>
  <c r="AG127" i="15"/>
  <c r="AG130" i="15"/>
  <c r="AG128" i="15"/>
  <c r="AG32" i="15"/>
  <c r="AG105" i="15"/>
  <c r="AG107" i="15"/>
  <c r="AG131" i="15"/>
  <c r="AG124" i="15"/>
  <c r="AG121" i="15"/>
  <c r="AG111" i="15"/>
  <c r="AG120" i="15"/>
  <c r="AG101" i="15"/>
  <c r="AG129" i="15"/>
  <c r="AG122" i="15"/>
  <c r="AG110" i="15"/>
  <c r="AG113" i="15"/>
  <c r="AG98" i="15"/>
  <c r="AG104" i="15"/>
  <c r="AG123" i="15"/>
  <c r="AG109" i="15"/>
  <c r="AG103" i="15"/>
  <c r="AG99" i="15"/>
  <c r="AG112" i="15"/>
  <c r="AG106" i="15"/>
  <c r="AG100" i="15"/>
  <c r="AG97" i="15"/>
  <c r="AH97" i="15"/>
  <c r="AG95" i="15"/>
  <c r="AG94" i="15"/>
  <c r="AG93" i="15"/>
  <c r="AG91" i="15"/>
  <c r="AH91" i="15"/>
  <c r="J5" i="3"/>
  <c r="C24" i="4"/>
  <c r="AG83" i="15"/>
  <c r="AG82" i="15"/>
  <c r="AG81" i="15"/>
  <c r="AG79" i="15"/>
  <c r="AG78" i="15"/>
  <c r="AG76" i="15"/>
  <c r="AG75" i="15"/>
  <c r="AG77" i="15"/>
  <c r="AG74" i="15"/>
  <c r="AG72" i="15"/>
  <c r="AG67" i="15"/>
  <c r="AG64" i="15"/>
  <c r="AG48" i="15"/>
  <c r="AG44" i="15"/>
  <c r="AG66" i="15"/>
  <c r="AG69" i="15"/>
  <c r="AG61" i="15"/>
  <c r="AG65" i="15"/>
  <c r="AG47" i="15"/>
  <c r="AG42" i="15"/>
  <c r="AG73" i="15"/>
  <c r="AG70" i="15"/>
  <c r="AG62" i="15"/>
  <c r="AG60" i="15"/>
  <c r="AG46" i="15"/>
  <c r="AG43" i="15"/>
  <c r="AG68" i="15"/>
  <c r="AG71" i="15"/>
  <c r="AG63" i="15"/>
  <c r="AG59" i="15"/>
  <c r="AG58" i="15"/>
  <c r="AG49" i="15"/>
  <c r="AG34" i="15"/>
  <c r="AG37" i="15"/>
  <c r="AG33" i="15"/>
  <c r="AG38" i="15"/>
  <c r="AG7" i="15"/>
  <c r="AG28" i="15"/>
  <c r="AG29" i="15"/>
  <c r="AG26" i="15"/>
  <c r="AG24" i="15"/>
  <c r="AG25" i="15"/>
  <c r="AG27" i="15"/>
  <c r="AJ214" i="15" a="1"/>
  <c r="AJ214" i="15" s="1"/>
  <c r="AJ233" i="15" a="1"/>
  <c r="AJ233" i="15" s="1"/>
  <c r="AJ256" i="15" a="1"/>
  <c r="AJ256" i="15" s="1"/>
  <c r="AJ274" i="15" a="1"/>
  <c r="AJ274" i="15" s="1"/>
  <c r="AJ255" i="15" a="1"/>
  <c r="AJ255" i="15" s="1"/>
  <c r="AJ272" i="15" a="1"/>
  <c r="AJ272" i="15" s="1"/>
  <c r="AJ164" i="15" a="1"/>
  <c r="AJ164" i="15" s="1"/>
  <c r="AJ193" i="15" a="1"/>
  <c r="AJ193" i="15" s="1"/>
  <c r="AJ216" i="15" a="1"/>
  <c r="AJ216" i="15" s="1"/>
  <c r="AJ235" i="15" a="1"/>
  <c r="AJ235" i="15" s="1"/>
  <c r="AJ132" i="15" a="1"/>
  <c r="AJ132" i="15" s="1"/>
  <c r="AJ234" i="15" a="1"/>
  <c r="AJ234" i="15" s="1"/>
  <c r="AJ74" i="15" a="1"/>
  <c r="AJ74" i="15" s="1"/>
  <c r="AJ192" i="15" a="1"/>
  <c r="AJ192" i="15" s="1"/>
  <c r="AJ12" i="15" a="1"/>
  <c r="AJ12" i="15" s="1"/>
  <c r="AJ97" i="15" a="1"/>
  <c r="AJ97" i="15" s="1"/>
  <c r="AJ91" i="15" a="1"/>
  <c r="AJ91" i="15" s="1"/>
  <c r="AJ180" i="15" a="1"/>
  <c r="AJ180" i="15" s="1"/>
  <c r="AJ165" i="15" a="1"/>
  <c r="AJ165" i="15" s="1"/>
  <c r="AJ14" i="15" a="1"/>
  <c r="AJ14" i="15" s="1"/>
  <c r="AJ9" i="15" a="1"/>
  <c r="AJ9" i="15" s="1"/>
  <c r="AJ8" i="15" a="1"/>
  <c r="AJ8" i="15" s="1"/>
  <c r="AJ13" i="15" a="1"/>
  <c r="AJ13" i="15" s="1"/>
  <c r="AJ92" i="15" a="1"/>
  <c r="AJ92" i="15" s="1"/>
  <c r="AJ95" i="15" a="1"/>
  <c r="AJ95" i="15" s="1"/>
  <c r="AJ11" i="15" a="1"/>
  <c r="AJ11" i="15" s="1"/>
  <c r="AJ96" i="15" a="1"/>
  <c r="AJ96" i="15" s="1"/>
  <c r="X39" i="13"/>
  <c r="X24" i="13"/>
  <c r="X23" i="13"/>
  <c r="X16" i="13"/>
  <c r="X15" i="13"/>
  <c r="L6" i="13"/>
  <c r="P9" i="13"/>
  <c r="X28" i="13"/>
  <c r="X27" i="13"/>
  <c r="X17" i="13"/>
  <c r="X12" i="13"/>
  <c r="X11" i="13"/>
  <c r="C5" i="3"/>
  <c r="W35" i="13"/>
  <c r="X35" i="13" s="1"/>
  <c r="X31" i="13"/>
  <c r="W19" i="13"/>
  <c r="X19" i="13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J8" i="5"/>
  <c r="C8" i="5" s="1"/>
  <c r="J14" i="5"/>
  <c r="C14" i="5" s="1"/>
  <c r="J18" i="5"/>
  <c r="C18" i="5" s="1"/>
  <c r="J24" i="5"/>
  <c r="C24" i="5" s="1"/>
  <c r="J30" i="5"/>
  <c r="C30" i="5" s="1"/>
  <c r="J36" i="5"/>
  <c r="C36" i="5" s="1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J10" i="5"/>
  <c r="C10" i="5" s="1"/>
  <c r="J16" i="5"/>
  <c r="C16" i="5" s="1"/>
  <c r="J22" i="5"/>
  <c r="C22" i="5" s="1"/>
  <c r="J26" i="5"/>
  <c r="C26" i="5" s="1"/>
  <c r="J32" i="5"/>
  <c r="C32" i="5" s="1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J12" i="5"/>
  <c r="C12" i="5" s="1"/>
  <c r="J20" i="5"/>
  <c r="C20" i="5" s="1"/>
  <c r="J28" i="5"/>
  <c r="C28" i="5" s="1"/>
  <c r="J34" i="5"/>
  <c r="C34" i="5" s="1"/>
  <c r="C16" i="4"/>
  <c r="D16" i="4"/>
  <c r="C9" i="4"/>
  <c r="C11" i="4"/>
  <c r="C13" i="4"/>
  <c r="C15" i="4"/>
  <c r="D8" i="4"/>
  <c r="D9" i="4"/>
  <c r="D11" i="4"/>
  <c r="D13" i="4"/>
  <c r="D15" i="4"/>
  <c r="C8" i="4"/>
  <c r="D12" i="4"/>
  <c r="C10" i="4"/>
  <c r="C12" i="4"/>
  <c r="C14" i="4"/>
  <c r="D10" i="4"/>
  <c r="D14" i="4"/>
  <c r="D17" i="4"/>
  <c r="AG7" i="13" a="1"/>
  <c r="AG7" i="13" s="1"/>
  <c r="E16" i="4"/>
  <c r="F16" i="4"/>
  <c r="E9" i="4"/>
  <c r="E11" i="4"/>
  <c r="E13" i="4"/>
  <c r="E15" i="4"/>
  <c r="F8" i="4"/>
  <c r="F9" i="4"/>
  <c r="F11" i="4"/>
  <c r="F13" i="4"/>
  <c r="F15" i="4"/>
  <c r="E8" i="4"/>
  <c r="F12" i="4"/>
  <c r="F17" i="4"/>
  <c r="E10" i="4"/>
  <c r="E12" i="4"/>
  <c r="E14" i="4"/>
  <c r="E17" i="4"/>
  <c r="F10" i="4"/>
  <c r="F14" i="4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M9" i="5"/>
  <c r="F9" i="5" s="1"/>
  <c r="M11" i="5"/>
  <c r="M13" i="5"/>
  <c r="F13" i="5" s="1"/>
  <c r="M15" i="5"/>
  <c r="M17" i="5"/>
  <c r="F17" i="5" s="1"/>
  <c r="M19" i="5"/>
  <c r="M21" i="5"/>
  <c r="F21" i="5" s="1"/>
  <c r="M23" i="5"/>
  <c r="M25" i="5"/>
  <c r="F25" i="5" s="1"/>
  <c r="M27" i="5"/>
  <c r="M29" i="5"/>
  <c r="F29" i="5" s="1"/>
  <c r="M31" i="5"/>
  <c r="M33" i="5"/>
  <c r="F33" i="5" s="1"/>
  <c r="M35" i="5"/>
  <c r="L7" i="5"/>
  <c r="L36" i="5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AK6" i="14"/>
  <c r="AL6" i="14"/>
  <c r="N6" i="16"/>
  <c r="F25" i="4" s="1"/>
  <c r="P13" i="16"/>
  <c r="P18" i="16"/>
  <c r="P31" i="16"/>
  <c r="P33" i="16"/>
  <c r="P9" i="16"/>
  <c r="P12" i="16"/>
  <c r="V15" i="16"/>
  <c r="W15" i="16" s="1"/>
  <c r="X15" i="16" s="1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E25" i="4" s="1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X255" i="15"/>
  <c r="N3" i="15"/>
  <c r="K3" i="15"/>
  <c r="J3" i="15"/>
  <c r="AC192" i="15"/>
  <c r="X193" i="15"/>
  <c r="M3" i="15"/>
  <c r="AC277" i="15"/>
  <c r="AC235" i="15"/>
  <c r="AB95" i="15"/>
  <c r="AC95" i="15" s="1"/>
  <c r="X213" i="15"/>
  <c r="AC281" i="15"/>
  <c r="X282" i="15"/>
  <c r="X165" i="15"/>
  <c r="X164" i="15"/>
  <c r="AC279" i="15"/>
  <c r="X280" i="15"/>
  <c r="F24" i="4"/>
  <c r="AB97" i="15"/>
  <c r="AC97" i="15" s="1"/>
  <c r="AB8" i="15"/>
  <c r="W9" i="15"/>
  <c r="X9" i="15" s="1"/>
  <c r="W74" i="15"/>
  <c r="W276" i="15"/>
  <c r="X276" i="15" s="1"/>
  <c r="X8" i="15"/>
  <c r="AC13" i="15"/>
  <c r="AB132" i="15"/>
  <c r="AC132" i="15" s="1"/>
  <c r="W92" i="15"/>
  <c r="X92" i="15" s="1"/>
  <c r="AB233" i="15"/>
  <c r="AC233" i="15" s="1"/>
  <c r="AB12" i="15"/>
  <c r="AC12" i="15" s="1"/>
  <c r="W14" i="15"/>
  <c r="X14" i="15" s="1"/>
  <c r="AB91" i="15"/>
  <c r="AC91" i="15" s="1"/>
  <c r="W13" i="15"/>
  <c r="X13" i="15" s="1"/>
  <c r="AB35" i="15"/>
  <c r="AC35" i="15" s="1"/>
  <c r="AC165" i="15"/>
  <c r="X35" i="15"/>
  <c r="X91" i="15"/>
  <c r="AC96" i="15"/>
  <c r="X97" i="15"/>
  <c r="X180" i="15"/>
  <c r="W234" i="15"/>
  <c r="X234" i="15" s="1"/>
  <c r="W214" i="15"/>
  <c r="X214" i="15" s="1"/>
  <c r="AB217" i="15"/>
  <c r="AC217" i="15" s="1"/>
  <c r="X271" i="15"/>
  <c r="AB274" i="15"/>
  <c r="AC274" i="15" s="1"/>
  <c r="X288" i="15"/>
  <c r="X132" i="15"/>
  <c r="AB213" i="15"/>
  <c r="AC213" i="15" s="1"/>
  <c r="AB256" i="15"/>
  <c r="AC256" i="15" s="1"/>
  <c r="AC164" i="15"/>
  <c r="AC193" i="15"/>
  <c r="AC216" i="15"/>
  <c r="X217" i="15"/>
  <c r="AC232" i="15"/>
  <c r="X233" i="15"/>
  <c r="AC236" i="15"/>
  <c r="AC255" i="15"/>
  <c r="X256" i="15"/>
  <c r="X274" i="15"/>
  <c r="AC280" i="15"/>
  <c r="AC282" i="15"/>
  <c r="X287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AC44" i="14" s="1"/>
  <c r="X45" i="14"/>
  <c r="W48" i="14"/>
  <c r="X48" i="14" s="1"/>
  <c r="AC8" i="13"/>
  <c r="AB57" i="13"/>
  <c r="AC57" i="13" s="1"/>
  <c r="AB53" i="13"/>
  <c r="AC53" i="13" s="1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C14" i="13" s="1"/>
  <c r="AB10" i="13"/>
  <c r="V6" i="13"/>
  <c r="W57" i="13"/>
  <c r="X57" i="13" s="1"/>
  <c r="W53" i="13"/>
  <c r="X53" i="13" s="1"/>
  <c r="W46" i="13"/>
  <c r="X46" i="13" s="1"/>
  <c r="W42" i="13"/>
  <c r="X42" i="13" s="1"/>
  <c r="W38" i="13"/>
  <c r="X38" i="13" s="1"/>
  <c r="W34" i="13"/>
  <c r="X34" i="13" s="1"/>
  <c r="W30" i="13"/>
  <c r="X30" i="13" s="1"/>
  <c r="W26" i="13"/>
  <c r="X26" i="13" s="1"/>
  <c r="W22" i="13"/>
  <c r="X22" i="13" s="1"/>
  <c r="W18" i="13"/>
  <c r="X18" i="13" s="1"/>
  <c r="W14" i="13"/>
  <c r="X14" i="13" s="1"/>
  <c r="W10" i="13"/>
  <c r="AA3" i="15" l="1"/>
  <c r="AA3" i="13"/>
  <c r="U36" i="5"/>
  <c r="U32" i="5"/>
  <c r="U28" i="5"/>
  <c r="U24" i="5"/>
  <c r="U20" i="5"/>
  <c r="U16" i="5"/>
  <c r="U12" i="5"/>
  <c r="U8" i="5"/>
  <c r="AE49" i="13"/>
  <c r="AO49" i="13" s="1"/>
  <c r="AQ49" i="13" s="1"/>
  <c r="I6" i="15"/>
  <c r="O6" i="15"/>
  <c r="L6" i="15"/>
  <c r="AO6" i="14"/>
  <c r="F23" i="4"/>
  <c r="AM6" i="14"/>
  <c r="F35" i="5"/>
  <c r="F27" i="5"/>
  <c r="F19" i="5"/>
  <c r="F11" i="5"/>
  <c r="F31" i="5"/>
  <c r="F23" i="5"/>
  <c r="F15" i="5"/>
  <c r="AE7" i="13"/>
  <c r="AL7" i="13" s="1"/>
  <c r="AE47" i="13"/>
  <c r="AE48" i="13"/>
  <c r="G17" i="4"/>
  <c r="AQ6" i="14"/>
  <c r="Q6" i="5"/>
  <c r="B43" i="5" s="1"/>
  <c r="U33" i="5"/>
  <c r="U29" i="5"/>
  <c r="U25" i="5"/>
  <c r="U21" i="5"/>
  <c r="U17" i="5"/>
  <c r="U13" i="5"/>
  <c r="U9" i="5"/>
  <c r="G25" i="4"/>
  <c r="AP6" i="14"/>
  <c r="U35" i="5"/>
  <c r="U31" i="5"/>
  <c r="U27" i="5"/>
  <c r="U23" i="5"/>
  <c r="U19" i="5"/>
  <c r="U15" i="5"/>
  <c r="U11" i="5"/>
  <c r="U7" i="5"/>
  <c r="S6" i="5"/>
  <c r="T6" i="5"/>
  <c r="U34" i="5"/>
  <c r="U30" i="5"/>
  <c r="U26" i="5"/>
  <c r="U22" i="5"/>
  <c r="U18" i="5"/>
  <c r="U14" i="5"/>
  <c r="U10" i="5"/>
  <c r="W6" i="15"/>
  <c r="AC180" i="15"/>
  <c r="AB6" i="15"/>
  <c r="W6" i="13"/>
  <c r="C6" i="3" s="1"/>
  <c r="AE25" i="13"/>
  <c r="AE40" i="13"/>
  <c r="AE42" i="13"/>
  <c r="AE43" i="13"/>
  <c r="AE41" i="13"/>
  <c r="AE44" i="13"/>
  <c r="AE45" i="13"/>
  <c r="AE24" i="13"/>
  <c r="AE46" i="13"/>
  <c r="AE28" i="13"/>
  <c r="AE26" i="13"/>
  <c r="AE27" i="13"/>
  <c r="AC287" i="15"/>
  <c r="K8" i="3"/>
  <c r="K6" i="3" s="1"/>
  <c r="K12" i="3"/>
  <c r="AB6" i="13"/>
  <c r="J6" i="3" s="1"/>
  <c r="C23" i="4"/>
  <c r="X74" i="15"/>
  <c r="D7" i="3"/>
  <c r="D6" i="3" s="1"/>
  <c r="D5" i="3" s="1"/>
  <c r="E5" i="3" s="1"/>
  <c r="J9" i="3"/>
  <c r="C9" i="3"/>
  <c r="D7" i="4"/>
  <c r="AE20" i="13"/>
  <c r="AE9" i="13"/>
  <c r="AE17" i="13"/>
  <c r="AE16" i="13"/>
  <c r="AE39" i="13"/>
  <c r="AE22" i="13"/>
  <c r="AE23" i="13"/>
  <c r="AE36" i="13"/>
  <c r="AE11" i="13"/>
  <c r="AE21" i="13"/>
  <c r="AE32" i="13"/>
  <c r="AE29" i="13"/>
  <c r="AE30" i="13"/>
  <c r="AE19" i="13"/>
  <c r="AE13" i="13"/>
  <c r="AE35" i="13"/>
  <c r="AE38" i="13"/>
  <c r="AE10" i="13"/>
  <c r="AE34" i="13"/>
  <c r="AE33" i="13"/>
  <c r="C7" i="4"/>
  <c r="J6" i="5"/>
  <c r="C7" i="5"/>
  <c r="C6" i="5" s="1"/>
  <c r="D7" i="5"/>
  <c r="D6" i="5" s="1"/>
  <c r="K6" i="5"/>
  <c r="AE14" i="13"/>
  <c r="AE15" i="13"/>
  <c r="AE8" i="13"/>
  <c r="AE31" i="13"/>
  <c r="AE18" i="13"/>
  <c r="AE12" i="13"/>
  <c r="AE37" i="13"/>
  <c r="G9" i="4"/>
  <c r="G16" i="4"/>
  <c r="G12" i="4"/>
  <c r="G11" i="4"/>
  <c r="N14" i="5"/>
  <c r="E14" i="5"/>
  <c r="G14" i="5" s="1"/>
  <c r="E29" i="5"/>
  <c r="G29" i="5" s="1"/>
  <c r="N29" i="5"/>
  <c r="F7" i="4"/>
  <c r="E22" i="5"/>
  <c r="G22" i="5" s="1"/>
  <c r="N22" i="5"/>
  <c r="F7" i="5"/>
  <c r="M6" i="5"/>
  <c r="N13" i="5"/>
  <c r="E13" i="5"/>
  <c r="G13" i="5" s="1"/>
  <c r="N28" i="5"/>
  <c r="E28" i="5"/>
  <c r="G28" i="5" s="1"/>
  <c r="N20" i="5"/>
  <c r="E20" i="5"/>
  <c r="G20" i="5" s="1"/>
  <c r="E12" i="5"/>
  <c r="G12" i="5" s="1"/>
  <c r="N12" i="5"/>
  <c r="E7" i="5"/>
  <c r="N7" i="5"/>
  <c r="L6" i="5"/>
  <c r="E35" i="5"/>
  <c r="N35" i="5"/>
  <c r="E27" i="5"/>
  <c r="N27" i="5"/>
  <c r="E19" i="5"/>
  <c r="N19" i="5"/>
  <c r="E11" i="5"/>
  <c r="N11" i="5"/>
  <c r="G15" i="4"/>
  <c r="E30" i="5"/>
  <c r="G30" i="5" s="1"/>
  <c r="N30" i="5"/>
  <c r="N36" i="5"/>
  <c r="E36" i="5"/>
  <c r="G36" i="5" s="1"/>
  <c r="E21" i="5"/>
  <c r="G21" i="5" s="1"/>
  <c r="N21" i="5"/>
  <c r="G10" i="4"/>
  <c r="E34" i="5"/>
  <c r="G34" i="5" s="1"/>
  <c r="N34" i="5"/>
  <c r="N26" i="5"/>
  <c r="E26" i="5"/>
  <c r="G26" i="5" s="1"/>
  <c r="N18" i="5"/>
  <c r="E18" i="5"/>
  <c r="G18" i="5" s="1"/>
  <c r="E10" i="5"/>
  <c r="G10" i="5" s="1"/>
  <c r="N10" i="5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G14" i="4"/>
  <c r="G13" i="4"/>
  <c r="E24" i="4"/>
  <c r="E32" i="5"/>
  <c r="G32" i="5" s="1"/>
  <c r="N32" i="5"/>
  <c r="E24" i="5"/>
  <c r="G24" i="5" s="1"/>
  <c r="N24" i="5"/>
  <c r="N16" i="5"/>
  <c r="E16" i="5"/>
  <c r="G16" i="5" s="1"/>
  <c r="E8" i="5"/>
  <c r="G8" i="5" s="1"/>
  <c r="N8" i="5"/>
  <c r="E31" i="5"/>
  <c r="N31" i="5"/>
  <c r="E23" i="5"/>
  <c r="N23" i="5"/>
  <c r="E15" i="5"/>
  <c r="N15" i="5"/>
  <c r="E7" i="4"/>
  <c r="I6" i="16"/>
  <c r="AA6" i="16"/>
  <c r="AA3" i="16" s="1"/>
  <c r="V6" i="16"/>
  <c r="V3" i="16" s="1"/>
  <c r="W7" i="16"/>
  <c r="X7" i="16" s="1"/>
  <c r="O6" i="16"/>
  <c r="AB6" i="16"/>
  <c r="L6" i="16"/>
  <c r="AC7" i="16"/>
  <c r="X8" i="16"/>
  <c r="AC23" i="16"/>
  <c r="X23" i="16"/>
  <c r="AC15" i="16"/>
  <c r="E9" i="3"/>
  <c r="AC8" i="15"/>
  <c r="W6" i="14"/>
  <c r="X6" i="14" s="1"/>
  <c r="AB6" i="14"/>
  <c r="X12" i="14"/>
  <c r="AC10" i="13"/>
  <c r="X10" i="13"/>
  <c r="G23" i="5" l="1"/>
  <c r="AP49" i="13"/>
  <c r="AL49" i="13"/>
  <c r="G35" i="5"/>
  <c r="AK49" i="13"/>
  <c r="AM49" i="13" s="1"/>
  <c r="AP7" i="13"/>
  <c r="G19" i="5"/>
  <c r="G27" i="5"/>
  <c r="G15" i="5"/>
  <c r="G31" i="5"/>
  <c r="G11" i="5"/>
  <c r="AK7" i="13"/>
  <c r="AM7" i="13" s="1"/>
  <c r="AO7" i="13"/>
  <c r="AQ7" i="13" s="1"/>
  <c r="AC6" i="13"/>
  <c r="AC3" i="13" s="1"/>
  <c r="AL48" i="13"/>
  <c r="AO48" i="13"/>
  <c r="AQ48" i="13" s="1"/>
  <c r="AK48" i="13"/>
  <c r="AM48" i="13" s="1"/>
  <c r="AP48" i="13"/>
  <c r="AO47" i="13"/>
  <c r="AQ47" i="13" s="1"/>
  <c r="AK47" i="13"/>
  <c r="AM47" i="13" s="1"/>
  <c r="AP47" i="13"/>
  <c r="AL47" i="13"/>
  <c r="V3" i="14"/>
  <c r="C43" i="5"/>
  <c r="D43" i="5" s="1"/>
  <c r="AA3" i="14"/>
  <c r="X6" i="13"/>
  <c r="X3" i="13" s="1"/>
  <c r="U6" i="5"/>
  <c r="AK28" i="13"/>
  <c r="AM28" i="13" s="1"/>
  <c r="AO28" i="13"/>
  <c r="AQ28" i="13" s="1"/>
  <c r="AP28" i="13"/>
  <c r="AL28" i="13"/>
  <c r="AO45" i="13"/>
  <c r="AQ45" i="13" s="1"/>
  <c r="AP45" i="13"/>
  <c r="AK45" i="13"/>
  <c r="AM45" i="13" s="1"/>
  <c r="AL45" i="13"/>
  <c r="AL43" i="13"/>
  <c r="AO43" i="13"/>
  <c r="AQ43" i="13" s="1"/>
  <c r="AP43" i="13"/>
  <c r="AK43" i="13"/>
  <c r="AM43" i="13" s="1"/>
  <c r="AK46" i="13"/>
  <c r="AM46" i="13" s="1"/>
  <c r="AL46" i="13"/>
  <c r="AO46" i="13"/>
  <c r="AQ46" i="13" s="1"/>
  <c r="AP46" i="13"/>
  <c r="AP42" i="13"/>
  <c r="AK42" i="13"/>
  <c r="AM42" i="13" s="1"/>
  <c r="AL42" i="13"/>
  <c r="AO42" i="13"/>
  <c r="AQ42" i="13" s="1"/>
  <c r="AO27" i="13"/>
  <c r="AQ27" i="13" s="1"/>
  <c r="AK27" i="13"/>
  <c r="AM27" i="13" s="1"/>
  <c r="AP27" i="13"/>
  <c r="AL27" i="13"/>
  <c r="AK44" i="13"/>
  <c r="AM44" i="13" s="1"/>
  <c r="AL44" i="13"/>
  <c r="AO44" i="13"/>
  <c r="AQ44" i="13" s="1"/>
  <c r="AP44" i="13"/>
  <c r="AP40" i="13"/>
  <c r="AK40" i="13"/>
  <c r="AM40" i="13" s="1"/>
  <c r="AL40" i="13"/>
  <c r="AO40" i="13"/>
  <c r="AQ40" i="13" s="1"/>
  <c r="AP26" i="13"/>
  <c r="AL26" i="13"/>
  <c r="AO26" i="13"/>
  <c r="AQ26" i="13" s="1"/>
  <c r="AK26" i="13"/>
  <c r="AM26" i="13" s="1"/>
  <c r="AP24" i="13"/>
  <c r="AL24" i="13"/>
  <c r="AO24" i="13"/>
  <c r="AQ24" i="13" s="1"/>
  <c r="AK24" i="13"/>
  <c r="AM24" i="13" s="1"/>
  <c r="AL41" i="13"/>
  <c r="AO41" i="13"/>
  <c r="AQ41" i="13" s="1"/>
  <c r="AP41" i="13"/>
  <c r="AK41" i="13"/>
  <c r="AM41" i="13" s="1"/>
  <c r="AO25" i="13"/>
  <c r="AQ25" i="13" s="1"/>
  <c r="AK25" i="13"/>
  <c r="AM25" i="13" s="1"/>
  <c r="AP25" i="13"/>
  <c r="AL25" i="13"/>
  <c r="L6" i="3"/>
  <c r="M12" i="3"/>
  <c r="M9" i="3" s="1"/>
  <c r="K9" i="3"/>
  <c r="K5" i="3" s="1"/>
  <c r="L5" i="3" s="1"/>
  <c r="E6" i="3"/>
  <c r="D3" i="4"/>
  <c r="AP8" i="13"/>
  <c r="AL8" i="13"/>
  <c r="AO8" i="13"/>
  <c r="AQ8" i="13" s="1"/>
  <c r="AK8" i="13"/>
  <c r="AM8" i="13" s="1"/>
  <c r="AP12" i="13"/>
  <c r="AL12" i="13"/>
  <c r="AO12" i="13"/>
  <c r="AQ12" i="13" s="1"/>
  <c r="AK12" i="13"/>
  <c r="AM12" i="13" s="1"/>
  <c r="D3" i="5"/>
  <c r="AP34" i="13"/>
  <c r="AL34" i="13"/>
  <c r="AO34" i="13"/>
  <c r="AQ34" i="13" s="1"/>
  <c r="AK34" i="13"/>
  <c r="AM34" i="13" s="1"/>
  <c r="AO13" i="13"/>
  <c r="AQ13" i="13" s="1"/>
  <c r="AK13" i="13"/>
  <c r="AM13" i="13" s="1"/>
  <c r="AP13" i="13"/>
  <c r="AL13" i="13"/>
  <c r="AP32" i="13"/>
  <c r="AL32" i="13"/>
  <c r="AO32" i="13"/>
  <c r="AQ32" i="13" s="1"/>
  <c r="AK32" i="13"/>
  <c r="AM32" i="13" s="1"/>
  <c r="AO23" i="13"/>
  <c r="AQ23" i="13" s="1"/>
  <c r="AK23" i="13"/>
  <c r="AM23" i="13" s="1"/>
  <c r="AP23" i="13"/>
  <c r="AL23" i="13"/>
  <c r="AO17" i="13"/>
  <c r="AQ17" i="13" s="1"/>
  <c r="AK17" i="13"/>
  <c r="AM17" i="13" s="1"/>
  <c r="AP17" i="13"/>
  <c r="AL17" i="13"/>
  <c r="AO33" i="13"/>
  <c r="AQ33" i="13" s="1"/>
  <c r="AK33" i="13"/>
  <c r="AM33" i="13" s="1"/>
  <c r="AP33" i="13"/>
  <c r="AL33" i="13"/>
  <c r="AO15" i="13"/>
  <c r="AQ15" i="13" s="1"/>
  <c r="AK15" i="13"/>
  <c r="AM15" i="13" s="1"/>
  <c r="AP15" i="13"/>
  <c r="AL15" i="13"/>
  <c r="AP18" i="13"/>
  <c r="AL18" i="13"/>
  <c r="AO18" i="13"/>
  <c r="AQ18" i="13" s="1"/>
  <c r="AK18" i="13"/>
  <c r="AM18" i="13" s="1"/>
  <c r="AP14" i="13"/>
  <c r="AL14" i="13"/>
  <c r="AO14" i="13"/>
  <c r="AQ14" i="13" s="1"/>
  <c r="AK14" i="13"/>
  <c r="AM14" i="13" s="1"/>
  <c r="B42" i="5"/>
  <c r="B41" i="5" s="1"/>
  <c r="AP10" i="13"/>
  <c r="AL10" i="13"/>
  <c r="AO10" i="13"/>
  <c r="AQ10" i="13" s="1"/>
  <c r="AK10" i="13"/>
  <c r="AM10" i="13" s="1"/>
  <c r="AO19" i="13"/>
  <c r="AQ19" i="13" s="1"/>
  <c r="AK19" i="13"/>
  <c r="AM19" i="13" s="1"/>
  <c r="AP19" i="13"/>
  <c r="AL19" i="13"/>
  <c r="AO21" i="13"/>
  <c r="AQ21" i="13" s="1"/>
  <c r="AK21" i="13"/>
  <c r="AM21" i="13" s="1"/>
  <c r="AP21" i="13"/>
  <c r="AL21" i="13"/>
  <c r="AP22" i="13"/>
  <c r="AL22" i="13"/>
  <c r="AO22" i="13"/>
  <c r="AQ22" i="13" s="1"/>
  <c r="AK22" i="13"/>
  <c r="AM22" i="13" s="1"/>
  <c r="AO9" i="13"/>
  <c r="AQ9" i="13" s="1"/>
  <c r="AK9" i="13"/>
  <c r="AM9" i="13" s="1"/>
  <c r="AP9" i="13"/>
  <c r="AL9" i="13"/>
  <c r="AO31" i="13"/>
  <c r="AQ31" i="13" s="1"/>
  <c r="AK31" i="13"/>
  <c r="AM31" i="13" s="1"/>
  <c r="AP31" i="13"/>
  <c r="AL31" i="13"/>
  <c r="AP38" i="13"/>
  <c r="AL38" i="13"/>
  <c r="AO38" i="13"/>
  <c r="AQ38" i="13" s="1"/>
  <c r="AK38" i="13"/>
  <c r="AM38" i="13" s="1"/>
  <c r="AP30" i="13"/>
  <c r="AL30" i="13"/>
  <c r="AK30" i="13"/>
  <c r="AM30" i="13" s="1"/>
  <c r="AO30" i="13"/>
  <c r="AQ30" i="13" s="1"/>
  <c r="AO11" i="13"/>
  <c r="AQ11" i="13" s="1"/>
  <c r="AK11" i="13"/>
  <c r="AM11" i="13" s="1"/>
  <c r="AP11" i="13"/>
  <c r="AL11" i="13"/>
  <c r="AO39" i="13"/>
  <c r="AQ39" i="13" s="1"/>
  <c r="AK39" i="13"/>
  <c r="AM39" i="13" s="1"/>
  <c r="AP39" i="13"/>
  <c r="AL39" i="13"/>
  <c r="AP20" i="13"/>
  <c r="AL20" i="13"/>
  <c r="AO20" i="13"/>
  <c r="AQ20" i="13" s="1"/>
  <c r="AK20" i="13"/>
  <c r="AM20" i="13" s="1"/>
  <c r="AO37" i="13"/>
  <c r="AQ37" i="13" s="1"/>
  <c r="AK37" i="13"/>
  <c r="AM37" i="13" s="1"/>
  <c r="AP37" i="13"/>
  <c r="AL37" i="13"/>
  <c r="AO35" i="13"/>
  <c r="AQ35" i="13" s="1"/>
  <c r="AK35" i="13"/>
  <c r="AM35" i="13" s="1"/>
  <c r="AP35" i="13"/>
  <c r="AL35" i="13"/>
  <c r="AO29" i="13"/>
  <c r="AQ29" i="13" s="1"/>
  <c r="AK29" i="13"/>
  <c r="AM29" i="13" s="1"/>
  <c r="AP29" i="13"/>
  <c r="AL29" i="13"/>
  <c r="AP36" i="13"/>
  <c r="AL36" i="13"/>
  <c r="AK36" i="13"/>
  <c r="AM36" i="13" s="1"/>
  <c r="AO36" i="13"/>
  <c r="AQ36" i="13" s="1"/>
  <c r="AP16" i="13"/>
  <c r="AL16" i="13"/>
  <c r="AO16" i="13"/>
  <c r="AQ16" i="13" s="1"/>
  <c r="AK16" i="13"/>
  <c r="AM16" i="13" s="1"/>
  <c r="F3" i="4"/>
  <c r="C42" i="5"/>
  <c r="N6" i="5"/>
  <c r="E6" i="5"/>
  <c r="G7" i="5"/>
  <c r="F6" i="5"/>
  <c r="E23" i="4"/>
  <c r="W6" i="16"/>
  <c r="X6" i="16" s="1"/>
  <c r="X3" i="16" s="1"/>
  <c r="V3" i="15"/>
  <c r="V3" i="13"/>
  <c r="AC6" i="15"/>
  <c r="AC3" i="15" s="1"/>
  <c r="X6" i="15"/>
  <c r="AC6" i="14"/>
  <c r="AC3" i="14" s="1"/>
  <c r="X3" i="14"/>
  <c r="C41" i="5" l="1"/>
  <c r="D41" i="5" s="1"/>
  <c r="AC6" i="16"/>
  <c r="AC3" i="16" s="1"/>
  <c r="G6" i="5"/>
  <c r="L9" i="3"/>
  <c r="AP6" i="13"/>
  <c r="AL6" i="13"/>
  <c r="AK6" i="13"/>
  <c r="AM6" i="13"/>
  <c r="AO6" i="13"/>
  <c r="AQ6" i="13"/>
  <c r="D42" i="5"/>
  <c r="X3" i="15"/>
  <c r="F3" i="5"/>
  <c r="B8" i="4" l="1"/>
  <c r="B23" i="4"/>
  <c r="G24" i="4"/>
  <c r="G8" i="4" l="1"/>
  <c r="G7" i="4" s="1"/>
  <c r="B7" i="4"/>
  <c r="G23" i="4"/>
</calcChain>
</file>

<file path=xl/sharedStrings.xml><?xml version="1.0" encoding="utf-8"?>
<sst xmlns="http://schemas.openxmlformats.org/spreadsheetml/2006/main" count="3999" uniqueCount="1330">
  <si>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</si>
  <si>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</si>
  <si>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</si>
  <si>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</si>
  <si>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</si>
  <si>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</si>
  <si>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</si>
  <si>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</si>
  <si>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</si>
  <si>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</si>
  <si>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</si>
  <si>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</si>
  <si>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</si>
  <si>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</si>
  <si>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</si>
  <si>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</si>
  <si>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</si>
  <si>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</si>
  <si>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</si>
  <si>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</si>
  <si>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</si>
  <si>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</si>
  <si>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</si>
  <si>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</si>
  <si>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</si>
  <si>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</si>
  <si>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</si>
  <si>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</si>
  <si>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</si>
  <si>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</si>
  <si>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</si>
  <si>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</si>
  <si>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</si>
  <si>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</si>
  <si>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</si>
  <si>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</si>
  <si>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</si>
  <si>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</si>
  <si>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</si>
  <si>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</si>
  <si>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</si>
  <si>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</si>
  <si>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</si>
  <si>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</si>
  <si>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</si>
  <si>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</si>
  <si>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</si>
  <si>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</si>
  <si>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</si>
  <si>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</si>
  <si>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</si>
  <si>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</si>
  <si>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</si>
  <si>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</si>
  <si>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</si>
  <si>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</si>
  <si>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</si>
  <si>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</si>
  <si>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</si>
  <si>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</si>
  <si>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</si>
  <si>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</si>
  <si>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</si>
  <si>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</si>
  <si>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</si>
  <si>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</si>
  <si>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</si>
  <si>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</si>
  <si>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</si>
  <si>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</si>
  <si>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</si>
  <si>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</si>
  <si>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</si>
  <si>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</si>
  <si>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</si>
  <si>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</si>
  <si>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</si>
  <si>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</si>
  <si>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</si>
  <si>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</si>
  <si>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</si>
  <si>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</si>
  <si>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</si>
  <si>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</si>
  <si>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</si>
  <si>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</si>
  <si>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</si>
  <si>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</si>
  <si>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</si>
  <si>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</si>
  <si>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</si>
  <si>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</si>
  <si>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</si>
  <si>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</si>
  <si>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</si>
  <si>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</si>
  <si>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</si>
  <si>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</si>
  <si>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</si>
  <si>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</si>
  <si>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</si>
  <si>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</si>
  <si>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</si>
  <si>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</si>
  <si>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</si>
  <si>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</si>
  <si>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</si>
  <si>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</si>
  <si>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</si>
  <si>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</si>
  <si>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</si>
  <si>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</si>
  <si>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</si>
  <si>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</si>
  <si>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</si>
  <si>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</si>
  <si>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</si>
  <si>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</si>
  <si>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</si>
  <si>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</si>
  <si>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</si>
  <si>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</si>
  <si>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</si>
  <si>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</si>
  <si>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</si>
  <si>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</si>
  <si>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</si>
  <si>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</si>
  <si>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</si>
  <si>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</si>
  <si>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</si>
  <si>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</si>
  <si>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</si>
  <si>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</si>
  <si>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</si>
  <si>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</si>
  <si>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</si>
  <si>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</si>
  <si>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</si>
  <si>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</si>
  <si>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</si>
  <si>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</si>
  <si>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</si>
  <si>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</si>
  <si>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</si>
  <si>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</si>
  <si>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</si>
  <si>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</si>
  <si>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</si>
  <si>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</si>
  <si>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</si>
  <si>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</si>
  <si>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</si>
  <si>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</si>
  <si>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</si>
  <si>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</si>
  <si>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</si>
  <si>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</si>
  <si>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</si>
  <si>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</si>
  <si>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</si>
  <si>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</si>
  <si>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</si>
  <si>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</si>
  <si>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</si>
  <si>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</si>
  <si>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</si>
  <si>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</si>
  <si>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</si>
  <si>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</si>
  <si>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</si>
  <si>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</si>
  <si>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</si>
  <si>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</si>
  <si>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</si>
  <si>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</si>
  <si>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</si>
  <si>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</si>
  <si>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</si>
  <si>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</si>
  <si>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</si>
  <si>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</si>
  <si>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</si>
  <si>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</si>
  <si>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</si>
  <si>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</si>
  <si>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</si>
  <si>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</si>
  <si>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</si>
  <si>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</si>
  <si>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</si>
  <si>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</si>
  <si>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</si>
  <si>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</si>
  <si>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</si>
  <si>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</si>
  <si>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</si>
  <si>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</si>
  <si>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</si>
  <si>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</si>
  <si>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</si>
  <si>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</si>
  <si>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</si>
  <si>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</si>
  <si>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</si>
  <si>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</si>
  <si>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</si>
  <si>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</si>
  <si>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</si>
  <si>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</si>
  <si>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</si>
  <si>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</si>
  <si>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</si>
  <si>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</si>
  <si>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</si>
  <si>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</si>
  <si>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</si>
  <si>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</si>
  <si>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</si>
  <si>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</si>
  <si>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</si>
  <si>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</si>
  <si>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</si>
  <si>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</si>
  <si>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</si>
  <si>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</si>
  <si>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</si>
  <si>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</si>
  <si>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</si>
  <si>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</si>
  <si>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</si>
  <si>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</si>
  <si>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</si>
  <si>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</si>
  <si>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</si>
  <si>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</si>
  <si>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</si>
  <si>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</si>
  <si>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</si>
  <si>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</si>
  <si>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</si>
  <si>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</si>
  <si>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</si>
  <si>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</si>
  <si>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</si>
  <si>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</si>
  <si>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</si>
  <si>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</si>
  <si>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</si>
  <si>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</si>
  <si>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</si>
  <si>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</si>
  <si>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</si>
  <si>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</si>
  <si>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</si>
  <si>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</si>
  <si>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</si>
  <si>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</si>
  <si>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</si>
  <si>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</si>
  <si>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</si>
  <si>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</si>
  <si>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</si>
  <si>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</si>
  <si>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</si>
  <si>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</si>
  <si>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</si>
  <si>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</si>
  <si>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</si>
  <si>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</si>
  <si>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</si>
  <si>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</si>
  <si>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</si>
  <si>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</si>
  <si>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</si>
  <si>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</si>
  <si>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</si>
  <si>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</si>
  <si>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</si>
  <si>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</si>
  <si>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</si>
  <si>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</si>
  <si>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</si>
  <si>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</si>
  <si>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</si>
  <si>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</si>
  <si>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</si>
  <si>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</si>
  <si>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</si>
  <si>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</si>
  <si>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</si>
  <si>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</si>
  <si>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</si>
  <si>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</si>
  <si>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</si>
  <si>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</si>
  <si>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</si>
  <si>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</si>
  <si>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</si>
  <si>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</si>
  <si>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</si>
  <si>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</si>
  <si>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</si>
  <si>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</si>
  <si>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</si>
  <si>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</si>
  <si>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</si>
  <si>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</si>
  <si>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</si>
  <si>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</si>
  <si>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</si>
  <si>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</si>
  <si>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</si>
  <si>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</si>
  <si>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</si>
  <si>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</si>
  <si>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</si>
  <si>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</si>
  <si>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</si>
  <si>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</si>
  <si>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</si>
  <si>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</si>
  <si>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</si>
  <si>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</si>
  <si>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</si>
  <si>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</si>
  <si>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</si>
  <si>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</si>
  <si>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</si>
  <si>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</si>
  <si>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</si>
  <si>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</si>
  <si>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</si>
  <si>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</si>
  <si>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</si>
  <si>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</si>
  <si>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</si>
  <si>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</si>
  <si>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</si>
  <si>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</si>
  <si>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</si>
  <si>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</si>
  <si>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</si>
  <si>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</si>
  <si>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</si>
  <si>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</si>
  <si>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</si>
  <si>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</si>
  <si>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</si>
  <si>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</si>
  <si>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</si>
  <si>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</si>
  <si>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</si>
  <si>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</si>
  <si>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</si>
  <si>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</si>
  <si>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</si>
  <si>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</si>
  <si>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</si>
  <si>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</si>
  <si>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</si>
  <si>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</si>
  <si>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</si>
  <si>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</si>
  <si>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</si>
  <si>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</si>
  <si>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</si>
  <si>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</si>
  <si>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</si>
  <si>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</si>
  <si>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</si>
  <si>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</si>
  <si>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</si>
  <si>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</si>
  <si>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</si>
  <si>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</si>
  <si>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</si>
  <si>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</si>
  <si>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</si>
  <si>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</si>
  <si>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</si>
  <si>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</si>
  <si>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</si>
  <si>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</si>
  <si>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</si>
  <si>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</si>
  <si>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</si>
  <si>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</si>
  <si>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</si>
  <si>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</si>
  <si>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</si>
  <si>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</si>
  <si>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</si>
  <si>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</si>
  <si>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</si>
  <si>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</si>
  <si>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</si>
  <si>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</si>
  <si>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</si>
  <si>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</si>
  <si>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</si>
  <si>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</si>
  <si>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</si>
  <si>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</si>
  <si>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</si>
  <si>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</si>
  <si>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</si>
  <si>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</si>
  <si>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</si>
  <si>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</si>
  <si>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</si>
  <si>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</si>
  <si>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</si>
  <si>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</si>
  <si>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</si>
  <si>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</si>
  <si>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</si>
  <si>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</si>
  <si>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</si>
  <si>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</si>
  <si>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</si>
  <si>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</si>
  <si>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</si>
  <si>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</si>
  <si>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</si>
  <si>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</si>
  <si>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</si>
  <si>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</si>
  <si>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</si>
  <si>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</si>
  <si>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</si>
  <si>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</si>
  <si>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</si>
  <si>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</si>
  <si>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</si>
  <si>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</si>
  <si>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</si>
  <si>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</si>
  <si>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</si>
  <si>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</si>
  <si>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</si>
  <si>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</si>
  <si>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</si>
  <si>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</si>
  <si>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</si>
  <si>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</si>
  <si>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</si>
  <si>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</si>
  <si>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</si>
  <si>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</si>
  <si>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</si>
  <si>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</si>
  <si>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</si>
  <si>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</si>
  <si>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</si>
  <si>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</si>
  <si>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</si>
  <si>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</si>
  <si>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</si>
  <si>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</si>
  <si>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</si>
  <si>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</si>
  <si>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</si>
  <si>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</si>
  <si>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</si>
  <si>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</si>
  <si>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</si>
  <si>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</si>
  <si>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</si>
  <si>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</si>
  <si>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</si>
  <si>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</si>
  <si>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</si>
  <si>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</si>
  <si>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</si>
  <si>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</si>
  <si>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</si>
  <si>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</si>
  <si>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</si>
  <si>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</si>
  <si>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</si>
  <si>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</si>
  <si>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</si>
  <si>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</si>
  <si>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</si>
  <si>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</si>
  <si>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</si>
  <si>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</si>
  <si>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</si>
  <si>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</si>
  <si>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</si>
  <si>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</si>
  <si>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</si>
  <si>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</si>
  <si>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</si>
  <si>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</si>
  <si>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</si>
  <si>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</si>
  <si>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</si>
  <si>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</si>
  <si>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</si>
  <si>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</si>
  <si>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</si>
  <si>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</si>
  <si>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</si>
  <si>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</si>
  <si>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</si>
  <si>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</si>
  <si>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</si>
  <si>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</si>
  <si>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</si>
  <si>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</si>
  <si>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</si>
  <si>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</si>
  <si>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</si>
  <si>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</si>
  <si>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</si>
  <si>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</si>
  <si>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</si>
  <si>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</si>
  <si>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</si>
  <si>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</si>
  <si>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</si>
  <si>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</si>
  <si>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</si>
  <si>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</si>
  <si>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</si>
  <si>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</si>
  <si>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</si>
  <si>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</si>
  <si>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</si>
  <si>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</si>
  <si>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</si>
  <si>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</si>
  <si>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</si>
  <si>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</si>
  <si>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</si>
  <si>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</si>
  <si>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</si>
  <si>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</si>
  <si>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</si>
  <si>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</si>
  <si>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</si>
  <si>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</si>
  <si>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</si>
  <si>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</si>
  <si>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</si>
  <si>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</si>
  <si>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</si>
  <si>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</si>
  <si>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</si>
  <si>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</si>
  <si>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</si>
  <si>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</si>
  <si>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</si>
  <si>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</si>
  <si>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</si>
  <si>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</si>
  <si>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</si>
  <si>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</si>
  <si>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</si>
  <si>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</si>
  <si>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</si>
  <si>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</si>
  <si>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</si>
  <si>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</si>
  <si>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</si>
  <si>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</si>
  <si>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</si>
  <si>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</si>
  <si>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</si>
  <si>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</si>
  <si>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</si>
  <si>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</si>
  <si>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</si>
  <si>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</si>
  <si>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</si>
  <si>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</si>
  <si>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</si>
  <si>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</si>
  <si>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</si>
  <si>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</si>
  <si>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</si>
  <si>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</si>
  <si>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</si>
  <si>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</si>
  <si>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</si>
  <si>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</si>
  <si>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</si>
  <si>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</si>
  <si>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</si>
  <si>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</si>
  <si>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</si>
  <si>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</si>
  <si>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</si>
  <si>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</si>
  <si>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</si>
  <si>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</si>
  <si>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</si>
  <si>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</si>
  <si>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</si>
  <si>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</si>
  <si>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</si>
  <si>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</si>
  <si>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</si>
  <si>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</si>
  <si>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</si>
  <si>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</si>
  <si>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</si>
  <si>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</si>
  <si>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</si>
  <si>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</si>
  <si>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</si>
  <si>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</si>
  <si>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</si>
  <si>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</si>
  <si>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</si>
  <si>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</si>
  <si>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</si>
  <si>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</si>
  <si>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</si>
  <si>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</si>
  <si>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</si>
  <si>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</si>
  <si>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</si>
  <si>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</si>
  <si>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</si>
  <si>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</si>
  <si>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</si>
  <si>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</si>
  <si>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</si>
  <si>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</si>
  <si>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</si>
  <si>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</si>
  <si>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</si>
  <si>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</si>
  <si>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</si>
  <si>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</si>
  <si>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</si>
  <si>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</si>
  <si>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</si>
  <si>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</si>
  <si>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</si>
  <si>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</si>
  <si>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</si>
  <si>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</si>
  <si>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</si>
  <si>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</si>
  <si>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</si>
  <si>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</si>
  <si>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</si>
  <si>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</si>
  <si>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</si>
  <si>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</si>
  <si>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</si>
  <si>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</si>
  <si>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</si>
  <si>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</si>
  <si>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</si>
  <si>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</si>
  <si>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</si>
  <si>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</si>
  <si>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</si>
  <si>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</si>
  <si>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</si>
  <si>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</si>
  <si>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</si>
  <si>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</si>
  <si>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</si>
  <si>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</si>
  <si>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</si>
  <si>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</si>
  <si>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</si>
  <si>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</si>
  <si>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</si>
  <si>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</si>
  <si>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</si>
  <si>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</si>
  <si>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</si>
  <si>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</si>
  <si>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</si>
  <si>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</si>
  <si>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</si>
  <si>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</si>
  <si>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</si>
  <si>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</si>
  <si>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</si>
  <si>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</si>
  <si>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</si>
  <si>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</si>
  <si>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</si>
  <si>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</si>
  <si>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</si>
  <si>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</si>
  <si>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</si>
  <si>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</si>
  <si>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</si>
  <si>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</si>
  <si>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</si>
  <si>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</si>
  <si>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</si>
  <si>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</si>
  <si>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</si>
  <si>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</si>
  <si>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</si>
  <si>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</si>
  <si>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</si>
  <si>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</si>
  <si>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</si>
  <si>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</si>
  <si>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</si>
  <si>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</si>
  <si>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</si>
  <si>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</si>
  <si>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</si>
  <si>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</si>
  <si>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</si>
  <si>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</si>
  <si>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</si>
  <si>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</si>
  <si>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</si>
  <si>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</si>
  <si>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</si>
  <si>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</si>
  <si>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</si>
  <si>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</si>
  <si>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</si>
  <si>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</si>
  <si>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</si>
  <si>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</si>
  <si>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</si>
  <si>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</si>
  <si>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</si>
  <si>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</si>
  <si>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</si>
  <si>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</si>
  <si>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</si>
  <si>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</si>
  <si>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</si>
  <si>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</si>
  <si>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</si>
  <si>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</si>
  <si>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</si>
  <si>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</si>
  <si>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</si>
  <si>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</si>
  <si>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</si>
  <si>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</si>
  <si>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</si>
  <si>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</si>
  <si>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</si>
  <si>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</si>
  <si>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</si>
  <si>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</si>
  <si>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</si>
  <si>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</si>
  <si>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</si>
  <si>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</si>
  <si>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 xml:space="preserve"> - 2015년도 제2회 일반회계 및 특별회계 추가경정 세입·세출 예산안</t>
    <phoneticPr fontId="1" type="noConversion"/>
  </si>
  <si>
    <t>2추 예비비</t>
    <phoneticPr fontId="1" type="noConversion"/>
  </si>
  <si>
    <t>2015년도 제2회 추경 일반 및 특별회계 세입·세출 예산안(전체예산총괄)</t>
    <phoneticPr fontId="1" type="noConversion"/>
  </si>
  <si>
    <t>제2회 추경 일반회계 검증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</si>
  <si>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제2회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</si>
  <si>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</si>
  <si>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</si>
  <si>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</si>
  <si>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</si>
  <si>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</si>
  <si>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</si>
  <si>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</si>
  <si>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</si>
  <si>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신규</t>
  </si>
  <si>
    <t>LPG소형저장탱크 보급사업(국비/지원)</t>
  </si>
  <si>
    <t>국고보조금등
 -한발대비용수개발</t>
  </si>
  <si>
    <t>국고보조금등
 -피해보전직물 및 폐업지원</t>
  </si>
  <si>
    <t>국고보조금등
 -승마대회 활성화 지원</t>
  </si>
  <si>
    <t>2회추경</t>
  </si>
  <si>
    <t>국고보조금사용잔액
 -축산위생연구소국비사용잔액</t>
  </si>
  <si>
    <t>국고보조금
(노인생활시설 기능보강)</t>
  </si>
  <si>
    <t>본예산</t>
  </si>
  <si>
    <t>국고보조금
(노인양로시설 운영)</t>
  </si>
  <si>
    <t>1회추경</t>
  </si>
  <si>
    <t>국고보조금
(메르스 사망자 장례비용 지원)</t>
  </si>
  <si>
    <t>국고보조금 반환금
(노인복지과 국비 사용 잔액)</t>
  </si>
  <si>
    <t>국고보조금
(장애수당(기초))</t>
  </si>
  <si>
    <t>국고보조금
(장애수당(차상위 등))</t>
  </si>
  <si>
    <t>국고보조금
(장애인연금)</t>
  </si>
  <si>
    <t>국고보조금
(급성감염병관리사업)</t>
  </si>
  <si>
    <t>국고보조금
(감염병관리 시설 및 장비확충)</t>
  </si>
  <si>
    <t>기금
(취약지역 응급의료기관 운영)</t>
  </si>
  <si>
    <t>기금
(국내외재난의료지원)</t>
  </si>
  <si>
    <t>기금
(암환자지원사업)</t>
  </si>
  <si>
    <t>도시침수대응</t>
  </si>
  <si>
    <t>하수처리장 확충</t>
  </si>
  <si>
    <t>농어촌마을 하수처리장 설치</t>
  </si>
  <si>
    <t>하수관로 정비사업</t>
  </si>
  <si>
    <t>면단위하수처리장 설치</t>
  </si>
  <si>
    <t>감염병시설 및 장비확충</t>
  </si>
  <si>
    <t>지방체육진흥 지원사업</t>
  </si>
  <si>
    <t>국민체육센터 건립 지원</t>
  </si>
  <si>
    <t>호국의승군 기념관 건립</t>
  </si>
  <si>
    <t>여성가족과 도비사용잔액</t>
  </si>
  <si>
    <t>여성가족과 국고보조금 사용잔액</t>
  </si>
  <si>
    <t>성폭력방지 및 피해자지원사업</t>
  </si>
  <si>
    <t>아동통합서비스지원 운영</t>
  </si>
  <si>
    <t>다문화가족지원센터 운영</t>
  </si>
  <si>
    <t>취업자 사후관리 서비스 구축</t>
  </si>
  <si>
    <t>국비내시 추가</t>
  </si>
  <si>
    <t>국비추가내시 
-농림축산식품부 농업기반과-3978(2015.8.28.)호</t>
  </si>
  <si>
    <t>국비추가내시
-해양수산부 수산정책과-3565(2015.9.3.)호</t>
  </si>
  <si>
    <t>국비추가내시 
-농림축산식품부 축산정책과-3931(2015.8.27.)호</t>
  </si>
  <si>
    <t>국비 확정내시
※ 보건복지부 요양보험운영과-5820(2015. 8.21)</t>
  </si>
  <si>
    <t>국비 확정내시
※ 보건복지부 요양보험운영과-5999(2015.8.28)호</t>
  </si>
  <si>
    <t>국비 확정내시 변경
※ 질병관리본부 공중보건위기대응과-2351(2015.8.21)호</t>
  </si>
  <si>
    <t>오입력에 따른 예산액 정정</t>
  </si>
  <si>
    <t>국비 변경내시
※ 보건복지부 장애인자립기반과-7615(2015.9.8)호</t>
  </si>
  <si>
    <t>국비 변경내시
※ 보건복지부 장애인자립기반과-7534(2015.9.4)호</t>
  </si>
  <si>
    <t>국비 변경내시
※ 질병관리본부 감염병관리과-2539(2015.8.17.)호</t>
  </si>
  <si>
    <t>국비 변경내시
※ 질병관리본부 공중보건위기대응과-2338(2015.8.21)호
※ 보건복지부 응급의료과-6007(2015.9.3)호</t>
  </si>
  <si>
    <t>국비 변경내시
※ 보건복지부 응급의료과-5440(2015.8.7.)호</t>
  </si>
  <si>
    <t>국비 변경내시
※ 보건복지부 응급의료과-5928(2015.8.31)호</t>
  </si>
  <si>
    <t>국비 변경내시
※ 보건복지부 질병정책과-6448(2015.9.9.)호</t>
  </si>
  <si>
    <t>환경부 국비 증액내시에 따른 예산 증액
 ※한강유역환경청 수질총량관리과-7909(15.8.21)호</t>
  </si>
  <si>
    <t>환경부 국비 감액내시에 따른 예산 감액
 ※한강유역환경청 수질총량관리과-7277(15.8.4)호, 수질총량관리과-7909(2015.8.21)호</t>
  </si>
  <si>
    <t>환경부 국비 증액내시에 따른 예산 증액
 ※한강유역환경청 수질총량관리과-7277(15.8.4)호, 수질총량관리과-7909(2015.8.21)호</t>
  </si>
  <si>
    <t>환경부 국비 증액내시에 따른 예산 증액
 ※환경부 자연정책과-4360(2015.9.8)호</t>
  </si>
  <si>
    <t>세입과목 정정</t>
  </si>
  <si>
    <t>※ 여성가족부 권익정책과-3260(2015.9.11.)호 국비내시 반영</t>
  </si>
  <si>
    <t>※ 보건복지부 아동권리과-5360(2015.8.28.)호 국비내시 반영</t>
  </si>
  <si>
    <t>※ 여성가족부 다문화가족정책과-2150(2015.9.7.)호 국비내시 반영</t>
  </si>
  <si>
    <t>※ 행정자치부 행정제도혁신과-2697(2015.8.20.)호 국비내시 반영</t>
  </si>
  <si>
    <t>수자원본부</t>
    <phoneticPr fontId="1" type="noConversion"/>
  </si>
  <si>
    <t>의회</t>
  </si>
  <si>
    <t>체력단련실 샤워장 설치</t>
  </si>
  <si>
    <t>행사운영지원</t>
  </si>
  <si>
    <t>의원 의정능력 배양</t>
  </si>
  <si>
    <t>공공운영비</t>
  </si>
  <si>
    <t>지방의원 공제회 운영방안 연구용역</t>
  </si>
  <si>
    <t>포토의정 에세이</t>
  </si>
  <si>
    <t>의정현안 시책홍보</t>
  </si>
  <si>
    <t>인터넷 사이트를 통한 의정홍보</t>
  </si>
  <si>
    <t>의정지원능력 강화</t>
  </si>
  <si>
    <t>선진의회 운영 사례연구</t>
  </si>
  <si>
    <t>실내조명 환경개선사업</t>
  </si>
  <si>
    <t>CATV 의정홍보</t>
  </si>
  <si>
    <t>노후 집기 교체</t>
  </si>
  <si>
    <t>위원회별 정책연구용역</t>
  </si>
  <si>
    <t>경기도 운영사이트 정보접근성 실태조사</t>
  </si>
  <si>
    <t>경기연구원 출연금</t>
  </si>
  <si>
    <t>국비 내시 추가</t>
  </si>
  <si>
    <t>국비</t>
  </si>
  <si>
    <t>교육생용 방독면 구입</t>
  </si>
  <si>
    <t>취약계층 안전시설 보급(자체/직접)
- 성남소방서 취약계층 소방시설 지원</t>
  </si>
  <si>
    <t>시설비</t>
  </si>
  <si>
    <t>사무관리비(단독감지기, 소화기 구입)</t>
  </si>
  <si>
    <t>소방공무원 식당환경 개선
개선공사(시설비) : 660,000천원
식당물품 구입(월피포함)(자산및물품취득비) : 165,200천원</t>
  </si>
  <si>
    <t>재료비</t>
  </si>
  <si>
    <t>국비내시 변경</t>
  </si>
  <si>
    <t>자치단체보조</t>
  </si>
  <si>
    <t>국비내시(국비+도비)</t>
  </si>
  <si>
    <t>국비내시(국비)</t>
  </si>
  <si>
    <t>국비내시</t>
  </si>
  <si>
    <t>경기도문화의전당 운영(자체/직접)</t>
  </si>
  <si>
    <t>공공체육시설 개보수 지원(자체/지원)</t>
  </si>
  <si>
    <t>지역사회 체육역량강화 프로그램 지원</t>
  </si>
  <si>
    <t>다문화 가족 미니 월드컵</t>
  </si>
  <si>
    <t>주한 외국인 스포츠문화 체육축제</t>
  </si>
  <si>
    <t>체육단체 통합 지원사업
(세미나, 토론회, 연구비 등)</t>
  </si>
  <si>
    <t>경기도 문화유산을 찾아서</t>
  </si>
  <si>
    <t>풀사료생산지원(자체/지원)
-곤포사일리지 비닐 지원</t>
  </si>
  <si>
    <t>가축분뇨자원화(자체/지원)
-다용도축분 처리장비지원</t>
  </si>
  <si>
    <t>축산업 경쟁력 향상(자체/지원)
-양봉산업 육성사업</t>
  </si>
  <si>
    <t>감염병관리 시설 및 장비 확충(국비/지원)
-보건소 구급차지원</t>
  </si>
  <si>
    <t>감염병관리 시설 및 장비 확충(국비/직접)
-지역거점병원 격리병상 확충</t>
  </si>
  <si>
    <t>취약지역 응급의료기관 운영(기금/직접)
-취약지역 응급의료기관 운영</t>
  </si>
  <si>
    <t>농어촌지역 응급의료기관 운영비 지원(기금/직접)
-농어촌지역 응급의료기관 운영비 지원</t>
  </si>
  <si>
    <t>국내외 재난의료지원(기금/직접)
-권역별 재난의료 전담인력 배치 및 운영지원</t>
  </si>
  <si>
    <t>국내외 재난의료지원(기금/직접)
-현장 응급의료 지원차량 구입</t>
  </si>
  <si>
    <t>영유아 사전예방적 건강관리(기금/지원)
- 미숙아 및 선천성 이상아 의료비 지원</t>
  </si>
  <si>
    <t>영유아 사전예방적 건강관리(기금/지원)
- 선천성 대사이상검사 및 환아관리</t>
  </si>
  <si>
    <t>영유아 사전예방적 건강관리(기금/지원)
- 신생아 청각선별검사</t>
  </si>
  <si>
    <t>암환자 의료비 지원(기금/지원)
-암환자 의료비 지원</t>
  </si>
  <si>
    <t>포괄간호서비스 운영지원(자체/직접)
-포괄간호서비스 운영지원</t>
  </si>
  <si>
    <t>경기복지재단(자체/직접)
-경기도 복지균형발전 기준마련을 위한 연구용역</t>
  </si>
  <si>
    <t>경기도 공공심야약국 운영(자체/직접)
-경기도 공공심야약국 운영</t>
  </si>
  <si>
    <t>어린이 급식관리지원센터 운영(국비/지원)
-어린이 급식관리지원센터 운영</t>
  </si>
  <si>
    <t>장애인 자립생활지원센터 운영(자체/지원)
-중증장애인 자립생활 체험홈 설치·운영 지원</t>
  </si>
  <si>
    <t>장애인인권센터 설치 운영(자체/직접)
-경기서북부 장애인인권센터 설치</t>
  </si>
  <si>
    <t>장애인단체 육성 및 지원(자체/직접)
-농아노인센터 운영</t>
  </si>
  <si>
    <t>통합사례관리 추진 활성화 연구(자체/직접)
-통합사례관리 추진 활성화 연구</t>
  </si>
  <si>
    <t>경기복지재단(자체/직접)
-통합사례관리 추진 활성화 연구</t>
  </si>
  <si>
    <t>중증외상센터 설립지원(지방채/직접)
-경기도 중증외상센터 건립지원</t>
  </si>
  <si>
    <t>보훈단체 운영지원(자체/직접)
-경기도 보훈회관 건립추진 연구용역</t>
  </si>
  <si>
    <t>민관협력지원체계구축(자체/직접)
-생활공감정책 운영 지원</t>
  </si>
  <si>
    <t>경기복지재단(자체/직접)
-복지분야 단기정책 연구사업</t>
  </si>
  <si>
    <t>국비 변경내시
※ 질병관리본부 감염병관리과-2539(2015.8.17.)
세입-급성감염병관리사업</t>
  </si>
  <si>
    <t>국비 변경내시
※ 보건복지부 응급의료과-6007(2015.9.3)호
세입-감염병관리 시설 및 장비확충</t>
  </si>
  <si>
    <t>국비 변경내시
※ 질병관리본부 공중보건위기대응과-2338(2015.8.21)호
세입-감염병관리 시설 및 장비확충</t>
  </si>
  <si>
    <t>국비 변경내시
※ 보건복지부 응급의료과-5440(2015.8.7.)호
세입-취약지역응급의료기관운영</t>
  </si>
  <si>
    <t>국비 변경내시
※ 보건복지부 응급의료과-5928(2015.8.31)호
세입-국내외재난의료지원</t>
  </si>
  <si>
    <t>국비 확정내시
※ 보건복지부 응급의료과-5928(2015.8.31)호
세입-국내외재난의료지원</t>
  </si>
  <si>
    <t>부기사업간 시군 예산 과부족에 따른 금액 정정
※ 보건복지부 출산정책과-4449(2015.7.30.)호</t>
  </si>
  <si>
    <t>홍보 58백만원(대형외벽현수막,전단지,인력채용홍보비)
시설개선 394백만원</t>
  </si>
  <si>
    <t>운영비 49,680천원
홍보비 15,000천원</t>
  </si>
  <si>
    <t>노인복지관 건립지원(1개소)</t>
  </si>
  <si>
    <t>현 농아노인센터 확장이전</t>
  </si>
  <si>
    <t>세부사업 및 통계목 변경
통합사례관리 추진 활성화 연구(자체/직접) 연구용역비를 경기복지재단(자체/직접) 출연금으로 변경</t>
  </si>
  <si>
    <t>(사업명변경) 이천시 대월면 지방도337호선 지방도확포장공사</t>
  </si>
  <si>
    <t>범안로 확장공사(자체/지원)
- 범안로 도로확포장</t>
  </si>
  <si>
    <t>용인-포곡 도로확포장(자체/지원)
- 용인-포곡 도로확포장</t>
  </si>
  <si>
    <t>지방하천개수시군대행사업(자체/지원)
- 지방하천개수시군대행사업</t>
  </si>
  <si>
    <t>지방하천 유지관리(자체/지원)
- 지방하천 유지관리</t>
  </si>
  <si>
    <t>기금전출금</t>
  </si>
  <si>
    <t>지방도 유지관리(자체/직접)
- 지방도유지관리</t>
  </si>
  <si>
    <t>지방도 관리(자체/직접)
- 지방도유지관리</t>
  </si>
  <si>
    <t>도시재생사업의 효율적 추진방안 연구용역
(재정비촉진지구 해제지역을 중심으로)</t>
  </si>
  <si>
    <t>경기도 도시숲 조성 및 관리방안 연구</t>
  </si>
  <si>
    <t>월문천 등 수질개선사업</t>
  </si>
  <si>
    <t>소규모 수도시설 개량사업</t>
  </si>
  <si>
    <t>도시소생태계 조성사업(국비/지원)</t>
  </si>
  <si>
    <t>길거리 분리수거함 설치</t>
  </si>
  <si>
    <t>스마트경고판 설치 시범사업</t>
  </si>
  <si>
    <t>캔 압축기 설치 시범사업</t>
  </si>
  <si>
    <t>공사비 부족으로 사업추진에 어려움이 있어 도비
증액 필요(부천 심곡천)</t>
  </si>
  <si>
    <t>환경부 국비 증액내시에 따른 예산 증액
※한강유역환경청 수질총량관리과-7909(2015.8.21)</t>
  </si>
  <si>
    <t>일반사업을 시범사업으로 명칭을 바꾸고 
사업기간은 3년, 그후 평가를 받도록 부대의견 제시</t>
  </si>
  <si>
    <t>환경부 국비 증액내시에 따른 예산 증액
※환경부 자연정책과-4360(15.9.8)호</t>
  </si>
  <si>
    <t>세부사업명 변경에 따라 삭제(직접-&gt;지원)</t>
  </si>
  <si>
    <t>세부사업명 변경에 따라 추가(직접-&gt;지원)</t>
  </si>
  <si>
    <t>세입 과목 변경에 따라 국비반환금 증가</t>
  </si>
  <si>
    <t>드림스타트 사업지원(국비/지원)</t>
  </si>
  <si>
    <t>취업자 사후관리 서비스 구축(교부세/직접)</t>
  </si>
  <si>
    <t>도립 청소년 수련시설 개선 및 보강사업(자체/직접)</t>
  </si>
  <si>
    <t>아동복지시설 모범아동 세계문화유산탐방(자체/직접)</t>
  </si>
  <si>
    <t>경기영어마을 양평캠프 메르스 결손액 보전금(자체/직접)</t>
  </si>
  <si>
    <t>스마트도서관 설치 지원(자체/지원)</t>
  </si>
  <si>
    <t>특화거리 및 재래시장 활성화 지원</t>
  </si>
  <si>
    <t>전통시장 기반시설 확충 지원</t>
  </si>
  <si>
    <t>마이크로크레딧(굿모닝론) 확대운영</t>
  </si>
  <si>
    <t>중소기업 교류협력 지원</t>
  </si>
  <si>
    <t>IOT소자 연구개발 및 시생산 팹구축사업</t>
  </si>
  <si>
    <t>특화산업 육성 지원</t>
  </si>
  <si>
    <t>인재개발원</t>
    <phoneticPr fontId="1" type="noConversion"/>
  </si>
  <si>
    <t>경기문화재단 운영(자체/직접)
※ 일반편성과 중복</t>
  </si>
  <si>
    <t>경기관광공사 운영(자체/직접)
※ 일반편성과 중복</t>
  </si>
  <si>
    <t>도비 추가지원
※시군 도비보조 30:70
국비 감액 내시에 따른 도비 추가지원</t>
    <phoneticPr fontId="1" type="noConversion"/>
  </si>
  <si>
    <t>수자원본부</t>
    <phoneticPr fontId="1" type="noConversion"/>
  </si>
  <si>
    <t>OK</t>
  </si>
  <si>
    <t/>
  </si>
  <si>
    <t>3대 자영업자(요식업, 화물차, 대리기사)를 위한 공공앱 개발타당성 연구</t>
  </si>
  <si>
    <t>소방체험차량 활용 훈련 강화</t>
  </si>
  <si>
    <t>재난안전본부</t>
    <phoneticPr fontId="1" type="noConversion"/>
  </si>
  <si>
    <t>기획조정실</t>
    <phoneticPr fontId="1" type="noConversion"/>
  </si>
  <si>
    <t>경기도 민간주도 통일사업 지원</t>
  </si>
  <si>
    <t>균형발전기획실</t>
    <phoneticPr fontId="1" type="noConversion"/>
  </si>
  <si>
    <t>노인보호구역 개선사업</t>
  </si>
  <si>
    <t>건설국</t>
    <phoneticPr fontId="1" type="noConversion"/>
  </si>
  <si>
    <t>포천시 소홀읍 하수관거 정비사업</t>
  </si>
  <si>
    <t>학교급식 관련 부대시설 및 급식기구 위생실태 개선</t>
  </si>
  <si>
    <t>학교운동장 내 노후 체육․놀이시설 개선사업</t>
  </si>
  <si>
    <t>청소년노동인권 교육 지원</t>
  </si>
  <si>
    <t>교육협력국</t>
    <phoneticPr fontId="1" type="noConversion"/>
  </si>
  <si>
    <t>노인일자리 특성화 확대 지원</t>
  </si>
  <si>
    <t>경기콘텐츠진흥원 운영(자체/직접)
※ 일반편성과 중복</t>
  </si>
  <si>
    <t>경기도체육회 직장운동경기부 육성 지원(기금/직접)</t>
    <phoneticPr fontId="1" type="noConversion"/>
  </si>
  <si>
    <t>경기도청 직장운동경기부 육성지원(기금/직접)</t>
    <phoneticPr fontId="1" type="noConversion"/>
  </si>
  <si>
    <t>대용량버스(2층버스) 도입지원(자체/지원)</t>
    <phoneticPr fontId="1" type="noConversion"/>
  </si>
  <si>
    <t>수질관리 기반조성(자체/직접)
-가축분뇨관리 및 이용 기본계획 수립</t>
  </si>
  <si>
    <t>센터 신청사 건립(자체/직접)
-여성능력개발센터 이전을 위한 기본계획 용역비</t>
  </si>
  <si>
    <t>신문을 통한 홍보(자체/직접)
-언론공익광고</t>
    <phoneticPr fontId="1" type="noConversion"/>
  </si>
  <si>
    <t>방송을 이용한 홍보(자체/직접)
-방송을 이용한 홍보</t>
    <phoneticPr fontId="1" type="noConversion"/>
  </si>
  <si>
    <t>인터넷 언론을 이용한 홍보(자체/직접)
-인터넷 공익 광고</t>
    <phoneticPr fontId="1" type="noConversion"/>
  </si>
  <si>
    <t>도정정책홍보(자체/직접)
-도정정책홍보</t>
    <phoneticPr fontId="1" type="noConversion"/>
  </si>
  <si>
    <t>도정정책홍보(자체/직접)
-경기도 홍보 이벤트</t>
    <phoneticPr fontId="1" type="noConversion"/>
  </si>
  <si>
    <t>부기변경(선풍기⇒온풍기)</t>
    <phoneticPr fontId="1" type="noConversion"/>
  </si>
  <si>
    <t>도비</t>
  </si>
  <si>
    <t>연천 태풍 열쇠전망대 리모델링(자체/직접)
-태풍전망대 리모델링
-열쇠전망대 리모델링</t>
    <phoneticPr fontId="1" type="noConversion"/>
  </si>
  <si>
    <t>평가담당관</t>
    <phoneticPr fontId="1" type="noConversion"/>
  </si>
  <si>
    <t>DMZ정책담당관</t>
    <phoneticPr fontId="1" type="noConversion"/>
  </si>
  <si>
    <t>DMZ 국제 트레일러닝 대회(자체/직접)
-DMZ 국제 트레일러닝 대회 추진</t>
    <phoneticPr fontId="1" type="noConversion"/>
  </si>
  <si>
    <t>경기북부 벤처창업센터 허브 조성(자체/직접)
-경기북부 벤처창업센터 구축 및 운영</t>
    <phoneticPr fontId="1" type="noConversion"/>
  </si>
  <si>
    <t>국제로봇올림피아드 세계대회 지원(자체/지원)
-경기청소년 천문과학 대회</t>
    <phoneticPr fontId="1" type="noConversion"/>
  </si>
  <si>
    <t>에너지태양광 소규모발전 투자촉진 보조금 지원(자체/지원)
-에너지태양광 소규모발전 투자촉진 보조금 지원</t>
    <phoneticPr fontId="1" type="noConversion"/>
  </si>
  <si>
    <t>도내 기업의 사회적책임 추진현황 실태조사(자체/직접)
-도내 기업의 사회적책임 추진현황 실태조사</t>
    <phoneticPr fontId="1" type="noConversion"/>
  </si>
  <si>
    <t>LPG소형저장탱크 보급사업(국비/지원)
-LPG소형저장탱크 보급사업</t>
    <phoneticPr fontId="1" type="noConversion"/>
  </si>
  <si>
    <t>국도비</t>
  </si>
  <si>
    <t>민간단체 공익활동 지원(자체/직접)
-2015년 바르게살기 운동 전국 회원대회</t>
    <phoneticPr fontId="1" type="noConversion"/>
  </si>
  <si>
    <t>소규모시설물 개보수(자체/직접)
-구리소방서 물품 창고 신설</t>
    <phoneticPr fontId="1" type="noConversion"/>
  </si>
  <si>
    <t>소규모시설물 개보수(자체/직접)
-구리소방서 화재예방홍보 회전 옥외 전시대</t>
    <phoneticPr fontId="1" type="noConversion"/>
  </si>
  <si>
    <t>소규모시설물 개보수(자체/직접)
-안산소방서 인조잔디 설치 및 포장공사</t>
    <phoneticPr fontId="1" type="noConversion"/>
  </si>
  <si>
    <t>소규모통신시설 관리(자체/직접)
-일산소방서 고층건물 기지국 설치</t>
    <phoneticPr fontId="1" type="noConversion"/>
  </si>
  <si>
    <t>소규모시설물 개보수(자체/직접)
-일산소방서 본서 옥외주차장 보수</t>
    <phoneticPr fontId="1" type="noConversion"/>
  </si>
  <si>
    <t>119구급대소독실 설치(자체/직접)
-일산소방서 구급소독실 물품 구입(중산119안전센터)</t>
    <phoneticPr fontId="1" type="noConversion"/>
  </si>
  <si>
    <t>소규모시설물 개보수(자체/직접)
-일산소방서 본서 및 각 안전센터 노후사무가구 교체</t>
    <phoneticPr fontId="1" type="noConversion"/>
  </si>
  <si>
    <t>소방공무원 근무환경 개선(자체/직접)
-용인소방서 구갈119안전센터 환경개선 공사</t>
    <phoneticPr fontId="1" type="noConversion"/>
  </si>
  <si>
    <t>소규모시설물 개보수(자체/직접)
-김포소방서 월곶119지역대 보수공사</t>
    <phoneticPr fontId="1" type="noConversion"/>
  </si>
  <si>
    <t>소방공무원 근무환경 개선(자체/직접)
-김포소방서 고촌119안전센터 휴게공간 설치</t>
    <phoneticPr fontId="1" type="noConversion"/>
  </si>
  <si>
    <t>소규모시설물 개보수(자체/직접)
-포천소방서 개인안전장비보관함 및 물품 보강</t>
    <phoneticPr fontId="1" type="noConversion"/>
  </si>
  <si>
    <t>소규모시설물 개보수(자체/직접)
-포천소방서 본서 차고 후문 교체</t>
    <phoneticPr fontId="1" type="noConversion"/>
  </si>
  <si>
    <t>소방공무원 근무환경 개선(자체/직접)
-소방관서 식당환경 개선</t>
    <phoneticPr fontId="1" type="noConversion"/>
  </si>
  <si>
    <t>의용소방대 활성화(자체/직접)
-안전모, 신호봉(사무관리비)
-창설 70주년 의용소방대 지원(의용소방대지원경비)</t>
    <phoneticPr fontId="1" type="noConversion"/>
  </si>
  <si>
    <t>구조구급장비 보강(자체/직접)
-제세동기 패치 보강</t>
    <phoneticPr fontId="1" type="noConversion"/>
  </si>
  <si>
    <t>구조구급장비 보강(자체/직접)
-액션캠(Action Cam) 보강</t>
    <phoneticPr fontId="1" type="noConversion"/>
  </si>
  <si>
    <t>의용소방대 활성화(자체/직접)
-소방장갑 보강</t>
    <phoneticPr fontId="1" type="noConversion"/>
  </si>
  <si>
    <t>소방장비 보강(자체/직접)
-소방펌프차 보강</t>
    <phoneticPr fontId="1" type="noConversion"/>
  </si>
  <si>
    <t>소방관서 신축 및 이전(자체/직접)
-양근119안전센터 이전 물품 보강(자산및물품취득비)</t>
    <phoneticPr fontId="1" type="noConversion"/>
  </si>
  <si>
    <t>특교</t>
  </si>
  <si>
    <t>국비</t>
    <phoneticPr fontId="1" type="noConversion"/>
  </si>
  <si>
    <t>재원변경(기금 ⇒ 국비)</t>
    <phoneticPr fontId="1" type="noConversion"/>
  </si>
  <si>
    <t>세입과목 변경(기금 ⇒ 국고보조금)</t>
    <phoneticPr fontId="1" type="noConversion"/>
  </si>
  <si>
    <t>0411-1</t>
  </si>
  <si>
    <t>0307-1</t>
  </si>
  <si>
    <t>경기문화재단 북부사무소 운영(자체/직접)
-경기문화재단 북부사무소 운영</t>
    <phoneticPr fontId="1" type="noConversion"/>
  </si>
  <si>
    <t>사립 박물관, 미술관 지원(자체/지원)
-사립 박물관.미술관 지원</t>
    <phoneticPr fontId="1" type="noConversion"/>
  </si>
  <si>
    <t>생활체육 활성화(자체/직접)
-생활체육시설 커뮤니티 매핑사업</t>
    <phoneticPr fontId="1" type="noConversion"/>
  </si>
  <si>
    <t>장애인 전문체육(자체/직접)
-전국장애인체육대회 참가</t>
    <phoneticPr fontId="1" type="noConversion"/>
  </si>
  <si>
    <t>국민체육센터 건립 지원(기금/지원)
-국민체육센터 건립</t>
    <phoneticPr fontId="1" type="noConversion"/>
  </si>
  <si>
    <t>기금</t>
  </si>
  <si>
    <t>0503-2</t>
  </si>
  <si>
    <t>도지정 문화재 보수정비(자체/지원)
-도지정 문화재 보수정비</t>
    <phoneticPr fontId="1" type="noConversion"/>
  </si>
  <si>
    <t>경기콘텐츠진흥원 운영(자체/직접)
-경기콘텐츠진흥원 운영</t>
    <phoneticPr fontId="1" type="noConversion"/>
  </si>
  <si>
    <t>G-NEXT 추진(자체/직접)
-G-NEXT(게임 산업육성) 추진</t>
    <phoneticPr fontId="1" type="noConversion"/>
  </si>
  <si>
    <t>경기관광공사 운영(자체/직접)
-경기관광공사 운영</t>
    <phoneticPr fontId="1" type="noConversion"/>
  </si>
  <si>
    <t>0502-1</t>
  </si>
  <si>
    <t>0503-1</t>
  </si>
  <si>
    <t>지방체육진흥 지원사업(기금)</t>
    <phoneticPr fontId="1" type="noConversion"/>
  </si>
  <si>
    <t>한글날 문화행사(자체/지원)
-한글날 문화행사</t>
    <phoneticPr fontId="1" type="noConversion"/>
  </si>
  <si>
    <t>생활체육 활성화(자체/직접)
-스포츠 레저산업 페스티벌 개최</t>
    <phoneticPr fontId="1" type="noConversion"/>
  </si>
  <si>
    <t>경기콘텐츠진흥원 운영(자체/직접)
굿게임쇼 코리아 개최</t>
    <phoneticPr fontId="1" type="noConversion"/>
  </si>
  <si>
    <t>곤지암 스포츠밸리 조성(자체/직접)
-곤지암 스포츠 밸리 조성</t>
    <phoneticPr fontId="1" type="noConversion"/>
  </si>
  <si>
    <t>한국도자재단 운영(자체/직접)
-한국도자재단 운영</t>
    <phoneticPr fontId="1" type="noConversion"/>
  </si>
  <si>
    <t>호국의승군 기념관 건립(국비사업)</t>
    <phoneticPr fontId="1" type="noConversion"/>
  </si>
  <si>
    <t>도비</t>
    <phoneticPr fontId="1" type="noConversion"/>
  </si>
  <si>
    <t>한발대비용수개발(국비/지원)
-한발대비용수개발</t>
    <phoneticPr fontId="1" type="noConversion"/>
  </si>
  <si>
    <t>0604-1</t>
  </si>
  <si>
    <t>0605-1</t>
  </si>
  <si>
    <t>경기농림진흥재단 지원(자체/직접)
-경기농림진흥재단 출연</t>
    <phoneticPr fontId="1" type="noConversion"/>
  </si>
  <si>
    <t>경기사이버장터운영(자체/직접)
-경기사이버장터 운영</t>
    <phoneticPr fontId="1" type="noConversion"/>
  </si>
  <si>
    <t>이동식 농산물 직판장 설치비 지원(자체/지원)
-이동식 농산물 직판장 설치비 지원</t>
    <phoneticPr fontId="1" type="noConversion"/>
  </si>
  <si>
    <t>시군농정평가 시상금(자체/직접)
-시군농정평가 시상금</t>
    <phoneticPr fontId="1" type="noConversion"/>
  </si>
  <si>
    <t>지역농업발전(자체/직접)
-농어민대상 수상자 및 우수 농업인 해외연수</t>
    <phoneticPr fontId="1" type="noConversion"/>
  </si>
  <si>
    <t>수리시설정비(자체/지원)
-수리시설정비</t>
    <phoneticPr fontId="1" type="noConversion"/>
  </si>
  <si>
    <t>끈벌레 발생 및 실뱀장어 폐사원인 규명을 위한 용역(자체/지원)
-끈벌레 발생 및 실뱀장어 폐사원인 규명을 위한 용역</t>
    <phoneticPr fontId="1" type="noConversion"/>
  </si>
  <si>
    <t>승마대회 활성화 지원(기금/지원)
-승마대회 활성화 지원</t>
    <phoneticPr fontId="1" type="noConversion"/>
  </si>
  <si>
    <t>말산업육성지원(기금/지원)
-말산업육성지원</t>
    <phoneticPr fontId="1" type="noConversion"/>
  </si>
  <si>
    <t>유소년승마단 창단(기금/지원)
-유소년승마단 창단</t>
    <phoneticPr fontId="1" type="noConversion"/>
  </si>
  <si>
    <t>에코팜랜드조성 기반시설(자체/지원)
-에코팜랜드 조성 기반시설</t>
    <phoneticPr fontId="1" type="noConversion"/>
  </si>
  <si>
    <t>0608-1</t>
  </si>
  <si>
    <t>묘목생산(국비/지원)
-묘목생산</t>
    <phoneticPr fontId="1" type="noConversion"/>
  </si>
  <si>
    <t>재무활동(축산위생연구소)-보전지출-반환금기타
-국비사용잔액</t>
    <phoneticPr fontId="1" type="noConversion"/>
  </si>
  <si>
    <t>재무활동(축산정책과)-보전지출-반환금기타
-일반부담금 집행잔액</t>
    <phoneticPr fontId="1" type="noConversion"/>
  </si>
  <si>
    <t>긴급가축방역비(자체/직접)
-긴급가축방역비</t>
    <phoneticPr fontId="1" type="noConversion"/>
  </si>
  <si>
    <t>행정운영경비(환경농업연구과)
-무기계약근로자보수</t>
    <phoneticPr fontId="1" type="noConversion"/>
  </si>
  <si>
    <t>농산물안전성 조사연구(자체/직접)
-시험연구분석기자재 및 농기계유지관리</t>
    <phoneticPr fontId="1" type="noConversion"/>
  </si>
  <si>
    <t>원예연구기반조성(자체/직접)
-가뭄대비 저수시설 설치</t>
    <phoneticPr fontId="1" type="noConversion"/>
  </si>
  <si>
    <t>농촌지도사업 평가(자체/지원)
-농촌지도사업평가 우수시군 지원</t>
    <phoneticPr fontId="1" type="noConversion"/>
  </si>
  <si>
    <t>4-H 육성 지원(자체/직접)
-농업인학습단체 해외농업연수</t>
    <phoneticPr fontId="1" type="noConversion"/>
  </si>
  <si>
    <t>농업발전혁신(자체/직접)
-전문지도능력향상 기술연수 및 마케팅</t>
    <phoneticPr fontId="1" type="noConversion"/>
  </si>
  <si>
    <t>생활농업활성화지원(자체/직접)
-도시농업활성화 교육(행사운영비)</t>
    <phoneticPr fontId="1" type="noConversion"/>
  </si>
  <si>
    <t>농촌지역 일자리 창출(자체/지원)
-농촌에듀팜 육성</t>
    <phoneticPr fontId="1" type="noConversion"/>
  </si>
  <si>
    <t>반려동물 테마파크 조성(자체/직접)
-반려동물 테마파크 조성</t>
    <phoneticPr fontId="1" type="noConversion"/>
  </si>
  <si>
    <t>2016 경기정원문화박람회 개최(자체/직접)
-2016 경기정원문화박람회 기본계획</t>
    <phoneticPr fontId="1" type="noConversion"/>
  </si>
  <si>
    <t>반환금기타
-무한돌봄복지과 국비사용잔액</t>
    <phoneticPr fontId="1" type="noConversion"/>
  </si>
  <si>
    <t>0611-1</t>
  </si>
  <si>
    <t>0703-1</t>
  </si>
  <si>
    <t>노인생활시설 기능보강(국비/지원) 
-노인생활시설 기능보강</t>
    <phoneticPr fontId="1" type="noConversion"/>
  </si>
  <si>
    <t>노인생활시설 지원(국비/지원)
-노인양로시설 운영</t>
    <phoneticPr fontId="1" type="noConversion"/>
  </si>
  <si>
    <t>메르스 사망자 장례비용 지원(국비/지원)
-메르스 사망자 장례비용 지원</t>
    <phoneticPr fontId="1" type="noConversion"/>
  </si>
  <si>
    <t>장애수당(기초)(국비/지원)
-장애수당(기초)</t>
    <phoneticPr fontId="1" type="noConversion"/>
  </si>
  <si>
    <t>장애수당(차상위 등)(국비/지원)
-장애수당(차상위 등)</t>
    <phoneticPr fontId="1" type="noConversion"/>
  </si>
  <si>
    <t>장애수당(차상위 등)(국비/지원)
-장애수당(차상위 등)</t>
    <phoneticPr fontId="1" type="noConversion"/>
  </si>
  <si>
    <t>장애인연금(국비/지원)
-장애인연금</t>
    <phoneticPr fontId="1" type="noConversion"/>
  </si>
  <si>
    <t>급성감염병 관리사업(국비/직접)
-메르스 환자 진료비 지원</t>
    <phoneticPr fontId="1" type="noConversion"/>
  </si>
  <si>
    <t>세입없음</t>
  </si>
  <si>
    <t>0706-1</t>
  </si>
  <si>
    <t>0705-4</t>
  </si>
  <si>
    <t>0705-3</t>
  </si>
  <si>
    <t>0705-2</t>
  </si>
  <si>
    <t>0705-1</t>
  </si>
  <si>
    <t>0704-3</t>
  </si>
  <si>
    <t>0704-2</t>
  </si>
  <si>
    <t>0704-1</t>
  </si>
  <si>
    <t>0703-3</t>
  </si>
  <si>
    <t>0703-2</t>
  </si>
  <si>
    <t>도비</t>
    <phoneticPr fontId="1" type="noConversion"/>
  </si>
  <si>
    <t>오산역 환승센터 건립(지특/지원)
-오산역 환승센터 건립</t>
    <phoneticPr fontId="1" type="noConversion"/>
  </si>
  <si>
    <t>수도권교통본부 운영(자체/직접)
-수도권교통본부 운영경비 부담금</t>
    <phoneticPr fontId="1" type="noConversion"/>
  </si>
  <si>
    <t>지방도 제설제 지원(자체/지원)
-지방도 제설제 지원</t>
    <phoneticPr fontId="1" type="noConversion"/>
  </si>
  <si>
    <t>지역상담소 운영(자체/직접)
-선풍기  ⇒ 
지역상담소 운영(자체/직접)
-온풍기</t>
    <phoneticPr fontId="1" type="noConversion"/>
  </si>
  <si>
    <t>이천 복합체육시설 진입도로 확장(자체/직접)
-이천복합체육시설 진입도로(지방도337호선) 건설공사
⇒ 이천 대월면 지방도337호선 지방도확포장공사(자체/직접)
-이천시 대월면 지방도337호선 지방도확포장공사</t>
    <phoneticPr fontId="1" type="noConversion"/>
  </si>
  <si>
    <t>택시 경영 및 서비스 평가 인센티브 지원(자체/직접)
-택시 경영 및 서비스 평가 인센티브 지원</t>
    <phoneticPr fontId="1" type="noConversion"/>
  </si>
  <si>
    <t>평택호 횡단도로 확포장공사(자체/지원)
-평택호 횡단도로 확포장공사</t>
    <phoneticPr fontId="1" type="noConversion"/>
  </si>
  <si>
    <t>적성-두일 도로확포장공사(지방채/직접)
-적성~두일 도로확포장</t>
    <phoneticPr fontId="1" type="noConversion"/>
  </si>
  <si>
    <t>안중~조암(1) 도로확포장공사(자체/직접)
-안중~조암(1) 도로확포장공사</t>
    <phoneticPr fontId="1" type="noConversion"/>
  </si>
  <si>
    <t>도비</t>
    <phoneticPr fontId="1" type="noConversion"/>
  </si>
  <si>
    <t>생태하천복원사업(지특/지원)</t>
    <phoneticPr fontId="1" type="noConversion"/>
  </si>
  <si>
    <t>국도비</t>
    <phoneticPr fontId="1" type="noConversion"/>
  </si>
  <si>
    <t>하수처리장 확충(국비/지원)
-하수처리장확충</t>
    <phoneticPr fontId="1" type="noConversion"/>
  </si>
  <si>
    <t>0921-2</t>
  </si>
  <si>
    <t>농어촌마을하수처리장 설치(국비/지원)
-농어촌 마을하수처리장 설치</t>
    <phoneticPr fontId="1" type="noConversion"/>
  </si>
  <si>
    <t>국비</t>
    <phoneticPr fontId="1" type="noConversion"/>
  </si>
  <si>
    <t>0921-3</t>
  </si>
  <si>
    <t>환경부 국비 증액내시에 따른 예산 증액,
도비 법정비율은 15%이며 2.3%-&gt;7%를 적용 증액(국비 564,000, 도비 1,547,778)</t>
    <phoneticPr fontId="1" type="noConversion"/>
  </si>
  <si>
    <t>하수관로정비사업(국비/지원)
-하수관로정비사업</t>
    <phoneticPr fontId="1" type="noConversion"/>
  </si>
  <si>
    <t>0921-4</t>
  </si>
  <si>
    <t>도시침수대응사업(국비/지원)
-도시침수대응사업</t>
    <phoneticPr fontId="1" type="noConversion"/>
  </si>
  <si>
    <t>0921-1</t>
  </si>
  <si>
    <t>0921-5</t>
  </si>
  <si>
    <t>0911-1</t>
  </si>
  <si>
    <t>일본군위안부피해자 보호시설 기념사업(자체/직접)
-일본군위안부피해자 보호시설 기념사업</t>
    <phoneticPr fontId="1" type="noConversion"/>
  </si>
  <si>
    <t>일본군위안부피해자 보호시설 기념사업(자체/지원)
-일본군위안부피해자 보호시설 기념사업</t>
    <phoneticPr fontId="1" type="noConversion"/>
  </si>
  <si>
    <t>반환금 기타
-국비사용잔액</t>
    <phoneticPr fontId="1" type="noConversion"/>
  </si>
  <si>
    <t>성폭력방지 및 피해자지원(기금/지원)
-성폭력피해자 의료비 지원</t>
    <phoneticPr fontId="1" type="noConversion"/>
  </si>
  <si>
    <t>성폭력방지 및 피해자지원(기금/지원)
-성폭력피해자 비수급자 생계비</t>
    <phoneticPr fontId="1" type="noConversion"/>
  </si>
  <si>
    <t>성폭력방지 및 피해자지원(기금/지원)
-성폭력피해자 보호시설 기능보강</t>
    <phoneticPr fontId="1" type="noConversion"/>
  </si>
  <si>
    <t>다문화가족지원센터 운영(기금/지원)
-다문화가족지원센터 운영 지원</t>
    <phoneticPr fontId="1" type="noConversion"/>
  </si>
  <si>
    <t>성폭력방지 및 피해자지원(기금/지원)
-성폭력피해자 의료비 지원</t>
    <phoneticPr fontId="1" type="noConversion"/>
  </si>
  <si>
    <t>1001-3</t>
  </si>
  <si>
    <t>1003-1</t>
  </si>
  <si>
    <t>1004-1</t>
  </si>
  <si>
    <t>기금</t>
    <phoneticPr fontId="1" type="noConversion"/>
  </si>
  <si>
    <t>1006-1</t>
  </si>
  <si>
    <t>어린이집 공보육 추진 운영(자체/직접)
-어린이집 공보육 추진 운영</t>
    <phoneticPr fontId="1" type="noConversion"/>
  </si>
  <si>
    <t>경기도 평생교육진흥원 운영 출연금(자체/직접)
-경기평생교육진흥원 운영 출연금</t>
    <phoneticPr fontId="1" type="noConversion"/>
  </si>
  <si>
    <t>※ 여성가족부 가족지원과-3251(2015.9.18.)호 국비내시 반영</t>
  </si>
  <si>
    <t>※ 여성가족부 청소년활동진흥과-5167(2015.9.17.)호 국비내시 증가에 따른 예산 반영 필요</t>
  </si>
  <si>
    <t>※ 보건복지부 아동복지정책과-5786(2015.9.16.)호 국비내시 증가에 따른 예산 반영 필요</t>
  </si>
  <si>
    <t>※ 보건복지부 아동권리과 
변경내시 9월말 예정</t>
  </si>
  <si>
    <t>저소득한부모가족 지원</t>
  </si>
  <si>
    <t>청소년 방과후 활동지원</t>
  </si>
  <si>
    <t>가정위탁 지원운영</t>
  </si>
  <si>
    <t>학대피해아동쉼터 운영</t>
  </si>
  <si>
    <t>저소득 한부모가족 지원(기금/지원)</t>
  </si>
  <si>
    <t>청소년 방과후 아카데미 운영 지원(국비/지원)</t>
  </si>
  <si>
    <t>입양가정위탁 아동 심리정서 치료지원(국비/지원)</t>
  </si>
  <si>
    <t>학대아동보호(기금/지원)
- 학대피해아동 전용 그룹홈 운영비 지원</t>
  </si>
  <si>
    <t>※ 여성가족부 복지지원과-2693(2015.9.18.)호 국비내시 반영</t>
  </si>
  <si>
    <t>※ 보건복지부 아동권리과-5360(2015.8.28.)호 국비   내시 반영</t>
  </si>
  <si>
    <t>※ 보건복지부 아동복지정책과-5786(2015.9.16.)호 국비내시 반영</t>
  </si>
  <si>
    <t>1001-4</t>
  </si>
  <si>
    <t>1003-2</t>
  </si>
  <si>
    <t>1003-3</t>
  </si>
  <si>
    <t>1003-4</t>
  </si>
  <si>
    <t>가정폭력방지 및 피해자지원(기금/지원)
-가정폭력 피해자 의료비 지원</t>
    <phoneticPr fontId="1" type="noConversion"/>
  </si>
  <si>
    <t>가정폭력방지 및 피해자지원(기금/지원)
-가정폭력피해자 보호시설 생계비 등 지원</t>
    <phoneticPr fontId="1" type="noConversion"/>
  </si>
  <si>
    <t>국고보조금
(농어촌의료서비스개선사업)</t>
  </si>
  <si>
    <t>기금
(국가예방접종사업)</t>
  </si>
  <si>
    <t>국고보조금
(정신보건시설 확충사업)</t>
  </si>
  <si>
    <t>국고보조금
(희망키움통장Ⅰ)</t>
  </si>
  <si>
    <t>국고보조금
(희망키움통장Ⅱ)</t>
  </si>
  <si>
    <t>국비 변경내시
※ 보건복지부 건강정책과-6634(2015.9.11)호</t>
  </si>
  <si>
    <t>국비 변경내시
※ 질병관리본부 예방접종과-3373(2015.9.10)호</t>
  </si>
  <si>
    <t>국비 변경내시
※ 보건복지부 정신건강정책과-     (2015.9.16.)호</t>
  </si>
  <si>
    <t>국비 변경내시
※ 보건복지부 자립지원과-6834(2015.9.18)호</t>
  </si>
  <si>
    <t>농어촌의료서비스 개선(국비/지원)
-농어촌의료서비스개선사업</t>
  </si>
  <si>
    <t>국가예방접종사업(기금/지원)
-국가예방접종사업</t>
  </si>
  <si>
    <t>희망키움통장Ⅰ(국비/지원)</t>
  </si>
  <si>
    <t>희망키움통장Ⅱ(국비/직접)</t>
  </si>
  <si>
    <t>국비 변경내시
※ 보건복지부 건강정책과-6634(2015.9.11)호
세입-농어촌의료서비스개선사업</t>
  </si>
  <si>
    <t>국비 변경내시
※ 질병관리본부 예방접종과-3373(2015.9.10)호
세입-국가예방접종사업</t>
  </si>
  <si>
    <t>0705-5</t>
  </si>
  <si>
    <t>0705-6</t>
  </si>
  <si>
    <t>0702-1</t>
  </si>
  <si>
    <t>0702-2</t>
  </si>
  <si>
    <t>도비</t>
    <phoneticPr fontId="1" type="noConversion"/>
  </si>
  <si>
    <t>가족여성담당관</t>
    <phoneticPr fontId="1" type="noConversion"/>
  </si>
  <si>
    <t>본예산</t>
    <phoneticPr fontId="1" type="noConversion"/>
  </si>
  <si>
    <t>저소득 한부모가족 지원(기금/지원)</t>
    <phoneticPr fontId="1" type="noConversion"/>
  </si>
  <si>
    <t>본예산</t>
    <phoneticPr fontId="1" type="noConversion"/>
  </si>
  <si>
    <t>입양가정위탁 아동 심리정서 치료지원(국비/지원)</t>
    <phoneticPr fontId="1" type="noConversion"/>
  </si>
  <si>
    <t>여성가족교육협력위원회</t>
    <phoneticPr fontId="1" type="noConversion"/>
  </si>
  <si>
    <t>국제통상과</t>
    <phoneticPr fontId="1" type="noConversion"/>
  </si>
  <si>
    <t>경기도체육회 사무처 운영(자체/직접)
-체육진흥</t>
    <phoneticPr fontId="1" type="noConversion"/>
  </si>
  <si>
    <t>가축분뇨자원화(자체/지원)
-다용도축분 처리장비지원</t>
    <phoneticPr fontId="1" type="noConversion"/>
  </si>
  <si>
    <t>16대에서 10대로 6대분 삭감</t>
    <phoneticPr fontId="1" type="noConversion"/>
  </si>
  <si>
    <t>면단위하수처리장설치(국비/지원)</t>
    <phoneticPr fontId="1" type="noConversion"/>
  </si>
  <si>
    <t>녹색구매지원센터 운영 지원(국비/지원)</t>
    <phoneticPr fontId="1" type="noConversion"/>
  </si>
  <si>
    <t>여성가족과</t>
    <phoneticPr fontId="1" type="noConversion"/>
  </si>
  <si>
    <t>2회추경</t>
    <phoneticPr fontId="1" type="noConversion"/>
  </si>
  <si>
    <t>경기육아나눔터 운영지원(자체/지원)</t>
    <phoneticPr fontId="1" type="noConversion"/>
  </si>
  <si>
    <t>미</t>
    <phoneticPr fontId="1" type="noConversion"/>
  </si>
  <si>
    <t>미</t>
    <phoneticPr fontId="1" type="noConversion"/>
  </si>
  <si>
    <t>미</t>
    <phoneticPr fontId="1" type="noConversion"/>
  </si>
  <si>
    <t>미</t>
    <phoneticPr fontId="1" type="noConversion"/>
  </si>
  <si>
    <t>따복공동체 사랑방 조성지원 사업(6억원) 
따복공동체 생태계 기반 조성지원(4억원)</t>
  </si>
  <si>
    <t>소방취약지역 시설확충</t>
    <phoneticPr fontId="1" type="noConversion"/>
  </si>
  <si>
    <t>의회</t>
    <phoneticPr fontId="1" type="noConversion"/>
  </si>
  <si>
    <t>취약계층 안전시설 보급</t>
  </si>
  <si>
    <t>학교 환경개선 사업</t>
  </si>
  <si>
    <t>경기문화재단 운영(자체/직접)</t>
    <phoneticPr fontId="1" type="noConversion"/>
  </si>
  <si>
    <t>경기도 유망중소기업 브랜드가치 고도화</t>
  </si>
  <si>
    <t>광복70주년 통일기원 한마음 음악축제</t>
  </si>
  <si>
    <t>교육정책과</t>
    <phoneticPr fontId="1" type="noConversion"/>
  </si>
  <si>
    <t>문화정책과</t>
    <phoneticPr fontId="1" type="noConversion"/>
  </si>
  <si>
    <t>재난대응과</t>
    <phoneticPr fontId="1" type="noConversion"/>
  </si>
  <si>
    <t>기업지원과</t>
    <phoneticPr fontId="1" type="noConversion"/>
  </si>
  <si>
    <t>의회</t>
    <phoneticPr fontId="1" type="noConversion"/>
  </si>
  <si>
    <t>쌀 이용 다양화사업 시범 추진</t>
  </si>
  <si>
    <t>본예산</t>
    <phoneticPr fontId="1" type="noConversion"/>
  </si>
  <si>
    <t>숲길(등산로) 조성 사업</t>
  </si>
  <si>
    <t>북부여성비젼센터 시설물 개선공사</t>
  </si>
  <si>
    <t>북부여성비전센터</t>
    <phoneticPr fontId="1" type="noConversion"/>
  </si>
  <si>
    <t>경기도 아동보호 전문기관 시설보강 사업</t>
  </si>
  <si>
    <t>아동청소년과</t>
    <phoneticPr fontId="1" type="noConversion"/>
  </si>
  <si>
    <t>용인청소년쉼터 자립관 개보수 사업</t>
  </si>
  <si>
    <t>경기도 문해교육 교재 발간 배부</t>
  </si>
  <si>
    <t>삭</t>
    <phoneticPr fontId="1" type="noConversion"/>
  </si>
  <si>
    <t>세입없음</t>
    <phoneticPr fontId="1" type="noConversion"/>
  </si>
  <si>
    <t>세입없음</t>
    <phoneticPr fontId="1" type="noConversion"/>
  </si>
  <si>
    <t>예산담당관</t>
    <phoneticPr fontId="1" type="noConversion"/>
  </si>
  <si>
    <t>의회추진사업(자체/직접)</t>
    <phoneticPr fontId="1" type="noConversion"/>
  </si>
  <si>
    <t>중국 대중매체 활용 관광마케팅(자체/직접)</t>
    <phoneticPr fontId="1" type="noConversion"/>
  </si>
  <si>
    <t>예비비(자체/직접)</t>
    <phoneticPr fontId="1" type="noConversion"/>
  </si>
  <si>
    <t>도시소생태사업 조성사업</t>
    <phoneticPr fontId="1" type="noConversion"/>
  </si>
  <si>
    <t>빅파이 프로젝트 사업 추진(자체/직접)
-빅데이터 플랫폼구축 및 운영
-빅파이추진단 이전</t>
    <phoneticPr fontId="1" type="noConversion"/>
  </si>
  <si>
    <t>도비</t>
    <phoneticPr fontId="1" type="noConversion"/>
  </si>
  <si>
    <t>하천과</t>
    <phoneticPr fontId="1" type="noConversion"/>
  </si>
  <si>
    <t>행복한 책나눔 운동(자체/지원)</t>
  </si>
  <si>
    <t>"공공도서관 도서구입비 지원"에서 사업명 변경</t>
  </si>
  <si>
    <t>판교테크노밸리조성사업 공기업특별회계</t>
  </si>
  <si>
    <t>정신보건시설 기능보강(국비/지원)
-정신요양시설 기능보강</t>
  </si>
  <si>
    <t>국도비</t>
    <phoneticPr fontId="1" type="noConversion"/>
  </si>
  <si>
    <t>국비</t>
    <phoneticPr fontId="1" type="noConversion"/>
  </si>
  <si>
    <t>도비</t>
    <phoneticPr fontId="1" type="noConversion"/>
  </si>
  <si>
    <t>목감천</t>
    <phoneticPr fontId="1" type="noConversion"/>
  </si>
  <si>
    <t>빅파이추진단 이전(삭감)</t>
    <phoneticPr fontId="1" type="noConversion"/>
  </si>
  <si>
    <t>콘텐츠 영상 창작프로젝트 1억(연정)</t>
    <phoneticPr fontId="1" type="noConversion"/>
  </si>
  <si>
    <t>(감액)200,000천원/동절기 축제 발굴 및 육성</t>
    <phoneticPr fontId="1" type="noConversion"/>
  </si>
  <si>
    <t>1. 미원초 다목적 체육관 개보수 4천
2. 동두천 공공체육시설 지원 7천</t>
    <phoneticPr fontId="1" type="noConversion"/>
  </si>
  <si>
    <t>농정해양위원회</t>
    <phoneticPr fontId="1" type="noConversion"/>
  </si>
  <si>
    <t>농정해양국</t>
    <phoneticPr fontId="1" type="noConversion"/>
  </si>
  <si>
    <t>친환경농업과</t>
    <phoneticPr fontId="1" type="noConversion"/>
  </si>
  <si>
    <t>(부기)사업명칭
  "지역브랜드 고급육 한우 오디션"에서 변경</t>
    <phoneticPr fontId="1" type="noConversion"/>
  </si>
  <si>
    <r>
      <t>지역브랜드 고급육 한우</t>
    </r>
    <r>
      <rPr>
        <sz val="10"/>
        <color rgb="FFFF0000"/>
        <rFont val="맑은 고딕"/>
        <family val="3"/>
        <charset val="129"/>
        <scheme val="minor"/>
      </rPr>
      <t xml:space="preserve"> 품평회</t>
    </r>
    <r>
      <rPr>
        <sz val="10"/>
        <color theme="1"/>
        <rFont val="맑은 고딕"/>
        <family val="2"/>
        <charset val="129"/>
        <scheme val="minor"/>
      </rPr>
      <t xml:space="preserve">(자체/직접)
-지역브랜드 고급육 한우 </t>
    </r>
    <r>
      <rPr>
        <sz val="10"/>
        <color rgb="FFFF0000"/>
        <rFont val="맑은 고딕"/>
        <family val="3"/>
        <charset val="129"/>
        <scheme val="minor"/>
      </rPr>
      <t>품평회</t>
    </r>
    <phoneticPr fontId="1" type="noConversion"/>
  </si>
  <si>
    <t>의회운영위원회</t>
    <phoneticPr fontId="1" type="noConversion"/>
  </si>
  <si>
    <t>의회사무처</t>
    <phoneticPr fontId="1" type="noConversion"/>
  </si>
  <si>
    <t>총무담당관</t>
    <phoneticPr fontId="1" type="noConversion"/>
  </si>
  <si>
    <t>의원 체육의날 행사</t>
    <phoneticPr fontId="1" type="noConversion"/>
  </si>
  <si>
    <t>※ 당초 2회 추경 예산액 16억 中
  -&gt; 중국 대중매체 활용 관광마케팅(자체/직접)
      (공기관대행사업)으로 변경(11억)</t>
    <phoneticPr fontId="1" type="noConversion"/>
  </si>
  <si>
    <t>도비</t>
    <phoneticPr fontId="1" type="noConversion"/>
  </si>
  <si>
    <t>(부기)여성능력개발센터 이전에 따른 부지 및 건축물 활용방안 연구용역으로 사용
(활용방안 연구용역 1억은 회계과)</t>
    <phoneticPr fontId="1" type="noConversion"/>
  </si>
  <si>
    <t>광명(광명사거리역), 고양(화정역), 수원(성대역), 용인(기흥역), 부천(상동역) 설치</t>
    <phoneticPr fontId="1" type="noConversion"/>
  </si>
  <si>
    <t>공원녹지과</t>
    <phoneticPr fontId="1" type="noConversion"/>
  </si>
  <si>
    <t>신규</t>
    <phoneticPr fontId="1" type="noConversion"/>
  </si>
  <si>
    <t>의회</t>
    <phoneticPr fontId="1" type="noConversion"/>
  </si>
  <si>
    <t>공원, 어린이 놀이터 시설 기능보강 사업</t>
    <phoneticPr fontId="1" type="noConversion"/>
  </si>
  <si>
    <t>11개 시군 각 1억원, 1개 시군 5천만원(도비 100%)</t>
    <phoneticPr fontId="1" type="noConversion"/>
  </si>
  <si>
    <t>인재개발원 e-러닝교육은 제외</t>
    <phoneticPr fontId="1" type="noConversion"/>
  </si>
  <si>
    <t>공공기관 역량 강화 구축(자체/직접)
-공공기관 경영 합리화 추진</t>
    <phoneticPr fontId="1" type="noConversion"/>
  </si>
  <si>
    <t>(부기)국책연구기관에서 수행</t>
    <phoneticPr fontId="1" type="noConversion"/>
  </si>
  <si>
    <t>북부지역 사회복지시설 인프라확충(자체/지원)
-복지시설 건립 지원</t>
    <phoneticPr fontId="1" type="noConversion"/>
  </si>
  <si>
    <t>(부기)시군지역지로만 사용</t>
    <phoneticPr fontId="1" type="noConversion"/>
  </si>
  <si>
    <t>자산 및 물품취득비</t>
    <phoneticPr fontId="1" type="noConversion"/>
  </si>
  <si>
    <t>오류 입력에 따른 예산액 정정</t>
    <phoneticPr fontId="1" type="noConversion"/>
  </si>
  <si>
    <t>30백만*2개소
★ 부기사업 신설</t>
    <phoneticPr fontId="1" type="noConversion"/>
  </si>
  <si>
    <t>국비 변경내시
※ 보건복지부 정신건강정책과-(2015.9.16.)호
세입-정신보건시설기능보강</t>
    <phoneticPr fontId="1" type="noConversion"/>
  </si>
  <si>
    <t>인건비 116백만원
운영경비 120백만원
용역비 250백만원</t>
    <phoneticPr fontId="1" type="noConversion"/>
  </si>
  <si>
    <t>국비 확정내시
※ 보건복지부 요양보험운영과-5999(2015.8.28)호</t>
    <phoneticPr fontId="1" type="noConversion"/>
  </si>
  <si>
    <t>국비 확정내시
보건복지부 요양보험운영과-5820(2015.8.21.)호</t>
    <phoneticPr fontId="1" type="noConversion"/>
  </si>
  <si>
    <t>국비 확정내시
보건복지부 요양보험운영과-5999(2015. 8. 28)호</t>
    <phoneticPr fontId="1" type="noConversion"/>
  </si>
  <si>
    <t>국비 확정내시
보건복지부 장애인자립기반과-7615(2015.09.08.)호</t>
    <phoneticPr fontId="1" type="noConversion"/>
  </si>
  <si>
    <t>국비 확정내시
보건복지부 장애인자립기반과-7534(2015.09.04.)호</t>
    <phoneticPr fontId="1" type="noConversion"/>
  </si>
  <si>
    <t>안전모, 신호봉 및 창설70주년 의소대 지원
-안전모 및 신호봉(사무관리비) : 22,078천원
-70주년 기념지원(의용소방대지원경비) : 35,000천원</t>
    <phoneticPr fontId="1" type="noConversion"/>
  </si>
  <si>
    <t>월곶 119지역대 보수공사
-보수공사(시설비) : 25,086천원
-노후물품 교체보강(자산및물품취득비) : 14,914천원</t>
    <phoneticPr fontId="1" type="noConversion"/>
  </si>
  <si>
    <t>물품창고 신설
-부대시설 공사(시설비) : 30,600천원
-컨테이너 및 소요물품(자산및물품취득비) : 29,400천원</t>
    <phoneticPr fontId="1" type="noConversion"/>
  </si>
  <si>
    <t>장애인단체 육성 및 지원(자체/직접)
-농아노인센터 운영 지원</t>
    <phoneticPr fontId="1" type="noConversion"/>
  </si>
  <si>
    <t>경기취헙희망재단 설립 추진단 운영(자체/직접)
-경기취헙희망재단 설립 추진단 운영  ⇒ 
가칭 경기일자리재단 설립추진단 운영(자체/직접)
-가칭 경기일자리재단 설립추진단 운영</t>
    <phoneticPr fontId="1" type="noConversion"/>
  </si>
  <si>
    <t>사랑방 문화공간 리모델링</t>
    <phoneticPr fontId="1" type="noConversion"/>
  </si>
  <si>
    <t>축산정책과</t>
    <phoneticPr fontId="1" type="noConversion"/>
  </si>
  <si>
    <t>2회추경</t>
    <phoneticPr fontId="1" type="noConversion"/>
  </si>
  <si>
    <t>승마대회 활성화 지원(기금/직접)
-승마대회 활성화 지원</t>
    <phoneticPr fontId="1" type="noConversion"/>
  </si>
  <si>
    <t>국도비</t>
    <phoneticPr fontId="1" type="noConversion"/>
  </si>
  <si>
    <t>도비</t>
    <phoneticPr fontId="1" type="noConversion"/>
  </si>
  <si>
    <t>동물방역위생과</t>
    <phoneticPr fontId="1" type="noConversion"/>
  </si>
  <si>
    <t>국고보조금(시도가축방역사업)</t>
    <phoneticPr fontId="1" type="noConversion"/>
  </si>
  <si>
    <t>국비 변경내시
※ 농림부 방역총괄과-6934(2015.9.16)</t>
  </si>
  <si>
    <t>국비 변경내시
※ 농림부 방역총괄과-6934(2015.9.16)</t>
    <phoneticPr fontId="1" type="noConversion"/>
  </si>
  <si>
    <t>0609-1</t>
  </si>
  <si>
    <t>동물방역위생과</t>
    <phoneticPr fontId="1" type="noConversion"/>
  </si>
  <si>
    <t>본예산</t>
    <phoneticPr fontId="1" type="noConversion"/>
  </si>
  <si>
    <t>시도가축방역사업(국비/지원)
-지역별 거점소독세척시설 지원</t>
    <phoneticPr fontId="1" type="noConversion"/>
  </si>
  <si>
    <t>미</t>
    <phoneticPr fontId="1" type="noConversion"/>
  </si>
  <si>
    <t>미</t>
    <phoneticPr fontId="1" type="noConversion"/>
  </si>
  <si>
    <t>소방행정과</t>
    <phoneticPr fontId="1" type="noConversion"/>
  </si>
  <si>
    <t>교육환경 기반조성(소방안전/직접)
-노후 방송장비 등 교체</t>
    <phoneticPr fontId="1" type="noConversion"/>
  </si>
  <si>
    <t>통계목 변경(자산및물품취득비 ⇒ 시설비)</t>
    <phoneticPr fontId="1" type="noConversion"/>
  </si>
  <si>
    <t xml:space="preserve">⇒ </t>
    <phoneticPr fontId="1" type="noConversion"/>
  </si>
  <si>
    <t>단독주택 생활쓰레기 배출체계 개선(자체/지원)
-단독주택생활쓰레기 배출체계 개선사업 ⇒ 
단독주택 생활쓰레기 배출체계 개선(자체/지원)
-단독주택생활쓰레기 배출체계 개선 시범사업</t>
    <phoneticPr fontId="1" type="noConversion"/>
  </si>
  <si>
    <t>세부사업명 변경</t>
    <phoneticPr fontId="1" type="noConversion"/>
  </si>
  <si>
    <t>우수환경기업 발굴(자체/직접)
-우수환경기술 실증확산 시범사업  ⇒ 
우수환경기술실증 확산사업(자체/직접)
-우수환경기술 실증확산 시범사업</t>
    <phoneticPr fontId="1" type="noConversion"/>
  </si>
  <si>
    <t>예비비
예비비</t>
    <phoneticPr fontId="1" type="noConversion"/>
  </si>
  <si>
    <t>판교테크노밸리조성사업 공기관등 경상적대행사업비
판교환풍구사고 등에 따른 판교상권 활성화 사업</t>
    <phoneticPr fontId="1" type="noConversion"/>
  </si>
  <si>
    <t>안양천(쌍개울) 유수흐름 개선사업</t>
    <phoneticPr fontId="1" type="noConversion"/>
  </si>
  <si>
    <t>자치행정과</t>
    <phoneticPr fontId="1" type="noConversion"/>
  </si>
  <si>
    <t>2회추경</t>
    <phoneticPr fontId="1" type="noConversion"/>
  </si>
  <si>
    <t>신규</t>
    <phoneticPr fontId="1" type="noConversion"/>
  </si>
  <si>
    <t>도비</t>
    <phoneticPr fontId="1" type="noConversion"/>
  </si>
  <si>
    <t>통계목 변경(민간위탁금⇒민간자본사업보조)</t>
    <phoneticPr fontId="1" type="noConversion"/>
  </si>
  <si>
    <t>통계목 변경에 따른 감액(민간위탁금⇒민간자본사업보조)</t>
    <phoneticPr fontId="1" type="noConversion"/>
  </si>
  <si>
    <t>O</t>
  </si>
  <si>
    <t>0706-2</t>
  </si>
  <si>
    <t>소규모시설물 개보수(자체/직접)
-부천소방서 주차장 포장공사</t>
    <phoneticPr fontId="1" type="noConversion"/>
  </si>
  <si>
    <t>소방공무원 PTSD치유(자체/직접)
-PTSD치유물품 구입</t>
    <phoneticPr fontId="1" type="noConversion"/>
  </si>
  <si>
    <t>소방공무원 PTSD치유(자체/직접)
-PTSD치유물품 구입</t>
    <phoneticPr fontId="1" type="noConversion"/>
  </si>
  <si>
    <t>감염병시설 및 장비확충(기금/직접)
-119구급대 감염관리실 설치  ⇒ 
감병병시설 및 장비확충(국비/직접)
-119구급대 감염관리실 설치</t>
    <phoneticPr fontId="1" type="noConversion"/>
  </si>
  <si>
    <t>&lt;증액사항&gt;
1. 무대장비 구입 1.5억
&lt;감액사항&gt;
1. 찾아가는 문화활동 '경기나눔 31' 8천
2. 우리가곡페스티벌 공연 및 전시 1.2억
2. 대한민국 청소년교향악축제 1억</t>
    <phoneticPr fontId="1" type="noConversion"/>
  </si>
  <si>
    <t>&lt;연정&gt; 상임위 420백만원
1. 경기만에코뮤지엄프로젝트 조사1억
2. 학술세미나 7천(경기천년)
3. 1억2천
4. 청소년드림 토크 콘서트 3천
5. 백남준 추모 10주기 사업 1억</t>
    <phoneticPr fontId="1" type="noConversion"/>
  </si>
  <si>
    <t>피해보전직불 및 폐업지원(기금/직접)
-피해보전직불 및 폐업지원</t>
    <phoneticPr fontId="1" type="noConversion"/>
  </si>
  <si>
    <t>※ 행정자치부 행정제도혁신과-2697(2015.8.20.)호 국비내시 반영</t>
    <phoneticPr fontId="1" type="noConversion"/>
  </si>
  <si>
    <t>에니메이션케릭트 축제</t>
    <phoneticPr fontId="1" type="noConversion"/>
  </si>
  <si>
    <t>경기도문화의전당</t>
    <phoneticPr fontId="1" type="noConversion"/>
  </si>
  <si>
    <t>(부대의견) 관련조례 개정("출연금" → "전출금")</t>
    <phoneticPr fontId="1" type="noConversion"/>
  </si>
  <si>
    <t>의왕(1.5억원) 이천(1억원) 광주(1억원) 파주(1.5억원) 포천(1억원) 시흥(1억원) 고양(1억원)</t>
    <phoneticPr fontId="1" type="noConversion"/>
  </si>
  <si>
    <t>&lt;증액사항&gt;
1. 시군 체육진흥지원사업 1.2억
2. 체육회 선진지 견학 6천</t>
    <phoneticPr fontId="1" type="noConversion"/>
  </si>
  <si>
    <t>자원봉사 활성화 기반구축(자체/직접)
-경기도자원봉사센터 지원</t>
    <phoneticPr fontId="1" type="noConversion"/>
  </si>
  <si>
    <t>자원봉사 활성화 기반구축(자체/직접)
-자원봉사센터 차량구입</t>
    <phoneticPr fontId="1" type="noConversion"/>
  </si>
  <si>
    <t>미</t>
    <phoneticPr fontId="1" type="noConversion"/>
  </si>
  <si>
    <r>
      <rPr>
        <b/>
        <sz val="10"/>
        <rFont val="맑은 고딕"/>
        <family val="3"/>
        <charset val="129"/>
        <scheme val="minor"/>
      </rPr>
      <t>(삭감</t>
    </r>
    <r>
      <rPr>
        <sz val="10"/>
        <rFont val="맑은 고딕"/>
        <family val="3"/>
        <charset val="129"/>
        <scheme val="minor"/>
      </rPr>
      <t>)삭감하여 기존 본예산에 있는 체육대회 경비 20,000천원 증액</t>
    </r>
    <phoneticPr fontId="1" type="noConversion"/>
  </si>
  <si>
    <r>
      <t xml:space="preserve">(부기)양주YTC빌딩 분양 85억원 중 11억원 삭감
</t>
    </r>
    <r>
      <rPr>
        <sz val="10"/>
        <rFont val="맑은 고딕"/>
        <family val="3"/>
        <charset val="129"/>
        <scheme val="minor"/>
      </rPr>
      <t>(통계목 변경 : 공기관등에대한사업비)</t>
    </r>
    <phoneticPr fontId="1" type="noConversion"/>
  </si>
  <si>
    <r>
      <rPr>
        <b/>
        <sz val="10"/>
        <rFont val="맑은 고딕"/>
        <family val="3"/>
        <charset val="129"/>
        <scheme val="minor"/>
      </rPr>
      <t>&lt;증액사항&gt; 450백만원
1</t>
    </r>
    <r>
      <rPr>
        <sz val="10"/>
        <rFont val="맑은 고딕"/>
        <family val="3"/>
        <charset val="129"/>
        <scheme val="minor"/>
      </rPr>
      <t>. 전곡선사박물관 야외체험장 관리동 신축 2.5억
※  1번 삭감(250백만원)
2. 향토작가 문학기행 영상물 제작 2억
3. 안산읍성문화예술제 1천
4. 경기지역문화 활성화 방안 연구 및 지역문화 영상기록물 제작 2억
5. 경기프로보노문화사업(노인/아동 합창) 4천</t>
    </r>
    <r>
      <rPr>
        <b/>
        <sz val="10"/>
        <color rgb="FF0000CC"/>
        <rFont val="맑은 고딕"/>
        <family val="3"/>
        <charset val="129"/>
        <scheme val="minor"/>
      </rPr>
      <t/>
    </r>
    <phoneticPr fontId="1" type="noConversion"/>
  </si>
  <si>
    <t>기금</t>
    <phoneticPr fontId="1" type="noConversion"/>
  </si>
  <si>
    <t>국비</t>
    <phoneticPr fontId="1" type="noConversion"/>
  </si>
  <si>
    <t>기금</t>
    <phoneticPr fontId="1" type="noConversion"/>
  </si>
  <si>
    <t>기금</t>
    <phoneticPr fontId="1" type="noConversion"/>
  </si>
  <si>
    <t>지특</t>
    <phoneticPr fontId="1" type="noConversion"/>
  </si>
  <si>
    <t>해외전시회 단체관 운영(자체/직접)</t>
    <phoneticPr fontId="1" type="noConversion"/>
  </si>
  <si>
    <t>구석기시대 유적지 시굴 조사결과에 따라 반영</t>
    <phoneticPr fontId="1" type="noConversion"/>
  </si>
  <si>
    <t>보육청소년담당관</t>
    <phoneticPr fontId="1" type="noConversion"/>
  </si>
  <si>
    <t>하석정종합정비계획 수립 6천만원을 
처인성주변정비사업으로 변경</t>
    <phoneticPr fontId="1" type="noConversion"/>
  </si>
  <si>
    <t>자원순환과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</si>
</sst>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color rgb="FF0000CC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theme="0"/>
      <name val="맑은 고딕"/>
      <family val="2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hair">
        <color indexed="64"/>
      </bottom>
      <diagonal/>
    </border>
    <border>
      <left style="thick">
        <color rgb="FF00B050"/>
      </left>
      <right style="thick">
        <color rgb="FF00B050"/>
      </right>
      <top style="hair">
        <color indexed="64"/>
      </top>
      <bottom style="thick">
        <color rgb="FF00B050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rgb="FF00B050"/>
      </left>
      <right style="thick">
        <color rgb="FF00B050"/>
      </right>
      <top style="hair">
        <color auto="1"/>
      </top>
      <bottom style="hair">
        <color auto="1"/>
      </bottom>
      <diagonal/>
    </border>
    <border>
      <left style="thick">
        <color rgb="FF00B0F0"/>
      </left>
      <right style="thin">
        <color indexed="64"/>
      </right>
      <top style="thick">
        <color rgb="FF00B0F0"/>
      </top>
      <bottom style="hair">
        <color indexed="64"/>
      </bottom>
      <diagonal/>
    </border>
    <border>
      <left style="thin">
        <color indexed="64"/>
      </left>
      <right style="thick">
        <color rgb="FF00B0F0"/>
      </right>
      <top style="thick">
        <color rgb="FF00B0F0"/>
      </top>
      <bottom style="hair">
        <color indexed="64"/>
      </bottom>
      <diagonal/>
    </border>
    <border>
      <left style="thick">
        <color rgb="FF00B0F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B0F0"/>
      </right>
      <top style="hair">
        <color indexed="64"/>
      </top>
      <bottom style="hair">
        <color indexed="64"/>
      </bottom>
      <diagonal/>
    </border>
    <border>
      <left style="thick">
        <color rgb="FF00B0F0"/>
      </left>
      <right style="thin">
        <color indexed="64"/>
      </right>
      <top style="hair">
        <color indexed="64"/>
      </top>
      <bottom style="thick">
        <color rgb="FF00B0F0"/>
      </bottom>
      <diagonal/>
    </border>
    <border>
      <left style="thin">
        <color indexed="64"/>
      </left>
      <right style="thick">
        <color rgb="FF00B0F0"/>
      </right>
      <top style="hair">
        <color indexed="64"/>
      </top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hair">
        <color indexed="64"/>
      </bottom>
      <diagonal/>
    </border>
    <border>
      <left style="thick">
        <color rgb="FF00B0F0"/>
      </left>
      <right style="thick">
        <color rgb="FF00B0F0"/>
      </right>
      <top style="hair">
        <color indexed="64"/>
      </top>
      <bottom style="hair">
        <color indexed="64"/>
      </bottom>
      <diagonal/>
    </border>
    <border>
      <left style="thick">
        <color rgb="FF00B0F0"/>
      </left>
      <right style="thick">
        <color rgb="FF00B0F0"/>
      </right>
      <top style="hair">
        <color indexed="64"/>
      </top>
      <bottom style="thick">
        <color rgb="FF00B0F0"/>
      </bottom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 style="hair">
        <color rgb="FF00B050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hair">
        <color indexed="64"/>
      </bottom>
      <diagonal/>
    </border>
    <border>
      <left style="medium">
        <color rgb="FF00B050"/>
      </left>
      <right style="medium">
        <color rgb="FF00B050"/>
      </right>
      <top style="hair">
        <color indexed="64"/>
      </top>
      <bottom style="medium">
        <color rgb="FF00B050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6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4" fillId="7" borderId="4" xfId="0" applyFont="1" applyFill="1" applyBorder="1" applyAlignment="1">
      <alignment horizontal="centerContinuous" vertical="center" wrapText="1"/>
    </xf>
    <xf numFmtId="0" fontId="2" fillId="2" borderId="4" xfId="0" applyFont="1" applyFill="1" applyBorder="1">
      <alignment vertical="center"/>
    </xf>
    <xf numFmtId="0" fontId="2" fillId="2" borderId="4" xfId="0" applyFont="1" applyFill="1" applyBorder="1" applyAlignment="1">
      <alignment vertical="center" wrapText="1"/>
    </xf>
    <xf numFmtId="0" fontId="2" fillId="4" borderId="4" xfId="0" applyFont="1" applyFill="1" applyBorder="1">
      <alignment vertical="center"/>
    </xf>
    <xf numFmtId="0" fontId="2" fillId="4" borderId="4" xfId="0" applyFont="1" applyFill="1" applyBorder="1" applyAlignment="1">
      <alignment vertical="center" wrapText="1"/>
    </xf>
    <xf numFmtId="0" fontId="3" fillId="4" borderId="4" xfId="0" applyFont="1" applyFill="1" applyBorder="1">
      <alignment vertical="center"/>
    </xf>
    <xf numFmtId="0" fontId="3" fillId="4" borderId="4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16" borderId="4" xfId="0" applyFont="1" applyFill="1" applyBorder="1">
      <alignment vertical="center"/>
    </xf>
    <xf numFmtId="0" fontId="2" fillId="16" borderId="11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vertical="center" wrapText="1"/>
    </xf>
    <xf numFmtId="0" fontId="38" fillId="9" borderId="4" xfId="0" applyFont="1" applyFill="1" applyBorder="1">
      <alignment vertical="center"/>
    </xf>
    <xf numFmtId="0" fontId="39" fillId="9" borderId="11" xfId="0" applyFont="1" applyFill="1" applyBorder="1">
      <alignment vertical="center"/>
    </xf>
    <xf numFmtId="0" fontId="39" fillId="9" borderId="4" xfId="0" applyFont="1" applyFill="1" applyBorder="1">
      <alignment vertical="center"/>
    </xf>
    <xf numFmtId="0" fontId="2" fillId="9" borderId="4" xfId="0" applyFont="1" applyFill="1" applyBorder="1">
      <alignment vertical="center"/>
    </xf>
    <xf numFmtId="0" fontId="2" fillId="9" borderId="11" xfId="0" applyFont="1" applyFill="1" applyBorder="1">
      <alignment vertical="center"/>
    </xf>
    <xf numFmtId="176" fontId="2" fillId="0" borderId="8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9" borderId="8" xfId="1" applyNumberFormat="1" applyFont="1" applyFill="1" applyBorder="1" applyAlignment="1">
      <alignment horizontal="right" vertical="center"/>
    </xf>
    <xf numFmtId="0" fontId="40" fillId="5" borderId="4" xfId="0" applyFont="1" applyFill="1" applyBorder="1" applyAlignment="1">
      <alignment horizontal="center" vertical="center"/>
    </xf>
    <xf numFmtId="0" fontId="40" fillId="5" borderId="11" xfId="0" applyFont="1" applyFill="1" applyBorder="1" applyAlignment="1">
      <alignment horizontal="center" vertical="center"/>
    </xf>
    <xf numFmtId="0" fontId="36" fillId="5" borderId="29" xfId="0" applyFont="1" applyFill="1" applyBorder="1" applyAlignment="1">
      <alignment vertical="center" wrapText="1"/>
    </xf>
    <xf numFmtId="0" fontId="2" fillId="5" borderId="18" xfId="0" applyFont="1" applyFill="1" applyBorder="1" applyAlignment="1">
      <alignment vertical="center" wrapText="1"/>
    </xf>
    <xf numFmtId="0" fontId="40" fillId="5" borderId="30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176" fontId="28" fillId="0" borderId="4" xfId="1" applyNumberFormat="1" applyFont="1" applyBorder="1" applyAlignment="1">
      <alignment horizontal="right" vertical="center"/>
    </xf>
    <xf numFmtId="176" fontId="28" fillId="0" borderId="8" xfId="1" applyNumberFormat="1" applyFont="1" applyBorder="1" applyAlignment="1">
      <alignment horizontal="right" vertical="center"/>
    </xf>
    <xf numFmtId="176" fontId="28" fillId="9" borderId="8" xfId="1" applyNumberFormat="1" applyFont="1" applyFill="1" applyBorder="1" applyAlignment="1">
      <alignment horizontal="right" vertical="center"/>
    </xf>
    <xf numFmtId="0" fontId="39" fillId="0" borderId="8" xfId="0" applyFont="1" applyBorder="1" applyAlignment="1">
      <alignment vertical="center" wrapText="1"/>
    </xf>
    <xf numFmtId="176" fontId="12" fillId="0" borderId="8" xfId="1" applyNumberFormat="1" applyFont="1" applyBorder="1" applyAlignment="1">
      <alignment horizontal="right" vertical="center"/>
    </xf>
    <xf numFmtId="0" fontId="2" fillId="2" borderId="29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" fillId="5" borderId="30" xfId="0" applyFont="1" applyFill="1" applyBorder="1" applyAlignment="1">
      <alignment vertical="center" wrapText="1"/>
    </xf>
    <xf numFmtId="176" fontId="16" fillId="0" borderId="4" xfId="1" applyNumberFormat="1" applyFont="1" applyBorder="1" applyAlignment="1">
      <alignment horizontal="right" vertical="center"/>
    </xf>
    <xf numFmtId="176" fontId="16" fillId="0" borderId="8" xfId="1" applyNumberFormat="1" applyFont="1" applyBorder="1" applyAlignment="1">
      <alignment horizontal="right" vertical="center"/>
    </xf>
    <xf numFmtId="0" fontId="2" fillId="4" borderId="29" xfId="0" applyFont="1" applyFill="1" applyBorder="1" applyAlignment="1">
      <alignment vertical="center" wrapText="1"/>
    </xf>
    <xf numFmtId="0" fontId="2" fillId="4" borderId="30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vertical="center" wrapText="1"/>
    </xf>
    <xf numFmtId="0" fontId="2" fillId="5" borderId="29" xfId="0" applyFont="1" applyFill="1" applyBorder="1" applyAlignment="1">
      <alignment vertical="center" wrapText="1"/>
    </xf>
    <xf numFmtId="176" fontId="3" fillId="0" borderId="32" xfId="1" applyNumberFormat="1" applyFont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0" fontId="2" fillId="2" borderId="33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176" fontId="2" fillId="0" borderId="29" xfId="1" applyNumberFormat="1" applyFont="1" applyBorder="1" applyAlignment="1">
      <alignment horizontal="right" vertical="center"/>
    </xf>
    <xf numFmtId="176" fontId="2" fillId="0" borderId="18" xfId="1" applyNumberFormat="1" applyFont="1" applyBorder="1" applyAlignment="1">
      <alignment horizontal="right" vertical="center"/>
    </xf>
    <xf numFmtId="176" fontId="2" fillId="0" borderId="34" xfId="1" applyNumberFormat="1" applyFont="1" applyBorder="1" applyAlignment="1">
      <alignment horizontal="right" vertical="center"/>
    </xf>
    <xf numFmtId="176" fontId="2" fillId="0" borderId="35" xfId="1" applyNumberFormat="1" applyFont="1" applyBorder="1" applyAlignment="1">
      <alignment horizontal="right" vertical="center"/>
    </xf>
    <xf numFmtId="176" fontId="2" fillId="0" borderId="36" xfId="1" applyNumberFormat="1" applyFont="1" applyBorder="1" applyAlignment="1">
      <alignment horizontal="right" vertical="center"/>
    </xf>
    <xf numFmtId="176" fontId="2" fillId="0" borderId="37" xfId="1" applyNumberFormat="1" applyFont="1" applyBorder="1" applyAlignment="1">
      <alignment horizontal="right" vertical="center"/>
    </xf>
    <xf numFmtId="176" fontId="2" fillId="0" borderId="38" xfId="1" applyNumberFormat="1" applyFont="1" applyBorder="1" applyAlignment="1">
      <alignment horizontal="right" vertical="center"/>
    </xf>
    <xf numFmtId="176" fontId="2" fillId="0" borderId="39" xfId="1" applyNumberFormat="1" applyFont="1" applyBorder="1" applyAlignment="1">
      <alignment horizontal="right" vertical="center"/>
    </xf>
    <xf numFmtId="0" fontId="2" fillId="5" borderId="40" xfId="0" applyFont="1" applyFill="1" applyBorder="1" applyAlignment="1">
      <alignment vertical="center" wrapText="1"/>
    </xf>
    <xf numFmtId="0" fontId="2" fillId="5" borderId="41" xfId="0" applyFont="1" applyFill="1" applyBorder="1" applyAlignment="1">
      <alignment vertical="center" wrapText="1"/>
    </xf>
    <xf numFmtId="0" fontId="2" fillId="5" borderId="42" xfId="0" applyFont="1" applyFill="1" applyBorder="1" applyAlignment="1">
      <alignment vertical="center" wrapText="1"/>
    </xf>
    <xf numFmtId="176" fontId="2" fillId="9" borderId="4" xfId="1" applyNumberFormat="1" applyFont="1" applyFill="1" applyBorder="1" applyAlignment="1">
      <alignment horizontal="right" vertical="center"/>
    </xf>
    <xf numFmtId="0" fontId="2" fillId="2" borderId="43" xfId="0" applyFont="1" applyFill="1" applyBorder="1" applyAlignment="1">
      <alignment vertical="center" wrapText="1"/>
    </xf>
    <xf numFmtId="176" fontId="38" fillId="0" borderId="8" xfId="1" applyNumberFormat="1" applyFont="1" applyFill="1" applyBorder="1" applyAlignment="1">
      <alignment horizontal="right" vertical="center"/>
    </xf>
    <xf numFmtId="0" fontId="41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vertical="center" wrapText="1"/>
    </xf>
    <xf numFmtId="0" fontId="2" fillId="2" borderId="45" xfId="0" applyFont="1" applyFill="1" applyBorder="1" applyAlignment="1">
      <alignment vertical="center" wrapText="1"/>
    </xf>
    <xf numFmtId="0" fontId="2" fillId="2" borderId="46" xfId="0" applyFont="1" applyFill="1" applyBorder="1" applyAlignment="1">
      <alignment vertical="center" wrapText="1"/>
    </xf>
    <xf numFmtId="0" fontId="2" fillId="2" borderId="47" xfId="0" applyFont="1" applyFill="1" applyBorder="1" applyAlignment="1">
      <alignment vertical="center" wrapText="1"/>
    </xf>
    <xf numFmtId="0" fontId="38" fillId="0" borderId="8" xfId="0" applyFont="1" applyBorder="1">
      <alignment vertical="center"/>
    </xf>
    <xf numFmtId="0" fontId="38" fillId="4" borderId="4" xfId="0" applyFont="1" applyFill="1" applyBorder="1" applyAlignment="1">
      <alignment vertical="center" wrapText="1"/>
    </xf>
    <xf numFmtId="0" fontId="2" fillId="0" borderId="11" xfId="0" applyFont="1" applyFill="1" applyBorder="1">
      <alignment vertical="center"/>
    </xf>
    <xf numFmtId="176" fontId="2" fillId="17" borderId="4" xfId="1" applyNumberFormat="1" applyFont="1" applyFill="1" applyBorder="1" applyAlignment="1">
      <alignment horizontal="right" vertical="center"/>
    </xf>
    <xf numFmtId="176" fontId="2" fillId="17" borderId="8" xfId="1" applyNumberFormat="1" applyFont="1" applyFill="1" applyBorder="1" applyAlignment="1">
      <alignment horizontal="right" vertical="center"/>
    </xf>
    <xf numFmtId="0" fontId="39" fillId="0" borderId="11" xfId="0" applyFont="1" applyBorder="1" applyAlignment="1">
      <alignment vertical="center" shrinkToFit="1"/>
    </xf>
    <xf numFmtId="0" fontId="36" fillId="17" borderId="11" xfId="0" applyFont="1" applyFill="1" applyBorder="1">
      <alignment vertical="center"/>
    </xf>
    <xf numFmtId="0" fontId="40" fillId="17" borderId="11" xfId="0" applyFont="1" applyFill="1" applyBorder="1">
      <alignment vertical="center"/>
    </xf>
    <xf numFmtId="0" fontId="36" fillId="0" borderId="11" xfId="0" applyFont="1" applyFill="1" applyBorder="1">
      <alignment vertical="center"/>
    </xf>
    <xf numFmtId="0" fontId="40" fillId="0" borderId="11" xfId="0" applyFont="1" applyFill="1" applyBorder="1">
      <alignment vertical="center"/>
    </xf>
    <xf numFmtId="0" fontId="38" fillId="5" borderId="4" xfId="0" applyFont="1" applyFill="1" applyBorder="1" applyAlignment="1">
      <alignment vertical="center" wrapText="1"/>
    </xf>
    <xf numFmtId="0" fontId="39" fillId="0" borderId="4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39" fillId="0" borderId="8" xfId="0" applyFont="1" applyBorder="1">
      <alignment vertical="center"/>
    </xf>
    <xf numFmtId="0" fontId="39" fillId="0" borderId="32" xfId="0" applyFont="1" applyBorder="1" applyAlignment="1">
      <alignment vertical="center" wrapText="1"/>
    </xf>
    <xf numFmtId="0" fontId="38" fillId="0" borderId="8" xfId="0" applyFont="1" applyBorder="1" applyAlignment="1">
      <alignment vertical="center" wrapText="1"/>
    </xf>
    <xf numFmtId="0" fontId="12" fillId="0" borderId="8" xfId="0" applyFont="1" applyBorder="1">
      <alignment vertical="center"/>
    </xf>
    <xf numFmtId="0" fontId="38" fillId="0" borderId="3" xfId="0" applyFont="1" applyBorder="1" applyAlignment="1">
      <alignment vertical="center" wrapText="1"/>
    </xf>
    <xf numFmtId="0" fontId="38" fillId="7" borderId="8" xfId="0" applyFont="1" applyFill="1" applyBorder="1" applyAlignment="1">
      <alignment vertical="center" wrapText="1"/>
    </xf>
    <xf numFmtId="0" fontId="39" fillId="2" borderId="8" xfId="0" applyFont="1" applyFill="1" applyBorder="1" applyAlignment="1">
      <alignment vertical="center" wrapText="1"/>
    </xf>
    <xf numFmtId="0" fontId="39" fillId="0" borderId="8" xfId="0" applyFont="1" applyFill="1" applyBorder="1" applyAlignment="1">
      <alignment vertical="center" wrapText="1"/>
    </xf>
    <xf numFmtId="0" fontId="12" fillId="0" borderId="8" xfId="0" applyFont="1" applyFill="1" applyBorder="1">
      <alignment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vertical="center" wrapText="1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  <color rgb="FF0000CC"/>
      <color rgb="FFCCFF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135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757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757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F13" sqref="F13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641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758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642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A2" sqref="A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3" t="s">
        <v>761</v>
      </c>
      <c r="B1" s="103"/>
      <c r="C1" s="103"/>
      <c r="D1" s="103"/>
      <c r="E1" s="103"/>
      <c r="F1" s="103"/>
      <c r="H1" s="105" t="s">
        <v>759</v>
      </c>
      <c r="I1" s="104"/>
      <c r="J1" s="105" t="s">
        <v>748</v>
      </c>
      <c r="K1" s="95">
        <f>IFERROR(INDEX('2추일출'!AB6:AB294,MATCH("*예비비*",'2추일출'!F6:F294,0)),0)</f>
        <v>12249889</v>
      </c>
      <c r="L1" s="105" t="s">
        <v>749</v>
      </c>
      <c r="M1" s="95">
        <f>I1+K1</f>
        <v>12249889</v>
      </c>
    </row>
    <row r="2" spans="1:13" ht="24.95" customHeight="1" x14ac:dyDescent="0.3">
      <c r="M2" s="20" t="s">
        <v>745</v>
      </c>
    </row>
    <row r="3" spans="1:13" ht="24.95" customHeight="1" x14ac:dyDescent="0.3">
      <c r="A3" s="230" t="s">
        <v>731</v>
      </c>
      <c r="B3" s="96" t="s">
        <v>744</v>
      </c>
      <c r="C3" s="97"/>
      <c r="D3" s="97"/>
      <c r="E3" s="97"/>
      <c r="F3" s="97"/>
      <c r="H3" s="230" t="s">
        <v>731</v>
      </c>
      <c r="I3" s="96" t="s">
        <v>746</v>
      </c>
      <c r="J3" s="97"/>
      <c r="K3" s="97"/>
      <c r="L3" s="97"/>
      <c r="M3" s="97"/>
    </row>
    <row r="4" spans="1:13" ht="24.95" customHeight="1" x14ac:dyDescent="0.3">
      <c r="A4" s="230"/>
      <c r="B4" s="98" t="s">
        <v>732</v>
      </c>
      <c r="C4" s="98" t="s">
        <v>733</v>
      </c>
      <c r="D4" s="98" t="s">
        <v>734</v>
      </c>
      <c r="E4" s="98" t="s">
        <v>733</v>
      </c>
      <c r="F4" s="98" t="s">
        <v>735</v>
      </c>
      <c r="H4" s="230"/>
      <c r="I4" s="98" t="s">
        <v>732</v>
      </c>
      <c r="J4" s="98" t="s">
        <v>733</v>
      </c>
      <c r="K4" s="98" t="s">
        <v>734</v>
      </c>
      <c r="L4" s="98" t="s">
        <v>733</v>
      </c>
      <c r="M4" s="98" t="s">
        <v>735</v>
      </c>
    </row>
    <row r="5" spans="1:13" ht="24.95" customHeight="1" x14ac:dyDescent="0.3">
      <c r="A5" s="99" t="s">
        <v>736</v>
      </c>
      <c r="B5" s="100">
        <f>SUM(B6:B13)/2</f>
        <v>0</v>
      </c>
      <c r="C5" s="99" t="str">
        <f>IF(B5=SUM('2추일입'!J6:K6),"OK","@@")</f>
        <v>@@</v>
      </c>
      <c r="D5" s="100">
        <f>SUM(D6:D13)/2</f>
        <v>-7201170</v>
      </c>
      <c r="E5" s="99" t="str">
        <f>IF(D5=SUM('2추일출'!J6:K6),"OK","@@")</f>
        <v>@@</v>
      </c>
      <c r="F5" s="100"/>
      <c r="H5" s="99" t="s">
        <v>736</v>
      </c>
      <c r="I5" s="100">
        <f>SUM(I6:I13)/2</f>
        <v>0</v>
      </c>
      <c r="J5" s="99" t="str">
        <f>IF(I5=SUM('2추일입'!M6:N6),"OK","@@")</f>
        <v>@@</v>
      </c>
      <c r="K5" s="100">
        <f>SUM(K6:K13)/2</f>
        <v>3355378</v>
      </c>
      <c r="L5" s="99" t="str">
        <f>IF(K5=SUM('2추일출'!M6:N6),"OK","@@")</f>
        <v>@@</v>
      </c>
      <c r="M5" s="100"/>
    </row>
    <row r="6" spans="1:13" ht="24.95" customHeight="1" x14ac:dyDescent="0.3">
      <c r="A6" s="101" t="s">
        <v>737</v>
      </c>
      <c r="B6" s="102">
        <f>SUM(B7:B8)</f>
        <v>0</v>
      </c>
      <c r="C6" s="101" t="str">
        <f>IF(B6='2추일입'!W6,"OK","@@")</f>
        <v>OK</v>
      </c>
      <c r="D6" s="102">
        <f>SUM(D7:D8)</f>
        <v>-6169051</v>
      </c>
      <c r="E6" s="101" t="str">
        <f>IF(D6='2추일출'!W6,"OK","@@")</f>
        <v>@@</v>
      </c>
      <c r="F6" s="102"/>
      <c r="H6" s="101" t="s">
        <v>737</v>
      </c>
      <c r="I6" s="102">
        <f>SUM(I7:I8)</f>
        <v>0</v>
      </c>
      <c r="J6" s="101" t="str">
        <f>IF(I6='2추일입'!AB6,"OK","@@")</f>
        <v>OK</v>
      </c>
      <c r="K6" s="102">
        <f>SUM(K7:K8)</f>
        <v>1676113</v>
      </c>
      <c r="L6" s="101" t="str">
        <f>IF(K6='2추일출'!AB6,"OK","@@")</f>
        <v>@@</v>
      </c>
      <c r="M6" s="102"/>
    </row>
    <row r="7" spans="1:13" ht="24.95" customHeight="1" x14ac:dyDescent="0.3">
      <c r="A7" s="93" t="s">
        <v>738</v>
      </c>
      <c r="B7" s="94">
        <f>SUMIFS('2추일입'!W6:W60,'2추일입'!U6:U60,"도비")</f>
        <v>0</v>
      </c>
      <c r="C7" s="93"/>
      <c r="D7" s="94">
        <f>SUMIFS('2추일출'!$W$6:$W$294,'2추일출'!$U$6:$U$294,"도비")</f>
        <v>-5136932</v>
      </c>
      <c r="E7" s="93"/>
      <c r="F7" s="94"/>
      <c r="H7" s="93" t="s">
        <v>738</v>
      </c>
      <c r="I7" s="94">
        <f>SUMIFS('2추일입'!AB6:AB60,'2추일입'!Z6:Z60,"국비")</f>
        <v>0</v>
      </c>
      <c r="J7" s="93"/>
      <c r="K7" s="94">
        <f>SUMIFS('2추일출'!$AB$6:$AB$294,'2추일출'!$Z$6:$Z$294,"도비")</f>
        <v>-3152</v>
      </c>
      <c r="L7" s="93"/>
      <c r="M7" s="94"/>
    </row>
    <row r="8" spans="1:13" ht="24.95" customHeight="1" x14ac:dyDescent="0.3">
      <c r="A8" s="93" t="s">
        <v>739</v>
      </c>
      <c r="B8" s="94">
        <f>SUMIFS('2추일입'!W6:W60,'2추일입'!U6:U60,"국비")+SUMIFS('2추일입'!W6:W60,'2추일입'!U6:U60,"지특")+SUMIFS('2추일입'!W6:W60,'2추일입'!U6:U60,"기금")+SUMIFS('2추일입'!W6:W60,'2추일입'!U6:U60,"특교")</f>
        <v>0</v>
      </c>
      <c r="C8" s="93"/>
      <c r="D8" s="94">
        <f>SUMIFS('2추일출'!$W$6:$W$294,'2추일출'!$U$6:$U$294,"국비")+SUMIFS('2추일출'!$W$6:$W$294,'2추일출'!$U$6:$U$294,"지특")+SUMIFS('2추일출'!$W$6:$W$294,'2추일출'!$U$6:$U$294,"기금")+SUMIFS('2추일출'!$W$6:$W$294,'2추일출'!$U$6:$U$294,"특교")</f>
        <v>-1032119</v>
      </c>
      <c r="E8" s="93"/>
      <c r="F8" s="94"/>
      <c r="H8" s="93" t="s">
        <v>739</v>
      </c>
      <c r="I8" s="94">
        <f>SUMIFS('2추일입'!AB6:AB60,'2추일입'!Z6:Z60,"국비")+SUMIFS('2추일입'!AB6:AB60,'2추일입'!Z6:Z60,"지특")+SUMIFS('2추일입'!AB6:AB60,'2추일입'!Z6:Z60,"기금")+SUMIFS('2추일입'!AB6:AB60,'2추일입'!Z6:Z60,"특교")</f>
        <v>0</v>
      </c>
      <c r="J8" s="93"/>
      <c r="K8" s="94">
        <f>SUMIFS('2추일출'!$AB$6:$AB$294,'2추일출'!$Z$6:$Z$294,"국비")+SUMIFS('2추일출'!$AB$6:$AB$294,'2추일출'!$Z$6:$Z$294,"지특")+SUMIFS('2추일출'!$AB$6:$AB$294,'2추일출'!$Z$6:$Z$294,"기금")+SUMIFS('2추일출'!$AB$6:$AB$294,'2추일출'!$Z$6:$Z$294,"특교")</f>
        <v>1679265</v>
      </c>
      <c r="L8" s="93"/>
      <c r="M8" s="94"/>
    </row>
    <row r="9" spans="1:13" ht="24.95" customHeight="1" x14ac:dyDescent="0.3">
      <c r="A9" s="101" t="s">
        <v>740</v>
      </c>
      <c r="B9" s="102">
        <f>SUM(B10:B13)</f>
        <v>0</v>
      </c>
      <c r="C9" s="101" t="str">
        <f>IF(B9='2추일입'!V6,"OK","@@")</f>
        <v>@@</v>
      </c>
      <c r="D9" s="102">
        <f>SUM(D10:D13)</f>
        <v>-1032119</v>
      </c>
      <c r="E9" s="101" t="str">
        <f>IF(D9='2추일출'!V6,"OK","@@")</f>
        <v>@@</v>
      </c>
      <c r="F9" s="102">
        <f>SUM(F10:F13)</f>
        <v>-1032119</v>
      </c>
      <c r="H9" s="101" t="s">
        <v>740</v>
      </c>
      <c r="I9" s="102">
        <f>SUM(I10:I13)</f>
        <v>0</v>
      </c>
      <c r="J9" s="101" t="str">
        <f>IF(I9='2추일입'!V6,"OK","@@")</f>
        <v>@@</v>
      </c>
      <c r="K9" s="102">
        <f>SUM(K10:K13)</f>
        <v>1679265</v>
      </c>
      <c r="L9" s="101" t="str">
        <f>IF(K9='2추일출'!AA6,"OK","@@")</f>
        <v>@@</v>
      </c>
      <c r="M9" s="102">
        <f>SUM(M10:M13)</f>
        <v>1679265</v>
      </c>
    </row>
    <row r="10" spans="1:13" ht="24.95" customHeight="1" x14ac:dyDescent="0.3">
      <c r="A10" s="93" t="s">
        <v>741</v>
      </c>
      <c r="B10" s="94">
        <f>SUMIFS('2추일입'!$W$6:$W$60,'2추일입'!$U$6:$U$60,'2추검증'!A10)</f>
        <v>0</v>
      </c>
      <c r="C10" s="93"/>
      <c r="D10" s="94">
        <f>SUMIFS('2추일출'!$W$6:$W$294,'2추일출'!$U$6:$U$294,'2추검증'!A10)</f>
        <v>-1065495</v>
      </c>
      <c r="E10" s="93"/>
      <c r="F10" s="94">
        <f>D10-B10</f>
        <v>-1065495</v>
      </c>
      <c r="H10" s="93" t="s">
        <v>741</v>
      </c>
      <c r="I10" s="94">
        <f>SUMIFS('2추일입'!$AB$6:$AB$60,'2추일입'!$Z$6:$Z$60,'2추검증'!H10)</f>
        <v>0</v>
      </c>
      <c r="J10" s="93"/>
      <c r="K10" s="94">
        <f>SUMIFS('2추일출'!$AB$6:$AB$294,'2추일출'!$Z$6:$Z$294,'2추검증'!H10)</f>
        <v>-762777</v>
      </c>
      <c r="L10" s="93"/>
      <c r="M10" s="94">
        <f>K10-I10</f>
        <v>-762777</v>
      </c>
    </row>
    <row r="11" spans="1:13" ht="24.95" customHeight="1" x14ac:dyDescent="0.3">
      <c r="A11" s="93" t="s">
        <v>747</v>
      </c>
      <c r="B11" s="94">
        <f>SUMIFS('2추일입'!$W$6:$W$60,'2추일입'!$U$6:$U$60,'2추검증'!A11)</f>
        <v>0</v>
      </c>
      <c r="C11" s="93"/>
      <c r="D11" s="94">
        <f>SUMIFS('2추일출'!$W$6:$W$294,'2추일출'!$U$6:$U$294,'2추검증'!A11)</f>
        <v>0</v>
      </c>
      <c r="E11" s="93"/>
      <c r="F11" s="94">
        <f t="shared" ref="F11:F13" si="0">D11-B11</f>
        <v>0</v>
      </c>
      <c r="H11" s="93" t="s">
        <v>747</v>
      </c>
      <c r="I11" s="94">
        <f>SUMIFS('2추일입'!$AB$6:$AB$60,'2추일입'!$Z$6:$Z$60,'2추검증'!H11)</f>
        <v>0</v>
      </c>
      <c r="J11" s="93"/>
      <c r="K11" s="94">
        <f>SUMIFS('2추일출'!$AB$6:$AB$294,'2추일출'!$Z$6:$Z$294,'2추검증'!H11)</f>
        <v>2490000</v>
      </c>
      <c r="L11" s="93"/>
      <c r="M11" s="94">
        <f t="shared" ref="M11:M13" si="1">K11-I11</f>
        <v>2490000</v>
      </c>
    </row>
    <row r="12" spans="1:13" ht="24.95" customHeight="1" x14ac:dyDescent="0.3">
      <c r="A12" s="93" t="s">
        <v>742</v>
      </c>
      <c r="B12" s="94">
        <f>SUMIFS('2추일입'!$W$6:$W$60,'2추일입'!$U$6:$U$60,'2추검증'!A12)</f>
        <v>0</v>
      </c>
      <c r="C12" s="93"/>
      <c r="D12" s="94">
        <f>SUMIFS('2추일출'!$W$6:$W$294,'2추일출'!$U$6:$U$294,'2추검증'!A12)</f>
        <v>33376</v>
      </c>
      <c r="E12" s="93"/>
      <c r="F12" s="94">
        <f t="shared" si="0"/>
        <v>33376</v>
      </c>
      <c r="H12" s="93" t="s">
        <v>742</v>
      </c>
      <c r="I12" s="94">
        <f>SUMIFS('2추일입'!$AB$6:$AB$60,'2추일입'!$Z$6:$Z$60,'2추검증'!H12)</f>
        <v>0</v>
      </c>
      <c r="J12" s="93"/>
      <c r="K12" s="94">
        <f>SUMIFS('2추일출'!$AB$6:$AB$294,'2추일출'!$Z$6:$Z$294,'2추검증'!H12)</f>
        <v>-47958</v>
      </c>
      <c r="L12" s="93"/>
      <c r="M12" s="94">
        <f t="shared" si="1"/>
        <v>-47958</v>
      </c>
    </row>
    <row r="13" spans="1:13" ht="24.95" customHeight="1" x14ac:dyDescent="0.3">
      <c r="A13" s="93" t="s">
        <v>743</v>
      </c>
      <c r="B13" s="94">
        <f>SUMIFS('2추일입'!$W$6:$W$60,'2추일입'!$U$6:$U$60,'2추검증'!A13)</f>
        <v>0</v>
      </c>
      <c r="C13" s="93"/>
      <c r="D13" s="94">
        <f>SUMIFS('2추일출'!$W$6:$W$294,'2추일출'!$U$6:$U$294,'2추검증'!A13)</f>
        <v>0</v>
      </c>
      <c r="E13" s="93"/>
      <c r="F13" s="94">
        <f t="shared" si="0"/>
        <v>0</v>
      </c>
      <c r="H13" s="93" t="s">
        <v>743</v>
      </c>
      <c r="I13" s="94">
        <f>SUMIFS('2추일입'!$AB$6:$AB$60,'2추일입'!$Z$6:$Z$60,'2추검증'!H13)</f>
        <v>0</v>
      </c>
      <c r="J13" s="93"/>
      <c r="K13" s="94">
        <f>SUMIFS('2추일출'!$AB$6:$AB$294,'2추일출'!$Z$6:$Z$294,'2추검증'!H13)</f>
        <v>0</v>
      </c>
      <c r="L13" s="93"/>
      <c r="M13" s="9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42"/>
  <sheetViews>
    <sheetView tabSelected="1" workbookViewId="0">
      <selection activeCell="B1" sqref="B1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</cols>
  <sheetData>
    <row r="1" spans="1:8" ht="30" customHeight="1" x14ac:dyDescent="0.3">
      <c r="A1" s="81" t="s">
        <v>760</v>
      </c>
      <c r="B1" s="7"/>
      <c r="C1" s="7"/>
      <c r="D1" s="7"/>
      <c r="E1" s="7"/>
      <c r="F1" s="7"/>
      <c r="G1" s="7"/>
      <c r="H1" s="87"/>
    </row>
    <row r="2" spans="1:8" ht="9.9499999999999993" customHeight="1" x14ac:dyDescent="0.3"/>
    <row r="3" spans="1:8" ht="20.100000000000001" customHeight="1" x14ac:dyDescent="0.3">
      <c r="A3" s="69" t="s">
        <v>690</v>
      </c>
      <c r="C3" s="106" t="s">
        <v>691</v>
      </c>
      <c r="D3" s="74">
        <f>SUM(C7:D7)</f>
        <v>19824877</v>
      </c>
      <c r="E3" s="106" t="s">
        <v>692</v>
      </c>
      <c r="F3" s="74">
        <f>SUM(E7:F7)</f>
        <v>19824877</v>
      </c>
    </row>
    <row r="4" spans="1:8" ht="15" customHeight="1" thickBot="1" x14ac:dyDescent="0.35">
      <c r="C4" s="83"/>
      <c r="D4" s="83"/>
      <c r="E4" s="85" t="s">
        <v>722</v>
      </c>
      <c r="F4" s="83"/>
      <c r="G4" s="20" t="s">
        <v>693</v>
      </c>
      <c r="H4" s="88"/>
    </row>
    <row r="5" spans="1:8" ht="18" customHeight="1" x14ac:dyDescent="0.3">
      <c r="A5" s="233" t="s">
        <v>694</v>
      </c>
      <c r="B5" s="235" t="s">
        <v>695</v>
      </c>
      <c r="C5" s="235" t="s">
        <v>696</v>
      </c>
      <c r="D5" s="235"/>
      <c r="E5" s="235" t="s">
        <v>697</v>
      </c>
      <c r="F5" s="235"/>
      <c r="G5" s="237" t="s">
        <v>698</v>
      </c>
      <c r="H5" s="86"/>
    </row>
    <row r="6" spans="1:8" ht="18" customHeight="1" x14ac:dyDescent="0.3">
      <c r="A6" s="234"/>
      <c r="B6" s="236"/>
      <c r="C6" s="132" t="s">
        <v>709</v>
      </c>
      <c r="D6" s="132" t="s">
        <v>710</v>
      </c>
      <c r="E6" s="132" t="s">
        <v>709</v>
      </c>
      <c r="F6" s="132" t="s">
        <v>710</v>
      </c>
      <c r="G6" s="238"/>
      <c r="H6" s="86"/>
    </row>
    <row r="7" spans="1:8" ht="21.95" customHeight="1" x14ac:dyDescent="0.3">
      <c r="A7" s="127" t="s">
        <v>699</v>
      </c>
      <c r="B7" s="123">
        <f>SUM(B8:B17)</f>
        <v>21325237843</v>
      </c>
      <c r="C7" s="123">
        <f t="shared" ref="C7:G7" si="0">SUM(C8:C17)</f>
        <v>-11857170</v>
      </c>
      <c r="D7" s="123">
        <f t="shared" si="0"/>
        <v>31682047</v>
      </c>
      <c r="E7" s="123">
        <f t="shared" si="0"/>
        <v>-74752271</v>
      </c>
      <c r="F7" s="123">
        <f t="shared" si="0"/>
        <v>94577148</v>
      </c>
      <c r="G7" s="128">
        <f t="shared" si="0"/>
        <v>21345062720</v>
      </c>
      <c r="H7" s="89"/>
    </row>
    <row r="8" spans="1:8" ht="21.95" customHeight="1" x14ac:dyDescent="0.3">
      <c r="A8" s="76" t="s">
        <v>700</v>
      </c>
      <c r="B8" s="72">
        <f>B31</f>
        <v>52731770</v>
      </c>
      <c r="C8" s="72">
        <f>SUMIFS('2추일입'!$M$6:$M$60,'2추일입'!$A$6:$A$60,'2추총괄표'!$A8)+SUMIFS('2추특입'!$M$6:$M$100,'2추특입'!$A$6:$A$100,'2추총괄표'!$A8)</f>
        <v>0</v>
      </c>
      <c r="D8" s="72">
        <f>SUMIFS('2추일입'!$N$6:$N$60,'2추일입'!$A$6:$A$60,'2추총괄표'!$A8)+SUMIFS('2추특입'!$N$6:$N$100,'2추특입'!$A$6:$A$100,'2추총괄표'!$A8)</f>
        <v>0</v>
      </c>
      <c r="E8" s="72">
        <f>SUMIFS('2추일출'!M$6:M$294,'2추일출'!$A$6:$A$294,'2추총괄표'!$A8)+SUMIFS('2추특출'!M$6:M$100,'2추특출'!$A$6:$A$100,'2추총괄표'!$A8)</f>
        <v>-2165000</v>
      </c>
      <c r="F8" s="72">
        <f>SUMIFS('2추일출'!N$6:N$294,'2추일출'!$A$6:$A$294,'2추총괄표'!$A8)+SUMIFS('2추특출'!N$6:N$100,'2추특출'!$A$6:$A$100,'2추총괄표'!$A8)</f>
        <v>819700</v>
      </c>
      <c r="G8" s="77">
        <f>B8+E8+F8</f>
        <v>51386470</v>
      </c>
      <c r="H8" s="89"/>
    </row>
    <row r="9" spans="1:8" ht="21.95" customHeight="1" x14ac:dyDescent="0.3">
      <c r="A9" s="76" t="s">
        <v>701</v>
      </c>
      <c r="B9" s="72">
        <f t="shared" ref="B9:B17" si="1">B32</f>
        <v>6565707178</v>
      </c>
      <c r="C9" s="72">
        <f>SUMIFS('2추일입'!$M$6:$M$60,'2추일입'!$A$6:$A$60,'2추총괄표'!$A9)+SUMIFS('2추특입'!$M$6:$M$100,'2추특입'!$A$6:$A$100,'2추총괄표'!$A9)</f>
        <v>0</v>
      </c>
      <c r="D9" s="72">
        <f>SUMIFS('2추일입'!$N$6:$N$60,'2추일입'!$A$6:$A$60,'2추총괄표'!$A9)+SUMIFS('2추특입'!$N$6:$N$100,'2추특입'!$A$6:$A$100,'2추총괄표'!$A9)</f>
        <v>0</v>
      </c>
      <c r="E9" s="72">
        <f>SUMIFS('2추일출'!M$6:M$294,'2추일출'!$A$6:$A$294,'2추총괄표'!$A9)+SUMIFS('2추특출'!M$6:M$100,'2추특출'!$A$6:$A$100,'2추총괄표'!$A9)</f>
        <v>-30855000</v>
      </c>
      <c r="F9" s="72">
        <f>SUMIFS('2추일출'!N$6:N$294,'2추일출'!$A$6:$A$294,'2추총괄표'!$A9)+SUMIFS('2추특출'!N$6:N$100,'2추특출'!$A$6:$A$100,'2추총괄표'!$A9)</f>
        <v>14449889</v>
      </c>
      <c r="G9" s="77">
        <f t="shared" ref="G9:G17" si="2">B9+E9+F9</f>
        <v>6549302067</v>
      </c>
      <c r="H9" s="89"/>
    </row>
    <row r="10" spans="1:8" ht="21.95" customHeight="1" x14ac:dyDescent="0.3">
      <c r="A10" s="76" t="s">
        <v>702</v>
      </c>
      <c r="B10" s="72">
        <f t="shared" si="1"/>
        <v>585316491</v>
      </c>
      <c r="C10" s="72">
        <f>SUMIFS('2추일입'!$M$6:$M$60,'2추일입'!$A$6:$A$60,'2추총괄표'!$A10)+SUMIFS('2추특입'!$M$6:$M$100,'2추특입'!$A$6:$A$100,'2추총괄표'!$A10)</f>
        <v>0</v>
      </c>
      <c r="D10" s="72">
        <f>SUMIFS('2추일입'!$N$6:$N$60,'2추일입'!$A$6:$A$60,'2추총괄표'!$A10)+SUMIFS('2추특입'!$N$6:$N$100,'2추특입'!$A$6:$A$100,'2추총괄표'!$A10)</f>
        <v>600000</v>
      </c>
      <c r="E10" s="72">
        <f>SUMIFS('2추일출'!M$6:M$294,'2추일출'!$A$6:$A$294,'2추총괄표'!$A10)+SUMIFS('2추특출'!M$6:M$100,'2추특출'!$A$6:$A$100,'2추총괄표'!$A10)</f>
        <v>-1420000</v>
      </c>
      <c r="F10" s="72">
        <f>SUMIFS('2추일출'!N$6:N$294,'2추일출'!$A$6:$A$294,'2추총괄표'!$A10)+SUMIFS('2추특출'!N$6:N$100,'2추특출'!$A$6:$A$100,'2추총괄표'!$A10)</f>
        <v>3100000</v>
      </c>
      <c r="G10" s="77">
        <f t="shared" si="2"/>
        <v>586996491</v>
      </c>
      <c r="H10" s="89"/>
    </row>
    <row r="11" spans="1:8" ht="21.95" customHeight="1" x14ac:dyDescent="0.3">
      <c r="A11" s="76" t="s">
        <v>703</v>
      </c>
      <c r="B11" s="72">
        <f t="shared" si="1"/>
        <v>1455931660</v>
      </c>
      <c r="C11" s="72">
        <f>SUMIFS('2추일입'!$M$6:$M$60,'2추일입'!$A$6:$A$60,'2추총괄표'!$A11)+SUMIFS('2추특입'!$M$6:$M$100,'2추특입'!$A$6:$A$100,'2추총괄표'!$A11)</f>
        <v>0</v>
      </c>
      <c r="D11" s="72">
        <f>SUMIFS('2추일입'!$N$6:$N$60,'2추일입'!$A$6:$A$60,'2추총괄표'!$A11)+SUMIFS('2추특입'!$N$6:$N$100,'2추특입'!$A$6:$A$100,'2추총괄표'!$A11)</f>
        <v>0</v>
      </c>
      <c r="E11" s="72">
        <f>SUMIFS('2추일출'!M$6:M$294,'2추일출'!$A$6:$A$294,'2추총괄표'!$A11)+SUMIFS('2추특출'!M$6:M$100,'2추특출'!$A$6:$A$100,'2추총괄표'!$A11)</f>
        <v>-340000</v>
      </c>
      <c r="F11" s="72">
        <f>SUMIFS('2추일출'!N$6:N$294,'2추일출'!$A$6:$A$294,'2추총괄표'!$A11)+SUMIFS('2추특출'!N$6:N$100,'2추특출'!$A$6:$A$100,'2추총괄표'!$A11)</f>
        <v>4419000</v>
      </c>
      <c r="G11" s="77">
        <f t="shared" si="2"/>
        <v>1460010660</v>
      </c>
      <c r="H11" s="89"/>
    </row>
    <row r="12" spans="1:8" ht="21.95" customHeight="1" x14ac:dyDescent="0.3">
      <c r="A12" s="76" t="s">
        <v>704</v>
      </c>
      <c r="B12" s="72">
        <f t="shared" si="1"/>
        <v>387718085</v>
      </c>
      <c r="C12" s="72">
        <f>SUMIFS('2추일입'!$M$6:$M$60,'2추일입'!$A$6:$A$60,'2추총괄표'!$A12)+SUMIFS('2추특입'!$M$6:$M$100,'2추특입'!$A$6:$A$100,'2추총괄표'!$A12)</f>
        <v>0</v>
      </c>
      <c r="D12" s="72">
        <f>SUMIFS('2추일입'!$N$6:$N$60,'2추일입'!$A$6:$A$60,'2추총괄표'!$A12)+SUMIFS('2추특입'!$N$6:$N$100,'2추특입'!$A$6:$A$100,'2추총괄표'!$A12)</f>
        <v>3925000</v>
      </c>
      <c r="E12" s="72">
        <f>SUMIFS('2추일출'!M$6:M$294,'2추일출'!$A$6:$A$294,'2추총괄표'!$A12)+SUMIFS('2추특출'!M$6:M$100,'2추특출'!$A$6:$A$100,'2추총괄표'!$A12)</f>
        <v>-3280000</v>
      </c>
      <c r="F12" s="72">
        <f>SUMIFS('2추일출'!N$6:N$294,'2추일출'!$A$6:$A$294,'2추총괄표'!$A12)+SUMIFS('2추특출'!N$6:N$100,'2추특출'!$A$6:$A$100,'2추총괄표'!$A12)</f>
        <v>8895000</v>
      </c>
      <c r="G12" s="77">
        <f t="shared" si="2"/>
        <v>393333085</v>
      </c>
      <c r="H12" s="89"/>
    </row>
    <row r="13" spans="1:8" ht="21.95" customHeight="1" x14ac:dyDescent="0.3">
      <c r="A13" s="76" t="s">
        <v>705</v>
      </c>
      <c r="B13" s="72">
        <f t="shared" si="1"/>
        <v>517279817</v>
      </c>
      <c r="C13" s="72">
        <f>SUMIFS('2추일입'!$M$6:$M$60,'2추일입'!$A$6:$A$60,'2추총괄표'!$A13)+SUMIFS('2추특입'!$M$6:$M$100,'2추특입'!$A$6:$A$100,'2추총괄표'!$A13)</f>
        <v>-3152</v>
      </c>
      <c r="D13" s="72">
        <f>SUMIFS('2추일입'!$N$6:$N$60,'2추일입'!$A$6:$A$60,'2추총괄표'!$A13)+SUMIFS('2추특입'!$N$6:$N$100,'2추특입'!$A$6:$A$100,'2추총괄표'!$A13)</f>
        <v>6314400</v>
      </c>
      <c r="E13" s="72">
        <f>SUMIFS('2추일출'!M$6:M$294,'2추일출'!$A$6:$A$294,'2추총괄표'!$A13)+SUMIFS('2추특출'!M$6:M$100,'2추특출'!$A$6:$A$100,'2추총괄표'!$A13)</f>
        <v>-815219</v>
      </c>
      <c r="F13" s="72">
        <f>SUMIFS('2추일출'!N$6:N$294,'2추일출'!$A$6:$A$294,'2추총괄표'!$A13)+SUMIFS('2추특출'!N$6:N$100,'2추특출'!$A$6:$A$100,'2추총괄표'!$A13)</f>
        <v>10344710</v>
      </c>
      <c r="G13" s="77">
        <f t="shared" si="2"/>
        <v>526809308</v>
      </c>
      <c r="H13" s="89"/>
    </row>
    <row r="14" spans="1:8" ht="21.95" customHeight="1" x14ac:dyDescent="0.3">
      <c r="A14" s="76" t="s">
        <v>706</v>
      </c>
      <c r="B14" s="72">
        <f t="shared" si="1"/>
        <v>3790839170</v>
      </c>
      <c r="C14" s="72">
        <f>SUMIFS('2추일입'!$M$6:$M$60,'2추일입'!$A$6:$A$60,'2추총괄표'!$A14)+SUMIFS('2추특입'!$M$6:$M$100,'2추특입'!$A$6:$A$100,'2추총괄표'!$A14)</f>
        <v>-4797190</v>
      </c>
      <c r="D14" s="72">
        <f>SUMIFS('2추일입'!$N$6:$N$60,'2추일입'!$A$6:$A$60,'2추총괄표'!$A14)+SUMIFS('2추특입'!$N$6:$N$100,'2추특입'!$A$6:$A$100,'2추총괄표'!$A14)</f>
        <v>3247216</v>
      </c>
      <c r="E14" s="72">
        <f>SUMIFS('2추일출'!M$6:M$294,'2추일출'!$A$6:$A$294,'2추총괄표'!$A14)+SUMIFS('2추특출'!M$6:M$100,'2추특출'!$A$6:$A$100,'2추총괄표'!$A14)</f>
        <v>-7066850</v>
      </c>
      <c r="F14" s="72">
        <f>SUMIFS('2추일출'!N$6:N$294,'2추일출'!$A$6:$A$294,'2추총괄표'!$A14)+SUMIFS('2추특출'!N$6:N$100,'2추특출'!$A$6:$A$100,'2추총괄표'!$A14)</f>
        <v>7340592</v>
      </c>
      <c r="G14" s="77">
        <f t="shared" si="2"/>
        <v>3791112912</v>
      </c>
      <c r="H14" s="89"/>
    </row>
    <row r="15" spans="1:8" ht="21.95" customHeight="1" x14ac:dyDescent="0.3">
      <c r="A15" s="76" t="s">
        <v>707</v>
      </c>
      <c r="B15" s="72">
        <f>B38</f>
        <v>1656739971</v>
      </c>
      <c r="C15" s="72">
        <f>SUMIFS('2추일입'!$M$6:$M$60,'2추일입'!$A$6:$A$60,'2추총괄표'!$A15)+SUMIFS('2추특입'!$M$6:$M$100,'2추특입'!$A$6:$A$100,'2추총괄표'!$A15)</f>
        <v>0</v>
      </c>
      <c r="D15" s="72">
        <f>SUMIFS('2추일입'!$N$6:$N$60,'2추일입'!$A$6:$A$60,'2추총괄표'!$A15)+SUMIFS('2추특입'!$N$6:$N$100,'2추특입'!$A$6:$A$100,'2추총괄표'!$A15)</f>
        <v>0</v>
      </c>
      <c r="E15" s="72">
        <f>SUMIFS('2추일출'!M$6:M$294,'2추일출'!$A$6:$A$294,'2추총괄표'!$A15)+SUMIFS('2추특출'!M$6:M$100,'2추특출'!$A$6:$A$100,'2추총괄표'!$A15)</f>
        <v>-17900000</v>
      </c>
      <c r="F15" s="72">
        <f>SUMIFS('2추일출'!N$6:N$294,'2추일출'!$A$6:$A$294,'2추총괄표'!$A15)+SUMIFS('2추특출'!N$6:N$100,'2추특출'!$A$6:$A$100,'2추총괄표'!$A15)</f>
        <v>13490000</v>
      </c>
      <c r="G15" s="77">
        <f t="shared" si="2"/>
        <v>1652329971</v>
      </c>
      <c r="H15" s="89"/>
    </row>
    <row r="16" spans="1:8" ht="21.95" customHeight="1" x14ac:dyDescent="0.3">
      <c r="A16" s="130" t="s">
        <v>756</v>
      </c>
      <c r="B16" s="72">
        <f>B39</f>
        <v>1141757097</v>
      </c>
      <c r="C16" s="72">
        <f>SUMIFS('2추일입'!$M$6:$M$60,'2추일입'!$A$6:$A$60,'2추총괄표'!$A16)+SUMIFS('2추특입'!$M$6:$M$100,'2추특입'!$A$6:$A$100,'2추총괄표'!$A16)</f>
        <v>-6902000</v>
      </c>
      <c r="D16" s="72">
        <f>SUMIFS('2추일입'!$N$6:$N$60,'2추일입'!$A$6:$A$60,'2추총괄표'!$A16)+SUMIFS('2추특입'!$N$6:$N$100,'2추특입'!$A$6:$A$100,'2추총괄표'!$A16)</f>
        <v>16673000</v>
      </c>
      <c r="E16" s="72">
        <f>SUMIFS('2추일출'!M$6:M$294,'2추일출'!$A$6:$A$294,'2추총괄표'!$A16)+SUMIFS('2추특출'!M$6:M$100,'2추특출'!$A$6:$A$100,'2추총괄표'!$A16)</f>
        <v>-9705000</v>
      </c>
      <c r="F16" s="72">
        <f>SUMIFS('2추일출'!N$6:N$294,'2추일출'!$A$6:$A$294,'2추총괄표'!$A16)+SUMIFS('2추특출'!N$6:N$100,'2추특출'!$A$6:$A$100,'2추총괄표'!$A16)</f>
        <v>24295392</v>
      </c>
      <c r="G16" s="77">
        <f t="shared" ref="G16" si="3">B16+E16+F16</f>
        <v>1156347489</v>
      </c>
      <c r="H16" s="89"/>
    </row>
    <row r="17" spans="1:8" ht="21.95" customHeight="1" thickBot="1" x14ac:dyDescent="0.35">
      <c r="A17" s="78" t="s">
        <v>1170</v>
      </c>
      <c r="B17" s="79">
        <f t="shared" si="1"/>
        <v>5171216604</v>
      </c>
      <c r="C17" s="79">
        <f>SUMIFS('2추일입'!$M$6:$M$60,'2추일입'!$A$6:$A$60,'2추총괄표'!$A17)+SUMIFS('2추특입'!$M$6:$M$100,'2추특입'!$A$6:$A$100,'2추총괄표'!$A17)</f>
        <v>-154828</v>
      </c>
      <c r="D17" s="79">
        <f>SUMIFS('2추일입'!$N$6:$N$60,'2추일입'!$A$6:$A$60,'2추총괄표'!$A17)+SUMIFS('2추특입'!$N$6:$N$100,'2추특입'!$A$6:$A$100,'2추총괄표'!$A17)</f>
        <v>922431</v>
      </c>
      <c r="E17" s="79">
        <f>SUMIFS('2추일출'!M$6:M$294,'2추일출'!$A$6:$A$294,'2추총괄표'!$A17)+SUMIFS('2추특출'!M$6:M$100,'2추특출'!$A$6:$A$100,'2추총괄표'!$A17)</f>
        <v>-1205202</v>
      </c>
      <c r="F17" s="79">
        <f>SUMIFS('2추일출'!N$6:N$294,'2추일출'!$A$6:$A$294,'2추총괄표'!$A17)+SUMIFS('2추특출'!N$6:N$100,'2추특출'!$A$6:$A$100,'2추총괄표'!$A17)</f>
        <v>7422865</v>
      </c>
      <c r="G17" s="80">
        <f t="shared" si="2"/>
        <v>5177434267</v>
      </c>
      <c r="H17" s="89"/>
    </row>
    <row r="19" spans="1:8" ht="20.100000000000001" customHeight="1" x14ac:dyDescent="0.3">
      <c r="A19" s="69" t="s">
        <v>711</v>
      </c>
    </row>
    <row r="20" spans="1:8" ht="15" customHeight="1" thickBot="1" x14ac:dyDescent="0.35">
      <c r="G20" s="20" t="s">
        <v>693</v>
      </c>
      <c r="H20" s="88"/>
    </row>
    <row r="21" spans="1:8" ht="18" customHeight="1" x14ac:dyDescent="0.3">
      <c r="A21" s="233" t="s">
        <v>694</v>
      </c>
      <c r="B21" s="235" t="s">
        <v>695</v>
      </c>
      <c r="C21" s="235" t="s">
        <v>696</v>
      </c>
      <c r="D21" s="235"/>
      <c r="E21" s="235" t="s">
        <v>697</v>
      </c>
      <c r="F21" s="235"/>
      <c r="G21" s="237" t="s">
        <v>698</v>
      </c>
      <c r="H21" s="86"/>
    </row>
    <row r="22" spans="1:8" ht="18" customHeight="1" x14ac:dyDescent="0.3">
      <c r="A22" s="234"/>
      <c r="B22" s="236"/>
      <c r="C22" s="71" t="s">
        <v>709</v>
      </c>
      <c r="D22" s="71" t="s">
        <v>710</v>
      </c>
      <c r="E22" s="71" t="s">
        <v>709</v>
      </c>
      <c r="F22" s="71" t="s">
        <v>710</v>
      </c>
      <c r="G22" s="238"/>
      <c r="H22" s="86"/>
    </row>
    <row r="23" spans="1:8" ht="21.95" customHeight="1" x14ac:dyDescent="0.3">
      <c r="A23" s="127" t="s">
        <v>728</v>
      </c>
      <c r="B23" s="123">
        <f>SUM(B24:B25)</f>
        <v>21325237843</v>
      </c>
      <c r="C23" s="123">
        <f t="shared" ref="C23:G23" si="4">SUM(C24:C25)</f>
        <v>-11857170</v>
      </c>
      <c r="D23" s="123">
        <f t="shared" si="4"/>
        <v>31682047</v>
      </c>
      <c r="E23" s="123">
        <f t="shared" si="4"/>
        <v>-74752271</v>
      </c>
      <c r="F23" s="123">
        <f t="shared" si="4"/>
        <v>94577148</v>
      </c>
      <c r="G23" s="128">
        <f t="shared" si="4"/>
        <v>21345062720</v>
      </c>
      <c r="H23" s="89"/>
    </row>
    <row r="24" spans="1:8" ht="21.95" customHeight="1" x14ac:dyDescent="0.3">
      <c r="A24" s="76" t="s">
        <v>712</v>
      </c>
      <c r="B24" s="72">
        <f>SUM(D30)</f>
        <v>17312490734</v>
      </c>
      <c r="C24" s="72">
        <f>'2추일입'!M6</f>
        <v>-11857170</v>
      </c>
      <c r="D24" s="72">
        <f>'2추일입'!N6</f>
        <v>31682047</v>
      </c>
      <c r="E24" s="72">
        <f>'2추일출'!M6</f>
        <v>-74682271</v>
      </c>
      <c r="F24" s="72">
        <f>'2추일출'!N6</f>
        <v>94507148</v>
      </c>
      <c r="G24" s="77">
        <f>B24+E24+F24</f>
        <v>17332315611</v>
      </c>
      <c r="H24" s="89"/>
    </row>
    <row r="25" spans="1:8" ht="21.95" customHeight="1" thickBot="1" x14ac:dyDescent="0.35">
      <c r="A25" s="78" t="s">
        <v>713</v>
      </c>
      <c r="B25" s="79">
        <f>SUM(E30+F30)</f>
        <v>4012747109</v>
      </c>
      <c r="C25" s="79">
        <f>'2추특입'!M6</f>
        <v>0</v>
      </c>
      <c r="D25" s="79">
        <f>'2추특입'!N6</f>
        <v>0</v>
      </c>
      <c r="E25" s="79">
        <f>'2추특출'!M6</f>
        <v>-70000</v>
      </c>
      <c r="F25" s="79">
        <f>'2추특출'!N6</f>
        <v>70000</v>
      </c>
      <c r="G25" s="80">
        <f t="shared" ref="G25" si="5">B25+E25+F25</f>
        <v>4012747109</v>
      </c>
      <c r="H25" s="89"/>
    </row>
    <row r="28" spans="1:8" ht="20.100000000000001" customHeight="1" x14ac:dyDescent="0.3">
      <c r="A28" s="82" t="s">
        <v>714</v>
      </c>
    </row>
    <row r="29" spans="1:8" ht="20.100000000000001" customHeight="1" x14ac:dyDescent="0.3">
      <c r="A29" s="126" t="s">
        <v>715</v>
      </c>
      <c r="B29" s="126" t="s">
        <v>718</v>
      </c>
      <c r="C29" s="126" t="s">
        <v>720</v>
      </c>
      <c r="D29" s="126" t="s">
        <v>712</v>
      </c>
      <c r="E29" s="126" t="s">
        <v>716</v>
      </c>
      <c r="F29" s="126" t="s">
        <v>717</v>
      </c>
    </row>
    <row r="30" spans="1:8" ht="20.100000000000001" customHeight="1" x14ac:dyDescent="0.3">
      <c r="A30" s="92" t="s">
        <v>719</v>
      </c>
      <c r="B30" s="123">
        <f>SUM(B31:B40)</f>
        <v>21325237843</v>
      </c>
      <c r="C30" s="123">
        <f t="shared" ref="C30:F30" si="6">SUM(C31:C40)</f>
        <v>18609741142</v>
      </c>
      <c r="D30" s="123">
        <f t="shared" si="6"/>
        <v>17312490734</v>
      </c>
      <c r="E30" s="123">
        <f t="shared" si="6"/>
        <v>1297250408</v>
      </c>
      <c r="F30" s="123">
        <f t="shared" si="6"/>
        <v>2715496701</v>
      </c>
    </row>
    <row r="31" spans="1:8" ht="20.100000000000001" customHeight="1" x14ac:dyDescent="0.3">
      <c r="A31" s="75" t="s">
        <v>700</v>
      </c>
      <c r="B31" s="74">
        <f>SUM(D31+E31+F31)</f>
        <v>52731770</v>
      </c>
      <c r="C31" s="74">
        <f>SUM(D31:E31)</f>
        <v>52731770</v>
      </c>
      <c r="D31" s="74">
        <v>52731770</v>
      </c>
      <c r="E31" s="74"/>
      <c r="F31" s="74"/>
    </row>
    <row r="32" spans="1:8" ht="20.100000000000001" customHeight="1" x14ac:dyDescent="0.3">
      <c r="A32" s="75" t="s">
        <v>701</v>
      </c>
      <c r="B32" s="74">
        <f t="shared" ref="B32:B40" si="7">SUM(D32+E32+F32)</f>
        <v>6565707178</v>
      </c>
      <c r="C32" s="74">
        <f t="shared" ref="C32:C40" si="8">SUM(D32:E32)</f>
        <v>4269232523</v>
      </c>
      <c r="D32" s="74">
        <v>4244504923</v>
      </c>
      <c r="E32" s="74">
        <v>24727600</v>
      </c>
      <c r="F32" s="74">
        <v>2296474655</v>
      </c>
    </row>
    <row r="33" spans="1:6" ht="20.100000000000001" customHeight="1" x14ac:dyDescent="0.3">
      <c r="A33" s="75" t="s">
        <v>702</v>
      </c>
      <c r="B33" s="74">
        <f t="shared" si="7"/>
        <v>585316491</v>
      </c>
      <c r="C33" s="74">
        <f t="shared" si="8"/>
        <v>284598678</v>
      </c>
      <c r="D33" s="74">
        <v>284598678</v>
      </c>
      <c r="E33" s="74"/>
      <c r="F33" s="74">
        <v>300717813</v>
      </c>
    </row>
    <row r="34" spans="1:6" ht="20.100000000000001" customHeight="1" x14ac:dyDescent="0.3">
      <c r="A34" s="75" t="s">
        <v>703</v>
      </c>
      <c r="B34" s="74">
        <f t="shared" si="7"/>
        <v>1455931660</v>
      </c>
      <c r="C34" s="74">
        <f t="shared" si="8"/>
        <v>1455931660</v>
      </c>
      <c r="D34" s="74">
        <v>1455931660</v>
      </c>
      <c r="E34" s="74"/>
      <c r="F34" s="74"/>
    </row>
    <row r="35" spans="1:6" ht="20.100000000000001" customHeight="1" x14ac:dyDescent="0.3">
      <c r="A35" s="75" t="s">
        <v>704</v>
      </c>
      <c r="B35" s="74">
        <f t="shared" si="7"/>
        <v>387718085</v>
      </c>
      <c r="C35" s="74">
        <f t="shared" si="8"/>
        <v>302413852</v>
      </c>
      <c r="D35" s="74">
        <v>302413852</v>
      </c>
      <c r="E35" s="74"/>
      <c r="F35" s="74">
        <v>85304233</v>
      </c>
    </row>
    <row r="36" spans="1:6" ht="20.100000000000001" customHeight="1" x14ac:dyDescent="0.3">
      <c r="A36" s="75" t="s">
        <v>705</v>
      </c>
      <c r="B36" s="74">
        <f t="shared" si="7"/>
        <v>517279817</v>
      </c>
      <c r="C36" s="74">
        <f t="shared" si="8"/>
        <v>517279817</v>
      </c>
      <c r="D36" s="74">
        <v>517279817</v>
      </c>
      <c r="E36" s="74"/>
      <c r="F36" s="74"/>
    </row>
    <row r="37" spans="1:6" ht="20.100000000000001" customHeight="1" x14ac:dyDescent="0.3">
      <c r="A37" s="75" t="s">
        <v>706</v>
      </c>
      <c r="B37" s="74">
        <f t="shared" si="7"/>
        <v>3790839170</v>
      </c>
      <c r="C37" s="74">
        <f t="shared" si="8"/>
        <v>3790839170</v>
      </c>
      <c r="D37" s="74">
        <v>2897988328</v>
      </c>
      <c r="E37" s="74">
        <v>892850842</v>
      </c>
      <c r="F37" s="74"/>
    </row>
    <row r="38" spans="1:6" ht="20.100000000000001" customHeight="1" x14ac:dyDescent="0.3">
      <c r="A38" s="75" t="s">
        <v>707</v>
      </c>
      <c r="B38" s="74">
        <f t="shared" si="7"/>
        <v>1656739971</v>
      </c>
      <c r="C38" s="74">
        <f t="shared" si="8"/>
        <v>1656739971</v>
      </c>
      <c r="D38" s="74">
        <v>1517945766</v>
      </c>
      <c r="E38" s="74">
        <v>138794205</v>
      </c>
      <c r="F38" s="74"/>
    </row>
    <row r="39" spans="1:6" ht="20.100000000000001" customHeight="1" x14ac:dyDescent="0.3">
      <c r="A39" s="75" t="s">
        <v>756</v>
      </c>
      <c r="B39" s="74">
        <f t="shared" si="7"/>
        <v>1141757097</v>
      </c>
      <c r="C39" s="74">
        <f t="shared" si="8"/>
        <v>1108757097</v>
      </c>
      <c r="D39" s="74">
        <v>1089770368</v>
      </c>
      <c r="E39" s="74">
        <v>18986729</v>
      </c>
      <c r="F39" s="74">
        <v>33000000</v>
      </c>
    </row>
    <row r="40" spans="1:6" ht="20.100000000000001" customHeight="1" x14ac:dyDescent="0.3">
      <c r="A40" s="75" t="s">
        <v>708</v>
      </c>
      <c r="B40" s="74">
        <f t="shared" si="7"/>
        <v>5171216604</v>
      </c>
      <c r="C40" s="74">
        <f t="shared" si="8"/>
        <v>5171216604</v>
      </c>
      <c r="D40" s="74">
        <v>4949325572</v>
      </c>
      <c r="E40" s="74">
        <v>221891032</v>
      </c>
      <c r="F40" s="74"/>
    </row>
    <row r="42" spans="1:6" ht="20.100000000000001" customHeight="1" x14ac:dyDescent="0.3">
      <c r="A42" s="131" t="s">
        <v>721</v>
      </c>
      <c r="B42" s="74"/>
      <c r="C42" s="74"/>
    </row>
  </sheetData>
  <mergeCells count="10">
    <mergeCell ref="A21:A22"/>
    <mergeCell ref="B21:B22"/>
    <mergeCell ref="C21:D21"/>
    <mergeCell ref="E21:F21"/>
    <mergeCell ref="G21:G22"/>
    <mergeCell ref="A5:A6"/>
    <mergeCell ref="B5:B6"/>
    <mergeCell ref="C5:D5"/>
    <mergeCell ref="E5:F5"/>
    <mergeCell ref="G5:G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50" activePane="bottomRight" state="frozen"/>
      <selection pane="topRight" activeCell="B1" sqref="B1"/>
      <selection pane="bottomLeft" activeCell="A6" sqref="A6"/>
      <selection pane="bottomRight" activeCell="E76" sqref="E76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customWidth="1"/>
    <col min="15" max="15" width="3.625" customWidth="1"/>
    <col min="16" max="21" width="12.625" customWidth="1"/>
  </cols>
  <sheetData>
    <row r="1" spans="1:21" ht="35.1" customHeight="1" x14ac:dyDescent="0.3">
      <c r="A1" s="129" t="s">
        <v>762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750</v>
      </c>
    </row>
    <row r="3" spans="1:21" ht="20.100000000000001" customHeight="1" thickBot="1" x14ac:dyDescent="0.35">
      <c r="C3" s="83"/>
      <c r="D3" s="83">
        <f>SUM(C6:D6)</f>
        <v>19824877</v>
      </c>
      <c r="E3" s="85"/>
      <c r="F3" s="83">
        <f>SUM(E6:F6)</f>
        <v>19824877</v>
      </c>
      <c r="G3" s="20" t="s">
        <v>693</v>
      </c>
      <c r="I3" s="110" t="s">
        <v>754</v>
      </c>
      <c r="P3" s="108" t="s">
        <v>755</v>
      </c>
    </row>
    <row r="4" spans="1:21" ht="20.100000000000001" customHeight="1" x14ac:dyDescent="0.3">
      <c r="A4" s="233" t="s">
        <v>694</v>
      </c>
      <c r="B4" s="235" t="s">
        <v>695</v>
      </c>
      <c r="C4" s="235" t="s">
        <v>696</v>
      </c>
      <c r="D4" s="235"/>
      <c r="E4" s="235" t="s">
        <v>697</v>
      </c>
      <c r="F4" s="235"/>
      <c r="G4" s="237" t="s">
        <v>698</v>
      </c>
      <c r="I4" s="240" t="s">
        <v>695</v>
      </c>
      <c r="J4" s="240" t="s">
        <v>696</v>
      </c>
      <c r="K4" s="240"/>
      <c r="L4" s="240" t="s">
        <v>697</v>
      </c>
      <c r="M4" s="240"/>
      <c r="N4" s="240" t="s">
        <v>698</v>
      </c>
      <c r="P4" s="239" t="s">
        <v>695</v>
      </c>
      <c r="Q4" s="239" t="s">
        <v>696</v>
      </c>
      <c r="R4" s="239"/>
      <c r="S4" s="239" t="s">
        <v>697</v>
      </c>
      <c r="T4" s="239"/>
      <c r="U4" s="239" t="s">
        <v>698</v>
      </c>
    </row>
    <row r="5" spans="1:21" ht="20.100000000000001" customHeight="1" x14ac:dyDescent="0.3">
      <c r="A5" s="234"/>
      <c r="B5" s="236"/>
      <c r="C5" s="91" t="s">
        <v>709</v>
      </c>
      <c r="D5" s="91" t="s">
        <v>710</v>
      </c>
      <c r="E5" s="91" t="s">
        <v>709</v>
      </c>
      <c r="F5" s="91" t="s">
        <v>710</v>
      </c>
      <c r="G5" s="238"/>
      <c r="I5" s="240"/>
      <c r="J5" s="101" t="s">
        <v>709</v>
      </c>
      <c r="K5" s="101" t="s">
        <v>710</v>
      </c>
      <c r="L5" s="101" t="s">
        <v>709</v>
      </c>
      <c r="M5" s="101" t="s">
        <v>710</v>
      </c>
      <c r="N5" s="240"/>
      <c r="P5" s="239"/>
      <c r="Q5" s="111" t="s">
        <v>709</v>
      </c>
      <c r="R5" s="111" t="s">
        <v>710</v>
      </c>
      <c r="S5" s="111" t="s">
        <v>709</v>
      </c>
      <c r="T5" s="111" t="s">
        <v>710</v>
      </c>
      <c r="U5" s="239"/>
    </row>
    <row r="6" spans="1:21" ht="20.100000000000001" customHeight="1" x14ac:dyDescent="0.3">
      <c r="A6" s="120" t="s">
        <v>751</v>
      </c>
      <c r="B6" s="121">
        <f>SUM(B7:B36)</f>
        <v>0</v>
      </c>
      <c r="C6" s="121">
        <f t="shared" ref="C6:G6" si="0">SUM(C7:C36)</f>
        <v>-11857170</v>
      </c>
      <c r="D6" s="121">
        <f t="shared" si="0"/>
        <v>31682047</v>
      </c>
      <c r="E6" s="121">
        <f t="shared" si="0"/>
        <v>-74752271</v>
      </c>
      <c r="F6" s="121">
        <f t="shared" si="0"/>
        <v>94577148</v>
      </c>
      <c r="G6" s="122">
        <f t="shared" si="0"/>
        <v>19824877</v>
      </c>
      <c r="H6" s="109"/>
      <c r="I6" s="123">
        <f>SUM(I7:I36)</f>
        <v>0</v>
      </c>
      <c r="J6" s="123">
        <f t="shared" ref="J6" si="1">SUM(J7:J36)</f>
        <v>-11857170</v>
      </c>
      <c r="K6" s="123">
        <f t="shared" ref="K6" si="2">SUM(K7:K36)</f>
        <v>31682047</v>
      </c>
      <c r="L6" s="123">
        <f t="shared" ref="L6" si="3">SUM(L7:L36)</f>
        <v>-74682271</v>
      </c>
      <c r="M6" s="123">
        <f t="shared" ref="M6" si="4">SUM(M7:M36)</f>
        <v>94507148</v>
      </c>
      <c r="N6" s="123">
        <f t="shared" ref="N6" si="5">SUM(N7:N36)</f>
        <v>19824877</v>
      </c>
      <c r="O6" s="119"/>
      <c r="P6" s="123">
        <f>SUM(P7:P36)</f>
        <v>0</v>
      </c>
      <c r="Q6" s="123">
        <f t="shared" ref="Q6" si="6">SUM(Q7:Q36)</f>
        <v>0</v>
      </c>
      <c r="R6" s="123">
        <f t="shared" ref="R6" si="7">SUM(R7:R36)</f>
        <v>0</v>
      </c>
      <c r="S6" s="123">
        <f t="shared" ref="S6" si="8">SUM(S7:S36)</f>
        <v>-70000</v>
      </c>
      <c r="T6" s="123">
        <f t="shared" ref="T6" si="9">SUM(T7:T36)</f>
        <v>70000</v>
      </c>
      <c r="U6" s="123">
        <f t="shared" ref="U6" si="10">SUM(U7:U36)</f>
        <v>0</v>
      </c>
    </row>
    <row r="7" spans="1:21" ht="20.100000000000001" customHeight="1" x14ac:dyDescent="0.3">
      <c r="A7" s="112" t="s">
        <v>50</v>
      </c>
      <c r="B7" s="114">
        <f>I7+P7</f>
        <v>0</v>
      </c>
      <c r="C7" s="114">
        <f t="shared" ref="C7:F7" si="11">J7+Q7</f>
        <v>0</v>
      </c>
      <c r="D7" s="114">
        <f t="shared" si="11"/>
        <v>0</v>
      </c>
      <c r="E7" s="114">
        <f t="shared" si="11"/>
        <v>0</v>
      </c>
      <c r="F7" s="114">
        <f t="shared" si="11"/>
        <v>0</v>
      </c>
      <c r="G7" s="115">
        <f>B7+E7+F7</f>
        <v>0</v>
      </c>
      <c r="I7" s="74">
        <f>D48</f>
        <v>0</v>
      </c>
      <c r="J7" s="74">
        <f>SUMIFS('2추일입'!M$6:M$60,'2추일입'!$B$6:$B$60,'2추총괄표(실국)'!$A7)</f>
        <v>0</v>
      </c>
      <c r="K7" s="74">
        <f>SUMIFS('2추일입'!N$6:N$60,'2추일입'!$B$6:$B$60,'2추총괄표(실국)'!$A7)</f>
        <v>0</v>
      </c>
      <c r="L7" s="74">
        <f>SUMIFS('2추일출'!M$6:M$294,'2추일출'!$B$6:$B$294,'2추총괄표(실국)'!$A7)</f>
        <v>0</v>
      </c>
      <c r="M7" s="74">
        <f>SUMIFS('2추일출'!N$6:N$294,'2추일출'!$B$6:$B$294,'2추총괄표(실국)'!$A7)</f>
        <v>0</v>
      </c>
      <c r="N7" s="74">
        <f>I7+L7+M7</f>
        <v>0</v>
      </c>
      <c r="O7" s="118"/>
      <c r="P7" s="74">
        <f>E48</f>
        <v>0</v>
      </c>
      <c r="Q7" s="74">
        <f>SUMIFS('2추특입'!M$6:M$50,'2추특입'!$B$6:$B$50,'2추총괄표(실국)'!$A7)</f>
        <v>0</v>
      </c>
      <c r="R7" s="74">
        <f>SUMIFS('2추특입'!N$6:N$50,'2추특입'!$B$6:$B$50,'2추총괄표(실국)'!$A7)</f>
        <v>0</v>
      </c>
      <c r="S7" s="74">
        <f>SUMIFS('2추특출'!M$6:M$40,'2추특출'!$B$6:$B$40,'2추총괄표(실국)'!$A7)</f>
        <v>0</v>
      </c>
      <c r="T7" s="74">
        <f>SUMIFS('2추특출'!N$6:N$40,'2추특출'!$B$6:$B$40,'2추총괄표(실국)'!$A7)</f>
        <v>0</v>
      </c>
      <c r="U7" s="74">
        <f>P7+S7+T7</f>
        <v>0</v>
      </c>
    </row>
    <row r="8" spans="1:21" ht="20.100000000000001" customHeight="1" x14ac:dyDescent="0.3">
      <c r="A8" s="112" t="s">
        <v>63</v>
      </c>
      <c r="B8" s="114">
        <f t="shared" ref="B8:B36" si="12">I8+P8</f>
        <v>0</v>
      </c>
      <c r="C8" s="114">
        <f t="shared" ref="C8:C36" si="13">J8+Q8</f>
        <v>0</v>
      </c>
      <c r="D8" s="114">
        <f t="shared" ref="D8:D36" si="14">K8+R8</f>
        <v>0</v>
      </c>
      <c r="E8" s="114">
        <f t="shared" ref="E8:E36" si="15">L8+S8</f>
        <v>-30255000</v>
      </c>
      <c r="F8" s="114">
        <f t="shared" ref="F8:F36" si="16">M8+T8</f>
        <v>13399889</v>
      </c>
      <c r="G8" s="115">
        <f t="shared" ref="G8:G36" si="17">B8+E8+F8</f>
        <v>-16855111</v>
      </c>
      <c r="I8" s="74">
        <f t="shared" ref="I8:I36" si="18">D49</f>
        <v>0</v>
      </c>
      <c r="J8" s="74">
        <f>SUMIFS('2추일입'!M$6:M$60,'2추일입'!$B$6:$B$60,'2추총괄표(실국)'!$A8)</f>
        <v>0</v>
      </c>
      <c r="K8" s="74">
        <f>SUMIFS('2추일입'!N$6:N$60,'2추일입'!$B$6:$B$60,'2추총괄표(실국)'!$A8)</f>
        <v>0</v>
      </c>
      <c r="L8" s="74">
        <f>SUMIFS('2추일출'!M$6:M$294,'2추일출'!$B$6:$B$294,'2추총괄표(실국)'!$A8)</f>
        <v>-30255000</v>
      </c>
      <c r="M8" s="74">
        <f>SUMIFS('2추일출'!N$6:N$294,'2추일출'!$B$6:$B$294,'2추총괄표(실국)'!$A8)</f>
        <v>13399889</v>
      </c>
      <c r="N8" s="74">
        <f t="shared" ref="N8:N36" si="19">I8+L8+M8</f>
        <v>-16855111</v>
      </c>
      <c r="O8" s="118"/>
      <c r="P8" s="74">
        <f t="shared" ref="P8:P36" si="20">E49</f>
        <v>0</v>
      </c>
      <c r="Q8" s="74">
        <f>SUMIFS('2추특입'!M$6:M$50,'2추특입'!$B$6:$B$50,'2추총괄표(실국)'!$A8)</f>
        <v>0</v>
      </c>
      <c r="R8" s="74">
        <f>SUMIFS('2추특입'!N$6:N$50,'2추특입'!$B$6:$B$50,'2추총괄표(실국)'!$A8)</f>
        <v>0</v>
      </c>
      <c r="S8" s="74">
        <f>SUMIFS('2추특출'!M$6:M$40,'2추특출'!$B$6:$B$40,'2추총괄표(실국)'!$A8)</f>
        <v>0</v>
      </c>
      <c r="T8" s="74">
        <f>SUMIFS('2추특출'!N$6:N$40,'2추특출'!$B$6:$B$40,'2추총괄표(실국)'!$A8)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2" t="s">
        <v>539</v>
      </c>
      <c r="B9" s="114">
        <f t="shared" si="12"/>
        <v>0</v>
      </c>
      <c r="C9" s="114">
        <f t="shared" si="13"/>
        <v>0</v>
      </c>
      <c r="D9" s="114">
        <f t="shared" si="14"/>
        <v>0</v>
      </c>
      <c r="E9" s="114">
        <f t="shared" si="15"/>
        <v>0</v>
      </c>
      <c r="F9" s="114">
        <f t="shared" si="16"/>
        <v>200000</v>
      </c>
      <c r="G9" s="115">
        <f t="shared" si="17"/>
        <v>200000</v>
      </c>
      <c r="I9" s="74">
        <f t="shared" si="18"/>
        <v>0</v>
      </c>
      <c r="J9" s="74">
        <f>SUMIFS('2추일입'!M$6:M$60,'2추일입'!$B$6:$B$60,'2추총괄표(실국)'!$A9)</f>
        <v>0</v>
      </c>
      <c r="K9" s="74">
        <f>SUMIFS('2추일입'!N$6:N$60,'2추일입'!$B$6:$B$60,'2추총괄표(실국)'!$A9)</f>
        <v>0</v>
      </c>
      <c r="L9" s="74">
        <f>SUMIFS('2추일출'!M$6:M$294,'2추일출'!$B$6:$B$294,'2추총괄표(실국)'!$A9)</f>
        <v>0</v>
      </c>
      <c r="M9" s="74">
        <f>SUMIFS('2추일출'!N$6:N$294,'2추일출'!$B$6:$B$294,'2추총괄표(실국)'!$A9)</f>
        <v>200000</v>
      </c>
      <c r="N9" s="74">
        <f t="shared" si="19"/>
        <v>200000</v>
      </c>
      <c r="O9" s="118"/>
      <c r="P9" s="74">
        <f t="shared" si="20"/>
        <v>0</v>
      </c>
      <c r="Q9" s="74">
        <f>SUMIFS('2추특입'!M$6:M$50,'2추특입'!$B$6:$B$50,'2추총괄표(실국)'!$A9)</f>
        <v>0</v>
      </c>
      <c r="R9" s="74">
        <f>SUMIFS('2추특입'!N$6:N$50,'2추특입'!$B$6:$B$50,'2추총괄표(실국)'!$A9)</f>
        <v>0</v>
      </c>
      <c r="S9" s="74">
        <f>SUMIFS('2추특출'!M$6:M$40,'2추특출'!$B$6:$B$40,'2추총괄표(실국)'!$A9)</f>
        <v>0</v>
      </c>
      <c r="T9" s="74">
        <f>SUMIFS('2추특출'!N$6:N$40,'2추특출'!$B$6:$B$40,'2추총괄표(실국)'!$A9)</f>
        <v>0</v>
      </c>
      <c r="U9" s="74">
        <f t="shared" si="21"/>
        <v>0</v>
      </c>
    </row>
    <row r="10" spans="1:21" ht="20.100000000000001" customHeight="1" x14ac:dyDescent="0.3">
      <c r="A10" s="112" t="s">
        <v>167</v>
      </c>
      <c r="B10" s="114">
        <f t="shared" si="12"/>
        <v>0</v>
      </c>
      <c r="C10" s="114">
        <f t="shared" si="13"/>
        <v>0</v>
      </c>
      <c r="D10" s="114">
        <f t="shared" si="14"/>
        <v>0</v>
      </c>
      <c r="E10" s="114">
        <f t="shared" si="15"/>
        <v>-340000</v>
      </c>
      <c r="F10" s="114">
        <f t="shared" si="16"/>
        <v>40000</v>
      </c>
      <c r="G10" s="115">
        <f t="shared" si="17"/>
        <v>-300000</v>
      </c>
      <c r="I10" s="74">
        <f t="shared" si="18"/>
        <v>0</v>
      </c>
      <c r="J10" s="74">
        <f>SUMIFS('2추일입'!M$6:M$60,'2추일입'!$B$6:$B$60,'2추총괄표(실국)'!$A10)</f>
        <v>0</v>
      </c>
      <c r="K10" s="74">
        <f>SUMIFS('2추일입'!N$6:N$60,'2추일입'!$B$6:$B$60,'2추총괄표(실국)'!$A10)</f>
        <v>0</v>
      </c>
      <c r="L10" s="74">
        <f>SUMIFS('2추일출'!M$6:M$294,'2추일출'!$B$6:$B$294,'2추총괄표(실국)'!$A10)</f>
        <v>-340000</v>
      </c>
      <c r="M10" s="74">
        <f>SUMIFS('2추일출'!N$6:N$294,'2추일출'!$B$6:$B$294,'2추총괄표(실국)'!$A10)</f>
        <v>40000</v>
      </c>
      <c r="N10" s="74">
        <f t="shared" si="19"/>
        <v>-300000</v>
      </c>
      <c r="O10" s="118"/>
      <c r="P10" s="74">
        <f t="shared" si="20"/>
        <v>0</v>
      </c>
      <c r="Q10" s="74">
        <f>SUMIFS('2추특입'!M$6:M$50,'2추특입'!$B$6:$B$50,'2추총괄표(실국)'!$A10)</f>
        <v>0</v>
      </c>
      <c r="R10" s="74">
        <f>SUMIFS('2추특입'!N$6:N$50,'2추특입'!$B$6:$B$50,'2추총괄표(실국)'!$A10)</f>
        <v>0</v>
      </c>
      <c r="S10" s="74">
        <f>SUMIFS('2추특출'!M$6:M$40,'2추특출'!$B$6:$B$40,'2추총괄표(실국)'!$A10)</f>
        <v>0</v>
      </c>
      <c r="T10" s="74">
        <f>SUMIFS('2추특출'!N$6:N$40,'2추특출'!$B$6:$B$40,'2추총괄표(실국)'!$A10)</f>
        <v>0</v>
      </c>
      <c r="U10" s="74">
        <f t="shared" si="21"/>
        <v>0</v>
      </c>
    </row>
    <row r="11" spans="1:21" ht="20.100000000000001" customHeight="1" x14ac:dyDescent="0.3">
      <c r="A11" s="112" t="s">
        <v>632</v>
      </c>
      <c r="B11" s="114">
        <f t="shared" si="12"/>
        <v>0</v>
      </c>
      <c r="C11" s="114">
        <f t="shared" si="13"/>
        <v>0</v>
      </c>
      <c r="D11" s="114">
        <f t="shared" si="14"/>
        <v>0</v>
      </c>
      <c r="E11" s="114">
        <f t="shared" si="15"/>
        <v>-250000</v>
      </c>
      <c r="F11" s="114">
        <f t="shared" si="16"/>
        <v>4126020</v>
      </c>
      <c r="G11" s="115">
        <f t="shared" si="17"/>
        <v>3876020</v>
      </c>
      <c r="I11" s="74">
        <f t="shared" si="18"/>
        <v>0</v>
      </c>
      <c r="J11" s="74">
        <f>SUMIFS('2추일입'!M$6:M$60,'2추일입'!$B$6:$B$60,'2추총괄표(실국)'!$A11)</f>
        <v>0</v>
      </c>
      <c r="K11" s="74">
        <f>SUMIFS('2추일입'!N$6:N$60,'2추일입'!$B$6:$B$60,'2추총괄표(실국)'!$A11)</f>
        <v>0</v>
      </c>
      <c r="L11" s="74">
        <f>SUMIFS('2추일출'!M$6:M$294,'2추일출'!$B$6:$B$294,'2추총괄표(실국)'!$A11)</f>
        <v>-250000</v>
      </c>
      <c r="M11" s="74">
        <f>SUMIFS('2추일출'!N$6:N$294,'2추일출'!$B$6:$B$294,'2추총괄표(실국)'!$A11)</f>
        <v>4126020</v>
      </c>
      <c r="N11" s="74">
        <f t="shared" si="19"/>
        <v>3876020</v>
      </c>
      <c r="O11" s="118"/>
      <c r="P11" s="74">
        <f t="shared" si="20"/>
        <v>0</v>
      </c>
      <c r="Q11" s="74">
        <f>SUMIFS('2추특입'!M$6:M$50,'2추특입'!$B$6:$B$50,'2추총괄표(실국)'!$A11)</f>
        <v>0</v>
      </c>
      <c r="R11" s="74">
        <f>SUMIFS('2추특입'!N$6:N$50,'2추특입'!$B$6:$B$50,'2추총괄표(실국)'!$A11)</f>
        <v>0</v>
      </c>
      <c r="S11" s="74">
        <f>SUMIFS('2추특출'!M$6:M$40,'2추특출'!$B$6:$B$40,'2추총괄표(실국)'!$A11)</f>
        <v>0</v>
      </c>
      <c r="T11" s="74">
        <f>SUMIFS('2추특출'!N$6:N$40,'2추특출'!$B$6:$B$40,'2추총괄표(실국)'!$A11)</f>
        <v>0</v>
      </c>
      <c r="U11" s="74">
        <f t="shared" si="21"/>
        <v>0</v>
      </c>
    </row>
    <row r="12" spans="1:21" ht="20.100000000000001" customHeight="1" x14ac:dyDescent="0.3">
      <c r="A12" s="112" t="s">
        <v>344</v>
      </c>
      <c r="B12" s="114">
        <f t="shared" si="12"/>
        <v>0</v>
      </c>
      <c r="C12" s="114">
        <f t="shared" si="13"/>
        <v>0</v>
      </c>
      <c r="D12" s="114">
        <f t="shared" si="14"/>
        <v>3925000</v>
      </c>
      <c r="E12" s="114">
        <f t="shared" si="15"/>
        <v>-3280000</v>
      </c>
      <c r="F12" s="114">
        <f t="shared" si="16"/>
        <v>8895000</v>
      </c>
      <c r="G12" s="115">
        <f t="shared" si="17"/>
        <v>5615000</v>
      </c>
      <c r="I12" s="74">
        <f t="shared" si="18"/>
        <v>0</v>
      </c>
      <c r="J12" s="74">
        <f>SUMIFS('2추일입'!M$6:M$60,'2추일입'!$B$6:$B$60,'2추총괄표(실국)'!$A12)</f>
        <v>0</v>
      </c>
      <c r="K12" s="74">
        <f>SUMIFS('2추일입'!N$6:N$60,'2추일입'!$B$6:$B$60,'2추총괄표(실국)'!$A12)</f>
        <v>3925000</v>
      </c>
      <c r="L12" s="74">
        <f>SUMIFS('2추일출'!M$6:M$294,'2추일출'!$B$6:$B$294,'2추총괄표(실국)'!$A12)</f>
        <v>-3280000</v>
      </c>
      <c r="M12" s="74">
        <f>SUMIFS('2추일출'!N$6:N$294,'2추일출'!$B$6:$B$294,'2추총괄표(실국)'!$A12)</f>
        <v>8895000</v>
      </c>
      <c r="N12" s="74">
        <f t="shared" si="19"/>
        <v>5615000</v>
      </c>
      <c r="O12" s="118"/>
      <c r="P12" s="74">
        <f t="shared" si="20"/>
        <v>0</v>
      </c>
      <c r="Q12" s="74">
        <f>SUMIFS('2추특입'!M$6:M$50,'2추특입'!$B$6:$B$50,'2추총괄표(실국)'!$A12)</f>
        <v>0</v>
      </c>
      <c r="R12" s="74">
        <f>SUMIFS('2추특입'!N$6:N$50,'2추특입'!$B$6:$B$50,'2추총괄표(실국)'!$A12)</f>
        <v>0</v>
      </c>
      <c r="S12" s="74">
        <f>SUMIFS('2추특출'!M$6:M$40,'2추특출'!$B$6:$B$40,'2추총괄표(실국)'!$A12)</f>
        <v>0</v>
      </c>
      <c r="T12" s="74">
        <f>SUMIFS('2추특출'!N$6:N$40,'2추특출'!$B$6:$B$40,'2추총괄표(실국)'!$A12)</f>
        <v>0</v>
      </c>
      <c r="U12" s="74">
        <f t="shared" si="21"/>
        <v>0</v>
      </c>
    </row>
    <row r="13" spans="1:21" ht="20.100000000000001" customHeight="1" x14ac:dyDescent="0.3">
      <c r="A13" s="112" t="s">
        <v>367</v>
      </c>
      <c r="B13" s="114">
        <f t="shared" si="12"/>
        <v>0</v>
      </c>
      <c r="C13" s="114">
        <f t="shared" si="13"/>
        <v>0</v>
      </c>
      <c r="D13" s="114">
        <f t="shared" si="14"/>
        <v>5758000</v>
      </c>
      <c r="E13" s="114">
        <f t="shared" si="15"/>
        <v>-100000</v>
      </c>
      <c r="F13" s="114">
        <f t="shared" si="16"/>
        <v>7968000</v>
      </c>
      <c r="G13" s="115">
        <f t="shared" si="17"/>
        <v>7868000</v>
      </c>
      <c r="I13" s="74">
        <f t="shared" si="18"/>
        <v>0</v>
      </c>
      <c r="J13" s="74">
        <f>SUMIFS('2추일입'!M$6:M$60,'2추일입'!$B$6:$B$60,'2추총괄표(실국)'!$A13)</f>
        <v>0</v>
      </c>
      <c r="K13" s="74">
        <f>SUMIFS('2추일입'!N$6:N$60,'2추일입'!$B$6:$B$60,'2추총괄표(실국)'!$A13)</f>
        <v>5758000</v>
      </c>
      <c r="L13" s="74">
        <f>SUMIFS('2추일출'!M$6:M$294,'2추일출'!$B$6:$B$294,'2추총괄표(실국)'!$A13)</f>
        <v>-100000</v>
      </c>
      <c r="M13" s="74">
        <f>SUMIFS('2추일출'!N$6:N$294,'2추일출'!$B$6:$B$294,'2추총괄표(실국)'!$A13)</f>
        <v>7968000</v>
      </c>
      <c r="N13" s="74">
        <f t="shared" si="19"/>
        <v>7868000</v>
      </c>
      <c r="O13" s="118"/>
      <c r="P13" s="74">
        <f t="shared" si="20"/>
        <v>0</v>
      </c>
      <c r="Q13" s="74">
        <f>SUMIFS('2추특입'!M$6:M$50,'2추특입'!$B$6:$B$50,'2추총괄표(실국)'!$A13)</f>
        <v>0</v>
      </c>
      <c r="R13" s="74">
        <f>SUMIFS('2추특입'!N$6:N$50,'2추특입'!$B$6:$B$50,'2추총괄표(실국)'!$A13)</f>
        <v>0</v>
      </c>
      <c r="S13" s="74">
        <f>SUMIFS('2추특출'!M$6:M$40,'2추특출'!$B$6:$B$40,'2추총괄표(실국)'!$A13)</f>
        <v>0</v>
      </c>
      <c r="T13" s="74">
        <f>SUMIFS('2추특출'!N$6:N$40,'2추특출'!$B$6:$B$40,'2추총괄표(실국)'!$A13)</f>
        <v>0</v>
      </c>
      <c r="U13" s="74">
        <f t="shared" si="21"/>
        <v>0</v>
      </c>
    </row>
    <row r="14" spans="1:21" ht="20.100000000000001" customHeight="1" x14ac:dyDescent="0.3">
      <c r="A14" s="112" t="s">
        <v>483</v>
      </c>
      <c r="B14" s="114">
        <f t="shared" si="12"/>
        <v>0</v>
      </c>
      <c r="C14" s="114">
        <f t="shared" si="13"/>
        <v>0</v>
      </c>
      <c r="D14" s="114">
        <f t="shared" si="14"/>
        <v>0</v>
      </c>
      <c r="E14" s="114">
        <f t="shared" si="15"/>
        <v>0</v>
      </c>
      <c r="F14" s="114">
        <f t="shared" si="16"/>
        <v>490000</v>
      </c>
      <c r="G14" s="115">
        <f t="shared" si="17"/>
        <v>490000</v>
      </c>
      <c r="I14" s="74">
        <f t="shared" si="18"/>
        <v>0</v>
      </c>
      <c r="J14" s="74">
        <f>SUMIFS('2추일입'!M$6:M$60,'2추일입'!$B$6:$B$60,'2추총괄표(실국)'!$A14)</f>
        <v>0</v>
      </c>
      <c r="K14" s="74">
        <f>SUMIFS('2추일입'!N$6:N$60,'2추일입'!$B$6:$B$60,'2추총괄표(실국)'!$A14)</f>
        <v>0</v>
      </c>
      <c r="L14" s="74">
        <f>SUMIFS('2추일출'!M$6:M$294,'2추일출'!$B$6:$B$294,'2추총괄표(실국)'!$A14)</f>
        <v>0</v>
      </c>
      <c r="M14" s="74">
        <f>SUMIFS('2추일출'!N$6:N$294,'2추일출'!$B$6:$B$294,'2추총괄표(실국)'!$A14)</f>
        <v>490000</v>
      </c>
      <c r="N14" s="74">
        <f t="shared" si="19"/>
        <v>490000</v>
      </c>
      <c r="O14" s="118"/>
      <c r="P14" s="74">
        <f t="shared" si="20"/>
        <v>0</v>
      </c>
      <c r="Q14" s="74">
        <f>SUMIFS('2추특입'!M$6:M$50,'2추특입'!$B$6:$B$50,'2추총괄표(실국)'!$A14)</f>
        <v>0</v>
      </c>
      <c r="R14" s="74">
        <f>SUMIFS('2추특입'!N$6:N$50,'2추특입'!$B$6:$B$50,'2추총괄표(실국)'!$A14)</f>
        <v>0</v>
      </c>
      <c r="S14" s="74">
        <f>SUMIFS('2추특출'!M$6:M$40,'2추특출'!$B$6:$B$40,'2추총괄표(실국)'!$A14)</f>
        <v>0</v>
      </c>
      <c r="T14" s="74">
        <f>SUMIFS('2추특출'!N$6:N$40,'2추특출'!$B$6:$B$40,'2추총괄표(실국)'!$A14)</f>
        <v>0</v>
      </c>
      <c r="U14" s="74">
        <f t="shared" si="21"/>
        <v>0</v>
      </c>
    </row>
    <row r="15" spans="1:21" ht="20.100000000000001" customHeight="1" x14ac:dyDescent="0.3">
      <c r="A15" s="112" t="s">
        <v>39</v>
      </c>
      <c r="B15" s="114">
        <f t="shared" si="12"/>
        <v>0</v>
      </c>
      <c r="C15" s="114">
        <f t="shared" si="13"/>
        <v>0</v>
      </c>
      <c r="D15" s="114">
        <f t="shared" si="14"/>
        <v>0</v>
      </c>
      <c r="E15" s="114">
        <f t="shared" si="15"/>
        <v>0</v>
      </c>
      <c r="F15" s="114">
        <f t="shared" si="16"/>
        <v>0</v>
      </c>
      <c r="G15" s="115">
        <f t="shared" si="17"/>
        <v>0</v>
      </c>
      <c r="I15" s="74">
        <f t="shared" si="18"/>
        <v>0</v>
      </c>
      <c r="J15" s="74">
        <f>SUMIFS('2추일입'!M$6:M$60,'2추일입'!$B$6:$B$60,'2추총괄표(실국)'!$A15)</f>
        <v>0</v>
      </c>
      <c r="K15" s="74">
        <f>SUMIFS('2추일입'!N$6:N$60,'2추일입'!$B$6:$B$60,'2추총괄표(실국)'!$A15)</f>
        <v>0</v>
      </c>
      <c r="L15" s="74">
        <f>SUMIFS('2추일출'!M$6:M$294,'2추일출'!$B$6:$B$294,'2추총괄표(실국)'!$A15)</f>
        <v>0</v>
      </c>
      <c r="M15" s="74">
        <f>SUMIFS('2추일출'!N$6:N$294,'2추일출'!$B$6:$B$294,'2추총괄표(실국)'!$A15)</f>
        <v>0</v>
      </c>
      <c r="N15" s="74">
        <f t="shared" si="19"/>
        <v>0</v>
      </c>
      <c r="O15" s="118"/>
      <c r="P15" s="74">
        <f t="shared" si="20"/>
        <v>0</v>
      </c>
      <c r="Q15" s="74">
        <f>SUMIFS('2추특입'!M$6:M$50,'2추특입'!$B$6:$B$50,'2추총괄표(실국)'!$A15)</f>
        <v>0</v>
      </c>
      <c r="R15" s="74">
        <f>SUMIFS('2추특입'!N$6:N$50,'2추특입'!$B$6:$B$50,'2추총괄표(실국)'!$A15)</f>
        <v>0</v>
      </c>
      <c r="S15" s="74">
        <f>SUMIFS('2추특출'!M$6:M$40,'2추특출'!$B$6:$B$40,'2추총괄표(실국)'!$A15)</f>
        <v>0</v>
      </c>
      <c r="T15" s="74">
        <f>SUMIFS('2추특출'!N$6:N$40,'2추특출'!$B$6:$B$40,'2추총괄표(실국)'!$A15)</f>
        <v>0</v>
      </c>
      <c r="U15" s="74">
        <f t="shared" si="21"/>
        <v>0</v>
      </c>
    </row>
    <row r="16" spans="1:21" ht="20.100000000000001" customHeight="1" x14ac:dyDescent="0.3">
      <c r="A16" s="112" t="s">
        <v>42</v>
      </c>
      <c r="B16" s="114">
        <f t="shared" si="12"/>
        <v>0</v>
      </c>
      <c r="C16" s="114">
        <f t="shared" si="13"/>
        <v>0</v>
      </c>
      <c r="D16" s="114">
        <f t="shared" si="14"/>
        <v>0</v>
      </c>
      <c r="E16" s="114">
        <f t="shared" si="15"/>
        <v>0</v>
      </c>
      <c r="F16" s="114">
        <f t="shared" si="16"/>
        <v>0</v>
      </c>
      <c r="G16" s="115">
        <f t="shared" si="17"/>
        <v>0</v>
      </c>
      <c r="I16" s="74">
        <f t="shared" si="18"/>
        <v>0</v>
      </c>
      <c r="J16" s="74">
        <f>SUMIFS('2추일입'!M$6:M$60,'2추일입'!$B$6:$B$60,'2추총괄표(실국)'!$A16)</f>
        <v>0</v>
      </c>
      <c r="K16" s="74">
        <f>SUMIFS('2추일입'!N$6:N$60,'2추일입'!$B$6:$B$60,'2추총괄표(실국)'!$A16)</f>
        <v>0</v>
      </c>
      <c r="L16" s="74">
        <f>SUMIFS('2추일출'!M$6:M$294,'2추일출'!$B$6:$B$294,'2추총괄표(실국)'!$A16)</f>
        <v>0</v>
      </c>
      <c r="M16" s="74">
        <f>SUMIFS('2추일출'!N$6:N$294,'2추일출'!$B$6:$B$294,'2추총괄표(실국)'!$A16)</f>
        <v>0</v>
      </c>
      <c r="N16" s="74">
        <f t="shared" si="19"/>
        <v>0</v>
      </c>
      <c r="O16" s="118"/>
      <c r="P16" s="74">
        <f t="shared" si="20"/>
        <v>0</v>
      </c>
      <c r="Q16" s="74">
        <f>SUMIFS('2추특입'!M$6:M$50,'2추특입'!$B$6:$B$50,'2추총괄표(실국)'!$A16)</f>
        <v>0</v>
      </c>
      <c r="R16" s="74">
        <f>SUMIFS('2추특입'!N$6:N$50,'2추특입'!$B$6:$B$50,'2추총괄표(실국)'!$A16)</f>
        <v>0</v>
      </c>
      <c r="S16" s="74">
        <f>SUMIFS('2추특출'!M$6:M$40,'2추특출'!$B$6:$B$40,'2추총괄표(실국)'!$A16)</f>
        <v>0</v>
      </c>
      <c r="T16" s="74">
        <f>SUMIFS('2추특출'!N$6:N$40,'2추특출'!$B$6:$B$40,'2추총괄표(실국)'!$A16)</f>
        <v>0</v>
      </c>
      <c r="U16" s="74">
        <f t="shared" si="21"/>
        <v>0</v>
      </c>
    </row>
    <row r="17" spans="1:21" ht="20.100000000000001" customHeight="1" x14ac:dyDescent="0.3">
      <c r="A17" s="112" t="s">
        <v>440</v>
      </c>
      <c r="B17" s="114">
        <f t="shared" si="12"/>
        <v>0</v>
      </c>
      <c r="C17" s="114">
        <f t="shared" si="13"/>
        <v>-4797190</v>
      </c>
      <c r="D17" s="114">
        <f t="shared" si="14"/>
        <v>3247216</v>
      </c>
      <c r="E17" s="114">
        <f t="shared" si="15"/>
        <v>-6781901</v>
      </c>
      <c r="F17" s="114">
        <f t="shared" si="16"/>
        <v>4567754</v>
      </c>
      <c r="G17" s="115">
        <f t="shared" si="17"/>
        <v>-2214147</v>
      </c>
      <c r="I17" s="74">
        <f t="shared" si="18"/>
        <v>0</v>
      </c>
      <c r="J17" s="74">
        <f>SUMIFS('2추일입'!M$6:M$60,'2추일입'!$B$6:$B$60,'2추총괄표(실국)'!$A17)</f>
        <v>-4797190</v>
      </c>
      <c r="K17" s="74">
        <f>SUMIFS('2추일입'!N$6:N$60,'2추일입'!$B$6:$B$60,'2추총괄표(실국)'!$A17)</f>
        <v>3247216</v>
      </c>
      <c r="L17" s="74">
        <f>SUMIFS('2추일출'!M$6:M$294,'2추일출'!$B$6:$B$294,'2추총괄표(실국)'!$A17)</f>
        <v>-6781901</v>
      </c>
      <c r="M17" s="74">
        <f>SUMIFS('2추일출'!N$6:N$294,'2추일출'!$B$6:$B$294,'2추총괄표(실국)'!$A17)</f>
        <v>4567754</v>
      </c>
      <c r="N17" s="74">
        <f t="shared" si="19"/>
        <v>-2214147</v>
      </c>
      <c r="O17" s="118"/>
      <c r="P17" s="74">
        <f t="shared" si="20"/>
        <v>0</v>
      </c>
      <c r="Q17" s="74">
        <f>SUMIFS('2추특입'!M$6:M$50,'2추특입'!$B$6:$B$50,'2추총괄표(실국)'!$A17)</f>
        <v>0</v>
      </c>
      <c r="R17" s="74">
        <f>SUMIFS('2추특입'!N$6:N$50,'2추특입'!$B$6:$B$50,'2추총괄표(실국)'!$A17)</f>
        <v>0</v>
      </c>
      <c r="S17" s="74">
        <f>SUMIFS('2추특출'!M$6:M$40,'2추특출'!$B$6:$B$40,'2추총괄표(실국)'!$A17)</f>
        <v>0</v>
      </c>
      <c r="T17" s="74">
        <f>SUMIFS('2추특출'!N$6:N$40,'2추특출'!$B$6:$B$40,'2추총괄표(실국)'!$A17)</f>
        <v>0</v>
      </c>
      <c r="U17" s="74">
        <f t="shared" si="21"/>
        <v>0</v>
      </c>
    </row>
    <row r="18" spans="1:21" ht="20.100000000000001" customHeight="1" x14ac:dyDescent="0.3">
      <c r="A18" s="112" t="s">
        <v>570</v>
      </c>
      <c r="B18" s="114">
        <f t="shared" si="12"/>
        <v>0</v>
      </c>
      <c r="C18" s="114">
        <f t="shared" si="13"/>
        <v>0</v>
      </c>
      <c r="D18" s="114">
        <f t="shared" si="14"/>
        <v>110000</v>
      </c>
      <c r="E18" s="114">
        <f t="shared" si="15"/>
        <v>0</v>
      </c>
      <c r="F18" s="114">
        <f t="shared" si="16"/>
        <v>266600</v>
      </c>
      <c r="G18" s="115">
        <f t="shared" si="17"/>
        <v>266600</v>
      </c>
      <c r="I18" s="74">
        <f t="shared" si="18"/>
        <v>0</v>
      </c>
      <c r="J18" s="74">
        <f>SUMIFS('2추일입'!M$6:M$60,'2추일입'!$B$6:$B$60,'2추총괄표(실국)'!$A18)</f>
        <v>0</v>
      </c>
      <c r="K18" s="74">
        <f>SUMIFS('2추일입'!N$6:N$60,'2추일입'!$B$6:$B$60,'2추총괄표(실국)'!$A18)</f>
        <v>110000</v>
      </c>
      <c r="L18" s="74">
        <f>SUMIFS('2추일출'!M$6:M$294,'2추일출'!$B$6:$B$294,'2추총괄표(실국)'!$A18)</f>
        <v>0</v>
      </c>
      <c r="M18" s="74">
        <f>SUMIFS('2추일출'!N$6:N$294,'2추일출'!$B$6:$B$294,'2추총괄표(실국)'!$A18)</f>
        <v>266600</v>
      </c>
      <c r="N18" s="74">
        <f t="shared" si="19"/>
        <v>266600</v>
      </c>
      <c r="O18" s="118"/>
      <c r="P18" s="74">
        <f t="shared" si="20"/>
        <v>0</v>
      </c>
      <c r="Q18" s="74">
        <f>SUMIFS('2추특입'!M$6:M$50,'2추특입'!$B$6:$B$50,'2추총괄표(실국)'!$A18)</f>
        <v>0</v>
      </c>
      <c r="R18" s="74">
        <f>SUMIFS('2추특입'!N$6:N$50,'2추특입'!$B$6:$B$50,'2추총괄표(실국)'!$A18)</f>
        <v>0</v>
      </c>
      <c r="S18" s="74">
        <f>SUMIFS('2추특출'!M$6:M$40,'2추특출'!$B$6:$B$40,'2추총괄표(실국)'!$A18)</f>
        <v>0</v>
      </c>
      <c r="T18" s="74">
        <f>SUMIFS('2추특출'!N$6:N$40,'2추특출'!$B$6:$B$40,'2추총괄표(실국)'!$A18)</f>
        <v>0</v>
      </c>
      <c r="U18" s="74">
        <f t="shared" si="21"/>
        <v>0</v>
      </c>
    </row>
    <row r="19" spans="1:21" ht="20.100000000000001" customHeight="1" x14ac:dyDescent="0.3">
      <c r="A19" s="112" t="s">
        <v>604</v>
      </c>
      <c r="B19" s="114">
        <f t="shared" si="12"/>
        <v>0</v>
      </c>
      <c r="C19" s="114">
        <f t="shared" si="13"/>
        <v>-154828</v>
      </c>
      <c r="D19" s="114">
        <f t="shared" si="14"/>
        <v>922431</v>
      </c>
      <c r="E19" s="114">
        <f t="shared" si="15"/>
        <v>-955202</v>
      </c>
      <c r="F19" s="114">
        <f t="shared" si="16"/>
        <v>2903557</v>
      </c>
      <c r="G19" s="115">
        <f t="shared" si="17"/>
        <v>1948355</v>
      </c>
      <c r="I19" s="74">
        <f t="shared" si="18"/>
        <v>0</v>
      </c>
      <c r="J19" s="74">
        <f>SUMIFS('2추일입'!M$6:M$60,'2추일입'!$B$6:$B$60,'2추총괄표(실국)'!$A19)</f>
        <v>-154828</v>
      </c>
      <c r="K19" s="74">
        <f>SUMIFS('2추일입'!N$6:N$60,'2추일입'!$B$6:$B$60,'2추총괄표(실국)'!$A19)</f>
        <v>922431</v>
      </c>
      <c r="L19" s="74">
        <f>SUMIFS('2추일출'!M$6:M$294,'2추일출'!$B$6:$B$294,'2추총괄표(실국)'!$A19)</f>
        <v>-955202</v>
      </c>
      <c r="M19" s="74">
        <f>SUMIFS('2추일출'!N$6:N$294,'2추일출'!$B$6:$B$294,'2추총괄표(실국)'!$A19)</f>
        <v>2903557</v>
      </c>
      <c r="N19" s="74">
        <f t="shared" si="19"/>
        <v>1948355</v>
      </c>
      <c r="O19" s="118"/>
      <c r="P19" s="74">
        <f t="shared" si="20"/>
        <v>0</v>
      </c>
      <c r="Q19" s="74">
        <f>SUMIFS('2추특입'!M$6:M$50,'2추특입'!$B$6:$B$50,'2추총괄표(실국)'!$A19)</f>
        <v>0</v>
      </c>
      <c r="R19" s="74">
        <f>SUMIFS('2추특입'!N$6:N$50,'2추특입'!$B$6:$B$50,'2추총괄표(실국)'!$A19)</f>
        <v>0</v>
      </c>
      <c r="S19" s="74">
        <f>SUMIFS('2추특출'!M$6:M$40,'2추특출'!$B$6:$B$40,'2추총괄표(실국)'!$A19)</f>
        <v>0</v>
      </c>
      <c r="T19" s="74">
        <f>SUMIFS('2추특출'!N$6:N$40,'2추특출'!$B$6:$B$40,'2추총괄표(실국)'!$A19)</f>
        <v>0</v>
      </c>
      <c r="U19" s="74">
        <f t="shared" si="21"/>
        <v>0</v>
      </c>
    </row>
    <row r="20" spans="1:21" ht="20.100000000000001" customHeight="1" x14ac:dyDescent="0.3">
      <c r="A20" s="112" t="s">
        <v>109</v>
      </c>
      <c r="B20" s="114">
        <f t="shared" si="12"/>
        <v>0</v>
      </c>
      <c r="C20" s="114">
        <f t="shared" si="13"/>
        <v>0</v>
      </c>
      <c r="D20" s="114">
        <f t="shared" si="14"/>
        <v>0</v>
      </c>
      <c r="E20" s="114">
        <f t="shared" si="15"/>
        <v>0</v>
      </c>
      <c r="F20" s="114">
        <f t="shared" si="16"/>
        <v>1000000</v>
      </c>
      <c r="G20" s="115">
        <f t="shared" si="17"/>
        <v>1000000</v>
      </c>
      <c r="I20" s="74">
        <f t="shared" si="18"/>
        <v>0</v>
      </c>
      <c r="J20" s="74">
        <f>SUMIFS('2추일입'!M$6:M$60,'2추일입'!$B$6:$B$60,'2추총괄표(실국)'!$A20)</f>
        <v>0</v>
      </c>
      <c r="K20" s="74">
        <f>SUMIFS('2추일입'!N$6:N$60,'2추일입'!$B$6:$B$60,'2추총괄표(실국)'!$A20)</f>
        <v>0</v>
      </c>
      <c r="L20" s="74">
        <f>SUMIFS('2추일출'!M$6:M$294,'2추일출'!$B$6:$B$294,'2추총괄표(실국)'!$A20)</f>
        <v>0</v>
      </c>
      <c r="M20" s="74">
        <f>SUMIFS('2추일출'!N$6:N$294,'2추일출'!$B$6:$B$294,'2추총괄표(실국)'!$A20)</f>
        <v>1000000</v>
      </c>
      <c r="N20" s="74">
        <f t="shared" si="19"/>
        <v>1000000</v>
      </c>
      <c r="O20" s="118"/>
      <c r="P20" s="74">
        <f t="shared" si="20"/>
        <v>0</v>
      </c>
      <c r="Q20" s="74">
        <f>SUMIFS('2추특입'!M$6:M$50,'2추특입'!$B$6:$B$50,'2추총괄표(실국)'!$A20)</f>
        <v>0</v>
      </c>
      <c r="R20" s="74">
        <f>SUMIFS('2추특입'!N$6:N$50,'2추특입'!$B$6:$B$50,'2추총괄표(실국)'!$A20)</f>
        <v>0</v>
      </c>
      <c r="S20" s="74">
        <f>SUMIFS('2추특출'!M$6:M$40,'2추특출'!$B$6:$B$40,'2추총괄표(실국)'!$A20)</f>
        <v>0</v>
      </c>
      <c r="T20" s="74">
        <f>SUMIFS('2추특출'!N$6:N$40,'2추특출'!$B$6:$B$40,'2추총괄표(실국)'!$A20)</f>
        <v>0</v>
      </c>
      <c r="U20" s="74">
        <f t="shared" si="21"/>
        <v>0</v>
      </c>
    </row>
    <row r="21" spans="1:21" ht="20.100000000000001" customHeight="1" x14ac:dyDescent="0.3">
      <c r="A21" s="112" t="s">
        <v>33</v>
      </c>
      <c r="B21" s="114">
        <f t="shared" si="12"/>
        <v>0</v>
      </c>
      <c r="C21" s="114">
        <f t="shared" si="13"/>
        <v>0</v>
      </c>
      <c r="D21" s="114">
        <f t="shared" si="14"/>
        <v>0</v>
      </c>
      <c r="E21" s="114">
        <f t="shared" si="15"/>
        <v>-100000</v>
      </c>
      <c r="F21" s="114">
        <f t="shared" si="16"/>
        <v>74000</v>
      </c>
      <c r="G21" s="115">
        <f t="shared" si="17"/>
        <v>-26000</v>
      </c>
      <c r="I21" s="74">
        <f t="shared" si="18"/>
        <v>0</v>
      </c>
      <c r="J21" s="74">
        <f>SUMIFS('2추일입'!M$6:M$60,'2추일입'!$B$6:$B$60,'2추총괄표(실국)'!$A21)</f>
        <v>0</v>
      </c>
      <c r="K21" s="74">
        <f>SUMIFS('2추일입'!N$6:N$60,'2추일입'!$B$6:$B$60,'2추총괄표(실국)'!$A21)</f>
        <v>0</v>
      </c>
      <c r="L21" s="74">
        <f>SUMIFS('2추일출'!M$6:M$294,'2추일출'!$B$6:$B$294,'2추총괄표(실국)'!$A21)</f>
        <v>-100000</v>
      </c>
      <c r="M21" s="74">
        <f>SUMIFS('2추일출'!N$6:N$294,'2추일출'!$B$6:$B$294,'2추총괄표(실국)'!$A21)</f>
        <v>74000</v>
      </c>
      <c r="N21" s="74">
        <f t="shared" si="19"/>
        <v>-26000</v>
      </c>
      <c r="O21" s="118"/>
      <c r="P21" s="74">
        <f t="shared" si="20"/>
        <v>0</v>
      </c>
      <c r="Q21" s="74">
        <f>SUMIFS('2추특입'!M$6:M$50,'2추특입'!$B$6:$B$50,'2추총괄표(실국)'!$A21)</f>
        <v>0</v>
      </c>
      <c r="R21" s="74">
        <f>SUMIFS('2추특입'!N$6:N$50,'2추특입'!$B$6:$B$50,'2추총괄표(실국)'!$A21)</f>
        <v>0</v>
      </c>
      <c r="S21" s="74">
        <f>SUMIFS('2추특출'!M$6:M$40,'2추특출'!$B$6:$B$40,'2추총괄표(실국)'!$A21)</f>
        <v>0</v>
      </c>
      <c r="T21" s="74">
        <f>SUMIFS('2추특출'!N$6:N$40,'2추특출'!$B$6:$B$40,'2추총괄표(실국)'!$A21)</f>
        <v>0</v>
      </c>
      <c r="U21" s="74">
        <f t="shared" si="21"/>
        <v>0</v>
      </c>
    </row>
    <row r="22" spans="1:21" ht="20.100000000000001" customHeight="1" x14ac:dyDescent="0.3">
      <c r="A22" s="112" t="s">
        <v>26</v>
      </c>
      <c r="B22" s="114">
        <f t="shared" si="12"/>
        <v>0</v>
      </c>
      <c r="C22" s="114">
        <f t="shared" si="13"/>
        <v>0</v>
      </c>
      <c r="D22" s="114">
        <f t="shared" si="14"/>
        <v>0</v>
      </c>
      <c r="E22" s="114">
        <f t="shared" si="15"/>
        <v>-2065000</v>
      </c>
      <c r="F22" s="114">
        <f t="shared" si="16"/>
        <v>0</v>
      </c>
      <c r="G22" s="115">
        <f t="shared" si="17"/>
        <v>-2065000</v>
      </c>
      <c r="I22" s="74">
        <f t="shared" si="18"/>
        <v>0</v>
      </c>
      <c r="J22" s="74">
        <f>SUMIFS('2추일입'!M$6:M$60,'2추일입'!$B$6:$B$60,'2추총괄표(실국)'!$A22)</f>
        <v>0</v>
      </c>
      <c r="K22" s="74">
        <f>SUMIFS('2추일입'!N$6:N$60,'2추일입'!$B$6:$B$60,'2추총괄표(실국)'!$A22)</f>
        <v>0</v>
      </c>
      <c r="L22" s="74">
        <f>SUMIFS('2추일출'!M$6:M$294,'2추일출'!$B$6:$B$294,'2추총괄표(실국)'!$A22)</f>
        <v>-2065000</v>
      </c>
      <c r="M22" s="74">
        <f>SUMIFS('2추일출'!N$6:N$294,'2추일출'!$B$6:$B$294,'2추총괄표(실국)'!$A22)</f>
        <v>0</v>
      </c>
      <c r="N22" s="74">
        <f t="shared" si="19"/>
        <v>-2065000</v>
      </c>
      <c r="O22" s="118"/>
      <c r="P22" s="74">
        <f t="shared" si="20"/>
        <v>0</v>
      </c>
      <c r="Q22" s="74">
        <f>SUMIFS('2추특입'!M$6:M$50,'2추특입'!$B$6:$B$50,'2추총괄표(실국)'!$A22)</f>
        <v>0</v>
      </c>
      <c r="R22" s="74">
        <f>SUMIFS('2추특입'!N$6:N$50,'2추특입'!$B$6:$B$50,'2추총괄표(실국)'!$A22)</f>
        <v>0</v>
      </c>
      <c r="S22" s="74">
        <f>SUMIFS('2추특출'!M$6:M$40,'2추특출'!$B$6:$B$40,'2추총괄표(실국)'!$A22)</f>
        <v>0</v>
      </c>
      <c r="T22" s="74">
        <f>SUMIFS('2추특출'!N$6:N$40,'2추특출'!$B$6:$B$40,'2추총괄표(실국)'!$A22)</f>
        <v>0</v>
      </c>
      <c r="U22" s="74">
        <f t="shared" si="21"/>
        <v>0</v>
      </c>
    </row>
    <row r="23" spans="1:21" ht="20.100000000000001" customHeight="1" x14ac:dyDescent="0.3">
      <c r="A23" s="112" t="s">
        <v>192</v>
      </c>
      <c r="B23" s="114">
        <f t="shared" si="12"/>
        <v>0</v>
      </c>
      <c r="C23" s="114">
        <f t="shared" si="13"/>
        <v>0</v>
      </c>
      <c r="D23" s="114">
        <f t="shared" si="14"/>
        <v>0</v>
      </c>
      <c r="E23" s="114">
        <f t="shared" si="15"/>
        <v>0</v>
      </c>
      <c r="F23" s="114">
        <f t="shared" si="16"/>
        <v>4351500</v>
      </c>
      <c r="G23" s="115">
        <f t="shared" si="17"/>
        <v>4351500</v>
      </c>
      <c r="I23" s="74">
        <f t="shared" si="18"/>
        <v>0</v>
      </c>
      <c r="J23" s="74">
        <f>SUMIFS('2추일입'!M$6:M$60,'2추일입'!$B$6:$B$60,'2추총괄표(실국)'!$A23)</f>
        <v>0</v>
      </c>
      <c r="K23" s="74">
        <f>SUMIFS('2추일입'!N$6:N$60,'2추일입'!$B$6:$B$60,'2추총괄표(실국)'!$A23)</f>
        <v>0</v>
      </c>
      <c r="L23" s="74">
        <f>SUMIFS('2추일출'!M$6:M$294,'2추일출'!$B$6:$B$294,'2추총괄표(실국)'!$A23)</f>
        <v>0</v>
      </c>
      <c r="M23" s="74">
        <f>SUMIFS('2추일출'!N$6:N$294,'2추일출'!$B$6:$B$294,'2추총괄표(실국)'!$A23)</f>
        <v>4351500</v>
      </c>
      <c r="N23" s="74">
        <f t="shared" si="19"/>
        <v>4351500</v>
      </c>
      <c r="O23" s="118"/>
      <c r="P23" s="74">
        <f t="shared" si="20"/>
        <v>0</v>
      </c>
      <c r="Q23" s="74">
        <f>SUMIFS('2추특입'!M$6:M$50,'2추특입'!$B$6:$B$50,'2추총괄표(실국)'!$A23)</f>
        <v>0</v>
      </c>
      <c r="R23" s="74">
        <f>SUMIFS('2추특입'!N$6:N$50,'2추특입'!$B$6:$B$50,'2추총괄표(실국)'!$A23)</f>
        <v>0</v>
      </c>
      <c r="S23" s="74">
        <f>SUMIFS('2추특출'!M$6:M$40,'2추특출'!$B$6:$B$40,'2추총괄표(실국)'!$A23)</f>
        <v>0</v>
      </c>
      <c r="T23" s="74">
        <f>SUMIFS('2추특출'!N$6:N$40,'2추특출'!$B$6:$B$40,'2추총괄표(실국)'!$A23)</f>
        <v>0</v>
      </c>
      <c r="U23" s="74">
        <f t="shared" si="21"/>
        <v>0</v>
      </c>
    </row>
    <row r="24" spans="1:21" ht="20.100000000000001" customHeight="1" x14ac:dyDescent="0.3">
      <c r="A24" s="112" t="s">
        <v>10</v>
      </c>
      <c r="B24" s="114">
        <f t="shared" si="12"/>
        <v>0</v>
      </c>
      <c r="C24" s="114">
        <f t="shared" si="13"/>
        <v>0</v>
      </c>
      <c r="D24" s="114">
        <f t="shared" si="14"/>
        <v>0</v>
      </c>
      <c r="E24" s="114">
        <f t="shared" si="15"/>
        <v>0</v>
      </c>
      <c r="F24" s="114">
        <f t="shared" si="16"/>
        <v>745700</v>
      </c>
      <c r="G24" s="115">
        <f t="shared" si="17"/>
        <v>745700</v>
      </c>
      <c r="I24" s="74">
        <f t="shared" si="18"/>
        <v>0</v>
      </c>
      <c r="J24" s="74">
        <f>SUMIFS('2추일입'!M$6:M$60,'2추일입'!$B$6:$B$60,'2추총괄표(실국)'!$A24)</f>
        <v>0</v>
      </c>
      <c r="K24" s="74">
        <f>SUMIFS('2추일입'!N$6:N$60,'2추일입'!$B$6:$B$60,'2추총괄표(실국)'!$A24)</f>
        <v>0</v>
      </c>
      <c r="L24" s="74">
        <f>SUMIFS('2추일출'!M$6:M$294,'2추일출'!$B$6:$B$294,'2추총괄표(실국)'!$A24)</f>
        <v>0</v>
      </c>
      <c r="M24" s="74">
        <f>SUMIFS('2추일출'!N$6:N$294,'2추일출'!$B$6:$B$294,'2추총괄표(실국)'!$A24)</f>
        <v>745700</v>
      </c>
      <c r="N24" s="74">
        <f t="shared" si="19"/>
        <v>745700</v>
      </c>
      <c r="O24" s="118"/>
      <c r="P24" s="74">
        <f t="shared" si="20"/>
        <v>0</v>
      </c>
      <c r="Q24" s="74">
        <f>SUMIFS('2추특입'!M$6:M$50,'2추특입'!$B$6:$B$50,'2추총괄표(실국)'!$A24)</f>
        <v>0</v>
      </c>
      <c r="R24" s="74">
        <f>SUMIFS('2추특입'!N$6:N$50,'2추특입'!$B$6:$B$50,'2추총괄표(실국)'!$A24)</f>
        <v>0</v>
      </c>
      <c r="S24" s="74">
        <f>SUMIFS('2추특출'!M$6:M$40,'2추특출'!$B$6:$B$40,'2추총괄표(실국)'!$A24)</f>
        <v>0</v>
      </c>
      <c r="T24" s="74">
        <f>SUMIFS('2추특출'!N$6:N$40,'2추특출'!$B$6:$B$40,'2추총괄표(실국)'!$A24)</f>
        <v>0</v>
      </c>
      <c r="U24" s="74">
        <f t="shared" si="21"/>
        <v>0</v>
      </c>
    </row>
    <row r="25" spans="1:21" ht="20.100000000000001" customHeight="1" x14ac:dyDescent="0.3">
      <c r="A25" s="112" t="s">
        <v>408</v>
      </c>
      <c r="B25" s="114">
        <f t="shared" si="12"/>
        <v>0</v>
      </c>
      <c r="C25" s="114">
        <f t="shared" si="13"/>
        <v>0</v>
      </c>
      <c r="D25" s="114">
        <f t="shared" si="14"/>
        <v>0</v>
      </c>
      <c r="E25" s="114">
        <f t="shared" si="15"/>
        <v>-55051</v>
      </c>
      <c r="F25" s="114">
        <f t="shared" si="16"/>
        <v>330051</v>
      </c>
      <c r="G25" s="115">
        <f t="shared" si="17"/>
        <v>275000</v>
      </c>
      <c r="I25" s="74">
        <f t="shared" si="18"/>
        <v>0</v>
      </c>
      <c r="J25" s="74">
        <f>SUMIFS('2추일입'!M$6:M$60,'2추일입'!$B$6:$B$60,'2추총괄표(실국)'!$A25)</f>
        <v>0</v>
      </c>
      <c r="K25" s="74">
        <f>SUMIFS('2추일입'!N$6:N$60,'2추일입'!$B$6:$B$60,'2추총괄표(실국)'!$A25)</f>
        <v>0</v>
      </c>
      <c r="L25" s="74">
        <f>SUMIFS('2추일출'!M$6:M$294,'2추일출'!$B$6:$B$294,'2추총괄표(실국)'!$A25)</f>
        <v>-55051</v>
      </c>
      <c r="M25" s="74">
        <f>SUMIFS('2추일출'!N$6:N$294,'2추일출'!$B$6:$B$294,'2추총괄표(실국)'!$A25)</f>
        <v>330051</v>
      </c>
      <c r="N25" s="74">
        <f t="shared" si="19"/>
        <v>275000</v>
      </c>
      <c r="O25" s="118"/>
      <c r="P25" s="74">
        <f t="shared" si="20"/>
        <v>0</v>
      </c>
      <c r="Q25" s="74">
        <f>SUMIFS('2추특입'!M$6:M$50,'2추특입'!$B$6:$B$50,'2추총괄표(실국)'!$A25)</f>
        <v>0</v>
      </c>
      <c r="R25" s="74">
        <f>SUMIFS('2추특입'!N$6:N$50,'2추특입'!$B$6:$B$50,'2추총괄표(실국)'!$A25)</f>
        <v>0</v>
      </c>
      <c r="S25" s="74">
        <f>SUMIFS('2추특출'!M$6:M$40,'2추특출'!$B$6:$B$40,'2추총괄표(실국)'!$A25)</f>
        <v>0</v>
      </c>
      <c r="T25" s="74">
        <f>SUMIFS('2추특출'!N$6:N$40,'2추특출'!$B$6:$B$40,'2추총괄표(실국)'!$A25)</f>
        <v>0</v>
      </c>
      <c r="U25" s="74">
        <f t="shared" si="21"/>
        <v>0</v>
      </c>
    </row>
    <row r="26" spans="1:21" ht="20.100000000000001" customHeight="1" x14ac:dyDescent="0.3">
      <c r="A26" s="112" t="s">
        <v>339</v>
      </c>
      <c r="B26" s="114">
        <f t="shared" si="12"/>
        <v>0</v>
      </c>
      <c r="C26" s="114">
        <f t="shared" si="13"/>
        <v>0</v>
      </c>
      <c r="D26" s="114">
        <f t="shared" si="14"/>
        <v>0</v>
      </c>
      <c r="E26" s="114">
        <f t="shared" si="15"/>
        <v>0</v>
      </c>
      <c r="F26" s="114">
        <f t="shared" si="16"/>
        <v>27500</v>
      </c>
      <c r="G26" s="115">
        <f t="shared" si="17"/>
        <v>27500</v>
      </c>
      <c r="I26" s="74">
        <f t="shared" si="18"/>
        <v>0</v>
      </c>
      <c r="J26" s="74">
        <f>SUMIFS('2추일입'!M$6:M$60,'2추일입'!$B$6:$B$60,'2추총괄표(실국)'!$A26)</f>
        <v>0</v>
      </c>
      <c r="K26" s="74">
        <f>SUMIFS('2추일입'!N$6:N$60,'2추일입'!$B$6:$B$60,'2추총괄표(실국)'!$A26)</f>
        <v>0</v>
      </c>
      <c r="L26" s="74">
        <f>SUMIFS('2추일출'!M$6:M$294,'2추일출'!$B$6:$B$294,'2추총괄표(실국)'!$A26)</f>
        <v>0</v>
      </c>
      <c r="M26" s="74">
        <f>SUMIFS('2추일출'!N$6:N$294,'2추일출'!$B$6:$B$294,'2추총괄표(실국)'!$A26)</f>
        <v>27500</v>
      </c>
      <c r="N26" s="74">
        <f t="shared" si="19"/>
        <v>27500</v>
      </c>
      <c r="O26" s="118"/>
      <c r="P26" s="74">
        <f t="shared" si="20"/>
        <v>0</v>
      </c>
      <c r="Q26" s="74">
        <f>SUMIFS('2추특입'!M$6:M$50,'2추특입'!$B$6:$B$50,'2추총괄표(실국)'!$A26)</f>
        <v>0</v>
      </c>
      <c r="R26" s="74">
        <f>SUMIFS('2추특입'!N$6:N$50,'2추특입'!$B$6:$B$50,'2추총괄표(실국)'!$A26)</f>
        <v>0</v>
      </c>
      <c r="S26" s="74">
        <f>SUMIFS('2추특출'!M$6:M$40,'2추특출'!$B$6:$B$40,'2추총괄표(실국)'!$A26)</f>
        <v>0</v>
      </c>
      <c r="T26" s="74">
        <f>SUMIFS('2추특출'!N$6:N$40,'2추특출'!$B$6:$B$40,'2추총괄표(실국)'!$A26)</f>
        <v>0</v>
      </c>
      <c r="U26" s="74">
        <f t="shared" si="21"/>
        <v>0</v>
      </c>
    </row>
    <row r="27" spans="1:21" ht="20.100000000000001" customHeight="1" x14ac:dyDescent="0.3">
      <c r="A27" s="112" t="s">
        <v>469</v>
      </c>
      <c r="B27" s="114">
        <f t="shared" si="12"/>
        <v>0</v>
      </c>
      <c r="C27" s="114">
        <f t="shared" si="13"/>
        <v>0</v>
      </c>
      <c r="D27" s="114">
        <f t="shared" si="14"/>
        <v>0</v>
      </c>
      <c r="E27" s="114">
        <f t="shared" si="15"/>
        <v>0</v>
      </c>
      <c r="F27" s="114">
        <f t="shared" si="16"/>
        <v>0</v>
      </c>
      <c r="G27" s="115">
        <f t="shared" si="17"/>
        <v>0</v>
      </c>
      <c r="I27" s="74">
        <f t="shared" si="18"/>
        <v>0</v>
      </c>
      <c r="J27" s="74">
        <f>SUMIFS('2추일입'!M$6:M$60,'2추일입'!$B$6:$B$60,'2추총괄표(실국)'!$A27)</f>
        <v>0</v>
      </c>
      <c r="K27" s="74">
        <f>SUMIFS('2추일입'!N$6:N$60,'2추일입'!$B$6:$B$60,'2추총괄표(실국)'!$A27)</f>
        <v>0</v>
      </c>
      <c r="L27" s="74">
        <f>SUMIFS('2추일출'!M$6:M$294,'2추일출'!$B$6:$B$294,'2추총괄표(실국)'!$A27)</f>
        <v>0</v>
      </c>
      <c r="M27" s="74">
        <f>SUMIFS('2추일출'!N$6:N$294,'2추일출'!$B$6:$B$294,'2추총괄표(실국)'!$A27)</f>
        <v>0</v>
      </c>
      <c r="N27" s="74">
        <f t="shared" si="19"/>
        <v>0</v>
      </c>
      <c r="O27" s="118"/>
      <c r="P27" s="74">
        <f t="shared" si="20"/>
        <v>0</v>
      </c>
      <c r="Q27" s="74">
        <f>SUMIFS('2추특입'!M$6:M$50,'2추특입'!$B$6:$B$50,'2추총괄표(실국)'!$A27)</f>
        <v>0</v>
      </c>
      <c r="R27" s="74">
        <f>SUMIFS('2추특입'!N$6:N$50,'2추특입'!$B$6:$B$50,'2추총괄표(실국)'!$A27)</f>
        <v>0</v>
      </c>
      <c r="S27" s="74">
        <f>SUMIFS('2추특출'!M$6:M$40,'2추특출'!$B$6:$B$40,'2추총괄표(실국)'!$A27)</f>
        <v>0</v>
      </c>
      <c r="T27" s="74">
        <f>SUMIFS('2추특출'!N$6:N$40,'2추특출'!$B$6:$B$40,'2추총괄표(실국)'!$A27)</f>
        <v>0</v>
      </c>
      <c r="U27" s="74">
        <f t="shared" si="21"/>
        <v>0</v>
      </c>
    </row>
    <row r="28" spans="1:21" ht="20.100000000000001" customHeight="1" x14ac:dyDescent="0.3">
      <c r="A28" s="112" t="s">
        <v>154</v>
      </c>
      <c r="B28" s="114">
        <f t="shared" si="12"/>
        <v>0</v>
      </c>
      <c r="C28" s="114">
        <f t="shared" si="13"/>
        <v>0</v>
      </c>
      <c r="D28" s="114">
        <f t="shared" si="14"/>
        <v>0</v>
      </c>
      <c r="E28" s="114">
        <f t="shared" si="15"/>
        <v>0</v>
      </c>
      <c r="F28" s="114">
        <f t="shared" si="16"/>
        <v>0</v>
      </c>
      <c r="G28" s="115">
        <f t="shared" si="17"/>
        <v>0</v>
      </c>
      <c r="I28" s="74">
        <f t="shared" si="18"/>
        <v>0</v>
      </c>
      <c r="J28" s="74">
        <f>SUMIFS('2추일입'!M$6:M$60,'2추일입'!$B$6:$B$60,'2추총괄표(실국)'!$A28)</f>
        <v>0</v>
      </c>
      <c r="K28" s="74">
        <f>SUMIFS('2추일입'!N$6:N$60,'2추일입'!$B$6:$B$60,'2추총괄표(실국)'!$A28)</f>
        <v>0</v>
      </c>
      <c r="L28" s="74">
        <f>SUMIFS('2추일출'!M$6:M$294,'2추일출'!$B$6:$B$294,'2추총괄표(실국)'!$A28)</f>
        <v>0</v>
      </c>
      <c r="M28" s="74">
        <f>SUMIFS('2추일출'!N$6:N$294,'2추일출'!$B$6:$B$294,'2추총괄표(실국)'!$A28)</f>
        <v>0</v>
      </c>
      <c r="N28" s="74">
        <f t="shared" si="19"/>
        <v>0</v>
      </c>
      <c r="O28" s="118"/>
      <c r="P28" s="74">
        <f t="shared" si="20"/>
        <v>0</v>
      </c>
      <c r="Q28" s="74">
        <f>SUMIFS('2추특입'!M$6:M$50,'2추특입'!$B$6:$B$50,'2추총괄표(실국)'!$A28)</f>
        <v>0</v>
      </c>
      <c r="R28" s="74">
        <f>SUMIFS('2추특입'!N$6:N$50,'2추특입'!$B$6:$B$50,'2추총괄표(실국)'!$A28)</f>
        <v>0</v>
      </c>
      <c r="S28" s="74">
        <f>SUMIFS('2추특출'!M$6:M$40,'2추특출'!$B$6:$B$40,'2추총괄표(실국)'!$A28)</f>
        <v>0</v>
      </c>
      <c r="T28" s="74">
        <f>SUMIFS('2추특출'!N$6:N$40,'2추특출'!$B$6:$B$40,'2추총괄표(실국)'!$A28)</f>
        <v>0</v>
      </c>
      <c r="U28" s="74">
        <f t="shared" si="21"/>
        <v>0</v>
      </c>
    </row>
    <row r="29" spans="1:21" ht="20.100000000000001" customHeight="1" x14ac:dyDescent="0.3">
      <c r="A29" s="112" t="s">
        <v>599</v>
      </c>
      <c r="B29" s="114">
        <f t="shared" si="12"/>
        <v>0</v>
      </c>
      <c r="C29" s="114">
        <f t="shared" si="13"/>
        <v>-6902000</v>
      </c>
      <c r="D29" s="114">
        <f t="shared" si="14"/>
        <v>16563000</v>
      </c>
      <c r="E29" s="114">
        <f t="shared" si="15"/>
        <v>-9655000</v>
      </c>
      <c r="F29" s="114">
        <f t="shared" si="16"/>
        <v>22254792</v>
      </c>
      <c r="G29" s="115">
        <f t="shared" si="17"/>
        <v>12599792</v>
      </c>
      <c r="I29" s="74">
        <f t="shared" si="18"/>
        <v>0</v>
      </c>
      <c r="J29" s="74">
        <f>SUMIFS('2추일입'!M$6:M$60,'2추일입'!$B$6:$B$60,'2추총괄표(실국)'!$A29)</f>
        <v>-6902000</v>
      </c>
      <c r="K29" s="74">
        <f>SUMIFS('2추일입'!N$6:N$60,'2추일입'!$B$6:$B$60,'2추총괄표(실국)'!$A29)</f>
        <v>16563000</v>
      </c>
      <c r="L29" s="74">
        <f>SUMIFS('2추일출'!M$6:M$294,'2추일출'!$B$6:$B$294,'2추총괄표(실국)'!$A29)</f>
        <v>-9655000</v>
      </c>
      <c r="M29" s="74">
        <f>SUMIFS('2추일출'!N$6:N$294,'2추일출'!$B$6:$B$294,'2추총괄표(실국)'!$A29)</f>
        <v>22254792</v>
      </c>
      <c r="N29" s="74">
        <f t="shared" si="19"/>
        <v>12599792</v>
      </c>
      <c r="O29" s="118"/>
      <c r="P29" s="74">
        <f t="shared" si="20"/>
        <v>0</v>
      </c>
      <c r="Q29" s="74">
        <f>SUMIFS('2추특입'!M$6:M$50,'2추특입'!$B$6:$B$50,'2추총괄표(실국)'!$A29)</f>
        <v>0</v>
      </c>
      <c r="R29" s="74">
        <f>SUMIFS('2추특입'!N$6:N$50,'2추특입'!$B$6:$B$50,'2추총괄표(실국)'!$A29)</f>
        <v>0</v>
      </c>
      <c r="S29" s="74">
        <f>SUMIFS('2추특출'!M$6:M$40,'2추특출'!$B$6:$B$40,'2추총괄표(실국)'!$A29)</f>
        <v>0</v>
      </c>
      <c r="T29" s="74">
        <f>SUMIFS('2추특출'!N$6:N$40,'2추특출'!$B$6:$B$40,'2추총괄표(실국)'!$A29)</f>
        <v>0</v>
      </c>
      <c r="U29" s="74">
        <f t="shared" si="21"/>
        <v>0</v>
      </c>
    </row>
    <row r="30" spans="1:21" ht="20.100000000000001" customHeight="1" x14ac:dyDescent="0.3">
      <c r="A30" s="112" t="s">
        <v>462</v>
      </c>
      <c r="B30" s="114">
        <f t="shared" si="12"/>
        <v>0</v>
      </c>
      <c r="C30" s="114">
        <f t="shared" si="13"/>
        <v>0</v>
      </c>
      <c r="D30" s="114">
        <f t="shared" si="14"/>
        <v>0</v>
      </c>
      <c r="E30" s="114">
        <f t="shared" si="15"/>
        <v>-284949</v>
      </c>
      <c r="F30" s="114">
        <f t="shared" si="16"/>
        <v>3166126</v>
      </c>
      <c r="G30" s="115">
        <f t="shared" si="17"/>
        <v>2881177</v>
      </c>
      <c r="I30" s="74">
        <f t="shared" si="18"/>
        <v>0</v>
      </c>
      <c r="J30" s="74">
        <f>SUMIFS('2추일입'!M$6:M$60,'2추일입'!$B$6:$B$60,'2추총괄표(실국)'!$A30)</f>
        <v>0</v>
      </c>
      <c r="K30" s="74">
        <f>SUMIFS('2추일입'!N$6:N$60,'2추일입'!$B$6:$B$60,'2추총괄표(실국)'!$A30)</f>
        <v>0</v>
      </c>
      <c r="L30" s="74">
        <f>SUMIFS('2추일출'!M$6:M$294,'2추일출'!$B$6:$B$294,'2추총괄표(실국)'!$A30)</f>
        <v>-284949</v>
      </c>
      <c r="M30" s="74">
        <f>SUMIFS('2추일출'!N$6:N$294,'2추일출'!$B$6:$B$294,'2추총괄표(실국)'!$A30)</f>
        <v>3166126</v>
      </c>
      <c r="N30" s="74">
        <f t="shared" si="19"/>
        <v>2881177</v>
      </c>
      <c r="O30" s="118"/>
      <c r="P30" s="74">
        <f t="shared" si="20"/>
        <v>0</v>
      </c>
      <c r="Q30" s="74">
        <f>SUMIFS('2추특입'!M$6:M$50,'2추특입'!$B$6:$B$50,'2추총괄표(실국)'!$A30)</f>
        <v>0</v>
      </c>
      <c r="R30" s="74">
        <f>SUMIFS('2추특입'!N$6:N$50,'2추특입'!$B$6:$B$50,'2추총괄표(실국)'!$A30)</f>
        <v>0</v>
      </c>
      <c r="S30" s="74">
        <f>SUMIFS('2추특출'!M$6:M$40,'2추특출'!$B$6:$B$40,'2추총괄표(실국)'!$A30)</f>
        <v>0</v>
      </c>
      <c r="T30" s="74">
        <f>SUMIFS('2추특출'!N$6:N$40,'2추특출'!$B$6:$B$40,'2추총괄표(실국)'!$A30)</f>
        <v>0</v>
      </c>
      <c r="U30" s="74">
        <f t="shared" si="21"/>
        <v>0</v>
      </c>
    </row>
    <row r="31" spans="1:21" ht="20.100000000000001" customHeight="1" x14ac:dyDescent="0.3">
      <c r="A31" s="112" t="s">
        <v>94</v>
      </c>
      <c r="B31" s="114">
        <f t="shared" si="12"/>
        <v>0</v>
      </c>
      <c r="C31" s="114">
        <f t="shared" si="13"/>
        <v>0</v>
      </c>
      <c r="D31" s="114">
        <f t="shared" si="14"/>
        <v>0</v>
      </c>
      <c r="E31" s="114">
        <f t="shared" si="15"/>
        <v>-600000</v>
      </c>
      <c r="F31" s="114">
        <f t="shared" si="16"/>
        <v>50000</v>
      </c>
      <c r="G31" s="115">
        <f t="shared" si="17"/>
        <v>-550000</v>
      </c>
      <c r="I31" s="74">
        <f t="shared" si="18"/>
        <v>0</v>
      </c>
      <c r="J31" s="74">
        <f>SUMIFS('2추일입'!M$6:M$60,'2추일입'!$B$6:$B$60,'2추총괄표(실국)'!$A31)</f>
        <v>0</v>
      </c>
      <c r="K31" s="74">
        <f>SUMIFS('2추일입'!N$6:N$60,'2추일입'!$B$6:$B$60,'2추총괄표(실국)'!$A31)</f>
        <v>0</v>
      </c>
      <c r="L31" s="74">
        <f>SUMIFS('2추일출'!M$6:M$294,'2추일출'!$B$6:$B$294,'2추총괄표(실국)'!$A31)</f>
        <v>-600000</v>
      </c>
      <c r="M31" s="74">
        <f>SUMIFS('2추일출'!N$6:N$294,'2추일출'!$B$6:$B$294,'2추총괄표(실국)'!$A31)</f>
        <v>50000</v>
      </c>
      <c r="N31" s="74">
        <f t="shared" si="19"/>
        <v>-550000</v>
      </c>
      <c r="O31" s="118"/>
      <c r="P31" s="74">
        <f t="shared" si="20"/>
        <v>0</v>
      </c>
      <c r="Q31" s="74">
        <f>SUMIFS('2추특입'!M$6:M$50,'2추특입'!$B$6:$B$50,'2추총괄표(실국)'!$A31)</f>
        <v>0</v>
      </c>
      <c r="R31" s="74">
        <f>SUMIFS('2추특입'!N$6:N$50,'2추특입'!$B$6:$B$50,'2추총괄표(실국)'!$A31)</f>
        <v>0</v>
      </c>
      <c r="S31" s="74">
        <f>SUMIFS('2추특출'!M$6:M$40,'2추특출'!$B$6:$B$40,'2추총괄표(실국)'!$A31)</f>
        <v>0</v>
      </c>
      <c r="T31" s="74">
        <f>SUMIFS('2추특출'!N$6:N$40,'2추특출'!$B$6:$B$40,'2추총괄표(실국)'!$A31)</f>
        <v>0</v>
      </c>
      <c r="U31" s="74">
        <f t="shared" si="21"/>
        <v>0</v>
      </c>
    </row>
    <row r="32" spans="1:21" ht="20.100000000000001" customHeight="1" x14ac:dyDescent="0.3">
      <c r="A32" s="112" t="s">
        <v>114</v>
      </c>
      <c r="B32" s="114">
        <f t="shared" si="12"/>
        <v>0</v>
      </c>
      <c r="C32" s="114">
        <f t="shared" si="13"/>
        <v>0</v>
      </c>
      <c r="D32" s="114">
        <f t="shared" si="14"/>
        <v>600000</v>
      </c>
      <c r="E32" s="114">
        <f t="shared" si="15"/>
        <v>-1420000</v>
      </c>
      <c r="F32" s="114">
        <f t="shared" si="16"/>
        <v>3100000</v>
      </c>
      <c r="G32" s="115">
        <f t="shared" si="17"/>
        <v>1680000</v>
      </c>
      <c r="I32" s="74">
        <f t="shared" si="18"/>
        <v>0</v>
      </c>
      <c r="J32" s="74">
        <f>SUMIFS('2추일입'!M$6:M$60,'2추일입'!$B$6:$B$60,'2추총괄표(실국)'!$A32)</f>
        <v>0</v>
      </c>
      <c r="K32" s="74">
        <f>SUMIFS('2추일입'!N$6:N$60,'2추일입'!$B$6:$B$60,'2추총괄표(실국)'!$A32)</f>
        <v>600000</v>
      </c>
      <c r="L32" s="74">
        <f>SUMIFS('2추일출'!M$6:M$294,'2추일출'!$B$6:$B$294,'2추총괄표(실국)'!$A32)</f>
        <v>-1350000</v>
      </c>
      <c r="M32" s="74">
        <f>SUMIFS('2추일출'!N$6:N$294,'2추일출'!$B$6:$B$294,'2추총괄표(실국)'!$A32)</f>
        <v>3030000</v>
      </c>
      <c r="N32" s="74">
        <f t="shared" si="19"/>
        <v>1680000</v>
      </c>
      <c r="O32" s="118"/>
      <c r="P32" s="74">
        <f t="shared" si="20"/>
        <v>0</v>
      </c>
      <c r="Q32" s="74">
        <f>SUMIFS('2추특입'!M$6:M$50,'2추특입'!$B$6:$B$50,'2추총괄표(실국)'!$A32)</f>
        <v>0</v>
      </c>
      <c r="R32" s="74">
        <f>SUMIFS('2추특입'!N$6:N$50,'2추특입'!$B$6:$B$50,'2추총괄표(실국)'!$A32)</f>
        <v>0</v>
      </c>
      <c r="S32" s="74">
        <f>SUMIFS('2추특출'!M$6:M$40,'2추특출'!$B$6:$B$40,'2추총괄표(실국)'!$A32)</f>
        <v>-70000</v>
      </c>
      <c r="T32" s="74">
        <f>SUMIFS('2추특출'!N$6:N$40,'2추특출'!$B$6:$B$40,'2추총괄표(실국)'!$A32)</f>
        <v>70000</v>
      </c>
      <c r="U32" s="74">
        <f t="shared" si="21"/>
        <v>0</v>
      </c>
    </row>
    <row r="33" spans="1:21" ht="20.100000000000001" customHeight="1" x14ac:dyDescent="0.3">
      <c r="A33" s="112" t="s">
        <v>389</v>
      </c>
      <c r="B33" s="114">
        <f t="shared" si="12"/>
        <v>0</v>
      </c>
      <c r="C33" s="114">
        <f t="shared" si="13"/>
        <v>-3152</v>
      </c>
      <c r="D33" s="114">
        <f t="shared" si="14"/>
        <v>556400</v>
      </c>
      <c r="E33" s="114">
        <f t="shared" si="15"/>
        <v>-710168</v>
      </c>
      <c r="F33" s="114">
        <f t="shared" si="16"/>
        <v>3620659</v>
      </c>
      <c r="G33" s="115">
        <f t="shared" si="17"/>
        <v>2910491</v>
      </c>
      <c r="I33" s="74">
        <f t="shared" si="18"/>
        <v>0</v>
      </c>
      <c r="J33" s="74">
        <f>SUMIFS('2추일입'!M$6:M$60,'2추일입'!$B$6:$B$60,'2추총괄표(실국)'!$A33)</f>
        <v>-3152</v>
      </c>
      <c r="K33" s="74">
        <f>SUMIFS('2추일입'!N$6:N$60,'2추일입'!$B$6:$B$60,'2추총괄표(실국)'!$A33)</f>
        <v>556400</v>
      </c>
      <c r="L33" s="74">
        <f>SUMIFS('2추일출'!M$6:M$294,'2추일출'!$B$6:$B$294,'2추총괄표(실국)'!$A33)</f>
        <v>-710168</v>
      </c>
      <c r="M33" s="74">
        <f>SUMIFS('2추일출'!N$6:N$294,'2추일출'!$B$6:$B$294,'2추총괄표(실국)'!$A33)</f>
        <v>3620659</v>
      </c>
      <c r="N33" s="74">
        <f t="shared" si="19"/>
        <v>2910491</v>
      </c>
      <c r="O33" s="118"/>
      <c r="P33" s="74">
        <f t="shared" si="20"/>
        <v>0</v>
      </c>
      <c r="Q33" s="74">
        <f>SUMIFS('2추특입'!M$6:M$50,'2추특입'!$B$6:$B$50,'2추총괄표(실국)'!$A33)</f>
        <v>0</v>
      </c>
      <c r="R33" s="74">
        <f>SUMIFS('2추특입'!N$6:N$50,'2추특입'!$B$6:$B$50,'2추총괄표(실국)'!$A33)</f>
        <v>0</v>
      </c>
      <c r="S33" s="74">
        <f>SUMIFS('2추특출'!M$6:M$40,'2추특출'!$B$6:$B$40,'2추총괄표(실국)'!$A33)</f>
        <v>0</v>
      </c>
      <c r="T33" s="74">
        <f>SUMIFS('2추특출'!N$6:N$40,'2추특출'!$B$6:$B$40,'2추총괄표(실국)'!$A33)</f>
        <v>0</v>
      </c>
      <c r="U33" s="74">
        <f t="shared" si="21"/>
        <v>0</v>
      </c>
    </row>
    <row r="34" spans="1:21" ht="20.100000000000001" customHeight="1" x14ac:dyDescent="0.3">
      <c r="A34" s="112" t="s">
        <v>493</v>
      </c>
      <c r="B34" s="114">
        <f t="shared" si="12"/>
        <v>0</v>
      </c>
      <c r="C34" s="114">
        <f t="shared" si="13"/>
        <v>0</v>
      </c>
      <c r="D34" s="114">
        <f t="shared" si="14"/>
        <v>0</v>
      </c>
      <c r="E34" s="114">
        <f t="shared" si="15"/>
        <v>-1400000</v>
      </c>
      <c r="F34" s="114">
        <f t="shared" si="16"/>
        <v>0</v>
      </c>
      <c r="G34" s="115">
        <f t="shared" si="17"/>
        <v>-1400000</v>
      </c>
      <c r="I34" s="74">
        <f t="shared" si="18"/>
        <v>0</v>
      </c>
      <c r="J34" s="74">
        <f>SUMIFS('2추일입'!M$6:M$60,'2추일입'!$B$6:$B$60,'2추총괄표(실국)'!$A34)</f>
        <v>0</v>
      </c>
      <c r="K34" s="74">
        <f>SUMIFS('2추일입'!N$6:N$60,'2추일입'!$B$6:$B$60,'2추총괄표(실국)'!$A34)</f>
        <v>0</v>
      </c>
      <c r="L34" s="74">
        <f>SUMIFS('2추일출'!M$6:M$294,'2추일출'!$B$6:$B$294,'2추총괄표(실국)'!$A34)</f>
        <v>-1400000</v>
      </c>
      <c r="M34" s="74">
        <f>SUMIFS('2추일출'!N$6:N$294,'2추일출'!$B$6:$B$294,'2추총괄표(실국)'!$A34)</f>
        <v>0</v>
      </c>
      <c r="N34" s="74">
        <f t="shared" si="19"/>
        <v>-1400000</v>
      </c>
      <c r="O34" s="118"/>
      <c r="P34" s="74">
        <f t="shared" si="20"/>
        <v>0</v>
      </c>
      <c r="Q34" s="74">
        <f>SUMIFS('2추특입'!M$6:M$50,'2추특입'!$B$6:$B$50,'2추총괄표(실국)'!$A34)</f>
        <v>0</v>
      </c>
      <c r="R34" s="74">
        <f>SUMIFS('2추특입'!N$6:N$50,'2추특입'!$B$6:$B$50,'2추총괄표(실국)'!$A34)</f>
        <v>0</v>
      </c>
      <c r="S34" s="74">
        <f>SUMIFS('2추특출'!M$6:M$40,'2추특출'!$B$6:$B$40,'2추총괄표(실국)'!$A34)</f>
        <v>0</v>
      </c>
      <c r="T34" s="74">
        <f>SUMIFS('2추특출'!N$6:N$40,'2추특출'!$B$6:$B$40,'2추총괄표(실국)'!$A34)</f>
        <v>0</v>
      </c>
      <c r="U34" s="74">
        <f t="shared" si="21"/>
        <v>0</v>
      </c>
    </row>
    <row r="35" spans="1:21" ht="20.100000000000001" customHeight="1" x14ac:dyDescent="0.3">
      <c r="A35" s="112" t="s">
        <v>509</v>
      </c>
      <c r="B35" s="114">
        <f t="shared" si="12"/>
        <v>0</v>
      </c>
      <c r="C35" s="114">
        <f t="shared" si="13"/>
        <v>0</v>
      </c>
      <c r="D35" s="114">
        <f t="shared" si="14"/>
        <v>0</v>
      </c>
      <c r="E35" s="114">
        <f t="shared" si="15"/>
        <v>-16500000</v>
      </c>
      <c r="F35" s="114">
        <f t="shared" si="16"/>
        <v>12200000</v>
      </c>
      <c r="G35" s="115">
        <f t="shared" si="17"/>
        <v>-4300000</v>
      </c>
      <c r="I35" s="74">
        <f t="shared" si="18"/>
        <v>0</v>
      </c>
      <c r="J35" s="74">
        <f>SUMIFS('2추일입'!M$6:M$60,'2추일입'!$B$6:$B$60,'2추총괄표(실국)'!$A35)</f>
        <v>0</v>
      </c>
      <c r="K35" s="74">
        <f>SUMIFS('2추일입'!N$6:N$60,'2추일입'!$B$6:$B$60,'2추총괄표(실국)'!$A35)</f>
        <v>0</v>
      </c>
      <c r="L35" s="74">
        <f>SUMIFS('2추일출'!M$6:M$294,'2추일출'!$B$6:$B$294,'2추총괄표(실국)'!$A35)</f>
        <v>-16500000</v>
      </c>
      <c r="M35" s="74">
        <f>SUMIFS('2추일출'!N$6:N$294,'2추일출'!$B$6:$B$294,'2추총괄표(실국)'!$A35)</f>
        <v>12200000</v>
      </c>
      <c r="N35" s="74">
        <f t="shared" si="19"/>
        <v>-4300000</v>
      </c>
      <c r="O35" s="118"/>
      <c r="P35" s="74">
        <f t="shared" si="20"/>
        <v>0</v>
      </c>
      <c r="Q35" s="74">
        <f>SUMIFS('2추특입'!M$6:M$50,'2추특입'!$B$6:$B$50,'2추총괄표(실국)'!$A35)</f>
        <v>0</v>
      </c>
      <c r="R35" s="74">
        <f>SUMIFS('2추특입'!N$6:N$50,'2추특입'!$B$6:$B$50,'2추총괄표(실국)'!$A35)</f>
        <v>0</v>
      </c>
      <c r="S35" s="74">
        <f>SUMIFS('2추특출'!M$6:M$40,'2추특출'!$B$6:$B$40,'2추총괄표(실국)'!$A35)</f>
        <v>0</v>
      </c>
      <c r="T35" s="74">
        <f>SUMIFS('2추특출'!N$6:N$40,'2추특출'!$B$6:$B$40,'2추총괄표(실국)'!$A35)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3" t="s">
        <v>522</v>
      </c>
      <c r="B36" s="116">
        <f t="shared" si="12"/>
        <v>0</v>
      </c>
      <c r="C36" s="116">
        <f t="shared" si="13"/>
        <v>0</v>
      </c>
      <c r="D36" s="116">
        <f t="shared" si="14"/>
        <v>0</v>
      </c>
      <c r="E36" s="116">
        <f t="shared" si="15"/>
        <v>0</v>
      </c>
      <c r="F36" s="116">
        <f t="shared" si="16"/>
        <v>800000</v>
      </c>
      <c r="G36" s="117">
        <f t="shared" si="17"/>
        <v>800000</v>
      </c>
      <c r="I36" s="74">
        <f t="shared" si="18"/>
        <v>0</v>
      </c>
      <c r="J36" s="74">
        <f>SUMIFS('2추일입'!M$6:M$60,'2추일입'!$B$6:$B$60,'2추총괄표(실국)'!$A36)</f>
        <v>0</v>
      </c>
      <c r="K36" s="74">
        <f>SUMIFS('2추일입'!N$6:N$60,'2추일입'!$B$6:$B$60,'2추총괄표(실국)'!$A36)</f>
        <v>0</v>
      </c>
      <c r="L36" s="74">
        <f>SUMIFS('2추일출'!M$6:M$294,'2추일출'!$B$6:$B$294,'2추총괄표(실국)'!$A36)</f>
        <v>0</v>
      </c>
      <c r="M36" s="74">
        <f>SUMIFS('2추일출'!N$6:N$294,'2추일출'!$B$6:$B$294,'2추총괄표(실국)'!$A36)</f>
        <v>800000</v>
      </c>
      <c r="N36" s="74">
        <f t="shared" si="19"/>
        <v>800000</v>
      </c>
      <c r="O36" s="118"/>
      <c r="P36" s="74">
        <f t="shared" si="20"/>
        <v>0</v>
      </c>
      <c r="Q36" s="74">
        <f>SUMIFS('2추특입'!M$6:M$50,'2추특입'!$B$6:$B$50,'2추총괄표(실국)'!$A36)</f>
        <v>0</v>
      </c>
      <c r="R36" s="74">
        <f>SUMIFS('2추특입'!N$6:N$50,'2추특입'!$B$6:$B$50,'2추총괄표(실국)'!$A36)</f>
        <v>0</v>
      </c>
      <c r="S36" s="74">
        <f>SUMIFS('2추특출'!M$6:M$40,'2추특출'!$B$6:$B$40,'2추총괄표(실국)'!$A36)</f>
        <v>0</v>
      </c>
      <c r="T36" s="74">
        <f>SUMIFS('2추특출'!N$6:N$40,'2추특출'!$B$6:$B$40,'2추총괄표(실국)'!$A36)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726</v>
      </c>
      <c r="B39" s="90"/>
      <c r="C39" s="90"/>
      <c r="D39" s="90"/>
      <c r="E39" s="90"/>
    </row>
    <row r="40" spans="1:21" ht="20.100000000000001" customHeight="1" x14ac:dyDescent="0.3">
      <c r="A40" s="126" t="s">
        <v>694</v>
      </c>
      <c r="B40" s="126" t="s">
        <v>723</v>
      </c>
      <c r="C40" s="126" t="s">
        <v>724</v>
      </c>
      <c r="D40" s="126" t="s">
        <v>725</v>
      </c>
      <c r="E40" s="126" t="s">
        <v>730</v>
      </c>
    </row>
    <row r="41" spans="1:21" ht="20.100000000000001" customHeight="1" x14ac:dyDescent="0.3">
      <c r="A41" s="92" t="s">
        <v>699</v>
      </c>
      <c r="B41" s="124">
        <f>SUM(B42:B43)</f>
        <v>19824877</v>
      </c>
      <c r="C41" s="124">
        <f t="shared" ref="C41" si="22">SUM(C42:C43)</f>
        <v>19824877</v>
      </c>
      <c r="D41" s="124">
        <f>B41-C41</f>
        <v>0</v>
      </c>
      <c r="E41" s="84"/>
    </row>
    <row r="42" spans="1:21" ht="20.100000000000001" customHeight="1" x14ac:dyDescent="0.3">
      <c r="A42" s="73" t="s">
        <v>712</v>
      </c>
      <c r="B42" s="74">
        <f>SUM(J6:K6)</f>
        <v>19824877</v>
      </c>
      <c r="C42" s="74">
        <f>SUM(L6:M6)</f>
        <v>19824877</v>
      </c>
      <c r="D42" s="74">
        <f t="shared" ref="D42:D43" si="23">B42-C42</f>
        <v>0</v>
      </c>
      <c r="E42" s="231" t="s">
        <v>729</v>
      </c>
    </row>
    <row r="43" spans="1:21" ht="20.100000000000001" customHeight="1" x14ac:dyDescent="0.3">
      <c r="A43" s="73" t="s">
        <v>727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32"/>
    </row>
    <row r="45" spans="1:21" ht="20.100000000000001" customHeight="1" x14ac:dyDescent="0.3">
      <c r="A45" s="82" t="s">
        <v>752</v>
      </c>
    </row>
    <row r="46" spans="1:21" ht="20.100000000000001" customHeight="1" x14ac:dyDescent="0.3">
      <c r="A46" s="126" t="s">
        <v>753</v>
      </c>
      <c r="B46" s="126" t="s">
        <v>718</v>
      </c>
      <c r="C46" s="126" t="s">
        <v>720</v>
      </c>
      <c r="D46" s="126" t="s">
        <v>712</v>
      </c>
      <c r="E46" s="126" t="s">
        <v>716</v>
      </c>
      <c r="F46" s="126" t="s">
        <v>717</v>
      </c>
    </row>
    <row r="47" spans="1:21" ht="20.100000000000001" customHeight="1" x14ac:dyDescent="0.3">
      <c r="A47" s="92" t="s">
        <v>751</v>
      </c>
      <c r="B47" s="125">
        <f>SUM(C47:F47)</f>
        <v>0</v>
      </c>
      <c r="C47" s="125">
        <f>SUM(C48:C77)</f>
        <v>0</v>
      </c>
      <c r="D47" s="125">
        <f t="shared" ref="D47:F47" si="24">SUM(D48:D77)</f>
        <v>0</v>
      </c>
      <c r="E47" s="125">
        <f t="shared" si="24"/>
        <v>0</v>
      </c>
      <c r="F47" s="125">
        <f t="shared" si="24"/>
        <v>0</v>
      </c>
    </row>
    <row r="48" spans="1:21" ht="20.100000000000001" customHeight="1" x14ac:dyDescent="0.3">
      <c r="A48" s="75" t="s">
        <v>50</v>
      </c>
      <c r="B48" s="107">
        <f>SUM(D48:F48)</f>
        <v>0</v>
      </c>
      <c r="C48" s="107">
        <f>D48+E48</f>
        <v>0</v>
      </c>
      <c r="D48" s="107"/>
      <c r="E48" s="107"/>
      <c r="F48" s="107"/>
    </row>
    <row r="49" spans="1:6" ht="20.100000000000001" customHeight="1" x14ac:dyDescent="0.3">
      <c r="A49" s="75" t="s">
        <v>63</v>
      </c>
      <c r="B49" s="107">
        <f t="shared" ref="B49:B77" si="25">SUM(D49:F49)</f>
        <v>0</v>
      </c>
      <c r="C49" s="107">
        <f t="shared" ref="C49:C77" si="26">D49+E49</f>
        <v>0</v>
      </c>
      <c r="D49" s="107"/>
      <c r="E49" s="107"/>
      <c r="F49" s="107"/>
    </row>
    <row r="50" spans="1:6" ht="20.100000000000001" customHeight="1" x14ac:dyDescent="0.3">
      <c r="A50" s="75" t="s">
        <v>539</v>
      </c>
      <c r="B50" s="107">
        <f t="shared" si="25"/>
        <v>0</v>
      </c>
      <c r="C50" s="107">
        <f t="shared" si="26"/>
        <v>0</v>
      </c>
      <c r="D50" s="107"/>
      <c r="E50" s="107"/>
      <c r="F50" s="107"/>
    </row>
    <row r="51" spans="1:6" ht="20.100000000000001" customHeight="1" x14ac:dyDescent="0.3">
      <c r="A51" s="75" t="s">
        <v>167</v>
      </c>
      <c r="B51" s="107">
        <f t="shared" si="25"/>
        <v>0</v>
      </c>
      <c r="C51" s="107">
        <f t="shared" si="26"/>
        <v>0</v>
      </c>
      <c r="D51" s="107"/>
      <c r="E51" s="107"/>
      <c r="F51" s="107"/>
    </row>
    <row r="52" spans="1:6" ht="20.100000000000001" customHeight="1" x14ac:dyDescent="0.3">
      <c r="A52" s="75" t="s">
        <v>632</v>
      </c>
      <c r="B52" s="107">
        <f t="shared" si="25"/>
        <v>0</v>
      </c>
      <c r="C52" s="107">
        <f t="shared" si="26"/>
        <v>0</v>
      </c>
      <c r="D52" s="107"/>
      <c r="E52" s="107"/>
      <c r="F52" s="107"/>
    </row>
    <row r="53" spans="1:6" ht="20.100000000000001" customHeight="1" x14ac:dyDescent="0.3">
      <c r="A53" s="75" t="s">
        <v>344</v>
      </c>
      <c r="B53" s="107">
        <f t="shared" si="25"/>
        <v>0</v>
      </c>
      <c r="C53" s="107">
        <f t="shared" si="26"/>
        <v>0</v>
      </c>
      <c r="D53" s="107"/>
      <c r="E53" s="107"/>
      <c r="F53" s="107"/>
    </row>
    <row r="54" spans="1:6" ht="20.100000000000001" customHeight="1" x14ac:dyDescent="0.3">
      <c r="A54" s="75" t="s">
        <v>367</v>
      </c>
      <c r="B54" s="107">
        <f t="shared" si="25"/>
        <v>0</v>
      </c>
      <c r="C54" s="107">
        <f t="shared" si="26"/>
        <v>0</v>
      </c>
      <c r="D54" s="107"/>
      <c r="E54" s="107"/>
      <c r="F54" s="107"/>
    </row>
    <row r="55" spans="1:6" ht="20.100000000000001" customHeight="1" x14ac:dyDescent="0.3">
      <c r="A55" s="75" t="s">
        <v>483</v>
      </c>
      <c r="B55" s="107">
        <f t="shared" si="25"/>
        <v>0</v>
      </c>
      <c r="C55" s="107">
        <f t="shared" si="26"/>
        <v>0</v>
      </c>
      <c r="D55" s="107"/>
      <c r="E55" s="107"/>
      <c r="F55" s="107"/>
    </row>
    <row r="56" spans="1:6" ht="20.100000000000001" customHeight="1" x14ac:dyDescent="0.3">
      <c r="A56" s="75" t="s">
        <v>39</v>
      </c>
      <c r="B56" s="107">
        <f t="shared" si="25"/>
        <v>0</v>
      </c>
      <c r="C56" s="107">
        <f t="shared" si="26"/>
        <v>0</v>
      </c>
      <c r="D56" s="107"/>
      <c r="E56" s="107"/>
      <c r="F56" s="107"/>
    </row>
    <row r="57" spans="1:6" ht="20.100000000000001" customHeight="1" x14ac:dyDescent="0.3">
      <c r="A57" s="75" t="s">
        <v>42</v>
      </c>
      <c r="B57" s="107">
        <f t="shared" si="25"/>
        <v>0</v>
      </c>
      <c r="C57" s="107">
        <f t="shared" si="26"/>
        <v>0</v>
      </c>
      <c r="D57" s="107"/>
      <c r="E57" s="107"/>
      <c r="F57" s="107"/>
    </row>
    <row r="58" spans="1:6" ht="20.100000000000001" customHeight="1" x14ac:dyDescent="0.3">
      <c r="A58" s="75" t="s">
        <v>440</v>
      </c>
      <c r="B58" s="107">
        <f t="shared" si="25"/>
        <v>0</v>
      </c>
      <c r="C58" s="107">
        <f t="shared" si="26"/>
        <v>0</v>
      </c>
      <c r="D58" s="107"/>
      <c r="E58" s="107"/>
      <c r="F58" s="107"/>
    </row>
    <row r="59" spans="1:6" ht="20.100000000000001" customHeight="1" x14ac:dyDescent="0.3">
      <c r="A59" s="75" t="s">
        <v>570</v>
      </c>
      <c r="B59" s="107">
        <f t="shared" si="25"/>
        <v>0</v>
      </c>
      <c r="C59" s="107">
        <f t="shared" si="26"/>
        <v>0</v>
      </c>
      <c r="D59" s="107"/>
      <c r="E59" s="107"/>
      <c r="F59" s="107"/>
    </row>
    <row r="60" spans="1:6" ht="20.100000000000001" customHeight="1" x14ac:dyDescent="0.3">
      <c r="A60" s="75" t="s">
        <v>604</v>
      </c>
      <c r="B60" s="107">
        <f t="shared" si="25"/>
        <v>0</v>
      </c>
      <c r="C60" s="107">
        <f t="shared" si="26"/>
        <v>0</v>
      </c>
      <c r="D60" s="107"/>
      <c r="E60" s="107"/>
      <c r="F60" s="107"/>
    </row>
    <row r="61" spans="1:6" ht="20.100000000000001" customHeight="1" x14ac:dyDescent="0.3">
      <c r="A61" s="75" t="s">
        <v>109</v>
      </c>
      <c r="B61" s="107">
        <f t="shared" si="25"/>
        <v>0</v>
      </c>
      <c r="C61" s="107">
        <f t="shared" si="26"/>
        <v>0</v>
      </c>
      <c r="D61" s="107"/>
      <c r="E61" s="107"/>
      <c r="F61" s="107"/>
    </row>
    <row r="62" spans="1:6" ht="20.100000000000001" customHeight="1" x14ac:dyDescent="0.3">
      <c r="A62" s="75" t="s">
        <v>33</v>
      </c>
      <c r="B62" s="107">
        <f t="shared" si="25"/>
        <v>0</v>
      </c>
      <c r="C62" s="107">
        <f t="shared" si="26"/>
        <v>0</v>
      </c>
      <c r="D62" s="107"/>
      <c r="E62" s="107"/>
      <c r="F62" s="107"/>
    </row>
    <row r="63" spans="1:6" ht="20.100000000000001" customHeight="1" x14ac:dyDescent="0.3">
      <c r="A63" s="75" t="s">
        <v>26</v>
      </c>
      <c r="B63" s="107">
        <f t="shared" si="25"/>
        <v>0</v>
      </c>
      <c r="C63" s="107">
        <f t="shared" si="26"/>
        <v>0</v>
      </c>
      <c r="D63" s="107"/>
      <c r="E63" s="107"/>
      <c r="F63" s="107"/>
    </row>
    <row r="64" spans="1:6" ht="20.100000000000001" customHeight="1" x14ac:dyDescent="0.3">
      <c r="A64" s="75" t="s">
        <v>192</v>
      </c>
      <c r="B64" s="107">
        <f t="shared" si="25"/>
        <v>0</v>
      </c>
      <c r="C64" s="107">
        <f t="shared" si="26"/>
        <v>0</v>
      </c>
      <c r="D64" s="107"/>
      <c r="E64" s="107"/>
      <c r="F64" s="107"/>
    </row>
    <row r="65" spans="1:6" ht="20.100000000000001" customHeight="1" x14ac:dyDescent="0.3">
      <c r="A65" s="75" t="s">
        <v>10</v>
      </c>
      <c r="B65" s="107">
        <f t="shared" si="25"/>
        <v>0</v>
      </c>
      <c r="C65" s="107">
        <f t="shared" si="26"/>
        <v>0</v>
      </c>
      <c r="D65" s="107"/>
      <c r="E65" s="107"/>
      <c r="F65" s="107"/>
    </row>
    <row r="66" spans="1:6" ht="20.100000000000001" customHeight="1" x14ac:dyDescent="0.3">
      <c r="A66" s="75" t="s">
        <v>408</v>
      </c>
      <c r="B66" s="107">
        <f t="shared" si="25"/>
        <v>0</v>
      </c>
      <c r="C66" s="107">
        <f t="shared" si="26"/>
        <v>0</v>
      </c>
      <c r="D66" s="107"/>
      <c r="E66" s="107"/>
      <c r="F66" s="107"/>
    </row>
    <row r="67" spans="1:6" ht="20.100000000000001" customHeight="1" x14ac:dyDescent="0.3">
      <c r="A67" s="75" t="s">
        <v>339</v>
      </c>
      <c r="B67" s="107">
        <f t="shared" si="25"/>
        <v>0</v>
      </c>
      <c r="C67" s="107">
        <f t="shared" si="26"/>
        <v>0</v>
      </c>
      <c r="D67" s="107"/>
      <c r="E67" s="107"/>
      <c r="F67" s="107"/>
    </row>
    <row r="68" spans="1:6" ht="20.100000000000001" customHeight="1" x14ac:dyDescent="0.3">
      <c r="A68" s="75" t="s">
        <v>469</v>
      </c>
      <c r="B68" s="107">
        <f t="shared" si="25"/>
        <v>0</v>
      </c>
      <c r="C68" s="107">
        <f t="shared" si="26"/>
        <v>0</v>
      </c>
      <c r="D68" s="107"/>
      <c r="E68" s="107"/>
      <c r="F68" s="107"/>
    </row>
    <row r="69" spans="1:6" ht="20.100000000000001" customHeight="1" x14ac:dyDescent="0.3">
      <c r="A69" s="75" t="s">
        <v>154</v>
      </c>
      <c r="B69" s="107">
        <f t="shared" si="25"/>
        <v>0</v>
      </c>
      <c r="C69" s="107">
        <f t="shared" si="26"/>
        <v>0</v>
      </c>
      <c r="D69" s="107"/>
      <c r="E69" s="107"/>
      <c r="F69" s="107"/>
    </row>
    <row r="70" spans="1:6" ht="20.100000000000001" customHeight="1" x14ac:dyDescent="0.3">
      <c r="A70" s="75" t="s">
        <v>599</v>
      </c>
      <c r="B70" s="107">
        <f t="shared" si="25"/>
        <v>0</v>
      </c>
      <c r="C70" s="107">
        <f t="shared" si="26"/>
        <v>0</v>
      </c>
      <c r="D70" s="107"/>
      <c r="E70" s="107"/>
      <c r="F70" s="107"/>
    </row>
    <row r="71" spans="1:6" ht="20.100000000000001" customHeight="1" x14ac:dyDescent="0.3">
      <c r="A71" s="75" t="s">
        <v>462</v>
      </c>
      <c r="B71" s="107">
        <f t="shared" si="25"/>
        <v>0</v>
      </c>
      <c r="C71" s="107">
        <f t="shared" si="26"/>
        <v>0</v>
      </c>
      <c r="D71" s="107"/>
      <c r="E71" s="107"/>
      <c r="F71" s="107"/>
    </row>
    <row r="72" spans="1:6" ht="20.100000000000001" customHeight="1" x14ac:dyDescent="0.3">
      <c r="A72" s="75" t="s">
        <v>94</v>
      </c>
      <c r="B72" s="107">
        <f t="shared" si="25"/>
        <v>0</v>
      </c>
      <c r="C72" s="107">
        <f t="shared" si="26"/>
        <v>0</v>
      </c>
      <c r="D72" s="107"/>
      <c r="E72" s="107"/>
      <c r="F72" s="107"/>
    </row>
    <row r="73" spans="1:6" ht="20.100000000000001" customHeight="1" x14ac:dyDescent="0.3">
      <c r="A73" s="75" t="s">
        <v>114</v>
      </c>
      <c r="B73" s="107">
        <f t="shared" si="25"/>
        <v>0</v>
      </c>
      <c r="C73" s="107">
        <f t="shared" si="26"/>
        <v>0</v>
      </c>
      <c r="D73" s="107"/>
      <c r="E73" s="107"/>
      <c r="F73" s="107"/>
    </row>
    <row r="74" spans="1:6" ht="20.100000000000001" customHeight="1" x14ac:dyDescent="0.3">
      <c r="A74" s="75" t="s">
        <v>389</v>
      </c>
      <c r="B74" s="107">
        <f t="shared" si="25"/>
        <v>0</v>
      </c>
      <c r="C74" s="107">
        <f t="shared" si="26"/>
        <v>0</v>
      </c>
      <c r="D74" s="107"/>
      <c r="E74" s="107"/>
      <c r="F74" s="107"/>
    </row>
    <row r="75" spans="1:6" ht="20.100000000000001" customHeight="1" x14ac:dyDescent="0.3">
      <c r="A75" s="75" t="s">
        <v>493</v>
      </c>
      <c r="B75" s="107">
        <f t="shared" si="25"/>
        <v>0</v>
      </c>
      <c r="C75" s="107">
        <f t="shared" si="26"/>
        <v>0</v>
      </c>
      <c r="D75" s="107"/>
      <c r="E75" s="107"/>
      <c r="F75" s="107"/>
    </row>
    <row r="76" spans="1:6" ht="20.100000000000001" customHeight="1" x14ac:dyDescent="0.3">
      <c r="A76" s="75" t="s">
        <v>509</v>
      </c>
      <c r="B76" s="107">
        <f t="shared" si="25"/>
        <v>0</v>
      </c>
      <c r="C76" s="107">
        <f t="shared" si="26"/>
        <v>0</v>
      </c>
      <c r="D76" s="107"/>
      <c r="E76" s="107"/>
      <c r="F76" s="107"/>
    </row>
    <row r="77" spans="1:6" ht="20.100000000000001" customHeight="1" x14ac:dyDescent="0.3">
      <c r="A77" s="75" t="s">
        <v>522</v>
      </c>
      <c r="B77" s="107">
        <f t="shared" si="25"/>
        <v>0</v>
      </c>
      <c r="C77" s="107">
        <f t="shared" si="26"/>
        <v>0</v>
      </c>
      <c r="D77" s="107"/>
      <c r="E77" s="107"/>
      <c r="F77" s="107"/>
    </row>
  </sheetData>
  <mergeCells count="14">
    <mergeCell ref="A4:A5"/>
    <mergeCell ref="B4:B5"/>
    <mergeCell ref="C4:D4"/>
    <mergeCell ref="E4:F4"/>
    <mergeCell ref="G4:G5"/>
    <mergeCell ref="U4:U5"/>
    <mergeCell ref="E42:E43"/>
    <mergeCell ref="J4:K4"/>
    <mergeCell ref="L4:M4"/>
    <mergeCell ref="N4:N5"/>
    <mergeCell ref="P4:P5"/>
    <mergeCell ref="Q4:R4"/>
    <mergeCell ref="S4:T4"/>
    <mergeCell ref="I4:I5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6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N7" sqref="N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763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AA1" s="1">
        <f>SUMIFS(AA7:AA73,F7:F73,"*잔액*")</f>
        <v>-2993</v>
      </c>
    </row>
    <row r="2" spans="1:43" ht="20.25" customHeight="1" x14ac:dyDescent="0.3">
      <c r="A2" s="19" t="s">
        <v>689</v>
      </c>
      <c r="V2" s="56" t="s">
        <v>685</v>
      </c>
      <c r="AA2" s="56" t="s">
        <v>685</v>
      </c>
    </row>
    <row r="3" spans="1:43" ht="20.25" customHeight="1" x14ac:dyDescent="0.3">
      <c r="J3" s="49">
        <f>COUNTA(J7:J60)</f>
        <v>6</v>
      </c>
      <c r="K3" s="49">
        <f>COUNTA(K7:K60)</f>
        <v>26</v>
      </c>
      <c r="M3" s="49">
        <f>COUNTA(M7:M60)</f>
        <v>9</v>
      </c>
      <c r="N3" s="49">
        <f>COUNTA(N7:N60)</f>
        <v>33</v>
      </c>
      <c r="Q3" s="20" t="s">
        <v>656</v>
      </c>
      <c r="V3" s="63" t="str">
        <f>IF(V6='2추일출'!V6,"OK","@@")</f>
        <v>@@</v>
      </c>
      <c r="W3" s="64"/>
      <c r="X3" s="63" t="str">
        <f>IF(COUNTIF(X6:X60,"검토")&gt;0,"@@","OK")</f>
        <v>OK</v>
      </c>
      <c r="AA3" s="63" t="str">
        <f>IF((AA6-AA1)='2추일출'!AA6,"OK","@@")</f>
        <v>OK</v>
      </c>
      <c r="AC3" s="63" t="str">
        <f>IF(COUNTIF(AC6:AC60,"검토")&gt;0,"@@","OK")</f>
        <v>OK</v>
      </c>
    </row>
    <row r="4" spans="1:43" s="18" customFormat="1" ht="30" customHeight="1" x14ac:dyDescent="0.3">
      <c r="A4" s="243" t="s">
        <v>644</v>
      </c>
      <c r="B4" s="245" t="s">
        <v>645</v>
      </c>
      <c r="C4" s="247" t="s">
        <v>646</v>
      </c>
      <c r="D4" s="246" t="s">
        <v>655</v>
      </c>
      <c r="E4" s="244" t="s">
        <v>647</v>
      </c>
      <c r="F4" s="245" t="s">
        <v>648</v>
      </c>
      <c r="G4" s="244" t="s">
        <v>764</v>
      </c>
      <c r="H4" s="246" t="s">
        <v>652</v>
      </c>
      <c r="I4" s="244" t="s">
        <v>765</v>
      </c>
      <c r="J4" s="248" t="s">
        <v>766</v>
      </c>
      <c r="K4" s="249"/>
      <c r="L4" s="250" t="s">
        <v>651</v>
      </c>
      <c r="M4" s="252" t="s">
        <v>767</v>
      </c>
      <c r="N4" s="253"/>
      <c r="O4" s="241" t="s">
        <v>657</v>
      </c>
      <c r="P4" s="246" t="s">
        <v>654</v>
      </c>
      <c r="Q4" s="255" t="s">
        <v>653</v>
      </c>
      <c r="S4" s="256" t="s">
        <v>658</v>
      </c>
      <c r="U4" s="257" t="s">
        <v>659</v>
      </c>
      <c r="V4" s="258" t="s">
        <v>660</v>
      </c>
      <c r="W4" s="258"/>
      <c r="X4" s="258"/>
      <c r="Z4" s="257" t="s">
        <v>659</v>
      </c>
      <c r="AA4" s="254" t="s">
        <v>664</v>
      </c>
      <c r="AB4" s="254"/>
      <c r="AC4" s="254"/>
      <c r="AE4" s="257" t="s">
        <v>665</v>
      </c>
      <c r="AG4" s="256" t="s">
        <v>666</v>
      </c>
      <c r="AI4" s="256" t="s">
        <v>667</v>
      </c>
      <c r="AK4" s="258" t="s">
        <v>668</v>
      </c>
      <c r="AL4" s="258"/>
      <c r="AM4" s="258"/>
      <c r="AO4" s="254" t="s">
        <v>671</v>
      </c>
      <c r="AP4" s="254"/>
      <c r="AQ4" s="254"/>
    </row>
    <row r="5" spans="1:43" s="18" customFormat="1" ht="18" customHeight="1" x14ac:dyDescent="0.3">
      <c r="A5" s="243"/>
      <c r="B5" s="245"/>
      <c r="C5" s="247"/>
      <c r="D5" s="245"/>
      <c r="E5" s="244"/>
      <c r="F5" s="245"/>
      <c r="G5" s="244"/>
      <c r="H5" s="245"/>
      <c r="I5" s="247"/>
      <c r="J5" s="21" t="s">
        <v>649</v>
      </c>
      <c r="K5" s="40" t="s">
        <v>650</v>
      </c>
      <c r="L5" s="251"/>
      <c r="M5" s="22" t="s">
        <v>649</v>
      </c>
      <c r="N5" s="39" t="s">
        <v>650</v>
      </c>
      <c r="O5" s="242"/>
      <c r="P5" s="246"/>
      <c r="Q5" s="255"/>
      <c r="S5" s="257"/>
      <c r="U5" s="257"/>
      <c r="V5" s="67" t="s">
        <v>661</v>
      </c>
      <c r="W5" s="67" t="s">
        <v>662</v>
      </c>
      <c r="X5" s="67" t="s">
        <v>663</v>
      </c>
      <c r="Z5" s="257"/>
      <c r="AA5" s="67" t="s">
        <v>661</v>
      </c>
      <c r="AB5" s="67" t="s">
        <v>662</v>
      </c>
      <c r="AC5" s="67" t="s">
        <v>663</v>
      </c>
      <c r="AE5" s="257"/>
      <c r="AG5" s="257"/>
      <c r="AI5" s="257"/>
      <c r="AK5" s="67" t="s">
        <v>669</v>
      </c>
      <c r="AL5" s="67" t="s">
        <v>670</v>
      </c>
      <c r="AM5" s="67" t="s">
        <v>663</v>
      </c>
      <c r="AO5" s="67" t="s">
        <v>669</v>
      </c>
      <c r="AP5" s="67" t="s">
        <v>670</v>
      </c>
      <c r="AQ5" s="67" t="s">
        <v>663</v>
      </c>
    </row>
    <row r="6" spans="1:43" ht="50.1" customHeight="1" x14ac:dyDescent="0.3">
      <c r="A6" s="48" t="s">
        <v>672</v>
      </c>
      <c r="B6" s="23"/>
      <c r="C6" s="23"/>
      <c r="D6" s="23"/>
      <c r="E6" s="23"/>
      <c r="F6" s="23"/>
      <c r="G6" s="41">
        <f t="shared" ref="G6:O6" si="0">SUBTOTAL(9,G7:G60)</f>
        <v>517643787</v>
      </c>
      <c r="H6" s="41">
        <f t="shared" si="0"/>
        <v>630839567</v>
      </c>
      <c r="I6" s="41">
        <f t="shared" si="0"/>
        <v>-113195780</v>
      </c>
      <c r="J6" s="41">
        <f t="shared" si="0"/>
        <v>-10349503</v>
      </c>
      <c r="K6" s="41">
        <f t="shared" si="0"/>
        <v>30694580</v>
      </c>
      <c r="L6" s="41">
        <f t="shared" si="0"/>
        <v>660451310</v>
      </c>
      <c r="M6" s="41">
        <f t="shared" si="0"/>
        <v>-11857170</v>
      </c>
      <c r="N6" s="41">
        <f t="shared" si="0"/>
        <v>31682047</v>
      </c>
      <c r="O6" s="41">
        <f t="shared" si="0"/>
        <v>659931110</v>
      </c>
      <c r="P6" s="26"/>
      <c r="Q6" s="135"/>
      <c r="S6" s="26"/>
      <c r="U6" s="26"/>
      <c r="V6" s="41">
        <f>SUBTOTAL(9,V7:V60)</f>
        <v>20345077</v>
      </c>
      <c r="W6" s="41">
        <f>SUBTOTAL(9,W7:W60)</f>
        <v>0</v>
      </c>
      <c r="X6" s="68" t="str">
        <f t="shared" ref="X6" si="1">IF(SUM($J6:$K6)=SUM($V6:$W6),"OK","검토")</f>
        <v>OK</v>
      </c>
      <c r="Z6" s="26"/>
      <c r="AA6" s="41">
        <f>SUBTOTAL(9,AA7:AA60)</f>
        <v>19824877</v>
      </c>
      <c r="AB6" s="41">
        <f>SUBTOTAL(9,AB7:AB60)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SUBTOTAL(9,AK7:AK60)</f>
        <v>20348091</v>
      </c>
      <c r="AL6" s="41">
        <f>SUBTOTAL(9,AL7:AL60)</f>
        <v>60</v>
      </c>
      <c r="AM6" s="48" t="str">
        <f>IF(COUNTIF(AM7:AM60,"@@")&gt;0,"@@","OK")</f>
        <v>@@</v>
      </c>
      <c r="AO6" s="41">
        <f>SUBTOTAL(9,AO7:AO60)</f>
        <v>19827870</v>
      </c>
      <c r="AP6" s="41">
        <f>SUBTOTAL(9,AP7:AP60)</f>
        <v>60</v>
      </c>
      <c r="AQ6" s="48" t="str">
        <f>IF(COUNTIF(AQ7:AQ60,"@@")&gt;0,"@@","OK")</f>
        <v>@@</v>
      </c>
    </row>
    <row r="7" spans="1:43" ht="50.1" customHeight="1" x14ac:dyDescent="0.3">
      <c r="A7" s="33" t="str">
        <f>IFERROR(VLOOKUP($C7,구분표!$A$2:$C$300,2,FALSE),"")</f>
        <v>경제과학기술위원회</v>
      </c>
      <c r="B7" s="24" t="str">
        <f>IFERROR(VLOOKUP($C7,구분표!$A$2:$C$300,3,FALSE),"")</f>
        <v>경제실</v>
      </c>
      <c r="C7" s="31" t="s">
        <v>132</v>
      </c>
      <c r="D7" s="35" t="s">
        <v>771</v>
      </c>
      <c r="E7" s="36"/>
      <c r="F7" s="35" t="s">
        <v>772</v>
      </c>
      <c r="G7" s="44"/>
      <c r="H7" s="42"/>
      <c r="I7" s="54">
        <f>IF(D7="","",G7-H7)</f>
        <v>0</v>
      </c>
      <c r="J7" s="42"/>
      <c r="K7" s="45">
        <v>600000</v>
      </c>
      <c r="L7" s="50">
        <f>IF(G7=0,H7+J7+K7,G7+J7+K7)</f>
        <v>600000</v>
      </c>
      <c r="M7" s="42"/>
      <c r="N7" s="45">
        <v>600000</v>
      </c>
      <c r="O7" s="52">
        <f>IF(G7=0,H7+M7+N7,G7+M7+N7)</f>
        <v>600000</v>
      </c>
      <c r="P7" s="27" t="str">
        <f>IF(AND((L7=0),(O7&gt;0)),"O",IF(AND((J7&lt;0),(L7-O7&lt;0)),"O","X"))</f>
        <v>X</v>
      </c>
      <c r="Q7" s="133" t="s">
        <v>807</v>
      </c>
      <c r="S7" s="27"/>
      <c r="U7" s="27"/>
      <c r="V7" s="42">
        <f>IF($U7&lt;&gt;"도비",IF($S7="국도비","직접입력",SUM($J7:$K7)),)</f>
        <v>600000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600000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IF(AG7="","",IF(U7="도비","세입없음",CONCATENATE(AG7,"-",COUNTIF($AG$7:AG7,AG7))))</f>
        <v>0307-1</v>
      </c>
      <c r="AG7" s="27" t="str">
        <f t="array" ref="AG7">IF(C7="","",INDEX(구분표!$I$2:$I$300, MATCH(1,(구분표!$E$2:$E$300='2추일입'!B7)*(구분표!$F$2:$F$300='2추일입'!C7)*(구분표!$G$2:$G$300='2추일입'!A7),0)))</f>
        <v>0307</v>
      </c>
      <c r="AI7" s="27"/>
      <c r="AK7" s="42">
        <f>IF(AE7="",0,SUMIFS('2추일출'!$V$6:$V$294,'2추일출'!$AE$6:$AE$294,'2추일입'!$AE7))</f>
        <v>600000</v>
      </c>
      <c r="AL7" s="42">
        <f>IF(AE7="","",COUNTIFS('2추일출'!$AE$6:$AE$294,'2추일입'!AE7))</f>
        <v>1</v>
      </c>
      <c r="AM7" s="27" t="str">
        <f>IF(V7=AK7,"OK","@@")</f>
        <v>OK</v>
      </c>
      <c r="AO7" s="42">
        <f>IF(AE7="",0,SUMIFS('2추일출'!$AA$6:$AA$294,'2추일출'!$AE$6:$AE$294,'2추일입'!$AE7))</f>
        <v>600000</v>
      </c>
      <c r="AP7" s="42">
        <f>IF(AE7="","",COUNTIFS('2추일출'!$AE$6:$AE$294,AE7))</f>
        <v>1</v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>농정해양위원회</v>
      </c>
      <c r="B8" s="24" t="str">
        <f>IFERROR(VLOOKUP($C8,구분표!$A$2:$C$300,3,FALSE),"")</f>
        <v>농정해양국</v>
      </c>
      <c r="C8" s="31" t="s">
        <v>376</v>
      </c>
      <c r="D8" s="35" t="s">
        <v>771</v>
      </c>
      <c r="E8" s="36" t="s">
        <v>771</v>
      </c>
      <c r="F8" s="35" t="s">
        <v>773</v>
      </c>
      <c r="G8" s="44"/>
      <c r="H8" s="42">
        <v>240000</v>
      </c>
      <c r="I8" s="54">
        <f t="shared" ref="I8:I49" si="3">IF(D8="","",G8-H8)</f>
        <v>-240000</v>
      </c>
      <c r="J8" s="42"/>
      <c r="K8" s="45">
        <v>5752000</v>
      </c>
      <c r="L8" s="50">
        <f t="shared" ref="L8:L49" si="4">IF(G8=0,H8+J8+K8,G8+J8+K8)</f>
        <v>5992000</v>
      </c>
      <c r="M8" s="42"/>
      <c r="N8" s="45">
        <v>5752000</v>
      </c>
      <c r="O8" s="52">
        <f t="shared" ref="O8:O49" si="5">IF(G8=0,H8+M8+N8,G8+M8+N8)</f>
        <v>5992000</v>
      </c>
      <c r="P8" s="27" t="str">
        <f t="shared" ref="P8:P49" si="6">IF(AND((L8=0),(O8&gt;0)),"O",IF(AND((J8&lt;0),(L8-O8&lt;0)),"O","X"))</f>
        <v>X</v>
      </c>
      <c r="Q8" s="133" t="s">
        <v>808</v>
      </c>
      <c r="S8" s="27"/>
      <c r="U8" s="27"/>
      <c r="V8" s="42">
        <f t="shared" ref="V8:V49" si="7">IF($U8&lt;&gt;"도비",IF($S8="국도비","직접입력",SUM($J8:$K8)),)</f>
        <v>5752000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5752000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IF(AG8="","",IF(U8="도비","세입없음",CONCATENATE(AG8,"-",COUNTIF($AG$7:AG8,AG8))))</f>
        <v>0604-1</v>
      </c>
      <c r="AG8" s="27" t="str">
        <f t="array" ref="AG8">IF(C8="","",INDEX(구분표!$I$2:$I$300, MATCH(1,(구분표!$E$2:$E$300='2추일입'!B8)*(구분표!$F$2:$F$300='2추일입'!C8)*(구분표!$G$2:$G$300='2추일입'!A8),0)))</f>
        <v>0604</v>
      </c>
      <c r="AI8" s="27"/>
      <c r="AK8" s="42">
        <f>IF(AE8="",0,SUMIFS('2추일출'!$V$6:$V$294,'2추일출'!$AE$6:$AE$294,'2추일입'!$AE8))</f>
        <v>5752000</v>
      </c>
      <c r="AL8" s="42">
        <f>IF(AE8="","",COUNTIFS('2추일출'!$AE$6:$AE$294,'2추일입'!AE8))</f>
        <v>1</v>
      </c>
      <c r="AM8" s="27" t="str">
        <f t="shared" ref="AM8:AM49" si="13">IF(V8=AK8,"OK","@@")</f>
        <v>OK</v>
      </c>
      <c r="AO8" s="42">
        <f>IF(AE8="",0,SUMIFS('2추일출'!$AA$6:$AA$294,'2추일출'!$AE$6:$AE$294,'2추일입'!$AE8))</f>
        <v>5752000</v>
      </c>
      <c r="AP8" s="42">
        <f>IF(AE8="","",COUNTIFS('2추일출'!$AE$6:$AE$294,AE8))</f>
        <v>1</v>
      </c>
      <c r="AQ8" s="27" t="str">
        <f t="shared" ref="AQ8:AQ49" si="14">IF(AA8=AO8,"OK","@@")</f>
        <v>OK</v>
      </c>
    </row>
    <row r="9" spans="1:43" ht="50.1" customHeight="1" x14ac:dyDescent="0.3">
      <c r="A9" s="33" t="str">
        <f>IFERROR(VLOOKUP($C9,구분표!$A$2:$C$300,2,FALSE),"")</f>
        <v>농정해양위원회</v>
      </c>
      <c r="B9" s="24" t="str">
        <f>IFERROR(VLOOKUP($C9,구분표!$A$2:$C$300,3,FALSE),"")</f>
        <v>농정해양국</v>
      </c>
      <c r="C9" s="31" t="s">
        <v>379</v>
      </c>
      <c r="D9" s="35" t="s">
        <v>771</v>
      </c>
      <c r="E9" s="36" t="s">
        <v>771</v>
      </c>
      <c r="F9" s="35" t="s">
        <v>774</v>
      </c>
      <c r="G9" s="44"/>
      <c r="H9" s="42"/>
      <c r="I9" s="54">
        <f t="shared" si="3"/>
        <v>0</v>
      </c>
      <c r="J9" s="42"/>
      <c r="K9" s="45">
        <v>6000</v>
      </c>
      <c r="L9" s="50">
        <f t="shared" si="4"/>
        <v>6000</v>
      </c>
      <c r="M9" s="42"/>
      <c r="N9" s="45">
        <v>6000</v>
      </c>
      <c r="O9" s="52">
        <f t="shared" si="5"/>
        <v>6000</v>
      </c>
      <c r="P9" s="27" t="str">
        <f t="shared" si="6"/>
        <v>X</v>
      </c>
      <c r="Q9" s="133" t="s">
        <v>809</v>
      </c>
      <c r="S9" s="27"/>
      <c r="U9" s="27"/>
      <c r="V9" s="42">
        <f t="shared" si="7"/>
        <v>6000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6000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IF(AG9="","",IF(U9="도비","세입없음",CONCATENATE(AG9,"-",COUNTIF($AG$7:AG9,AG9))))</f>
        <v>0605-1</v>
      </c>
      <c r="AG9" s="27" t="str">
        <f t="array" ref="AG9">IF(C9="","",INDEX(구분표!$I$2:$I$300, MATCH(1,(구분표!$E$2:$E$300='2추일입'!B9)*(구분표!$F$2:$F$300='2추일입'!C9)*(구분표!$G$2:$G$300='2추일입'!A9),0)))</f>
        <v>0605</v>
      </c>
      <c r="AI9" s="27"/>
      <c r="AK9" s="42">
        <f>IF(AE9="",0,SUMIFS('2추일출'!$V$6:$V$294,'2추일출'!$AE$6:$AE$294,'2추일입'!$AE9))</f>
        <v>6000</v>
      </c>
      <c r="AL9" s="42">
        <f>IF(AE9="","",COUNTIFS('2추일출'!$AE$6:$AE$294,'2추일입'!AE9))</f>
        <v>1</v>
      </c>
      <c r="AM9" s="27" t="str">
        <f t="shared" si="13"/>
        <v>OK</v>
      </c>
      <c r="AO9" s="42">
        <f>IF(AE9="",0,SUMIFS('2추일출'!$AA$6:$AA$294,'2추일출'!$AE$6:$AE$294,'2추일입'!$AE9))</f>
        <v>6000</v>
      </c>
      <c r="AP9" s="42">
        <f>IF(AE9="","",COUNTIFS('2추일출'!$AE$6:$AE$294,AE9))</f>
        <v>1</v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>농정해양위원회</v>
      </c>
      <c r="B10" s="24" t="str">
        <f>IFERROR(VLOOKUP($C10,구분표!$A$2:$C$300,3,FALSE),"")</f>
        <v>축산산림국</v>
      </c>
      <c r="C10" s="31" t="s">
        <v>388</v>
      </c>
      <c r="D10" s="35" t="s">
        <v>771</v>
      </c>
      <c r="E10" s="36" t="s">
        <v>771</v>
      </c>
      <c r="F10" s="35" t="s">
        <v>775</v>
      </c>
      <c r="G10" s="44"/>
      <c r="H10" s="42"/>
      <c r="I10" s="54">
        <f t="shared" si="3"/>
        <v>0</v>
      </c>
      <c r="J10" s="42"/>
      <c r="K10" s="45">
        <v>70000</v>
      </c>
      <c r="L10" s="50">
        <f t="shared" si="4"/>
        <v>70000</v>
      </c>
      <c r="M10" s="42"/>
      <c r="N10" s="45">
        <v>70000</v>
      </c>
      <c r="O10" s="52">
        <f t="shared" si="5"/>
        <v>70000</v>
      </c>
      <c r="P10" s="27" t="str">
        <f t="shared" si="6"/>
        <v>X</v>
      </c>
      <c r="Q10" s="133" t="s">
        <v>810</v>
      </c>
      <c r="S10" s="27"/>
      <c r="U10" s="27"/>
      <c r="V10" s="42">
        <f t="shared" si="7"/>
        <v>70000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70000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IF(AG10="","",IF(U10="도비","세입없음",CONCATENATE(AG10,"-",COUNTIF($AG$7:AG10,AG10))))</f>
        <v>0608-1</v>
      </c>
      <c r="AG10" s="27" t="str">
        <f t="array" ref="AG10">IF(C10="","",INDEX(구분표!$I$2:$I$300, MATCH(1,(구분표!$E$2:$E$300='2추일입'!B10)*(구분표!$F$2:$F$300='2추일입'!C10)*(구분표!$G$2:$G$300='2추일입'!A10),0)))</f>
        <v>0608</v>
      </c>
      <c r="AI10" s="27"/>
      <c r="AK10" s="42">
        <f>IF(AE10="",0,SUMIFS('2추일출'!$V$6:$V$294,'2추일출'!$AE$6:$AE$294,'2추일입'!$AE10))</f>
        <v>70000</v>
      </c>
      <c r="AL10" s="42">
        <f>IF(AE10="","",COUNTIFS('2추일출'!$AE$6:$AE$294,'2추일입'!AE10))</f>
        <v>1</v>
      </c>
      <c r="AM10" s="27" t="str">
        <f t="shared" si="13"/>
        <v>OK</v>
      </c>
      <c r="AO10" s="42">
        <f>IF(AE10="",0,SUMIFS('2추일출'!$AA$6:$AA$294,'2추일출'!$AE$6:$AE$294,'2추일입'!$AE10))</f>
        <v>70000</v>
      </c>
      <c r="AP10" s="42">
        <f>IF(AE10="","",COUNTIFS('2추일출'!$AE$6:$AE$294,AE10))</f>
        <v>1</v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>농정해양위원회</v>
      </c>
      <c r="B11" s="24" t="str">
        <f>IFERROR(VLOOKUP($C11,구분표!$A$2:$C$300,3,FALSE),"")</f>
        <v>축산산림국</v>
      </c>
      <c r="C11" s="31" t="s">
        <v>398</v>
      </c>
      <c r="D11" s="151" t="s">
        <v>776</v>
      </c>
      <c r="E11" s="152">
        <v>506</v>
      </c>
      <c r="F11" s="153" t="s">
        <v>777</v>
      </c>
      <c r="G11" s="44">
        <v>11385</v>
      </c>
      <c r="H11" s="42"/>
      <c r="I11" s="54">
        <f t="shared" si="3"/>
        <v>11385</v>
      </c>
      <c r="J11" s="42">
        <v>-3152</v>
      </c>
      <c r="K11" s="45"/>
      <c r="L11" s="50">
        <f t="shared" si="4"/>
        <v>8233</v>
      </c>
      <c r="M11" s="42">
        <v>-3152</v>
      </c>
      <c r="N11" s="45"/>
      <c r="O11" s="52">
        <f t="shared" si="5"/>
        <v>8233</v>
      </c>
      <c r="P11" s="27" t="str">
        <f t="shared" si="6"/>
        <v>X</v>
      </c>
      <c r="Q11" s="133"/>
      <c r="S11" s="27"/>
      <c r="U11" s="27"/>
      <c r="V11" s="42">
        <f t="shared" si="7"/>
        <v>-3152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-3152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IF(AG11="","",IF(U11="도비","세입없음",CONCATENATE(AG11,"-",COUNTIF($AG$7:AG11,AG11))))</f>
        <v>0611-1</v>
      </c>
      <c r="AG11" s="27" t="str">
        <f t="array" ref="AG11">IF(C11="","",INDEX(구분표!$I$2:$I$300, MATCH(1,(구분표!$E$2:$E$300='2추일입'!B11)*(구분표!$F$2:$F$300='2추일입'!C11)*(구분표!$G$2:$G$300='2추일입'!A11),0)))</f>
        <v>0611</v>
      </c>
      <c r="AI11" s="27"/>
      <c r="AK11" s="42">
        <f>IF(AE11="",0,SUMIFS('2추일출'!$V$6:$V$294,'2추일출'!$AE$6:$AE$294,'2추일입'!$AE11))</f>
        <v>0</v>
      </c>
      <c r="AL11" s="42">
        <f>IF(AE11="","",COUNTIFS('2추일출'!$AE$6:$AE$294,'2추일입'!AE11))</f>
        <v>1</v>
      </c>
      <c r="AM11" s="27" t="str">
        <f t="shared" si="13"/>
        <v>@@</v>
      </c>
      <c r="AO11" s="42">
        <f>IF(AE11="",0,SUMIFS('2추일출'!$AA$6:$AA$294,'2추일출'!$AE$6:$AE$294,'2추일입'!$AE11))</f>
        <v>0</v>
      </c>
      <c r="AP11" s="42">
        <f>IF(AE11="","",COUNTIFS('2추일출'!$AE$6:$AE$294,AE11))</f>
        <v>1</v>
      </c>
      <c r="AQ11" s="27" t="str">
        <f t="shared" si="14"/>
        <v>@@</v>
      </c>
    </row>
    <row r="12" spans="1:43" ht="50.1" customHeight="1" x14ac:dyDescent="0.3">
      <c r="A12" s="33" t="str">
        <f>IFERROR(VLOOKUP($C12,구분표!$A$2:$C$300,2,FALSE),"")</f>
        <v>보건복지위원회</v>
      </c>
      <c r="B12" s="24" t="str">
        <f>IFERROR(VLOOKUP($C12,구분표!$A$2:$C$300,3,FALSE),"")</f>
        <v>보건복지국</v>
      </c>
      <c r="C12" s="31" t="s">
        <v>446</v>
      </c>
      <c r="D12" s="35" t="s">
        <v>776</v>
      </c>
      <c r="E12" s="36">
        <v>566</v>
      </c>
      <c r="F12" s="35" t="s">
        <v>778</v>
      </c>
      <c r="G12" s="44">
        <v>2429241</v>
      </c>
      <c r="H12" s="42">
        <v>2200246</v>
      </c>
      <c r="I12" s="54">
        <f t="shared" si="3"/>
        <v>228995</v>
      </c>
      <c r="J12" s="42"/>
      <c r="K12" s="45">
        <v>92715</v>
      </c>
      <c r="L12" s="50">
        <f t="shared" si="4"/>
        <v>2521956</v>
      </c>
      <c r="M12" s="42"/>
      <c r="N12" s="45">
        <v>92715</v>
      </c>
      <c r="O12" s="52">
        <f t="shared" si="5"/>
        <v>2521956</v>
      </c>
      <c r="P12" s="27" t="str">
        <f t="shared" si="6"/>
        <v>X</v>
      </c>
      <c r="Q12" s="133" t="s">
        <v>811</v>
      </c>
      <c r="S12" s="27"/>
      <c r="U12" s="27"/>
      <c r="V12" s="42">
        <f t="shared" si="7"/>
        <v>92715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92715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IF(AG12="","",IF(U12="도비","세입없음",CONCATENATE(AG12,"-",COUNTIF($AG$7:AG12,AG12))))</f>
        <v>0703-1</v>
      </c>
      <c r="AG12" s="27" t="str">
        <f t="array" ref="AG12">IF(C12="","",INDEX(구분표!$I$2:$I$300, MATCH(1,(구분표!$E$2:$E$300='2추일입'!B12)*(구분표!$F$2:$F$300='2추일입'!C12)*(구분표!$G$2:$G$300='2추일입'!A12),0)))</f>
        <v>0703</v>
      </c>
      <c r="AI12" s="27"/>
      <c r="AK12" s="42">
        <f>IF(AE12="",0,SUMIFS('2추일출'!$V$6:$V$294,'2추일출'!$AE$6:$AE$294,'2추일입'!$AE12))</f>
        <v>92715</v>
      </c>
      <c r="AL12" s="42">
        <f>IF(AE12="","",COUNTIFS('2추일출'!$AE$6:$AE$294,'2추일입'!AE12))</f>
        <v>2</v>
      </c>
      <c r="AM12" s="27" t="str">
        <f t="shared" si="13"/>
        <v>OK</v>
      </c>
      <c r="AO12" s="42">
        <f>IF(AE12="",0,SUMIFS('2추일출'!$AA$6:$AA$294,'2추일출'!$AE$6:$AE$294,'2추일입'!$AE12))</f>
        <v>92715</v>
      </c>
      <c r="AP12" s="42">
        <f>IF(AE12="","",COUNTIFS('2추일출'!$AE$6:$AE$294,AE12))</f>
        <v>2</v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>보건복지위원회</v>
      </c>
      <c r="B13" s="24" t="str">
        <f>IFERROR(VLOOKUP($C13,구분표!$A$2:$C$300,3,FALSE),"")</f>
        <v>보건복지국</v>
      </c>
      <c r="C13" s="31" t="s">
        <v>446</v>
      </c>
      <c r="D13" s="35" t="s">
        <v>779</v>
      </c>
      <c r="E13" s="36">
        <v>56</v>
      </c>
      <c r="F13" s="35" t="s">
        <v>780</v>
      </c>
      <c r="G13" s="44"/>
      <c r="H13" s="42">
        <v>5375188</v>
      </c>
      <c r="I13" s="54">
        <f t="shared" si="3"/>
        <v>-5375188</v>
      </c>
      <c r="J13" s="42">
        <v>-401109</v>
      </c>
      <c r="K13" s="45"/>
      <c r="L13" s="50">
        <f t="shared" si="4"/>
        <v>4974079</v>
      </c>
      <c r="M13" s="42">
        <v>-401109</v>
      </c>
      <c r="N13" s="45"/>
      <c r="O13" s="52">
        <f t="shared" si="5"/>
        <v>4974079</v>
      </c>
      <c r="P13" s="27" t="str">
        <f t="shared" si="6"/>
        <v>X</v>
      </c>
      <c r="Q13" s="133" t="s">
        <v>812</v>
      </c>
      <c r="S13" s="27"/>
      <c r="U13" s="27"/>
      <c r="V13" s="42">
        <f t="shared" si="7"/>
        <v>-401109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-401109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IF(AG13="","",IF(U13="도비","세입없음",CONCATENATE(AG13,"-",COUNTIF($AG$7:AG13,AG13))))</f>
        <v>0703-2</v>
      </c>
      <c r="AG13" s="27" t="str">
        <f t="array" ref="AG13">IF(C13="","",INDEX(구분표!$I$2:$I$300, MATCH(1,(구분표!$E$2:$E$300='2추일입'!B13)*(구분표!$F$2:$F$300='2추일입'!C13)*(구분표!$G$2:$G$300='2추일입'!A13),0)))</f>
        <v>0703</v>
      </c>
      <c r="AI13" s="27"/>
      <c r="AK13" s="42">
        <f>IF(AE13="",0,SUMIFS('2추일출'!$V$6:$V$294,'2추일출'!$AE$6:$AE$294,'2추일입'!$AE13))</f>
        <v>-401109</v>
      </c>
      <c r="AL13" s="42">
        <f>IF(AE13="","",COUNTIFS('2추일출'!$AE$6:$AE$294,'2추일입'!AE13))</f>
        <v>2</v>
      </c>
      <c r="AM13" s="27" t="str">
        <f t="shared" si="13"/>
        <v>OK</v>
      </c>
      <c r="AO13" s="42">
        <f>IF(AE13="",0,SUMIFS('2추일출'!$AA$6:$AA$294,'2추일출'!$AE$6:$AE$294,'2추일입'!$AE13))</f>
        <v>-401109</v>
      </c>
      <c r="AP13" s="42">
        <f>IF(AE13="","",COUNTIFS('2추일출'!$AE$6:$AE$294,AE13))</f>
        <v>2</v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>보건복지위원회</v>
      </c>
      <c r="B14" s="24" t="str">
        <f>IFERROR(VLOOKUP($C14,구분표!$A$2:$C$300,3,FALSE),"")</f>
        <v>보건복지국</v>
      </c>
      <c r="C14" s="31" t="s">
        <v>446</v>
      </c>
      <c r="D14" s="35" t="s">
        <v>781</v>
      </c>
      <c r="E14" s="36">
        <v>24</v>
      </c>
      <c r="F14" s="35" t="s">
        <v>782</v>
      </c>
      <c r="G14" s="44"/>
      <c r="H14" s="42">
        <v>70947</v>
      </c>
      <c r="I14" s="54">
        <f t="shared" si="3"/>
        <v>-70947</v>
      </c>
      <c r="J14" s="42"/>
      <c r="K14" s="156">
        <v>25782</v>
      </c>
      <c r="L14" s="50">
        <f t="shared" si="4"/>
        <v>96729</v>
      </c>
      <c r="M14" s="42"/>
      <c r="N14" s="45">
        <v>25782</v>
      </c>
      <c r="O14" s="52">
        <f t="shared" si="5"/>
        <v>96729</v>
      </c>
      <c r="P14" s="27" t="str">
        <f t="shared" si="6"/>
        <v>X</v>
      </c>
      <c r="Q14" s="133" t="s">
        <v>813</v>
      </c>
      <c r="S14" s="27"/>
      <c r="U14" s="27"/>
      <c r="V14" s="42">
        <f t="shared" si="7"/>
        <v>25782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25782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IF(AG14="","",IF(U14="도비","세입없음",CONCATENATE(AG14,"-",COUNTIF($AG$7:AG14,AG14))))</f>
        <v>0703-3</v>
      </c>
      <c r="AG14" s="27" t="str">
        <f t="array" ref="AG14">IF(C14="","",INDEX(구분표!$I$2:$I$300, MATCH(1,(구분표!$E$2:$E$300='2추일입'!B14)*(구분표!$F$2:$F$300='2추일입'!C14)*(구분표!$G$2:$G$300='2추일입'!A14),0)))</f>
        <v>0703</v>
      </c>
      <c r="AI14" s="27"/>
      <c r="AK14" s="42">
        <f>IF(AE14="",0,SUMIFS('2추일출'!$V$6:$V$294,'2추일출'!$AE$6:$AE$294,'2추일입'!$AE14))</f>
        <v>25782</v>
      </c>
      <c r="AL14" s="42">
        <f>IF(AE14="","",COUNTIFS('2추일출'!$AE$6:$AE$294,'2추일입'!AE14))</f>
        <v>1</v>
      </c>
      <c r="AM14" s="27" t="str">
        <f t="shared" si="13"/>
        <v>OK</v>
      </c>
      <c r="AO14" s="42">
        <f>IF(AE14="",0,SUMIFS('2추일출'!$AA$6:$AA$294,'2추일출'!$AE$6:$AE$294,'2추일입'!$AE14))</f>
        <v>25782</v>
      </c>
      <c r="AP14" s="42">
        <f>IF(AE14="","",COUNTIFS('2추일출'!$AE$6:$AE$294,AE14))</f>
        <v>1</v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>보건복지위원회</v>
      </c>
      <c r="B15" s="24" t="str">
        <f>IFERROR(VLOOKUP($C15,구분표!$A$2:$C$300,3,FALSE),"")</f>
        <v>보건복지국</v>
      </c>
      <c r="C15" s="31" t="s">
        <v>446</v>
      </c>
      <c r="D15" s="154" t="s">
        <v>776</v>
      </c>
      <c r="E15" s="155">
        <v>567</v>
      </c>
      <c r="F15" s="154" t="s">
        <v>783</v>
      </c>
      <c r="G15" s="44">
        <v>29782</v>
      </c>
      <c r="H15" s="42"/>
      <c r="I15" s="54">
        <f t="shared" si="3"/>
        <v>29782</v>
      </c>
      <c r="J15" s="42"/>
      <c r="K15" s="45">
        <v>136</v>
      </c>
      <c r="L15" s="50">
        <f t="shared" si="4"/>
        <v>29918</v>
      </c>
      <c r="M15" s="42"/>
      <c r="N15" s="45">
        <v>136</v>
      </c>
      <c r="O15" s="52">
        <f t="shared" si="5"/>
        <v>29918</v>
      </c>
      <c r="P15" s="27" t="str">
        <f t="shared" si="6"/>
        <v>X</v>
      </c>
      <c r="Q15" s="133" t="s">
        <v>814</v>
      </c>
      <c r="S15" s="27"/>
      <c r="U15" s="27"/>
      <c r="V15" s="42">
        <f t="shared" si="7"/>
        <v>136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136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IF(AG15="","",IF(U15="도비","세입없음",CONCATENATE(AG15,"-",COUNTIF($AG$7:AG15,AG15))))</f>
        <v>0703-4</v>
      </c>
      <c r="AG15" s="27" t="str">
        <f t="array" ref="AG15">IF(C15="","",INDEX(구분표!$I$2:$I$300, MATCH(1,(구분표!$E$2:$E$300='2추일입'!B15)*(구분표!$F$2:$F$300='2추일입'!C15)*(구분표!$G$2:$G$300='2추일입'!A15),0)))</f>
        <v>0703</v>
      </c>
      <c r="AI15" s="27"/>
      <c r="AK15" s="42">
        <f>IF(AE15="",0,SUMIFS('2추일출'!$V$6:$V$294,'2추일출'!$AE$6:$AE$294,'2추일입'!$AE15))</f>
        <v>0</v>
      </c>
      <c r="AL15" s="42">
        <f>IF(AE15="","",COUNTIFS('2추일출'!$AE$6:$AE$294,'2추일입'!AE15))</f>
        <v>0</v>
      </c>
      <c r="AM15" s="27" t="str">
        <f t="shared" si="13"/>
        <v>@@</v>
      </c>
      <c r="AO15" s="42">
        <f>IF(AE15="",0,SUMIFS('2추일출'!$AA$6:$AA$294,'2추일출'!$AE$6:$AE$294,'2추일입'!$AE15))</f>
        <v>0</v>
      </c>
      <c r="AP15" s="42">
        <f>IF(AE15="","",COUNTIFS('2추일출'!$AE$6:$AE$294,AE15))</f>
        <v>0</v>
      </c>
      <c r="AQ15" s="27" t="str">
        <f t="shared" si="14"/>
        <v>@@</v>
      </c>
    </row>
    <row r="16" spans="1:43" ht="50.1" customHeight="1" x14ac:dyDescent="0.3">
      <c r="A16" s="33" t="str">
        <f>IFERROR(VLOOKUP($C16,구분표!$A$2:$C$300,2,FALSE),"")</f>
        <v>보건복지위원회</v>
      </c>
      <c r="B16" s="24" t="str">
        <f>IFERROR(VLOOKUP($C16,구분표!$A$2:$C$300,3,FALSE),"")</f>
        <v>보건복지국</v>
      </c>
      <c r="C16" s="31" t="s">
        <v>449</v>
      </c>
      <c r="D16" s="35" t="s">
        <v>779</v>
      </c>
      <c r="E16" s="36">
        <v>56</v>
      </c>
      <c r="F16" s="35" t="s">
        <v>784</v>
      </c>
      <c r="G16" s="44"/>
      <c r="H16" s="42">
        <v>10743684</v>
      </c>
      <c r="I16" s="54">
        <f t="shared" si="3"/>
        <v>-10743684</v>
      </c>
      <c r="J16" s="42"/>
      <c r="K16" s="45">
        <v>286516</v>
      </c>
      <c r="L16" s="50">
        <f t="shared" si="4"/>
        <v>11030200</v>
      </c>
      <c r="M16" s="42"/>
      <c r="N16" s="45">
        <v>286516</v>
      </c>
      <c r="O16" s="52">
        <f t="shared" si="5"/>
        <v>11030200</v>
      </c>
      <c r="P16" s="27" t="str">
        <f t="shared" si="6"/>
        <v>X</v>
      </c>
      <c r="Q16" s="133" t="s">
        <v>815</v>
      </c>
      <c r="S16" s="27"/>
      <c r="U16" s="27"/>
      <c r="V16" s="42">
        <f t="shared" si="7"/>
        <v>286516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286516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IF(AG16="","",IF(U16="도비","세입없음",CONCATENATE(AG16,"-",COUNTIF($AG$7:AG16,AG16))))</f>
        <v>0704-1</v>
      </c>
      <c r="AG16" s="27" t="str">
        <f t="array" ref="AG16">IF(C16="","",INDEX(구분표!$I$2:$I$300, MATCH(1,(구분표!$E$2:$E$300='2추일입'!B16)*(구분표!$F$2:$F$300='2추일입'!C16)*(구분표!$G$2:$G$300='2추일입'!A16),0)))</f>
        <v>0704</v>
      </c>
      <c r="AI16" s="27"/>
      <c r="AK16" s="42">
        <f>IF(AE16="",0,SUMIFS('2추일출'!$V$6:$V$294,'2추일출'!$AE$6:$AE$294,'2추일입'!$AE16))</f>
        <v>286516</v>
      </c>
      <c r="AL16" s="42">
        <f>IF(AE16="","",COUNTIFS('2추일출'!$AE$6:$AE$294,'2추일입'!AE16))</f>
        <v>2</v>
      </c>
      <c r="AM16" s="27" t="str">
        <f t="shared" si="13"/>
        <v>OK</v>
      </c>
      <c r="AO16" s="42">
        <f>IF(AE16="",0,SUMIFS('2추일출'!$AA$6:$AA$294,'2추일출'!$AE$6:$AE$294,'2추일입'!$AE16))</f>
        <v>286516</v>
      </c>
      <c r="AP16" s="42">
        <f>IF(AE16="","",COUNTIFS('2추일출'!$AE$6:$AE$294,AE16))</f>
        <v>2</v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>보건복지위원회</v>
      </c>
      <c r="B17" s="24" t="str">
        <f>IFERROR(VLOOKUP($C17,구분표!$A$2:$C$300,3,FALSE),"")</f>
        <v>보건복지국</v>
      </c>
      <c r="C17" s="31" t="s">
        <v>449</v>
      </c>
      <c r="D17" s="35" t="s">
        <v>779</v>
      </c>
      <c r="E17" s="36">
        <v>56</v>
      </c>
      <c r="F17" s="35" t="s">
        <v>785</v>
      </c>
      <c r="G17" s="44"/>
      <c r="H17" s="42">
        <v>9746627</v>
      </c>
      <c r="I17" s="54">
        <f t="shared" si="3"/>
        <v>-9746627</v>
      </c>
      <c r="J17" s="42"/>
      <c r="K17" s="45">
        <v>35373</v>
      </c>
      <c r="L17" s="50">
        <f t="shared" si="4"/>
        <v>9782000</v>
      </c>
      <c r="M17" s="42"/>
      <c r="N17" s="45">
        <v>35373</v>
      </c>
      <c r="O17" s="52">
        <f t="shared" si="5"/>
        <v>9782000</v>
      </c>
      <c r="P17" s="27" t="str">
        <f t="shared" si="6"/>
        <v>X</v>
      </c>
      <c r="Q17" s="133" t="s">
        <v>815</v>
      </c>
      <c r="S17" s="27"/>
      <c r="U17" s="27"/>
      <c r="V17" s="42">
        <f t="shared" si="7"/>
        <v>35373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35373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IF(AG17="","",IF(U17="도비","세입없음",CONCATENATE(AG17,"-",COUNTIF($AG$7:AG17,AG17))))</f>
        <v>0704-2</v>
      </c>
      <c r="AG17" s="27" t="str">
        <f t="array" ref="AG17">IF(C17="","",INDEX(구분표!$I$2:$I$300, MATCH(1,(구분표!$E$2:$E$300='2추일입'!B17)*(구분표!$F$2:$F$300='2추일입'!C17)*(구분표!$G$2:$G$300='2추일입'!A17),0)))</f>
        <v>0704</v>
      </c>
      <c r="AI17" s="27"/>
      <c r="AK17" s="42">
        <f>IF(AE17="",0,SUMIFS('2추일출'!$V$6:$V$294,'2추일출'!$AE$6:$AE$294,'2추일입'!$AE17))</f>
        <v>35373</v>
      </c>
      <c r="AL17" s="42">
        <f>IF(AE17="","",COUNTIFS('2추일출'!$AE$6:$AE$294,'2추일입'!AE17))</f>
        <v>2</v>
      </c>
      <c r="AM17" s="27" t="str">
        <f t="shared" si="13"/>
        <v>OK</v>
      </c>
      <c r="AO17" s="42">
        <f>IF(AE17="",0,SUMIFS('2추일출'!$AA$6:$AA$294,'2추일출'!$AE$6:$AE$294,'2추일입'!$AE17))</f>
        <v>35373</v>
      </c>
      <c r="AP17" s="42">
        <f>IF(AE17="","",COUNTIFS('2추일출'!$AE$6:$AE$294,AE17))</f>
        <v>2</v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>보건복지위원회</v>
      </c>
      <c r="B18" s="24" t="str">
        <f>IFERROR(VLOOKUP($C18,구분표!$A$2:$C$300,3,FALSE),"")</f>
        <v>보건복지국</v>
      </c>
      <c r="C18" s="31" t="s">
        <v>449</v>
      </c>
      <c r="D18" s="35" t="s">
        <v>779</v>
      </c>
      <c r="E18" s="36">
        <v>56</v>
      </c>
      <c r="F18" s="35" t="s">
        <v>786</v>
      </c>
      <c r="G18" s="44"/>
      <c r="H18" s="42">
        <v>95838000</v>
      </c>
      <c r="I18" s="54">
        <f t="shared" si="3"/>
        <v>-95838000</v>
      </c>
      <c r="J18" s="42"/>
      <c r="K18" s="45">
        <v>2292372</v>
      </c>
      <c r="L18" s="50">
        <f t="shared" si="4"/>
        <v>98130372</v>
      </c>
      <c r="M18" s="42"/>
      <c r="N18" s="45">
        <v>2292372</v>
      </c>
      <c r="O18" s="52">
        <f t="shared" si="5"/>
        <v>98130372</v>
      </c>
      <c r="P18" s="27" t="str">
        <f t="shared" si="6"/>
        <v>X</v>
      </c>
      <c r="Q18" s="133" t="s">
        <v>816</v>
      </c>
      <c r="S18" s="27"/>
      <c r="U18" s="27"/>
      <c r="V18" s="42">
        <f t="shared" si="7"/>
        <v>2292372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2292372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IF(AG18="","",IF(U18="도비","세입없음",CONCATENATE(AG18,"-",COUNTIF($AG$7:AG18,AG18))))</f>
        <v>0704-3</v>
      </c>
      <c r="AG18" s="27" t="str">
        <f t="array" ref="AG18">IF(C18="","",INDEX(구분표!$I$2:$I$300, MATCH(1,(구분표!$E$2:$E$300='2추일입'!B18)*(구분표!$F$2:$F$300='2추일입'!C18)*(구분표!$G$2:$G$300='2추일입'!A18),0)))</f>
        <v>0704</v>
      </c>
      <c r="AI18" s="27"/>
      <c r="AK18" s="42">
        <f>IF(AE18="",0,SUMIFS('2추일출'!$V$6:$V$294,'2추일출'!$AE$6:$AE$294,'2추일입'!$AE18))</f>
        <v>2292372</v>
      </c>
      <c r="AL18" s="42">
        <f>IF(AE18="","",COUNTIFS('2추일출'!$AE$6:$AE$294,'2추일입'!AE18))</f>
        <v>2</v>
      </c>
      <c r="AM18" s="27" t="str">
        <f t="shared" si="13"/>
        <v>OK</v>
      </c>
      <c r="AO18" s="42">
        <f>IF(AE18="",0,SUMIFS('2추일출'!$AA$6:$AA$294,'2추일출'!$AE$6:$AE$294,'2추일입'!$AE18))</f>
        <v>2292372</v>
      </c>
      <c r="AP18" s="42">
        <f>IF(AE18="","",COUNTIFS('2추일출'!$AE$6:$AE$294,AE18))</f>
        <v>2</v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>보건복지위원회</v>
      </c>
      <c r="B19" s="24" t="str">
        <f>IFERROR(VLOOKUP($C19,구분표!$A$2:$C$300,3,FALSE),"")</f>
        <v>보건복지국</v>
      </c>
      <c r="C19" s="31" t="s">
        <v>452</v>
      </c>
      <c r="D19" s="35" t="s">
        <v>781</v>
      </c>
      <c r="E19" s="36">
        <v>24</v>
      </c>
      <c r="F19" s="35" t="s">
        <v>787</v>
      </c>
      <c r="G19" s="44"/>
      <c r="H19" s="42">
        <v>379000</v>
      </c>
      <c r="I19" s="54">
        <f t="shared" si="3"/>
        <v>-379000</v>
      </c>
      <c r="J19" s="42"/>
      <c r="K19" s="45">
        <v>149400</v>
      </c>
      <c r="L19" s="50">
        <f t="shared" si="4"/>
        <v>528400</v>
      </c>
      <c r="M19" s="42"/>
      <c r="N19" s="45">
        <v>149400</v>
      </c>
      <c r="O19" s="52">
        <f t="shared" si="5"/>
        <v>528400</v>
      </c>
      <c r="P19" s="27" t="str">
        <f t="shared" si="6"/>
        <v>X</v>
      </c>
      <c r="Q19" s="133" t="s">
        <v>817</v>
      </c>
      <c r="S19" s="27"/>
      <c r="U19" s="27"/>
      <c r="V19" s="42">
        <f t="shared" si="7"/>
        <v>149400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149400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IF(AG19="","",IF(U19="도비","세입없음",CONCATENATE(AG19,"-",COUNTIF($AG$7:AG19,AG19))))</f>
        <v>0705-1</v>
      </c>
      <c r="AG19" s="27" t="str">
        <f t="array" ref="AG19">IF(C19="","",INDEX(구분표!$I$2:$I$300, MATCH(1,(구분표!$E$2:$E$300='2추일입'!B19)*(구분표!$F$2:$F$300='2추일입'!C19)*(구분표!$G$2:$G$300='2추일입'!A19),0)))</f>
        <v>0705</v>
      </c>
      <c r="AI19" s="27"/>
      <c r="AK19" s="42">
        <f>IF(AE19="",0,SUMIFS('2추일출'!$V$6:$V$294,'2추일출'!$AE$6:$AE$294,'2추일입'!$AE19))</f>
        <v>149400</v>
      </c>
      <c r="AL19" s="42">
        <f>IF(AE19="","",COUNTIFS('2추일출'!$AE$6:$AE$294,'2추일입'!AE19))</f>
        <v>1</v>
      </c>
      <c r="AM19" s="27" t="str">
        <f t="shared" si="13"/>
        <v>OK</v>
      </c>
      <c r="AO19" s="42">
        <f>IF(AE19="",0,SUMIFS('2추일출'!$AA$6:$AA$294,'2추일출'!$AE$6:$AE$294,'2추일입'!$AE19))</f>
        <v>149400</v>
      </c>
      <c r="AP19" s="42">
        <f>IF(AE19="","",COUNTIFS('2추일출'!$AE$6:$AE$294,AE19))</f>
        <v>1</v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>보건복지위원회</v>
      </c>
      <c r="B20" s="24" t="str">
        <f>IFERROR(VLOOKUP($C20,구분표!$A$2:$C$300,3,FALSE),"")</f>
        <v>보건복지국</v>
      </c>
      <c r="C20" s="31" t="s">
        <v>452</v>
      </c>
      <c r="D20" s="35" t="s">
        <v>776</v>
      </c>
      <c r="E20" s="36">
        <v>568</v>
      </c>
      <c r="F20" s="35" t="s">
        <v>788</v>
      </c>
      <c r="G20" s="44">
        <v>5625280</v>
      </c>
      <c r="H20" s="42"/>
      <c r="I20" s="54">
        <f t="shared" si="3"/>
        <v>5625280</v>
      </c>
      <c r="J20" s="42">
        <v>-1531082</v>
      </c>
      <c r="K20" s="45"/>
      <c r="L20" s="50">
        <f t="shared" si="4"/>
        <v>4094198</v>
      </c>
      <c r="M20" s="42">
        <v>-1531082</v>
      </c>
      <c r="N20" s="45"/>
      <c r="O20" s="52">
        <f t="shared" si="5"/>
        <v>4094198</v>
      </c>
      <c r="P20" s="27" t="str">
        <f t="shared" si="6"/>
        <v>X</v>
      </c>
      <c r="Q20" s="133" t="s">
        <v>818</v>
      </c>
      <c r="S20" s="27"/>
      <c r="U20" s="27"/>
      <c r="V20" s="42">
        <f t="shared" si="7"/>
        <v>-1531082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-1531082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IF(AG20="","",IF(U20="도비","세입없음",CONCATENATE(AG20,"-",COUNTIF($AG$7:AG20,AG20))))</f>
        <v>0705-2</v>
      </c>
      <c r="AG20" s="27" t="str">
        <f t="array" ref="AG20">IF(C20="","",INDEX(구분표!$I$2:$I$300, MATCH(1,(구분표!$E$2:$E$300='2추일입'!B20)*(구분표!$F$2:$F$300='2추일입'!C20)*(구분표!$G$2:$G$300='2추일입'!A20),0)))</f>
        <v>0705</v>
      </c>
      <c r="AI20" s="27"/>
      <c r="AK20" s="42">
        <f>IF(AE20="",0,SUMIFS('2추일출'!$V$6:$V$294,'2추일출'!$AE$6:$AE$294,'2추일입'!$AE20))</f>
        <v>-1531082</v>
      </c>
      <c r="AL20" s="42">
        <f>IF(AE20="","",COUNTIFS('2추일출'!$AE$6:$AE$294,'2추일입'!AE20))</f>
        <v>2</v>
      </c>
      <c r="AM20" s="27" t="str">
        <f t="shared" si="13"/>
        <v>OK</v>
      </c>
      <c r="AO20" s="42">
        <f>IF(AE20="",0,SUMIFS('2추일출'!$AA$6:$AA$294,'2추일출'!$AE$6:$AE$294,'2추일입'!$AE20))</f>
        <v>-1531082</v>
      </c>
      <c r="AP20" s="42">
        <f>IF(AE20="","",COUNTIFS('2추일출'!$AE$6:$AE$294,AE20))</f>
        <v>2</v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>보건복지위원회</v>
      </c>
      <c r="B21" s="24" t="str">
        <f>IFERROR(VLOOKUP($C21,구분표!$A$2:$C$300,3,FALSE),"")</f>
        <v>보건복지국</v>
      </c>
      <c r="C21" s="31" t="s">
        <v>452</v>
      </c>
      <c r="D21" s="35" t="s">
        <v>776</v>
      </c>
      <c r="E21" s="36">
        <v>568</v>
      </c>
      <c r="F21" s="35" t="s">
        <v>789</v>
      </c>
      <c r="G21" s="44">
        <v>3325000</v>
      </c>
      <c r="H21" s="42">
        <v>3220000</v>
      </c>
      <c r="I21" s="54">
        <f t="shared" si="3"/>
        <v>105000</v>
      </c>
      <c r="J21" s="42">
        <v>-1440000</v>
      </c>
      <c r="K21" s="45"/>
      <c r="L21" s="50">
        <f t="shared" si="4"/>
        <v>1885000</v>
      </c>
      <c r="M21" s="42">
        <v>-1440000</v>
      </c>
      <c r="N21" s="45"/>
      <c r="O21" s="52">
        <f t="shared" si="5"/>
        <v>1885000</v>
      </c>
      <c r="P21" s="27" t="str">
        <f t="shared" si="6"/>
        <v>X</v>
      </c>
      <c r="Q21" s="133" t="s">
        <v>819</v>
      </c>
      <c r="S21" s="27"/>
      <c r="U21" s="27"/>
      <c r="V21" s="42">
        <f t="shared" si="7"/>
        <v>-1440000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-1440000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IF(AG21="","",IF(U21="도비","세입없음",CONCATENATE(AG21,"-",COUNTIF($AG$7:AG21,AG21))))</f>
        <v>0705-3</v>
      </c>
      <c r="AG21" s="27" t="str">
        <f t="array" ref="AG21">IF(C21="","",INDEX(구분표!$I$2:$I$300, MATCH(1,(구분표!$E$2:$E$300='2추일입'!B21)*(구분표!$F$2:$F$300='2추일입'!C21)*(구분표!$G$2:$G$300='2추일입'!A21),0)))</f>
        <v>0705</v>
      </c>
      <c r="AI21" s="27"/>
      <c r="AK21" s="42">
        <f>IF(AE21="",0,SUMIFS('2추일출'!$V$6:$V$294,'2추일출'!$AE$6:$AE$294,'2추일입'!$AE21))</f>
        <v>-1440000</v>
      </c>
      <c r="AL21" s="42">
        <f>IF(AE21="","",COUNTIFS('2추일출'!$AE$6:$AE$294,'2추일입'!AE21))</f>
        <v>2</v>
      </c>
      <c r="AM21" s="27" t="str">
        <f t="shared" si="13"/>
        <v>OK</v>
      </c>
      <c r="AO21" s="42">
        <f>IF(AE21="",0,SUMIFS('2추일출'!$AA$6:$AA$294,'2추일출'!$AE$6:$AE$294,'2추일입'!$AE21))</f>
        <v>-1440000</v>
      </c>
      <c r="AP21" s="42">
        <f>IF(AE21="","",COUNTIFS('2추일출'!$AE$6:$AE$294,AE21))</f>
        <v>2</v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>보건복지위원회</v>
      </c>
      <c r="B22" s="24" t="str">
        <f>IFERROR(VLOOKUP($C22,구분표!$A$2:$C$300,3,FALSE),"")</f>
        <v>보건복지국</v>
      </c>
      <c r="C22" s="31" t="s">
        <v>452</v>
      </c>
      <c r="D22" s="35" t="s">
        <v>776</v>
      </c>
      <c r="E22" s="36">
        <v>568</v>
      </c>
      <c r="F22" s="35" t="s">
        <v>790</v>
      </c>
      <c r="G22" s="44">
        <v>666935</v>
      </c>
      <c r="H22" s="42">
        <v>558935</v>
      </c>
      <c r="I22" s="54">
        <f t="shared" si="3"/>
        <v>108000</v>
      </c>
      <c r="J22" s="42"/>
      <c r="K22" s="45">
        <v>77000</v>
      </c>
      <c r="L22" s="50">
        <f t="shared" si="4"/>
        <v>743935</v>
      </c>
      <c r="M22" s="42"/>
      <c r="N22" s="45">
        <v>77000</v>
      </c>
      <c r="O22" s="52">
        <f t="shared" si="5"/>
        <v>743935</v>
      </c>
      <c r="P22" s="27" t="str">
        <f t="shared" si="6"/>
        <v>X</v>
      </c>
      <c r="Q22" s="133" t="s">
        <v>820</v>
      </c>
      <c r="S22" s="27"/>
      <c r="U22" s="27"/>
      <c r="V22" s="42">
        <f t="shared" si="7"/>
        <v>77000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77000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IF(AG22="","",IF(U22="도비","세입없음",CONCATENATE(AG22,"-",COUNTIF($AG$7:AG22,AG22))))</f>
        <v>0705-4</v>
      </c>
      <c r="AG22" s="27" t="str">
        <f t="array" ref="AG22">IF(C22="","",INDEX(구분표!$I$2:$I$300, MATCH(1,(구분표!$E$2:$E$300='2추일입'!B22)*(구분표!$F$2:$F$300='2추일입'!C22)*(구분표!$G$2:$G$300='2추일입'!A22),0)))</f>
        <v>0705</v>
      </c>
      <c r="AI22" s="27"/>
      <c r="AK22" s="42">
        <f>IF(AE22="",0,SUMIFS('2추일출'!$V$6:$V$294,'2추일출'!$AE$6:$AE$294,'2추일입'!$AE22))</f>
        <v>77000</v>
      </c>
      <c r="AL22" s="42">
        <f>IF(AE22="","",COUNTIFS('2추일출'!$AE$6:$AE$294,'2추일입'!AE22))</f>
        <v>2</v>
      </c>
      <c r="AM22" s="27" t="str">
        <f t="shared" si="13"/>
        <v>OK</v>
      </c>
      <c r="AO22" s="42">
        <f>IF(AE22="",0,SUMIFS('2추일출'!$AA$6:$AA$294,'2추일출'!$AE$6:$AE$294,'2추일입'!$AE22))</f>
        <v>77000</v>
      </c>
      <c r="AP22" s="42">
        <f>IF(AE22="","",COUNTIFS('2추일출'!$AE$6:$AE$294,AE22))</f>
        <v>2</v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>보건복지위원회</v>
      </c>
      <c r="B23" s="24" t="str">
        <f>IFERROR(VLOOKUP($C23,구분표!$A$2:$C$300,3,FALSE),"")</f>
        <v>보건복지국</v>
      </c>
      <c r="C23" s="31" t="s">
        <v>455</v>
      </c>
      <c r="D23" s="35" t="s">
        <v>776</v>
      </c>
      <c r="E23" s="36">
        <v>569</v>
      </c>
      <c r="F23" s="35" t="s">
        <v>791</v>
      </c>
      <c r="G23" s="44">
        <v>4793303</v>
      </c>
      <c r="H23" s="42">
        <v>4312387</v>
      </c>
      <c r="I23" s="54">
        <f t="shared" si="3"/>
        <v>480916</v>
      </c>
      <c r="J23" s="42"/>
      <c r="K23" s="45">
        <v>44439</v>
      </c>
      <c r="L23" s="50">
        <f t="shared" si="4"/>
        <v>4837742</v>
      </c>
      <c r="M23" s="42"/>
      <c r="N23" s="45">
        <v>44439</v>
      </c>
      <c r="O23" s="52">
        <f t="shared" si="5"/>
        <v>4837742</v>
      </c>
      <c r="P23" s="27" t="str">
        <f t="shared" si="6"/>
        <v>X</v>
      </c>
      <c r="Q23" s="133" t="s">
        <v>821</v>
      </c>
      <c r="S23" s="27"/>
      <c r="U23" s="27"/>
      <c r="V23" s="42">
        <f t="shared" si="7"/>
        <v>44439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44439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IF(AG23="","",IF(U23="도비","세입없음",CONCATENATE(AG23,"-",COUNTIF($AG$7:AG23,AG23))))</f>
        <v>0706-1</v>
      </c>
      <c r="AG23" s="27" t="str">
        <f t="array" ref="AG23">IF(C23="","",INDEX(구분표!$I$2:$I$300, MATCH(1,(구분표!$E$2:$E$300='2추일입'!B23)*(구분표!$F$2:$F$300='2추일입'!C23)*(구분표!$G$2:$G$300='2추일입'!A23),0)))</f>
        <v>0706</v>
      </c>
      <c r="AI23" s="27"/>
      <c r="AK23" s="42">
        <f>IF(AE23="",0,SUMIFS('2추일출'!$V$6:$V$294,'2추일출'!$AE$6:$AE$294,'2추일입'!$AE23))</f>
        <v>44439</v>
      </c>
      <c r="AL23" s="42">
        <f>IF(AE23="","",COUNTIFS('2추일출'!$AE$6:$AE$294,'2추일입'!AE23))</f>
        <v>1</v>
      </c>
      <c r="AM23" s="27" t="str">
        <f t="shared" si="13"/>
        <v>OK</v>
      </c>
      <c r="AO23" s="42">
        <f>IF(AE23="",0,SUMIFS('2추일출'!$AA$6:$AA$294,'2추일출'!$AE$6:$AE$294,'2추일입'!$AE23))</f>
        <v>44439</v>
      </c>
      <c r="AP23" s="42">
        <f>IF(AE23="","",COUNTIFS('2추일출'!$AE$6:$AE$294,AE23))</f>
        <v>1</v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>도시환경위원회</v>
      </c>
      <c r="B24" s="24" t="str">
        <f>IFERROR(VLOOKUP($C24,구분표!$A$2:$C$300,3,FALSE),"")</f>
        <v>수자원본부</v>
      </c>
      <c r="C24" s="31" t="s">
        <v>831</v>
      </c>
      <c r="D24" s="35" t="s">
        <v>776</v>
      </c>
      <c r="E24" s="36">
        <v>761</v>
      </c>
      <c r="F24" s="35" t="s">
        <v>792</v>
      </c>
      <c r="G24" s="44">
        <v>38242000</v>
      </c>
      <c r="H24" s="42">
        <v>38431000</v>
      </c>
      <c r="I24" s="54">
        <f t="shared" si="3"/>
        <v>-189000</v>
      </c>
      <c r="J24" s="42"/>
      <c r="K24" s="45">
        <v>3310000</v>
      </c>
      <c r="L24" s="50">
        <f t="shared" si="4"/>
        <v>41552000</v>
      </c>
      <c r="M24" s="42"/>
      <c r="N24" s="45">
        <v>3310000</v>
      </c>
      <c r="O24" s="52">
        <f t="shared" si="5"/>
        <v>41552000</v>
      </c>
      <c r="P24" s="27" t="str">
        <f t="shared" si="6"/>
        <v>X</v>
      </c>
      <c r="Q24" s="133" t="s">
        <v>822</v>
      </c>
      <c r="S24" s="27"/>
      <c r="U24" s="27"/>
      <c r="V24" s="42">
        <f t="shared" si="7"/>
        <v>3310000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3310000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IF(AG24="","",IF(U24="도비","세입없음",CONCATENATE(AG24,"-",COUNTIF($AG$7:AG24,AG24))))</f>
        <v>0921-1</v>
      </c>
      <c r="AG24" s="27" t="str">
        <f t="array" ref="AG24">IF(C24="","",INDEX(구분표!$I$2:$I$300, MATCH(1,(구분표!$E$2:$E$300='2추일입'!B24)*(구분표!$F$2:$F$300='2추일입'!C24)*(구분표!$G$2:$G$300='2추일입'!A24),0)))</f>
        <v>0921</v>
      </c>
      <c r="AI24" s="27"/>
      <c r="AK24" s="42">
        <f>IF(AE24="",0,SUMIFS('2추일출'!$V$6:$V$294,'2추일출'!$AE$6:$AE$294,'2추일입'!$AE24))</f>
        <v>3310000</v>
      </c>
      <c r="AL24" s="42">
        <f>IF(AE24="","",COUNTIFS('2추일출'!$AE$6:$AE$294,'2추일입'!AE24))</f>
        <v>1</v>
      </c>
      <c r="AM24" s="27" t="str">
        <f t="shared" si="13"/>
        <v>OK</v>
      </c>
      <c r="AO24" s="42">
        <f>IF(AE24="",0,SUMIFS('2추일출'!$AA$6:$AA$294,'2추일출'!$AE$6:$AE$294,'2추일입'!$AE24))</f>
        <v>3310000</v>
      </c>
      <c r="AP24" s="42">
        <f>IF(AE24="","",COUNTIFS('2추일출'!$AE$6:$AE$294,AE24))</f>
        <v>1</v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>도시환경위원회</v>
      </c>
      <c r="B25" s="24" t="str">
        <f>IFERROR(VLOOKUP($C25,구분표!$A$2:$C$300,3,FALSE),"")</f>
        <v>수자원본부</v>
      </c>
      <c r="C25" s="31" t="s">
        <v>831</v>
      </c>
      <c r="D25" s="35" t="s">
        <v>776</v>
      </c>
      <c r="E25" s="36">
        <v>761</v>
      </c>
      <c r="F25" s="35" t="s">
        <v>793</v>
      </c>
      <c r="G25" s="44">
        <v>109356000</v>
      </c>
      <c r="H25" s="42">
        <v>110747000</v>
      </c>
      <c r="I25" s="54">
        <f t="shared" si="3"/>
        <v>-1391000</v>
      </c>
      <c r="J25" s="42">
        <v>-6902000</v>
      </c>
      <c r="K25" s="45"/>
      <c r="L25" s="50">
        <f t="shared" si="4"/>
        <v>102454000</v>
      </c>
      <c r="M25" s="42">
        <v>-6902000</v>
      </c>
      <c r="N25" s="45"/>
      <c r="O25" s="52">
        <f t="shared" si="5"/>
        <v>102454000</v>
      </c>
      <c r="P25" s="27" t="str">
        <f t="shared" si="6"/>
        <v>X</v>
      </c>
      <c r="Q25" s="133" t="s">
        <v>823</v>
      </c>
      <c r="S25" s="27"/>
      <c r="U25" s="27"/>
      <c r="V25" s="42">
        <f t="shared" si="7"/>
        <v>-6902000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-6902000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IF(AG25="","",IF(U25="도비","세입없음",CONCATENATE(AG25,"-",COUNTIF($AG$7:AG25,AG25))))</f>
        <v>0921-2</v>
      </c>
      <c r="AG25" s="27" t="str">
        <f t="array" ref="AG25">IF(C25="","",INDEX(구분표!$I$2:$I$300, MATCH(1,(구분표!$E$2:$E$300='2추일입'!B25)*(구분표!$F$2:$F$300='2추일입'!C25)*(구분표!$G$2:$G$300='2추일입'!A25),0)))</f>
        <v>0921</v>
      </c>
      <c r="AI25" s="27"/>
      <c r="AK25" s="42">
        <f>IF(AE25="",0,SUMIFS('2추일출'!$V$6:$V$294,'2추일출'!$AE$6:$AE$294,'2추일입'!$AE25))</f>
        <v>-6902000</v>
      </c>
      <c r="AL25" s="42">
        <f>IF(AE25="","",COUNTIFS('2추일출'!$AE$6:$AE$294,'2추일입'!AE25))</f>
        <v>1</v>
      </c>
      <c r="AM25" s="27" t="str">
        <f t="shared" si="13"/>
        <v>OK</v>
      </c>
      <c r="AO25" s="42">
        <f>IF(AE25="",0,SUMIFS('2추일출'!$AA$6:$AA$294,'2추일출'!$AE$6:$AE$294,'2추일입'!$AE25))</f>
        <v>-6902000</v>
      </c>
      <c r="AP25" s="42">
        <f>IF(AE25="","",COUNTIFS('2추일출'!$AE$6:$AE$294,AE25))</f>
        <v>1</v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>도시환경위원회</v>
      </c>
      <c r="B26" s="24" t="str">
        <f>IFERROR(VLOOKUP($C26,구분표!$A$2:$C$300,3,FALSE),"")</f>
        <v>수자원본부</v>
      </c>
      <c r="C26" s="31" t="s">
        <v>831</v>
      </c>
      <c r="D26" s="35" t="s">
        <v>776</v>
      </c>
      <c r="E26" s="36">
        <v>761</v>
      </c>
      <c r="F26" s="35" t="s">
        <v>794</v>
      </c>
      <c r="G26" s="44">
        <v>22506000</v>
      </c>
      <c r="H26" s="42">
        <v>23264000</v>
      </c>
      <c r="I26" s="54">
        <f t="shared" si="3"/>
        <v>-758000</v>
      </c>
      <c r="J26" s="42"/>
      <c r="K26" s="45">
        <v>564000</v>
      </c>
      <c r="L26" s="50">
        <f t="shared" si="4"/>
        <v>23070000</v>
      </c>
      <c r="M26" s="42"/>
      <c r="N26" s="45">
        <v>564000</v>
      </c>
      <c r="O26" s="52">
        <f t="shared" si="5"/>
        <v>23070000</v>
      </c>
      <c r="P26" s="27" t="str">
        <f t="shared" si="6"/>
        <v>X</v>
      </c>
      <c r="Q26" s="133" t="s">
        <v>824</v>
      </c>
      <c r="S26" s="27"/>
      <c r="U26" s="27"/>
      <c r="V26" s="42">
        <f t="shared" si="7"/>
        <v>564000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564000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IF(AG26="","",IF(U26="도비","세입없음",CONCATENATE(AG26,"-",COUNTIF($AG$7:AG26,AG26))))</f>
        <v>0921-3</v>
      </c>
      <c r="AG26" s="27" t="str">
        <f t="array" ref="AG26">IF(C26="","",INDEX(구분표!$I$2:$I$300, MATCH(1,(구분표!$E$2:$E$300='2추일입'!B26)*(구분표!$F$2:$F$300='2추일입'!C26)*(구분표!$G$2:$G$300='2추일입'!A26),0)))</f>
        <v>0921</v>
      </c>
      <c r="AI26" s="27"/>
      <c r="AK26" s="42">
        <f>IF(AE26="",0,SUMIFS('2추일출'!$V$6:$V$294,'2추일출'!$AE$6:$AE$294,'2추일입'!$AE26))</f>
        <v>564000</v>
      </c>
      <c r="AL26" s="42">
        <f>IF(AE26="","",COUNTIFS('2추일출'!$AE$6:$AE$294,'2추일입'!AE26))</f>
        <v>1</v>
      </c>
      <c r="AM26" s="27" t="str">
        <f t="shared" si="13"/>
        <v>OK</v>
      </c>
      <c r="AO26" s="42">
        <f>IF(AE26="",0,SUMIFS('2추일출'!$AA$6:$AA$294,'2추일출'!$AE$6:$AE$294,'2추일입'!$AE26))</f>
        <v>564000</v>
      </c>
      <c r="AP26" s="42">
        <f>IF(AE26="","",COUNTIFS('2추일출'!$AE$6:$AE$294,AE26))</f>
        <v>1</v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>도시환경위원회</v>
      </c>
      <c r="B27" s="24" t="str">
        <f>IFERROR(VLOOKUP($C27,구분표!$A$2:$C$300,3,FALSE),"")</f>
        <v>수자원본부</v>
      </c>
      <c r="C27" s="31" t="s">
        <v>831</v>
      </c>
      <c r="D27" s="35" t="s">
        <v>776</v>
      </c>
      <c r="E27" s="36">
        <v>761</v>
      </c>
      <c r="F27" s="35" t="s">
        <v>795</v>
      </c>
      <c r="G27" s="44">
        <v>184848000</v>
      </c>
      <c r="H27" s="42">
        <v>190237000</v>
      </c>
      <c r="I27" s="54">
        <f t="shared" si="3"/>
        <v>-5389000</v>
      </c>
      <c r="J27" s="42"/>
      <c r="K27" s="45">
        <v>11189000</v>
      </c>
      <c r="L27" s="50">
        <f t="shared" si="4"/>
        <v>196037000</v>
      </c>
      <c r="M27" s="42"/>
      <c r="N27" s="45">
        <v>11189000</v>
      </c>
      <c r="O27" s="52">
        <f t="shared" si="5"/>
        <v>196037000</v>
      </c>
      <c r="P27" s="27" t="str">
        <f t="shared" si="6"/>
        <v>X</v>
      </c>
      <c r="Q27" s="133" t="s">
        <v>824</v>
      </c>
      <c r="S27" s="27"/>
      <c r="U27" s="27"/>
      <c r="V27" s="42">
        <f t="shared" si="7"/>
        <v>11189000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11189000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IF(AG27="","",IF(U27="도비","세입없음",CONCATENATE(AG27,"-",COUNTIF($AG$7:AG27,AG27))))</f>
        <v>0921-4</v>
      </c>
      <c r="AG27" s="27" t="str">
        <f t="array" ref="AG27">IF(C27="","",INDEX(구분표!$I$2:$I$300, MATCH(1,(구분표!$E$2:$E$300='2추일입'!B27)*(구분표!$F$2:$F$300='2추일입'!C27)*(구분표!$G$2:$G$300='2추일입'!A27),0)))</f>
        <v>0921</v>
      </c>
      <c r="AI27" s="27"/>
      <c r="AK27" s="42">
        <f>IF(AE27="",0,SUMIFS('2추일출'!$V$6:$V$294,'2추일출'!$AE$6:$AE$294,'2추일입'!$AE27))</f>
        <v>11189000</v>
      </c>
      <c r="AL27" s="42">
        <f>IF(AE27="","",COUNTIFS('2추일출'!$AE$6:$AE$294,'2추일입'!AE27))</f>
        <v>1</v>
      </c>
      <c r="AM27" s="27" t="str">
        <f t="shared" si="13"/>
        <v>OK</v>
      </c>
      <c r="AO27" s="42">
        <f>IF(AE27="",0,SUMIFS('2추일출'!$AA$6:$AA$294,'2추일출'!$AE$6:$AE$294,'2추일입'!$AE27))</f>
        <v>11189000</v>
      </c>
      <c r="AP27" s="42">
        <f>IF(AE27="","",COUNTIFS('2추일출'!$AE$6:$AE$294,AE27))</f>
        <v>1</v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>도시환경위원회</v>
      </c>
      <c r="B28" s="24" t="str">
        <f>IFERROR(VLOOKUP($C28,구분표!$A$2:$C$300,3,FALSE),"")</f>
        <v>수자원본부</v>
      </c>
      <c r="C28" s="31" t="s">
        <v>831</v>
      </c>
      <c r="D28" s="35" t="s">
        <v>779</v>
      </c>
      <c r="E28" s="36">
        <v>62</v>
      </c>
      <c r="F28" s="35" t="s">
        <v>796</v>
      </c>
      <c r="G28" s="44">
        <v>0</v>
      </c>
      <c r="H28" s="42">
        <v>69000</v>
      </c>
      <c r="I28" s="54">
        <f t="shared" si="3"/>
        <v>-69000</v>
      </c>
      <c r="J28" s="42"/>
      <c r="K28" s="45">
        <v>1500000</v>
      </c>
      <c r="L28" s="50">
        <f t="shared" si="4"/>
        <v>1569000</v>
      </c>
      <c r="M28" s="42"/>
      <c r="N28" s="45">
        <v>1500000</v>
      </c>
      <c r="O28" s="52">
        <f t="shared" si="5"/>
        <v>1569000</v>
      </c>
      <c r="P28" s="27" t="str">
        <f t="shared" si="6"/>
        <v>X</v>
      </c>
      <c r="Q28" s="133" t="s">
        <v>824</v>
      </c>
      <c r="S28" s="27"/>
      <c r="U28" s="27"/>
      <c r="V28" s="42">
        <f t="shared" si="7"/>
        <v>1500000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1500000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IF(AG28="","",IF(U28="도비","세입없음",CONCATENATE(AG28,"-",COUNTIF($AG$7:AG28,AG28))))</f>
        <v>0921-5</v>
      </c>
      <c r="AG28" s="27" t="str">
        <f t="array" ref="AG28">IF(C28="","",INDEX(구분표!$I$2:$I$300, MATCH(1,(구분표!$E$2:$E$300='2추일입'!B28)*(구분표!$F$2:$F$300='2추일입'!C28)*(구분표!$G$2:$G$300='2추일입'!A28),0)))</f>
        <v>0921</v>
      </c>
      <c r="AI28" s="27"/>
      <c r="AK28" s="42">
        <f>IF(AE28="",0,SUMIFS('2추일출'!$V$6:$V$294,'2추일출'!$AE$6:$AE$294,'2추일입'!$AE28))</f>
        <v>1500000</v>
      </c>
      <c r="AL28" s="42">
        <f>IF(AE28="","",COUNTIFS('2추일출'!$AE$6:$AE$294,'2추일입'!AE28))</f>
        <v>1</v>
      </c>
      <c r="AM28" s="27" t="str">
        <f t="shared" si="13"/>
        <v>OK</v>
      </c>
      <c r="AO28" s="42">
        <f>IF(AE28="",0,SUMIFS('2추일출'!$AA$6:$AA$294,'2추일출'!$AE$6:$AE$294,'2추일입'!$AE28))</f>
        <v>1500000</v>
      </c>
      <c r="AP28" s="42">
        <f>IF(AE28="","",COUNTIFS('2추일출'!$AE$6:$AE$294,AE28))</f>
        <v>1</v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>도시환경위원회</v>
      </c>
      <c r="B29" s="24" t="str">
        <f>IFERROR(VLOOKUP($C29,구분표!$A$2:$C$300,3,FALSE),"")</f>
        <v>환경국</v>
      </c>
      <c r="C29" s="31" t="s">
        <v>569</v>
      </c>
      <c r="D29" s="35" t="s">
        <v>771</v>
      </c>
      <c r="E29" s="36"/>
      <c r="F29" s="35" t="s">
        <v>1213</v>
      </c>
      <c r="G29" s="44">
        <v>0</v>
      </c>
      <c r="H29" s="42">
        <v>0</v>
      </c>
      <c r="I29" s="54">
        <f t="shared" si="3"/>
        <v>0</v>
      </c>
      <c r="J29" s="42"/>
      <c r="K29" s="45">
        <v>110000</v>
      </c>
      <c r="L29" s="50">
        <f t="shared" si="4"/>
        <v>110000</v>
      </c>
      <c r="M29" s="42"/>
      <c r="N29" s="45">
        <v>110000</v>
      </c>
      <c r="O29" s="52">
        <f t="shared" si="5"/>
        <v>110000</v>
      </c>
      <c r="P29" s="27" t="str">
        <f t="shared" si="6"/>
        <v>X</v>
      </c>
      <c r="Q29" s="133" t="s">
        <v>825</v>
      </c>
      <c r="S29" s="27"/>
      <c r="U29" s="27"/>
      <c r="V29" s="42">
        <f t="shared" si="7"/>
        <v>110000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110000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IF(AG29="","",IF(U29="도비","세입없음",CONCATENATE(AG29,"-",COUNTIF($AG$7:AG29,AG29))))</f>
        <v>0911-1</v>
      </c>
      <c r="AG29" s="27" t="str">
        <f t="array" ref="AG29">IF(C29="","",INDEX(구분표!$I$2:$I$300, MATCH(1,(구분표!$E$2:$E$300='2추일입'!B29)*(구분표!$F$2:$F$300='2추일입'!C29)*(구분표!$G$2:$G$300='2추일입'!A29),0)))</f>
        <v>0911</v>
      </c>
      <c r="AI29" s="27"/>
      <c r="AK29" s="42">
        <f>IF(AE29="",0,SUMIFS('2추일출'!$V$6:$V$294,'2추일출'!$AE$6:$AE$294,'2추일입'!$AE29))</f>
        <v>110000</v>
      </c>
      <c r="AL29" s="42">
        <f>IF(AE29="","",COUNTIFS('2추일출'!$AE$6:$AE$294,'2추일입'!AE29))</f>
        <v>1</v>
      </c>
      <c r="AM29" s="27" t="str">
        <f t="shared" si="13"/>
        <v>OK</v>
      </c>
      <c r="AO29" s="42">
        <f>IF(AE29="",0,SUMIFS('2추일출'!$AA$6:$AA$294,'2추일출'!$AE$6:$AE$294,'2추일입'!$AE29))</f>
        <v>110000</v>
      </c>
      <c r="AP29" s="42">
        <f>IF(AE29="","",COUNTIFS('2추일출'!$AE$6:$AE$294,AE29))</f>
        <v>1</v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>안전행정위원회</v>
      </c>
      <c r="B30" s="24" t="str">
        <f>IFERROR(VLOOKUP($C30,구분표!$A$2:$C$300,3,FALSE),"")</f>
        <v>재난안전본부</v>
      </c>
      <c r="C30" s="31" t="s">
        <v>198</v>
      </c>
      <c r="D30" s="35" t="s">
        <v>771</v>
      </c>
      <c r="E30" s="36">
        <v>387</v>
      </c>
      <c r="F30" s="35" t="s">
        <v>797</v>
      </c>
      <c r="G30" s="44">
        <v>704000</v>
      </c>
      <c r="H30" s="42">
        <v>0</v>
      </c>
      <c r="I30" s="54">
        <f t="shared" si="3"/>
        <v>704000</v>
      </c>
      <c r="J30" s="42"/>
      <c r="K30" s="45"/>
      <c r="L30" s="50">
        <f t="shared" si="4"/>
        <v>704000</v>
      </c>
      <c r="M30" s="42"/>
      <c r="N30" s="45"/>
      <c r="O30" s="52">
        <f t="shared" si="5"/>
        <v>704000</v>
      </c>
      <c r="P30" s="27" t="str">
        <f t="shared" si="6"/>
        <v>X</v>
      </c>
      <c r="Q30" s="133" t="s">
        <v>1009</v>
      </c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IF(AG30="","",IF(U30="도비","세입없음",CONCATENATE(AG30,"-",COUNTIF($AG$7:AG30,AG30))))</f>
        <v>0411-1</v>
      </c>
      <c r="AG30" s="27" t="str">
        <f t="array" ref="AG30">IF(C30="","",INDEX(구분표!$I$2:$I$300, MATCH(1,(구분표!$E$2:$E$300='2추일입'!B30)*(구분표!$F$2:$F$300='2추일입'!C30)*(구분표!$G$2:$G$300='2추일입'!A30),0)))</f>
        <v>0411</v>
      </c>
      <c r="AI30" s="27"/>
      <c r="AK30" s="42">
        <f>IF(AE30="",0,SUMIFS('2추일출'!$V$6:$V$294,'2추일출'!$AE$6:$AE$294,'2추일입'!$AE30))</f>
        <v>0</v>
      </c>
      <c r="AL30" s="42">
        <f>IF(AE30="","",COUNTIFS('2추일출'!$AE$6:$AE$294,'2추일입'!AE30))</f>
        <v>1</v>
      </c>
      <c r="AM30" s="27" t="str">
        <f t="shared" si="13"/>
        <v>OK</v>
      </c>
      <c r="AO30" s="42">
        <f>IF(AE30="",0,SUMIFS('2추일출'!$AA$6:$AA$294,'2추일출'!$AE$6:$AE$294,'2추일입'!$AE30))</f>
        <v>0</v>
      </c>
      <c r="AP30" s="42">
        <f>IF(AE30="","",COUNTIFS('2추일출'!$AE$6:$AE$294,AE30))</f>
        <v>1</v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>문화체육관광위원회</v>
      </c>
      <c r="B31" s="24" t="str">
        <f>IFERROR(VLOOKUP($C31,구분표!$A$2:$C$300,3,FALSE),"")</f>
        <v>문화체육관광국</v>
      </c>
      <c r="C31" s="31" t="s">
        <v>350</v>
      </c>
      <c r="D31" s="35" t="s">
        <v>771</v>
      </c>
      <c r="E31" s="36"/>
      <c r="F31" s="35" t="s">
        <v>798</v>
      </c>
      <c r="G31" s="44">
        <v>0</v>
      </c>
      <c r="H31" s="42">
        <v>0</v>
      </c>
      <c r="I31" s="54">
        <f t="shared" si="3"/>
        <v>0</v>
      </c>
      <c r="J31" s="42"/>
      <c r="K31" s="45">
        <v>925000</v>
      </c>
      <c r="L31" s="50">
        <f t="shared" si="4"/>
        <v>925000</v>
      </c>
      <c r="M31" s="42"/>
      <c r="N31" s="45">
        <v>925000</v>
      </c>
      <c r="O31" s="52">
        <f t="shared" si="5"/>
        <v>925000</v>
      </c>
      <c r="P31" s="27" t="str">
        <f t="shared" si="6"/>
        <v>X</v>
      </c>
      <c r="Q31" s="133"/>
      <c r="S31" s="27"/>
      <c r="U31" s="27"/>
      <c r="V31" s="42">
        <f t="shared" si="7"/>
        <v>925000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925000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IF(AG31="","",IF(U31="도비","세입없음",CONCATENATE(AG31,"-",COUNTIF($AG$7:AG31,AG31))))</f>
        <v>0503-1</v>
      </c>
      <c r="AG31" s="27" t="str">
        <f t="array" ref="AG31">IF(C31="","",INDEX(구분표!$I$2:$I$300, MATCH(1,(구분표!$E$2:$E$300='2추일입'!B31)*(구분표!$F$2:$F$300='2추일입'!C31)*(구분표!$G$2:$G$300='2추일입'!A31),0)))</f>
        <v>0503</v>
      </c>
      <c r="AI31" s="27"/>
      <c r="AK31" s="42">
        <f>IF(AE31="",0,SUMIFS('2추일출'!$V$6:$V$294,'2추일출'!$AE$6:$AE$294,'2추일입'!$AE31))</f>
        <v>925000</v>
      </c>
      <c r="AL31" s="42">
        <f>IF(AE31="","",COUNTIFS('2추일출'!$AE$6:$AE$294,'2추일입'!AE31))</f>
        <v>3</v>
      </c>
      <c r="AM31" s="27" t="str">
        <f t="shared" si="13"/>
        <v>OK</v>
      </c>
      <c r="AO31" s="42">
        <f>IF(AE31="",0,SUMIFS('2추일출'!$AA$6:$AA$294,'2추일출'!$AE$6:$AE$294,'2추일입'!$AE31))</f>
        <v>925000</v>
      </c>
      <c r="AP31" s="42">
        <f>IF(AE31="","",COUNTIFS('2추일출'!$AE$6:$AE$294,AE31))</f>
        <v>3</v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>문화체육관광위원회</v>
      </c>
      <c r="B32" s="24" t="str">
        <f>IFERROR(VLOOKUP($C32,구분표!$A$2:$C$300,3,FALSE),"")</f>
        <v>문화체육관광국</v>
      </c>
      <c r="C32" s="31" t="s">
        <v>350</v>
      </c>
      <c r="D32" s="35" t="s">
        <v>776</v>
      </c>
      <c r="E32" s="36">
        <v>452</v>
      </c>
      <c r="F32" s="35" t="s">
        <v>799</v>
      </c>
      <c r="G32" s="44">
        <v>8740000</v>
      </c>
      <c r="H32" s="42">
        <v>4440000</v>
      </c>
      <c r="I32" s="54">
        <f t="shared" si="3"/>
        <v>4300000</v>
      </c>
      <c r="J32" s="42"/>
      <c r="K32" s="45">
        <v>2700000</v>
      </c>
      <c r="L32" s="50">
        <f t="shared" si="4"/>
        <v>11440000</v>
      </c>
      <c r="M32" s="42"/>
      <c r="N32" s="45">
        <v>2700000</v>
      </c>
      <c r="O32" s="52">
        <f t="shared" si="5"/>
        <v>11440000</v>
      </c>
      <c r="P32" s="27" t="str">
        <f t="shared" si="6"/>
        <v>X</v>
      </c>
      <c r="Q32" s="133"/>
      <c r="S32" s="27"/>
      <c r="U32" s="27"/>
      <c r="V32" s="42">
        <f t="shared" si="7"/>
        <v>2700000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2700000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IF(AG32="","",IF(U32="도비","세입없음",CONCATENATE(AG32,"-",COUNTIF($AG$7:AG32,AG32))))</f>
        <v>0503-2</v>
      </c>
      <c r="AG32" s="27" t="str">
        <f t="array" ref="AG32">IF(C32="","",INDEX(구분표!$I$2:$I$300, MATCH(1,(구분표!$E$2:$E$300='2추일입'!B32)*(구분표!$F$2:$F$300='2추일입'!C32)*(구분표!$G$2:$G$300='2추일입'!A32),0)))</f>
        <v>0503</v>
      </c>
      <c r="AI32" s="27"/>
      <c r="AK32" s="42">
        <f>IF(AE32="",0,SUMIFS('2추일출'!$V$6:$V$294,'2추일출'!$AE$6:$AE$294,'2추일입'!$AE32))</f>
        <v>2700000</v>
      </c>
      <c r="AL32" s="42">
        <f>IF(AE32="","",COUNTIFS('2추일출'!$AE$6:$AE$294,'2추일입'!AE32))</f>
        <v>1</v>
      </c>
      <c r="AM32" s="27" t="str">
        <f t="shared" si="13"/>
        <v>OK</v>
      </c>
      <c r="AO32" s="42">
        <f>IF(AE32="",0,SUMIFS('2추일출'!$AA$6:$AA$294,'2추일출'!$AE$6:$AE$294,'2추일입'!$AE32))</f>
        <v>2700000</v>
      </c>
      <c r="AP32" s="42">
        <f>IF(AE32="","",COUNTIFS('2추일출'!$AE$6:$AE$294,AE32))</f>
        <v>1</v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>문화체육관광위원회</v>
      </c>
      <c r="B33" s="24" t="str">
        <f>IFERROR(VLOOKUP($C33,구분표!$A$2:$C$300,3,FALSE),"")</f>
        <v>문화체육관광국</v>
      </c>
      <c r="C33" s="31" t="s">
        <v>347</v>
      </c>
      <c r="D33" s="35" t="s">
        <v>771</v>
      </c>
      <c r="E33" s="36"/>
      <c r="F33" s="35" t="s">
        <v>800</v>
      </c>
      <c r="G33" s="44">
        <v>0</v>
      </c>
      <c r="H33" s="42">
        <v>0</v>
      </c>
      <c r="I33" s="54">
        <f t="shared" si="3"/>
        <v>0</v>
      </c>
      <c r="J33" s="42"/>
      <c r="K33" s="45">
        <v>300000</v>
      </c>
      <c r="L33" s="50">
        <f t="shared" si="4"/>
        <v>300000</v>
      </c>
      <c r="M33" s="42"/>
      <c r="N33" s="45">
        <v>300000</v>
      </c>
      <c r="O33" s="52">
        <f t="shared" si="5"/>
        <v>300000</v>
      </c>
      <c r="P33" s="27" t="str">
        <f t="shared" si="6"/>
        <v>X</v>
      </c>
      <c r="Q33" s="133"/>
      <c r="S33" s="27"/>
      <c r="U33" s="27"/>
      <c r="V33" s="42">
        <f t="shared" si="7"/>
        <v>300000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300000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IF(AG33="","",IF(U33="도비","세입없음",CONCATENATE(AG33,"-",COUNTIF($AG$7:AG33,AG33))))</f>
        <v>0502-1</v>
      </c>
      <c r="AG33" s="27" t="str">
        <f t="array" ref="AG33">IF(C33="","",INDEX(구분표!$I$2:$I$300, MATCH(1,(구분표!$E$2:$E$300='2추일입'!B33)*(구분표!$F$2:$F$300='2추일입'!C33)*(구분표!$G$2:$G$300='2추일입'!A33),0)))</f>
        <v>0502</v>
      </c>
      <c r="AI33" s="27"/>
      <c r="AK33" s="42">
        <f>IF(AE33="",0,SUMIFS('2추일출'!$V$6:$V$294,'2추일출'!$AE$6:$AE$294,'2추일입'!$AE33))</f>
        <v>300000</v>
      </c>
      <c r="AL33" s="42">
        <f>IF(AE33="","",COUNTIFS('2추일출'!$AE$6:$AE$294,'2추일입'!AE33))</f>
        <v>1</v>
      </c>
      <c r="AM33" s="27" t="str">
        <f t="shared" si="13"/>
        <v>OK</v>
      </c>
      <c r="AO33" s="42">
        <f>IF(AE33="",0,SUMIFS('2추일출'!$AA$6:$AA$294,'2추일출'!$AE$6:$AE$294,'2추일입'!$AE33))</f>
        <v>300000</v>
      </c>
      <c r="AP33" s="42">
        <f>IF(AE33="","",COUNTIFS('2추일출'!$AE$6:$AE$294,AE33))</f>
        <v>1</v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>여성가족교육협력위원회</v>
      </c>
      <c r="B34" s="24" t="str">
        <f>IFERROR(VLOOKUP($C34,구분표!$A$2:$C$300,3,FALSE),"")</f>
        <v>여성가족국</v>
      </c>
      <c r="C34" s="31" t="s">
        <v>602</v>
      </c>
      <c r="D34" s="154" t="s">
        <v>771</v>
      </c>
      <c r="E34" s="155">
        <v>781</v>
      </c>
      <c r="F34" s="154" t="s">
        <v>801</v>
      </c>
      <c r="G34" s="44">
        <v>433267</v>
      </c>
      <c r="H34" s="42">
        <v>0</v>
      </c>
      <c r="I34" s="54">
        <f t="shared" si="3"/>
        <v>433267</v>
      </c>
      <c r="J34" s="42">
        <v>-72160</v>
      </c>
      <c r="K34" s="45"/>
      <c r="L34" s="50">
        <f t="shared" si="4"/>
        <v>361107</v>
      </c>
      <c r="M34" s="42">
        <v>-72160</v>
      </c>
      <c r="N34" s="45"/>
      <c r="O34" s="52">
        <f t="shared" si="5"/>
        <v>361107</v>
      </c>
      <c r="P34" s="27" t="str">
        <f t="shared" si="6"/>
        <v>X</v>
      </c>
      <c r="Q34" s="133" t="s">
        <v>826</v>
      </c>
      <c r="S34" s="27"/>
      <c r="U34" s="27"/>
      <c r="V34" s="42">
        <f t="shared" si="7"/>
        <v>-72160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-72160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IF(AG34="","",IF(U34="도비","세입없음",CONCATENATE(AG34,"-",COUNTIF($AG$7:AG34,AG34))))</f>
        <v>1001-1</v>
      </c>
      <c r="AG34" s="27" t="str">
        <f t="array" ref="AG34">IF(C34="","",INDEX(구분표!$I$2:$I$300, MATCH(1,(구분표!$E$2:$E$300='2추일입'!B34)*(구분표!$F$2:$F$300='2추일입'!C34)*(구분표!$G$2:$G$300='2추일입'!A34),0)))</f>
        <v>1001</v>
      </c>
      <c r="AI34" s="27"/>
      <c r="AK34" s="42">
        <f>IF(AE34="",0,SUMIFS('2추일출'!$V$6:$V$294,'2추일출'!$AE$6:$AE$294,'2추일입'!$AE34))</f>
        <v>0</v>
      </c>
      <c r="AL34" s="42">
        <f>IF(AE34="","",COUNTIFS('2추일출'!$AE$6:$AE$294,'2추일입'!AE34))</f>
        <v>0</v>
      </c>
      <c r="AM34" s="27" t="str">
        <f t="shared" si="13"/>
        <v>@@</v>
      </c>
      <c r="AO34" s="42">
        <f>IF(AE34="",0,SUMIFS('2추일출'!$AA$6:$AA$294,'2추일출'!$AE$6:$AE$294,'2추일입'!$AE34))</f>
        <v>0</v>
      </c>
      <c r="AP34" s="42">
        <f>IF(AE34="","",COUNTIFS('2추일출'!$AE$6:$AE$294,AE34))</f>
        <v>0</v>
      </c>
      <c r="AQ34" s="27" t="str">
        <f t="shared" si="14"/>
        <v>@@</v>
      </c>
    </row>
    <row r="35" spans="1:43" ht="50.1" customHeight="1" x14ac:dyDescent="0.3">
      <c r="A35" s="33" t="str">
        <f>IFERROR(VLOOKUP($C35,구분표!$A$2:$C$300,2,FALSE),"")</f>
        <v>여성가족교육협력위원회</v>
      </c>
      <c r="B35" s="24" t="str">
        <f>IFERROR(VLOOKUP($C35,구분표!$A$2:$C$300,3,FALSE),"")</f>
        <v>여성가족국</v>
      </c>
      <c r="C35" s="31" t="s">
        <v>602</v>
      </c>
      <c r="D35" s="154" t="s">
        <v>771</v>
      </c>
      <c r="E35" s="155">
        <v>782</v>
      </c>
      <c r="F35" s="154" t="s">
        <v>802</v>
      </c>
      <c r="G35" s="44">
        <v>941</v>
      </c>
      <c r="H35" s="42">
        <v>0</v>
      </c>
      <c r="I35" s="54">
        <f t="shared" si="3"/>
        <v>941</v>
      </c>
      <c r="J35" s="42"/>
      <c r="K35" s="45">
        <v>72162</v>
      </c>
      <c r="L35" s="50">
        <f t="shared" si="4"/>
        <v>73103</v>
      </c>
      <c r="M35" s="42"/>
      <c r="N35" s="45">
        <v>72183</v>
      </c>
      <c r="O35" s="52">
        <f t="shared" si="5"/>
        <v>73124</v>
      </c>
      <c r="P35" s="27" t="str">
        <f t="shared" si="6"/>
        <v>X</v>
      </c>
      <c r="Q35" s="133" t="s">
        <v>826</v>
      </c>
      <c r="S35" s="27"/>
      <c r="U35" s="27"/>
      <c r="V35" s="42">
        <f t="shared" si="7"/>
        <v>72162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72183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IF(AG35="","",IF(U35="도비","세입없음",CONCATENATE(AG35,"-",COUNTIF($AG$7:AG35,AG35))))</f>
        <v>1001-2</v>
      </c>
      <c r="AG35" s="27" t="str">
        <f t="array" ref="AG35">IF(C35="","",INDEX(구분표!$I$2:$I$300, MATCH(1,(구분표!$E$2:$E$300='2추일입'!B35)*(구분표!$F$2:$F$300='2추일입'!C35)*(구분표!$G$2:$G$300='2추일입'!A35),0)))</f>
        <v>1001</v>
      </c>
      <c r="AI35" s="27"/>
      <c r="AK35" s="42">
        <f>IF(AE35="",0,SUMIFS('2추일출'!$V$6:$V$294,'2추일출'!$AE$6:$AE$294,'2추일입'!$AE35))</f>
        <v>0</v>
      </c>
      <c r="AL35" s="42">
        <f>IF(AE35="","",COUNTIFS('2추일출'!$AE$6:$AE$294,'2추일입'!AE35))</f>
        <v>0</v>
      </c>
      <c r="AM35" s="27" t="str">
        <f t="shared" si="13"/>
        <v>@@</v>
      </c>
      <c r="AO35" s="42">
        <f>IF(AE35="",0,SUMIFS('2추일출'!$AA$6:$AA$294,'2추일출'!$AE$6:$AE$294,'2추일입'!$AE35))</f>
        <v>0</v>
      </c>
      <c r="AP35" s="42">
        <f>IF(AE35="","",COUNTIFS('2추일출'!$AE$6:$AE$294,AE35))</f>
        <v>0</v>
      </c>
      <c r="AQ35" s="27" t="str">
        <f t="shared" si="14"/>
        <v>@@</v>
      </c>
    </row>
    <row r="36" spans="1:43" ht="50.1" customHeight="1" x14ac:dyDescent="0.3">
      <c r="A36" s="33" t="str">
        <f>IFERROR(VLOOKUP($C36,구분표!$A$2:$C$300,2,FALSE),"")</f>
        <v>여성가족교육협력위원회</v>
      </c>
      <c r="B36" s="24" t="str">
        <f>IFERROR(VLOOKUP($C36,구분표!$A$2:$C$300,3,FALSE),"")</f>
        <v>여성가족국</v>
      </c>
      <c r="C36" s="31" t="s">
        <v>602</v>
      </c>
      <c r="D36" s="35" t="s">
        <v>779</v>
      </c>
      <c r="E36" s="36">
        <v>781</v>
      </c>
      <c r="F36" s="35" t="s">
        <v>803</v>
      </c>
      <c r="G36" s="44">
        <v>2515776</v>
      </c>
      <c r="H36" s="42">
        <v>2464372</v>
      </c>
      <c r="I36" s="54">
        <f t="shared" si="3"/>
        <v>51404</v>
      </c>
      <c r="J36" s="42"/>
      <c r="K36" s="45">
        <v>147175</v>
      </c>
      <c r="L36" s="50">
        <f t="shared" si="4"/>
        <v>2662951</v>
      </c>
      <c r="M36" s="42"/>
      <c r="N36" s="45">
        <v>147175</v>
      </c>
      <c r="O36" s="52">
        <f t="shared" si="5"/>
        <v>2662951</v>
      </c>
      <c r="P36" s="27" t="str">
        <f t="shared" si="6"/>
        <v>X</v>
      </c>
      <c r="Q36" s="133" t="s">
        <v>827</v>
      </c>
      <c r="S36" s="27"/>
      <c r="U36" s="27"/>
      <c r="V36" s="42">
        <f t="shared" si="7"/>
        <v>147175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147175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IF(AG36="","",IF(U36="도비","세입없음",CONCATENATE(AG36,"-",COUNTIF($AG$7:AG36,AG36))))</f>
        <v>1001-3</v>
      </c>
      <c r="AG36" s="27" t="str">
        <f t="array" ref="AG36">IF(C36="","",INDEX(구분표!$I$2:$I$300, MATCH(1,(구분표!$E$2:$E$300='2추일입'!B36)*(구분표!$F$2:$F$300='2추일입'!C36)*(구분표!$G$2:$G$300='2추일입'!A36),0)))</f>
        <v>1001</v>
      </c>
      <c r="AI36" s="27"/>
      <c r="AK36" s="42">
        <f>IF(AE36="",0,SUMIFS('2추일출'!$V$6:$V$294,'2추일출'!$AE$6:$AE$294,'2추일입'!$AE36))</f>
        <v>147175</v>
      </c>
      <c r="AL36" s="42">
        <f>IF(AE36="","",COUNTIFS('2추일출'!$AE$6:$AE$294,'2추일입'!AE36))</f>
        <v>6</v>
      </c>
      <c r="AM36" s="27" t="str">
        <f t="shared" si="13"/>
        <v>OK</v>
      </c>
      <c r="AO36" s="42">
        <f>IF(AE36="",0,SUMIFS('2추일출'!$AA$6:$AA$294,'2추일출'!$AE$6:$AE$294,'2추일입'!$AE36))</f>
        <v>147175</v>
      </c>
      <c r="AP36" s="42">
        <f>IF(AE36="","",COUNTIFS('2추일출'!$AE$6:$AE$294,AE36))</f>
        <v>6</v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>여성가족교육협력위원회</v>
      </c>
      <c r="B37" s="24" t="str">
        <f>IFERROR(VLOOKUP($C37,구분표!$A$2:$C$300,3,FALSE),"")</f>
        <v>여성가족국</v>
      </c>
      <c r="C37" s="31" t="s">
        <v>610</v>
      </c>
      <c r="D37" s="35" t="s">
        <v>779</v>
      </c>
      <c r="E37" s="36"/>
      <c r="F37" s="35" t="s">
        <v>804</v>
      </c>
      <c r="G37" s="44">
        <v>9300000</v>
      </c>
      <c r="H37" s="42">
        <v>9300000</v>
      </c>
      <c r="I37" s="54">
        <f t="shared" si="3"/>
        <v>0</v>
      </c>
      <c r="J37" s="42"/>
      <c r="K37" s="45">
        <v>275350</v>
      </c>
      <c r="L37" s="50">
        <f t="shared" si="4"/>
        <v>9575350</v>
      </c>
      <c r="M37" s="42"/>
      <c r="N37" s="45">
        <v>275350</v>
      </c>
      <c r="O37" s="52">
        <f t="shared" si="5"/>
        <v>9575350</v>
      </c>
      <c r="P37" s="27" t="str">
        <f t="shared" si="6"/>
        <v>X</v>
      </c>
      <c r="Q37" s="133" t="s">
        <v>828</v>
      </c>
      <c r="S37" s="27"/>
      <c r="U37" s="27"/>
      <c r="V37" s="42">
        <f t="shared" si="7"/>
        <v>275350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275350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IF(AG37="","",IF(U37="도비","세입없음",CONCATENATE(AG37,"-",COUNTIF($AG$7:AG37,AG37))))</f>
        <v>1003-1</v>
      </c>
      <c r="AG37" s="27" t="str">
        <f t="array" ref="AG37">IF(C37="","",INDEX(구분표!$I$2:$I$300, MATCH(1,(구분표!$E$2:$E$300='2추일입'!B37)*(구분표!$F$2:$F$300='2추일입'!C37)*(구분표!$G$2:$G$300='2추일입'!A37),0)))</f>
        <v>1003</v>
      </c>
      <c r="AI37" s="27"/>
      <c r="AK37" s="42">
        <f>IF(AE37="",0,SUMIFS('2추일출'!$V$6:$V$294,'2추일출'!$AE$6:$AE$294,'2추일입'!$AE37))</f>
        <v>275350</v>
      </c>
      <c r="AL37" s="42">
        <f>IF(AE37="","",COUNTIFS('2추일출'!$AE$6:$AE$294,'2추일입'!AE37))</f>
        <v>2</v>
      </c>
      <c r="AM37" s="27" t="str">
        <f t="shared" si="13"/>
        <v>OK</v>
      </c>
      <c r="AO37" s="42">
        <f>IF(AE37="",0,SUMIFS('2추일출'!$AA$6:$AA$294,'2추일출'!$AE$6:$AE$294,'2추일입'!$AE37))</f>
        <v>275350</v>
      </c>
      <c r="AP37" s="42">
        <f>IF(AE37="","",COUNTIFS('2추일출'!$AE$6:$AE$294,AE37))</f>
        <v>2</v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>여성가족교육협력위원회</v>
      </c>
      <c r="B38" s="24" t="str">
        <f>IFERROR(VLOOKUP($C38,구분표!$A$2:$C$300,3,FALSE),"")</f>
        <v>여성가족국</v>
      </c>
      <c r="C38" s="31" t="s">
        <v>613</v>
      </c>
      <c r="D38" s="35" t="s">
        <v>779</v>
      </c>
      <c r="E38" s="36">
        <v>784</v>
      </c>
      <c r="F38" s="35" t="s">
        <v>805</v>
      </c>
      <c r="G38" s="44">
        <v>6017165</v>
      </c>
      <c r="H38" s="42">
        <v>6277348</v>
      </c>
      <c r="I38" s="54">
        <f t="shared" si="3"/>
        <v>-260183</v>
      </c>
      <c r="J38" s="42"/>
      <c r="K38" s="45">
        <v>20160</v>
      </c>
      <c r="L38" s="50">
        <f t="shared" si="4"/>
        <v>6037325</v>
      </c>
      <c r="M38" s="42"/>
      <c r="N38" s="45">
        <v>20160</v>
      </c>
      <c r="O38" s="52">
        <f t="shared" si="5"/>
        <v>6037325</v>
      </c>
      <c r="P38" s="27" t="str">
        <f t="shared" si="6"/>
        <v>X</v>
      </c>
      <c r="Q38" s="133" t="s">
        <v>829</v>
      </c>
      <c r="S38" s="27"/>
      <c r="U38" s="27"/>
      <c r="V38" s="42">
        <f t="shared" si="7"/>
        <v>20160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20160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IF(AG38="","",IF(U38="도비","세입없음",CONCATENATE(AG38,"-",COUNTIF($AG$7:AG38,AG38))))</f>
        <v>1004-1</v>
      </c>
      <c r="AG38" s="27" t="str">
        <f t="array" ref="AG38">IF(C38="","",INDEX(구분표!$I$2:$I$300, MATCH(1,(구분표!$E$2:$E$300='2추일입'!B38)*(구분표!$F$2:$F$300='2추일입'!C38)*(구분표!$G$2:$G$300='2추일입'!A38),0)))</f>
        <v>1004</v>
      </c>
      <c r="AI38" s="27"/>
      <c r="AK38" s="42">
        <f>IF(AE38="",0,SUMIFS('2추일출'!$V$6:$V$294,'2추일출'!$AE$6:$AE$294,'2추일입'!$AE38))</f>
        <v>20160</v>
      </c>
      <c r="AL38" s="42">
        <f>IF(AE38="","",COUNTIFS('2추일출'!$AE$6:$AE$294,'2추일입'!AE38))</f>
        <v>1</v>
      </c>
      <c r="AM38" s="27" t="str">
        <f t="shared" si="13"/>
        <v>OK</v>
      </c>
      <c r="AO38" s="42">
        <f>IF(AE38="",0,SUMIFS('2추일출'!$AA$6:$AA$294,'2추일출'!$AE$6:$AE$294,'2추일입'!$AE38))</f>
        <v>20160</v>
      </c>
      <c r="AP38" s="42">
        <f>IF(AE38="","",COUNTIFS('2추일출'!$AE$6:$AE$294,AE38))</f>
        <v>1</v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>여성가족교육협력위원회</v>
      </c>
      <c r="B39" s="24" t="str">
        <f>IFERROR(VLOOKUP($C39,구분표!$A$2:$C$300,3,FALSE),"")</f>
        <v>여성가족국</v>
      </c>
      <c r="C39" s="31" t="s">
        <v>619</v>
      </c>
      <c r="D39" s="35" t="s">
        <v>771</v>
      </c>
      <c r="E39" s="36"/>
      <c r="F39" s="35" t="s">
        <v>806</v>
      </c>
      <c r="G39" s="44">
        <v>0</v>
      </c>
      <c r="H39" s="42">
        <v>0</v>
      </c>
      <c r="I39" s="54">
        <f t="shared" si="3"/>
        <v>0</v>
      </c>
      <c r="J39" s="42"/>
      <c r="K39" s="45">
        <v>150000</v>
      </c>
      <c r="L39" s="50">
        <f t="shared" si="4"/>
        <v>150000</v>
      </c>
      <c r="M39" s="42"/>
      <c r="N39" s="45">
        <v>150000</v>
      </c>
      <c r="O39" s="52">
        <f t="shared" si="5"/>
        <v>150000</v>
      </c>
      <c r="P39" s="27" t="str">
        <f t="shared" si="6"/>
        <v>X</v>
      </c>
      <c r="Q39" s="133" t="s">
        <v>830</v>
      </c>
      <c r="S39" s="27"/>
      <c r="U39" s="27"/>
      <c r="V39" s="42">
        <f t="shared" si="7"/>
        <v>150000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150000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IF(AG39="","",IF(U39="도비","세입없음",CONCATENATE(AG39,"-",COUNTIF($AG$7:AG39,AG39))))</f>
        <v>1006-1</v>
      </c>
      <c r="AG39" s="27" t="str">
        <f t="array" ref="AG39">IF(C39="","",INDEX(구분표!$I$2:$I$300, MATCH(1,(구분표!$E$2:$E$300='2추일입'!B39)*(구분표!$F$2:$F$300='2추일입'!C39)*(구분표!$G$2:$G$300='2추일입'!A39),0)))</f>
        <v>1006</v>
      </c>
      <c r="AI39" s="27"/>
      <c r="AK39" s="42">
        <f>IF(AE39="",0,SUMIFS('2추일출'!$V$6:$V$294,'2추일출'!$AE$6:$AE$294,'2추일입'!$AE39))</f>
        <v>150000</v>
      </c>
      <c r="AL39" s="42">
        <f>IF(AE39="","",COUNTIFS('2추일출'!$AE$6:$AE$294,'2추일입'!AE39))</f>
        <v>1</v>
      </c>
      <c r="AM39" s="27" t="str">
        <f t="shared" si="13"/>
        <v>OK</v>
      </c>
      <c r="AO39" s="42">
        <f>IF(AE39="",0,SUMIFS('2추일출'!$AA$6:$AA$294,'2추일출'!$AE$6:$AE$294,'2추일입'!$AE39))</f>
        <v>150000</v>
      </c>
      <c r="AP39" s="42">
        <f>IF(AE39="","",COUNTIFS('2추일출'!$AE$6:$AE$294,AE39))</f>
        <v>1</v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>여성가족교육협력위원회</v>
      </c>
      <c r="B40" s="24" t="str">
        <f>IFERROR(VLOOKUP($C40,구분표!$A$2:$C$300,3,FALSE),"")</f>
        <v>여성가족국</v>
      </c>
      <c r="C40" s="31" t="s">
        <v>602</v>
      </c>
      <c r="D40" s="35" t="s">
        <v>779</v>
      </c>
      <c r="E40" s="36">
        <v>781</v>
      </c>
      <c r="F40" s="35" t="s">
        <v>1128</v>
      </c>
      <c r="G40" s="44">
        <v>17542300</v>
      </c>
      <c r="H40" s="42">
        <v>15892800</v>
      </c>
      <c r="I40" s="54">
        <f t="shared" si="3"/>
        <v>1649500</v>
      </c>
      <c r="J40" s="42"/>
      <c r="K40" s="45"/>
      <c r="L40" s="50">
        <f t="shared" si="4"/>
        <v>17542300</v>
      </c>
      <c r="M40" s="42"/>
      <c r="N40" s="156">
        <v>235000</v>
      </c>
      <c r="O40" s="52">
        <f t="shared" si="5"/>
        <v>17777300</v>
      </c>
      <c r="P40" s="27" t="str">
        <f t="shared" si="6"/>
        <v>X</v>
      </c>
      <c r="Q40" s="133" t="s">
        <v>1124</v>
      </c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235000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IF(AG40="","",IF(U40="도비","세입없음",CONCATENATE(AG40,"-",COUNTIF($AG$7:AG40,AG40))))</f>
        <v>1001-4</v>
      </c>
      <c r="AG40" s="27" t="str">
        <f t="array" ref="AG40">IF(C40="","",INDEX(구분표!$I$2:$I$300, MATCH(1,(구분표!$E$2:$E$300='2추일입'!B40)*(구분표!$F$2:$F$300='2추일입'!C40)*(구분표!$G$2:$G$300='2추일입'!A40),0)))</f>
        <v>1001</v>
      </c>
      <c r="AI40" s="27"/>
      <c r="AK40" s="42">
        <f>IF(AE40="",0,SUMIFS('2추일출'!$V$6:$V$294,'2추일출'!$AE$6:$AE$294,'2추일입'!$AE40))</f>
        <v>0</v>
      </c>
      <c r="AL40" s="42">
        <f>IF(AE40="","",COUNTIFS('2추일출'!$AE$6:$AE$294,'2추일입'!AE40))</f>
        <v>2</v>
      </c>
      <c r="AM40" s="27" t="str">
        <f t="shared" si="13"/>
        <v>OK</v>
      </c>
      <c r="AO40" s="42">
        <f>IF(AE40="",0,SUMIFS('2추일출'!$AA$6:$AA$294,'2추일출'!$AE$6:$AE$294,'2추일입'!$AE40))</f>
        <v>235000</v>
      </c>
      <c r="AP40" s="42">
        <f>IF(AE40="","",COUNTIFS('2추일출'!$AE$6:$AE$294,AE40))</f>
        <v>2</v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>여성가족교육협력위원회</v>
      </c>
      <c r="B41" s="24" t="str">
        <f>IFERROR(VLOOKUP($C41,구분표!$A$2:$C$300,3,FALSE),"")</f>
        <v>여성가족국</v>
      </c>
      <c r="C41" s="31" t="s">
        <v>610</v>
      </c>
      <c r="D41" s="35" t="s">
        <v>779</v>
      </c>
      <c r="E41" s="36">
        <v>783</v>
      </c>
      <c r="F41" s="35" t="s">
        <v>1129</v>
      </c>
      <c r="G41" s="44">
        <v>2961067</v>
      </c>
      <c r="H41" s="42">
        <v>2626550</v>
      </c>
      <c r="I41" s="54">
        <f t="shared" si="3"/>
        <v>334517</v>
      </c>
      <c r="J41" s="42"/>
      <c r="K41" s="45"/>
      <c r="L41" s="50">
        <f t="shared" si="4"/>
        <v>2961067</v>
      </c>
      <c r="M41" s="42"/>
      <c r="N41" s="45">
        <v>18655</v>
      </c>
      <c r="O41" s="52">
        <f t="shared" si="5"/>
        <v>2979722</v>
      </c>
      <c r="P41" s="27" t="str">
        <f t="shared" si="6"/>
        <v>X</v>
      </c>
      <c r="Q41" s="133" t="s">
        <v>1125</v>
      </c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18655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IF(AG41="","",IF(U41="도비","세입없음",CONCATENATE(AG41,"-",COUNTIF($AG$7:AG41,AG41))))</f>
        <v>1003-2</v>
      </c>
      <c r="AG41" s="27" t="str">
        <f t="array" ref="AG41">IF(C41="","",INDEX(구분표!$I$2:$I$300, MATCH(1,(구분표!$E$2:$E$300='2추일입'!B41)*(구분표!$F$2:$F$300='2추일입'!C41)*(구분표!$G$2:$G$300='2추일입'!A41),0)))</f>
        <v>1003</v>
      </c>
      <c r="AI41" s="27"/>
      <c r="AK41" s="42">
        <f>IF(AE41="",0,SUMIFS('2추일출'!$V$6:$V$294,'2추일출'!$AE$6:$AE$294,'2추일입'!$AE41))</f>
        <v>0</v>
      </c>
      <c r="AL41" s="42">
        <f>IF(AE41="","",COUNTIFS('2추일출'!$AE$6:$AE$294,'2추일입'!AE41))</f>
        <v>1</v>
      </c>
      <c r="AM41" s="27" t="str">
        <f t="shared" si="13"/>
        <v>OK</v>
      </c>
      <c r="AO41" s="42">
        <f>IF(AE41="",0,SUMIFS('2추일출'!$AA$6:$AA$294,'2추일출'!$AE$6:$AE$294,'2추일입'!$AE41))</f>
        <v>18655</v>
      </c>
      <c r="AP41" s="42">
        <f>IF(AE41="","",COUNTIFS('2추일출'!$AE$6:$AE$294,AE41))</f>
        <v>1</v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>여성가족교육협력위원회</v>
      </c>
      <c r="B42" s="24" t="str">
        <f>IFERROR(VLOOKUP($C42,구분표!$A$2:$C$300,3,FALSE),"")</f>
        <v>여성가족국</v>
      </c>
      <c r="C42" s="31" t="s">
        <v>610</v>
      </c>
      <c r="D42" s="35" t="s">
        <v>779</v>
      </c>
      <c r="E42" s="36">
        <v>783</v>
      </c>
      <c r="F42" s="35" t="s">
        <v>1130</v>
      </c>
      <c r="G42" s="44">
        <v>141780</v>
      </c>
      <c r="H42" s="42">
        <v>140542</v>
      </c>
      <c r="I42" s="54">
        <f t="shared" si="3"/>
        <v>1238</v>
      </c>
      <c r="J42" s="42"/>
      <c r="K42" s="45"/>
      <c r="L42" s="50">
        <f t="shared" si="4"/>
        <v>141780</v>
      </c>
      <c r="M42" s="42"/>
      <c r="N42" s="156">
        <v>3908</v>
      </c>
      <c r="O42" s="52">
        <f t="shared" si="5"/>
        <v>145688</v>
      </c>
      <c r="P42" s="27" t="str">
        <f t="shared" si="6"/>
        <v>X</v>
      </c>
      <c r="Q42" s="133" t="s">
        <v>1126</v>
      </c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3908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IF(AG42="","",IF(U42="도비","세입없음",CONCATENATE(AG42,"-",COUNTIF($AG$7:AG42,AG42))))</f>
        <v>1003-3</v>
      </c>
      <c r="AG42" s="27" t="str">
        <f t="array" ref="AG42">IF(C42="","",INDEX(구분표!$I$2:$I$300, MATCH(1,(구분표!$E$2:$E$300='2추일입'!B42)*(구분표!$F$2:$F$300='2추일입'!C42)*(구분표!$G$2:$G$300='2추일입'!A42),0)))</f>
        <v>1003</v>
      </c>
      <c r="AI42" s="27"/>
      <c r="AK42" s="42">
        <f>IF(AE42="",0,SUMIFS('2추일출'!$V$6:$V$294,'2추일출'!$AE$6:$AE$294,'2추일입'!$AE42))</f>
        <v>0</v>
      </c>
      <c r="AL42" s="42">
        <f>IF(AE42="","",COUNTIFS('2추일출'!$AE$6:$AE$294,'2추일입'!AE42))</f>
        <v>2</v>
      </c>
      <c r="AM42" s="27" t="str">
        <f t="shared" si="13"/>
        <v>OK</v>
      </c>
      <c r="AO42" s="42">
        <f>IF(AE42="",0,SUMIFS('2추일출'!$AA$6:$AA$294,'2추일출'!$AE$6:$AE$294,'2추일입'!$AE42))</f>
        <v>3908</v>
      </c>
      <c r="AP42" s="42">
        <f>IF(AE42="","",COUNTIFS('2추일출'!$AE$6:$AE$294,AE42))</f>
        <v>2</v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>여성가족교육협력위원회</v>
      </c>
      <c r="B43" s="24" t="str">
        <f>IFERROR(VLOOKUP($C43,구분표!$A$2:$C$300,3,FALSE),"")</f>
        <v>여성가족국</v>
      </c>
      <c r="C43" s="31" t="s">
        <v>610</v>
      </c>
      <c r="D43" s="35" t="s">
        <v>779</v>
      </c>
      <c r="E43" s="36">
        <v>784</v>
      </c>
      <c r="F43" s="35" t="s">
        <v>1131</v>
      </c>
      <c r="G43" s="44">
        <v>893000</v>
      </c>
      <c r="H43" s="42">
        <v>307780</v>
      </c>
      <c r="I43" s="54">
        <f t="shared" si="3"/>
        <v>585220</v>
      </c>
      <c r="J43" s="42"/>
      <c r="K43" s="45"/>
      <c r="L43" s="50">
        <f t="shared" si="4"/>
        <v>893000</v>
      </c>
      <c r="M43" s="42">
        <v>-82668</v>
      </c>
      <c r="N43" s="45"/>
      <c r="O43" s="52">
        <f t="shared" si="5"/>
        <v>810332</v>
      </c>
      <c r="P43" s="27" t="str">
        <f t="shared" si="6"/>
        <v>X</v>
      </c>
      <c r="Q43" s="133" t="s">
        <v>1127</v>
      </c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-82668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IF(AG43="","",IF(U43="도비","세입없음",CONCATENATE(AG43,"-",COUNTIF($AG$7:AG43,AG43))))</f>
        <v>1003-4</v>
      </c>
      <c r="AG43" s="27" t="str">
        <f t="array" ref="AG43">IF(C43="","",INDEX(구분표!$I$2:$I$300, MATCH(1,(구분표!$E$2:$E$300='2추일입'!B43)*(구분표!$F$2:$F$300='2추일입'!C43)*(구분표!$G$2:$G$300='2추일입'!A43),0)))</f>
        <v>1003</v>
      </c>
      <c r="AI43" s="27"/>
      <c r="AK43" s="42">
        <f>IF(AE43="",0,SUMIFS('2추일출'!$V$6:$V$294,'2추일출'!$AE$6:$AE$294,'2추일입'!$AE43))</f>
        <v>0</v>
      </c>
      <c r="AL43" s="42">
        <f>IF(AE43="","",COUNTIFS('2추일출'!$AE$6:$AE$294,'2추일입'!AE43))</f>
        <v>1</v>
      </c>
      <c r="AM43" s="27" t="str">
        <f t="shared" si="13"/>
        <v>OK</v>
      </c>
      <c r="AO43" s="42">
        <f>IF(AE43="",0,SUMIFS('2추일출'!$AA$6:$AA$294,'2추일출'!$AE$6:$AE$294,'2추일입'!$AE43))</f>
        <v>-82668</v>
      </c>
      <c r="AP43" s="42">
        <f>IF(AE43="","",COUNTIFS('2추일출'!$AE$6:$AE$294,AE43))</f>
        <v>1</v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>보건복지위원회</v>
      </c>
      <c r="B44" s="24" t="str">
        <f>IFERROR(VLOOKUP($C44,구분표!$A$2:$C$300,3,FALSE),"")</f>
        <v>보건복지국</v>
      </c>
      <c r="C44" s="31" t="s">
        <v>452</v>
      </c>
      <c r="D44" s="35" t="s">
        <v>776</v>
      </c>
      <c r="E44" s="36">
        <v>568</v>
      </c>
      <c r="F44" s="35" t="s">
        <v>1145</v>
      </c>
      <c r="G44" s="44">
        <v>3067517</v>
      </c>
      <c r="H44" s="42">
        <v>2681585</v>
      </c>
      <c r="I44" s="54">
        <f t="shared" si="3"/>
        <v>385932</v>
      </c>
      <c r="J44" s="42"/>
      <c r="K44" s="45"/>
      <c r="L44" s="50">
        <f t="shared" si="4"/>
        <v>3067517</v>
      </c>
      <c r="M44" s="42"/>
      <c r="N44" s="45">
        <v>39580</v>
      </c>
      <c r="O44" s="52">
        <f t="shared" si="5"/>
        <v>3107097</v>
      </c>
      <c r="P44" s="27" t="str">
        <f t="shared" si="6"/>
        <v>X</v>
      </c>
      <c r="Q44" s="133" t="s">
        <v>1150</v>
      </c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39580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IF(AG44="","",IF(U44="도비","세입없음",CONCATENATE(AG44,"-",COUNTIF($AG$7:AG44,AG44))))</f>
        <v>0705-5</v>
      </c>
      <c r="AG44" s="27" t="str">
        <f t="array" ref="AG44">IF(C44="","",INDEX(구분표!$I$2:$I$300, MATCH(1,(구분표!$E$2:$E$300='2추일입'!B44)*(구분표!$F$2:$F$300='2추일입'!C44)*(구분표!$G$2:$G$300='2추일입'!A44),0)))</f>
        <v>0705</v>
      </c>
      <c r="AI44" s="27"/>
      <c r="AK44" s="42">
        <f>IF(AE44="",0,SUMIFS('2추일출'!$V$6:$V$294,'2추일출'!$AE$6:$AE$294,'2추일입'!$AE44))</f>
        <v>0</v>
      </c>
      <c r="AL44" s="42">
        <f>IF(AE44="","",COUNTIFS('2추일출'!$AE$6:$AE$294,'2추일입'!AE44))</f>
        <v>1</v>
      </c>
      <c r="AM44" s="27" t="str">
        <f t="shared" si="13"/>
        <v>OK</v>
      </c>
      <c r="AO44" s="42">
        <f>IF(AE44="",0,SUMIFS('2추일출'!$AA$6:$AA$294,'2추일출'!$AE$6:$AE$294,'2추일입'!$AE44))</f>
        <v>39580</v>
      </c>
      <c r="AP44" s="42">
        <f>IF(AE44="","",COUNTIFS('2추일출'!$AE$6:$AE$294,AE44))</f>
        <v>1</v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>보건복지위원회</v>
      </c>
      <c r="B45" s="24" t="str">
        <f>IFERROR(VLOOKUP($C45,구분표!$A$2:$C$300,3,FALSE),"")</f>
        <v>보건복지국</v>
      </c>
      <c r="C45" s="31" t="s">
        <v>452</v>
      </c>
      <c r="D45" s="35" t="s">
        <v>779</v>
      </c>
      <c r="E45" s="36">
        <v>69</v>
      </c>
      <c r="F45" s="35" t="s">
        <v>1146</v>
      </c>
      <c r="G45" s="44">
        <v>71112188</v>
      </c>
      <c r="H45" s="42">
        <v>71112188</v>
      </c>
      <c r="I45" s="54">
        <f t="shared" si="3"/>
        <v>0</v>
      </c>
      <c r="J45" s="42"/>
      <c r="K45" s="45"/>
      <c r="L45" s="50">
        <f t="shared" si="4"/>
        <v>71112188</v>
      </c>
      <c r="M45" s="42">
        <v>-1233596</v>
      </c>
      <c r="N45" s="45"/>
      <c r="O45" s="52">
        <f t="shared" si="5"/>
        <v>69878592</v>
      </c>
      <c r="P45" s="27" t="str">
        <f t="shared" si="6"/>
        <v>X</v>
      </c>
      <c r="Q45" s="133" t="s">
        <v>1151</v>
      </c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-1233596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IF(AG45="","",IF(U45="도비","세입없음",CONCATENATE(AG45,"-",COUNTIF($AG$7:AG45,AG45))))</f>
        <v>0705-6</v>
      </c>
      <c r="AG45" s="27" t="str">
        <f t="array" ref="AG45">IF(C45="","",INDEX(구분표!$I$2:$I$300, MATCH(1,(구분표!$E$2:$E$300='2추일입'!B45)*(구분표!$F$2:$F$300='2추일입'!C45)*(구분표!$G$2:$G$300='2추일입'!A45),0)))</f>
        <v>0705</v>
      </c>
      <c r="AI45" s="27"/>
      <c r="AK45" s="42">
        <f>IF(AE45="",0,SUMIFS('2추일출'!$V$6:$V$294,'2추일출'!$AE$6:$AE$294,'2추일입'!$AE45))</f>
        <v>0</v>
      </c>
      <c r="AL45" s="42">
        <f>IF(AE45="","",COUNTIFS('2추일출'!$AE$6:$AE$294,'2추일입'!AE45))</f>
        <v>2</v>
      </c>
      <c r="AM45" s="27" t="str">
        <f t="shared" si="13"/>
        <v>OK</v>
      </c>
      <c r="AO45" s="42">
        <f>IF(AE45="",0,SUMIFS('2추일출'!$AA$6:$AA$294,'2추일출'!$AE$6:$AE$294,'2추일입'!$AE45))</f>
        <v>-1233596</v>
      </c>
      <c r="AP45" s="42">
        <f>IF(AE45="","",COUNTIFS('2추일출'!$AE$6:$AE$294,AE45))</f>
        <v>2</v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>보건복지위원회</v>
      </c>
      <c r="B46" s="24" t="str">
        <f>IFERROR(VLOOKUP($C46,구분표!$A$2:$C$300,3,FALSE),"")</f>
        <v>보건복지국</v>
      </c>
      <c r="C46" s="31" t="s">
        <v>455</v>
      </c>
      <c r="D46" s="35" t="s">
        <v>776</v>
      </c>
      <c r="E46" s="36">
        <v>569</v>
      </c>
      <c r="F46" s="35" t="s">
        <v>1147</v>
      </c>
      <c r="G46" s="44">
        <v>127604</v>
      </c>
      <c r="H46" s="42">
        <v>127769</v>
      </c>
      <c r="I46" s="54">
        <f t="shared" si="3"/>
        <v>-165</v>
      </c>
      <c r="J46" s="42"/>
      <c r="K46" s="45"/>
      <c r="L46" s="50">
        <f t="shared" si="4"/>
        <v>127604</v>
      </c>
      <c r="M46" s="42"/>
      <c r="N46" s="45">
        <v>12500</v>
      </c>
      <c r="O46" s="52">
        <f t="shared" si="5"/>
        <v>140104</v>
      </c>
      <c r="P46" s="27" t="str">
        <f t="shared" si="6"/>
        <v>X</v>
      </c>
      <c r="Q46" s="133" t="s">
        <v>1152</v>
      </c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12500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IF(AG46="","",IF(U46="도비","세입없음",CONCATENATE(AG46,"-",COUNTIF($AG$7:AG46,AG46))))</f>
        <v>0706-2</v>
      </c>
      <c r="AG46" s="27" t="str">
        <f t="array" ref="AG46">IF(C46="","",INDEX(구분표!$I$2:$I$300, MATCH(1,(구분표!$E$2:$E$300='2추일입'!B46)*(구분표!$F$2:$F$300='2추일입'!C46)*(구분표!$G$2:$G$300='2추일입'!A46),0)))</f>
        <v>0706</v>
      </c>
      <c r="AI46" s="27"/>
      <c r="AK46" s="42">
        <f>IF(AE46="",0,SUMIFS('2추일출'!$V$6:$V$294,'2추일출'!$AE$6:$AE$294,'2추일입'!$AE46))</f>
        <v>0</v>
      </c>
      <c r="AL46" s="42">
        <f>IF(AE46="","",COUNTIFS('2추일출'!$AE$6:$AE$294,'2추일입'!AE46))</f>
        <v>1</v>
      </c>
      <c r="AM46" s="27" t="str">
        <f t="shared" si="13"/>
        <v>OK</v>
      </c>
      <c r="AO46" s="42">
        <f>IF(AE46="",0,SUMIFS('2추일출'!$AA$6:$AA$294,'2추일출'!$AE$6:$AE$294,'2추일입'!$AE46))</f>
        <v>12500</v>
      </c>
      <c r="AP46" s="42">
        <f>IF(AE46="","",COUNTIFS('2추일출'!$AE$6:$AE$294,AE46))</f>
        <v>1</v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>보건복지위원회</v>
      </c>
      <c r="B47" s="24" t="str">
        <f>IFERROR(VLOOKUP($C47,구분표!$A$2:$C$300,3,FALSE),"")</f>
        <v>보건복지국</v>
      </c>
      <c r="C47" s="31" t="s">
        <v>443</v>
      </c>
      <c r="D47" s="35" t="s">
        <v>776</v>
      </c>
      <c r="E47" s="36">
        <v>565</v>
      </c>
      <c r="F47" s="35" t="s">
        <v>1148</v>
      </c>
      <c r="G47" s="44">
        <v>5241403</v>
      </c>
      <c r="H47" s="42">
        <v>4058000</v>
      </c>
      <c r="I47" s="54">
        <f t="shared" si="3"/>
        <v>1183403</v>
      </c>
      <c r="J47" s="42"/>
      <c r="K47" s="45"/>
      <c r="L47" s="50">
        <f t="shared" si="4"/>
        <v>5241403</v>
      </c>
      <c r="M47" s="42">
        <v>-191403</v>
      </c>
      <c r="N47" s="45"/>
      <c r="O47" s="52">
        <f t="shared" si="5"/>
        <v>5050000</v>
      </c>
      <c r="P47" s="27" t="str">
        <f t="shared" si="6"/>
        <v>X</v>
      </c>
      <c r="Q47" s="133" t="s">
        <v>1153</v>
      </c>
      <c r="R47" s="1" t="s">
        <v>1206</v>
      </c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-191403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IF(AG47="","",IF(U47="도비","세입없음",CONCATENATE(AG47,"-",COUNTIF($AG$7:AG47,AG47))))</f>
        <v>0702-1</v>
      </c>
      <c r="AG47" s="27" t="str">
        <f t="array" ref="AG47">IF(C47="","",INDEX(구분표!$I$2:$I$300, MATCH(1,(구분표!$E$2:$E$300='2추일입'!B47)*(구분표!$F$2:$F$300='2추일입'!C47)*(구분표!$G$2:$G$300='2추일입'!A47),0)))</f>
        <v>0702</v>
      </c>
      <c r="AI47" s="27"/>
      <c r="AK47" s="42">
        <f>IF(AE47="",0,SUMIFS('2추일출'!$V$6:$V$294,'2추일출'!$AE$6:$AE$294,'2추일입'!$AE47))</f>
        <v>0</v>
      </c>
      <c r="AL47" s="42">
        <f>IF(AE47="","",COUNTIFS('2추일출'!$AE$6:$AE$294,'2추일입'!AE47))</f>
        <v>2</v>
      </c>
      <c r="AM47" s="27" t="str">
        <f t="shared" si="13"/>
        <v>OK</v>
      </c>
      <c r="AO47" s="42">
        <f>IF(AE47="",0,SUMIFS('2추일출'!$AA$6:$AA$294,'2추일출'!$AE$6:$AE$294,'2추일입'!$AE47))</f>
        <v>-191403</v>
      </c>
      <c r="AP47" s="42">
        <f>IF(AE47="","",COUNTIFS('2추일출'!$AE$6:$AE$294,AE47))</f>
        <v>2</v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>보건복지위원회</v>
      </c>
      <c r="B48" s="24" t="str">
        <f>IFERROR(VLOOKUP($C48,구분표!$A$2:$C$300,3,FALSE),"")</f>
        <v>보건복지국</v>
      </c>
      <c r="C48" s="31" t="s">
        <v>443</v>
      </c>
      <c r="D48" s="35" t="s">
        <v>776</v>
      </c>
      <c r="E48" s="36">
        <v>565</v>
      </c>
      <c r="F48" s="35" t="s">
        <v>1149</v>
      </c>
      <c r="G48" s="44">
        <v>3659582</v>
      </c>
      <c r="H48" s="42">
        <v>3324000</v>
      </c>
      <c r="I48" s="54">
        <f t="shared" si="3"/>
        <v>335582</v>
      </c>
      <c r="J48" s="42"/>
      <c r="K48" s="45"/>
      <c r="L48" s="50">
        <f t="shared" si="4"/>
        <v>3659582</v>
      </c>
      <c r="M48" s="42"/>
      <c r="N48" s="45">
        <v>191403</v>
      </c>
      <c r="O48" s="52">
        <f t="shared" si="5"/>
        <v>3850985</v>
      </c>
      <c r="P48" s="27" t="str">
        <f t="shared" si="6"/>
        <v>X</v>
      </c>
      <c r="Q48" s="133" t="s">
        <v>1153</v>
      </c>
      <c r="R48" s="1" t="s">
        <v>1206</v>
      </c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191403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IF(AG48="","",IF(U48="도비","세입없음",CONCATENATE(AG48,"-",COUNTIF($AG$7:AG48,AG48))))</f>
        <v>0702-2</v>
      </c>
      <c r="AG48" s="27" t="str">
        <f t="array" ref="AG48">IF(C48="","",INDEX(구분표!$I$2:$I$300, MATCH(1,(구분표!$E$2:$E$300='2추일입'!B48)*(구분표!$F$2:$F$300='2추일입'!C48)*(구분표!$G$2:$G$300='2추일입'!A48),0)))</f>
        <v>0702</v>
      </c>
      <c r="AI48" s="27"/>
      <c r="AK48" s="42">
        <f>IF(AE48="",0,SUMIFS('2추일출'!$V$6:$V$294,'2추일출'!$AE$6:$AE$294,'2추일입'!$AE48))</f>
        <v>0</v>
      </c>
      <c r="AL48" s="42">
        <f>IF(AE48="","",COUNTIFS('2추일출'!$AE$6:$AE$294,'2추일입'!AE48))</f>
        <v>1</v>
      </c>
      <c r="AM48" s="27" t="str">
        <f t="shared" si="13"/>
        <v>OK</v>
      </c>
      <c r="AO48" s="42">
        <f>IF(AE48="",0,SUMIFS('2추일출'!$AA$6:$AA$294,'2추일출'!$AE$6:$AE$294,'2추일입'!$AE48))</f>
        <v>191403</v>
      </c>
      <c r="AP48" s="42">
        <f>IF(AE48="","",COUNTIFS('2추일출'!$AE$6:$AE$294,AE48))</f>
        <v>1</v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>농정해양위원회</v>
      </c>
      <c r="B49" s="24" t="str">
        <f>IFERROR(VLOOKUP($C49,구분표!$A$2:$C$300,3,FALSE),"")</f>
        <v>축산산림국</v>
      </c>
      <c r="C49" s="31" t="s">
        <v>1273</v>
      </c>
      <c r="D49" s="35" t="s">
        <v>1269</v>
      </c>
      <c r="E49" s="36">
        <v>504</v>
      </c>
      <c r="F49" s="35" t="s">
        <v>1274</v>
      </c>
      <c r="G49" s="44">
        <v>13353271</v>
      </c>
      <c r="H49" s="42">
        <v>12653619</v>
      </c>
      <c r="I49" s="54">
        <f t="shared" si="3"/>
        <v>699652</v>
      </c>
      <c r="J49" s="42"/>
      <c r="K49" s="45"/>
      <c r="L49" s="50">
        <f t="shared" si="4"/>
        <v>13353271</v>
      </c>
      <c r="M49" s="42"/>
      <c r="N49" s="45">
        <v>486400</v>
      </c>
      <c r="O49" s="52">
        <f t="shared" si="5"/>
        <v>13839671</v>
      </c>
      <c r="P49" s="27" t="str">
        <f t="shared" si="6"/>
        <v>X</v>
      </c>
      <c r="Q49" s="133" t="s">
        <v>1276</v>
      </c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486400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IF(AG49="","",IF(U49="도비","세입없음",CONCATENATE(AG49,"-",COUNTIF($AG$7:AG49,AG49))))</f>
        <v>0609-1</v>
      </c>
      <c r="AG49" s="27" t="str">
        <f t="array" ref="AG49">IF(C49="","",INDEX(구분표!$I$2:$I$300, MATCH(1,(구분표!$E$2:$E$300='2추일입'!B49)*(구분표!$F$2:$F$300='2추일입'!C49)*(구분표!$G$2:$G$300='2추일입'!A49),0)))</f>
        <v>0609</v>
      </c>
      <c r="AI49" s="27"/>
      <c r="AK49" s="42">
        <f>IF(AE49="",0,SUMIFS('2추일출'!$V$6:$V$294,'2추일출'!$AE$6:$AE$294,'2추일입'!$AE49))</f>
        <v>0</v>
      </c>
      <c r="AL49" s="42">
        <f>IF(AE49="","",COUNTIFS('2추일출'!$AE$6:$AE$294,'2추일입'!AE49))</f>
        <v>1</v>
      </c>
      <c r="AM49" s="27" t="str">
        <f t="shared" si="13"/>
        <v>OK</v>
      </c>
      <c r="AO49" s="42">
        <f>IF(AE49="",0,SUMIFS('2추일출'!$AA$6:$AA$294,'2추일출'!$AE$6:$AE$294,'2추일입'!$AE49))</f>
        <v>486400</v>
      </c>
      <c r="AP49" s="42">
        <f>IF(AE49="","",COUNTIFS('2추일출'!$AE$6:$AE$294,AE49))</f>
        <v>1</v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ref="I50:I60" si="15">IF(D50="","",G50-H50)</f>
        <v/>
      </c>
      <c r="J50" s="42"/>
      <c r="K50" s="45"/>
      <c r="L50" s="50">
        <f t="shared" ref="L50:L60" si="16">IF(G50=0,H50+J50+K50,G50+J50+K50)</f>
        <v>0</v>
      </c>
      <c r="M50" s="42"/>
      <c r="N50" s="45"/>
      <c r="O50" s="52">
        <f t="shared" ref="O50:O60" si="17">IF(G50=0,H50+M50+N50,G50+M50+N50)</f>
        <v>0</v>
      </c>
      <c r="P50" s="27" t="str">
        <f t="shared" ref="P50:P60" si="18">IF(AND((L50=0),(O50&gt;0)),"O",IF(AND((J50&lt;0),(L50-O50&lt;0)),"O","X"))</f>
        <v>X</v>
      </c>
      <c r="Q50" s="29"/>
      <c r="S50" s="27"/>
      <c r="U50" s="27"/>
      <c r="V50" s="42">
        <f t="shared" ref="V50:V60" si="19">IF($U50&lt;&gt;"도비",IF($S50="국도비","직접입력",SUM($J50:$K50)),)</f>
        <v>0</v>
      </c>
      <c r="W50" s="42">
        <f t="shared" ref="W50:W60" si="20">IF($U50="도비",SUM($J50:$K50),IF($S50="국도비","직접입력",SUM($J50:$K50)-$V50))</f>
        <v>0</v>
      </c>
      <c r="X50" s="27" t="str">
        <f t="shared" ref="X50:X60" si="21">IF(SUM($J50:$K50)=SUM($V50:$W50),"OK","검토")</f>
        <v>OK</v>
      </c>
      <c r="Z50" s="27"/>
      <c r="AA50" s="42">
        <f t="shared" ref="AA50:AA60" si="22">IF($U50&lt;&gt;"도비",IF($S50="국도비","직접입력",SUM($M50:$N50)),)</f>
        <v>0</v>
      </c>
      <c r="AB50" s="42">
        <f t="shared" ref="AB50:AB60" si="23">IF($U50="도비",SUM(M50:N50),IF($S50="국도비","직접입력",SUM(M50:N50)-AA50))</f>
        <v>0</v>
      </c>
      <c r="AC50" s="27" t="str">
        <f t="shared" ref="AC50:AC60" si="24">IF(SUM(M50:N50)=SUM(AA50:AB50),"OK","검토")</f>
        <v>OK</v>
      </c>
      <c r="AE50" s="27" t="str">
        <f>IF(AG50="","",IF(U50="도비","세입없음",CONCATENATE(AG50,"-",COUNTIF($AG$7:AG50,AG50))))</f>
        <v/>
      </c>
      <c r="AG50" s="27" t="str">
        <f t="array" ref="AG50">IF(C50="","",INDEX(구분표!$I$2:$I$300, MATCH(1,(구분표!$E$2:$E$300='2추일입'!B50)*(구분표!$F$2:$F$300='2추일입'!C50)*(구분표!$G$2:$G$300='2추일입'!A50),0)))</f>
        <v/>
      </c>
      <c r="AI50" s="27"/>
      <c r="AK50" s="42">
        <f>IF(AE50="",0,SUMIFS('2추일출'!$V$6:$V$294,'2추일출'!$AE$6:$AE$294,'2추일입'!$AE50))</f>
        <v>0</v>
      </c>
      <c r="AL50" s="42" t="str">
        <f>IF(AE50="","",COUNTIFS('2추일출'!$AE$6:$AE$294,'2추일입'!AE50))</f>
        <v/>
      </c>
      <c r="AM50" s="27" t="str">
        <f t="shared" ref="AM50:AM60" si="25">IF(V50=AK50,"OK","@@")</f>
        <v>OK</v>
      </c>
      <c r="AO50" s="42">
        <f>IF(AE50="",0,SUMIFS('2추일출'!$AA$6:$AA$294,'2추일출'!$AE$6:$AE$294,'2추일입'!$AE50))</f>
        <v>0</v>
      </c>
      <c r="AP50" s="42" t="str">
        <f>IF(AE50="","",COUNTIFS('2추일출'!$AE$6:$AE$294,AE50))</f>
        <v/>
      </c>
      <c r="AQ50" s="27" t="str">
        <f t="shared" ref="AQ50:AQ60" si="26">IF(AA50=AO50,"OK","@@")</f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15"/>
        <v/>
      </c>
      <c r="J51" s="42"/>
      <c r="K51" s="45"/>
      <c r="L51" s="50">
        <f t="shared" si="16"/>
        <v>0</v>
      </c>
      <c r="M51" s="42"/>
      <c r="N51" s="45"/>
      <c r="O51" s="52">
        <f t="shared" si="17"/>
        <v>0</v>
      </c>
      <c r="P51" s="27" t="str">
        <f t="shared" si="18"/>
        <v>X</v>
      </c>
      <c r="Q51" s="29"/>
      <c r="S51" s="27"/>
      <c r="U51" s="27"/>
      <c r="V51" s="42">
        <f t="shared" si="19"/>
        <v>0</v>
      </c>
      <c r="W51" s="42">
        <f t="shared" si="20"/>
        <v>0</v>
      </c>
      <c r="X51" s="27" t="str">
        <f t="shared" si="21"/>
        <v>OK</v>
      </c>
      <c r="Z51" s="27"/>
      <c r="AA51" s="42">
        <f t="shared" si="22"/>
        <v>0</v>
      </c>
      <c r="AB51" s="42">
        <f t="shared" si="23"/>
        <v>0</v>
      </c>
      <c r="AC51" s="27" t="str">
        <f t="shared" si="24"/>
        <v>OK</v>
      </c>
      <c r="AE51" s="27" t="str">
        <f>IF(AG51="","",IF(U51="도비","세입없음",CONCATENATE(AG51,"-",COUNTIF($AG$7:AG51,AG51))))</f>
        <v/>
      </c>
      <c r="AG51" s="27" t="str">
        <f t="array" ref="AG51">IF(C51="","",INDEX(구분표!$I$2:$I$300, MATCH(1,(구분표!$E$2:$E$300='2추일입'!B51)*(구분표!$F$2:$F$300='2추일입'!C51)*(구분표!$G$2:$G$300='2추일입'!A51),0)))</f>
        <v/>
      </c>
      <c r="AI51" s="27"/>
      <c r="AK51" s="42">
        <f>IF(AE51="",0,SUMIFS('2추일출'!$V$6:$V$294,'2추일출'!$AE$6:$AE$294,'2추일입'!$AE51))</f>
        <v>0</v>
      </c>
      <c r="AL51" s="42" t="str">
        <f>IF(AE51="","",COUNTIFS('2추일출'!$AE$6:$AE$294,'2추일입'!AE51))</f>
        <v/>
      </c>
      <c r="AM51" s="27" t="str">
        <f t="shared" si="25"/>
        <v>OK</v>
      </c>
      <c r="AO51" s="42">
        <f>IF(AE51="",0,SUMIFS('2추일출'!$AA$6:$AA$294,'2추일출'!$AE$6:$AE$294,'2추일입'!$AE51))</f>
        <v>0</v>
      </c>
      <c r="AP51" s="42" t="str">
        <f>IF(AE51="","",COUNTIFS('2추일출'!$AE$6:$AE$294,AE51))</f>
        <v/>
      </c>
      <c r="AQ51" s="27" t="str">
        <f t="shared" si="26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15"/>
        <v/>
      </c>
      <c r="J52" s="42"/>
      <c r="K52" s="45"/>
      <c r="L52" s="50">
        <f t="shared" si="16"/>
        <v>0</v>
      </c>
      <c r="M52" s="42"/>
      <c r="N52" s="45"/>
      <c r="O52" s="52">
        <f t="shared" si="17"/>
        <v>0</v>
      </c>
      <c r="P52" s="27" t="str">
        <f t="shared" si="18"/>
        <v>X</v>
      </c>
      <c r="Q52" s="29"/>
      <c r="S52" s="27"/>
      <c r="U52" s="27"/>
      <c r="V52" s="42">
        <f t="shared" si="19"/>
        <v>0</v>
      </c>
      <c r="W52" s="42">
        <f t="shared" si="20"/>
        <v>0</v>
      </c>
      <c r="X52" s="27" t="str">
        <f t="shared" si="21"/>
        <v>OK</v>
      </c>
      <c r="Z52" s="27"/>
      <c r="AA52" s="42">
        <f t="shared" si="22"/>
        <v>0</v>
      </c>
      <c r="AB52" s="42">
        <f t="shared" si="23"/>
        <v>0</v>
      </c>
      <c r="AC52" s="27" t="str">
        <f t="shared" si="24"/>
        <v>OK</v>
      </c>
      <c r="AE52" s="27" t="str">
        <f>IF(AG52="","",IF(U52="도비","세입없음",CONCATENATE(AG52,"-",COUNTIF($AG$7:AG52,AG52))))</f>
        <v/>
      </c>
      <c r="AG52" s="27" t="str">
        <f t="array" ref="AG52">IF(C52="","",INDEX(구분표!$I$2:$I$300, MATCH(1,(구분표!$E$2:$E$300='2추일입'!B52)*(구분표!$F$2:$F$300='2추일입'!C52)*(구분표!$G$2:$G$300='2추일입'!A52),0)))</f>
        <v/>
      </c>
      <c r="AI52" s="27"/>
      <c r="AK52" s="42">
        <f>IF(AE52="",0,SUMIFS('2추일출'!$V$6:$V$294,'2추일출'!$AE$6:$AE$294,'2추일입'!$AE52))</f>
        <v>0</v>
      </c>
      <c r="AL52" s="42" t="str">
        <f>IF(AE52="","",COUNTIFS('2추일출'!$AE$6:$AE$294,'2추일입'!AE52))</f>
        <v/>
      </c>
      <c r="AM52" s="27" t="str">
        <f t="shared" si="25"/>
        <v>OK</v>
      </c>
      <c r="AO52" s="42">
        <f>IF(AE52="",0,SUMIFS('2추일출'!$AA$6:$AA$294,'2추일출'!$AE$6:$AE$294,'2추일입'!$AE52))</f>
        <v>0</v>
      </c>
      <c r="AP52" s="42" t="str">
        <f>IF(AE52="","",COUNTIFS('2추일출'!$AE$6:$AE$294,AE52))</f>
        <v/>
      </c>
      <c r="AQ52" s="27" t="str">
        <f t="shared" si="26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15"/>
        <v/>
      </c>
      <c r="J53" s="42"/>
      <c r="K53" s="45"/>
      <c r="L53" s="50">
        <f t="shared" si="16"/>
        <v>0</v>
      </c>
      <c r="M53" s="42"/>
      <c r="N53" s="45"/>
      <c r="O53" s="52">
        <f t="shared" si="17"/>
        <v>0</v>
      </c>
      <c r="P53" s="27" t="str">
        <f t="shared" si="18"/>
        <v>X</v>
      </c>
      <c r="Q53" s="29"/>
      <c r="S53" s="27"/>
      <c r="U53" s="27"/>
      <c r="V53" s="42">
        <f t="shared" si="19"/>
        <v>0</v>
      </c>
      <c r="W53" s="42">
        <f t="shared" si="20"/>
        <v>0</v>
      </c>
      <c r="X53" s="27" t="str">
        <f t="shared" si="21"/>
        <v>OK</v>
      </c>
      <c r="Z53" s="27"/>
      <c r="AA53" s="42">
        <f t="shared" si="22"/>
        <v>0</v>
      </c>
      <c r="AB53" s="42">
        <f t="shared" si="23"/>
        <v>0</v>
      </c>
      <c r="AC53" s="27" t="str">
        <f t="shared" si="24"/>
        <v>OK</v>
      </c>
      <c r="AE53" s="27" t="str">
        <f>IF(AG53="","",IF(U53="도비","세입없음",CONCATENATE(AG53,"-",COUNTIF($AG$7:AG53,AG53))))</f>
        <v/>
      </c>
      <c r="AG53" s="27" t="str">
        <f t="array" ref="AG53">IF(C53="","",INDEX(구분표!$I$2:$I$300, MATCH(1,(구분표!$E$2:$E$300='2추일입'!B53)*(구분표!$F$2:$F$300='2추일입'!C53)*(구분표!$G$2:$G$300='2추일입'!A53),0)))</f>
        <v/>
      </c>
      <c r="AI53" s="27"/>
      <c r="AK53" s="42">
        <f>IF(AE53="",0,SUMIFS('2추일출'!$V$6:$V$294,'2추일출'!$AE$6:$AE$294,'2추일입'!$AE53))</f>
        <v>0</v>
      </c>
      <c r="AL53" s="42" t="str">
        <f>IF(AE53="","",COUNTIFS('2추일출'!$AE$6:$AE$294,'2추일입'!AE53))</f>
        <v/>
      </c>
      <c r="AM53" s="27" t="str">
        <f t="shared" si="25"/>
        <v>OK</v>
      </c>
      <c r="AO53" s="42">
        <f>IF(AE53="",0,SUMIFS('2추일출'!$AA$6:$AA$294,'2추일출'!$AE$6:$AE$294,'2추일입'!$AE53))</f>
        <v>0</v>
      </c>
      <c r="AP53" s="42" t="str">
        <f>IF(AE53="","",COUNTIFS('2추일출'!$AE$6:$AE$294,AE53))</f>
        <v/>
      </c>
      <c r="AQ53" s="27" t="str">
        <f t="shared" si="26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15"/>
        <v/>
      </c>
      <c r="J54" s="42"/>
      <c r="K54" s="45"/>
      <c r="L54" s="50">
        <f t="shared" si="16"/>
        <v>0</v>
      </c>
      <c r="M54" s="42"/>
      <c r="N54" s="45"/>
      <c r="O54" s="52">
        <f t="shared" si="17"/>
        <v>0</v>
      </c>
      <c r="P54" s="27" t="str">
        <f t="shared" si="18"/>
        <v>X</v>
      </c>
      <c r="Q54" s="29"/>
      <c r="S54" s="27"/>
      <c r="U54" s="27"/>
      <c r="V54" s="42">
        <f t="shared" si="19"/>
        <v>0</v>
      </c>
      <c r="W54" s="42">
        <f t="shared" si="20"/>
        <v>0</v>
      </c>
      <c r="X54" s="27" t="str">
        <f t="shared" si="21"/>
        <v>OK</v>
      </c>
      <c r="Z54" s="27"/>
      <c r="AA54" s="42">
        <f t="shared" si="22"/>
        <v>0</v>
      </c>
      <c r="AB54" s="42">
        <f t="shared" si="23"/>
        <v>0</v>
      </c>
      <c r="AC54" s="27" t="str">
        <f t="shared" si="24"/>
        <v>OK</v>
      </c>
      <c r="AE54" s="27" t="str">
        <f>IF(AG54="","",IF(U54="도비","세입없음",CONCATENATE(AG54,"-",COUNTIF($AG$7:AG54,AG54))))</f>
        <v/>
      </c>
      <c r="AG54" s="27" t="str">
        <f t="array" ref="AG54">IF(C54="","",INDEX(구분표!$I$2:$I$300, MATCH(1,(구분표!$E$2:$E$300='2추일입'!B54)*(구분표!$F$2:$F$300='2추일입'!C54)*(구분표!$G$2:$G$300='2추일입'!A54),0)))</f>
        <v/>
      </c>
      <c r="AI54" s="27"/>
      <c r="AK54" s="42">
        <f>IF(AE54="",0,SUMIFS('2추일출'!$V$6:$V$294,'2추일출'!$AE$6:$AE$294,'2추일입'!$AE54))</f>
        <v>0</v>
      </c>
      <c r="AL54" s="42" t="str">
        <f>IF(AE54="","",COUNTIFS('2추일출'!$AE$6:$AE$294,'2추일입'!AE54))</f>
        <v/>
      </c>
      <c r="AM54" s="27" t="str">
        <f t="shared" si="25"/>
        <v>OK</v>
      </c>
      <c r="AO54" s="42">
        <f>IF(AE54="",0,SUMIFS('2추일출'!$AA$6:$AA$294,'2추일출'!$AE$6:$AE$294,'2추일입'!$AE54))</f>
        <v>0</v>
      </c>
      <c r="AP54" s="42" t="str">
        <f>IF(AE54="","",COUNTIFS('2추일출'!$AE$6:$AE$294,AE54))</f>
        <v/>
      </c>
      <c r="AQ54" s="27" t="str">
        <f t="shared" si="26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15"/>
        <v/>
      </c>
      <c r="J55" s="42"/>
      <c r="K55" s="45"/>
      <c r="L55" s="50">
        <f t="shared" si="16"/>
        <v>0</v>
      </c>
      <c r="M55" s="42"/>
      <c r="N55" s="45"/>
      <c r="O55" s="52">
        <f t="shared" si="17"/>
        <v>0</v>
      </c>
      <c r="P55" s="27" t="str">
        <f t="shared" si="18"/>
        <v>X</v>
      </c>
      <c r="Q55" s="29"/>
      <c r="S55" s="27"/>
      <c r="U55" s="27"/>
      <c r="V55" s="42">
        <f t="shared" si="19"/>
        <v>0</v>
      </c>
      <c r="W55" s="42">
        <f t="shared" si="20"/>
        <v>0</v>
      </c>
      <c r="X55" s="27" t="str">
        <f t="shared" si="21"/>
        <v>OK</v>
      </c>
      <c r="Z55" s="27"/>
      <c r="AA55" s="42">
        <f t="shared" si="22"/>
        <v>0</v>
      </c>
      <c r="AB55" s="42">
        <f t="shared" si="23"/>
        <v>0</v>
      </c>
      <c r="AC55" s="27" t="str">
        <f t="shared" si="24"/>
        <v>OK</v>
      </c>
      <c r="AE55" s="27" t="str">
        <f>IF(AG55="","",IF(U55="도비","세입없음",CONCATENATE(AG55,"-",COUNTIF($AG$7:AG55,AG55))))</f>
        <v/>
      </c>
      <c r="AG55" s="27" t="str">
        <f t="array" ref="AG55">IF(C55="","",INDEX(구분표!$I$2:$I$300, MATCH(1,(구분표!$E$2:$E$300='2추일입'!B55)*(구분표!$F$2:$F$300='2추일입'!C55)*(구분표!$G$2:$G$300='2추일입'!A55),0)))</f>
        <v/>
      </c>
      <c r="AI55" s="27"/>
      <c r="AK55" s="42">
        <f>IF(AE55="",0,SUMIFS('2추일출'!$V$6:$V$294,'2추일출'!$AE$6:$AE$294,'2추일입'!$AE55))</f>
        <v>0</v>
      </c>
      <c r="AL55" s="42" t="str">
        <f>IF(AE55="","",COUNTIFS('2추일출'!$AE$6:$AE$294,'2추일입'!AE55))</f>
        <v/>
      </c>
      <c r="AM55" s="27" t="str">
        <f t="shared" si="25"/>
        <v>OK</v>
      </c>
      <c r="AO55" s="42">
        <f>IF(AE55="",0,SUMIFS('2추일출'!$AA$6:$AA$294,'2추일출'!$AE$6:$AE$294,'2추일입'!$AE55))</f>
        <v>0</v>
      </c>
      <c r="AP55" s="42" t="str">
        <f>IF(AE55="","",COUNTIFS('2추일출'!$AE$6:$AE$294,AE55))</f>
        <v/>
      </c>
      <c r="AQ55" s="27" t="str">
        <f t="shared" si="26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15"/>
        <v/>
      </c>
      <c r="J56" s="42"/>
      <c r="K56" s="45"/>
      <c r="L56" s="50">
        <f t="shared" si="16"/>
        <v>0</v>
      </c>
      <c r="M56" s="42"/>
      <c r="N56" s="45"/>
      <c r="O56" s="52">
        <f t="shared" si="17"/>
        <v>0</v>
      </c>
      <c r="P56" s="27" t="str">
        <f t="shared" si="18"/>
        <v>X</v>
      </c>
      <c r="Q56" s="29"/>
      <c r="S56" s="27"/>
      <c r="U56" s="27"/>
      <c r="V56" s="42">
        <f t="shared" si="19"/>
        <v>0</v>
      </c>
      <c r="W56" s="42">
        <f t="shared" si="20"/>
        <v>0</v>
      </c>
      <c r="X56" s="27" t="str">
        <f t="shared" si="21"/>
        <v>OK</v>
      </c>
      <c r="Z56" s="27"/>
      <c r="AA56" s="42">
        <f t="shared" si="22"/>
        <v>0</v>
      </c>
      <c r="AB56" s="42">
        <f t="shared" si="23"/>
        <v>0</v>
      </c>
      <c r="AC56" s="27" t="str">
        <f t="shared" si="24"/>
        <v>OK</v>
      </c>
      <c r="AE56" s="27" t="str">
        <f>IF(AG56="","",IF(U56="도비","세입없음",CONCATENATE(AG56,"-",COUNTIF($AG$7:AG56,AG56))))</f>
        <v/>
      </c>
      <c r="AG56" s="27" t="str">
        <f t="array" ref="AG56">IF(C56="","",INDEX(구분표!$I$2:$I$300, MATCH(1,(구분표!$E$2:$E$300='2추일입'!B56)*(구분표!$F$2:$F$300='2추일입'!C56)*(구분표!$G$2:$G$300='2추일입'!A56),0)))</f>
        <v/>
      </c>
      <c r="AI56" s="27"/>
      <c r="AK56" s="42">
        <f>IF(AE56="",0,SUMIFS('2추일출'!$V$6:$V$294,'2추일출'!$AE$6:$AE$294,'2추일입'!$AE56))</f>
        <v>0</v>
      </c>
      <c r="AL56" s="42" t="str">
        <f>IF(AE56="","",COUNTIFS('2추일출'!$AE$6:$AE$294,'2추일입'!AE56))</f>
        <v/>
      </c>
      <c r="AM56" s="27" t="str">
        <f t="shared" si="25"/>
        <v>OK</v>
      </c>
      <c r="AO56" s="42">
        <f>IF(AE56="",0,SUMIFS('2추일출'!$AA$6:$AA$294,'2추일출'!$AE$6:$AE$294,'2추일입'!$AE56))</f>
        <v>0</v>
      </c>
      <c r="AP56" s="42" t="str">
        <f>IF(AE56="","",COUNTIFS('2추일출'!$AE$6:$AE$294,AE56))</f>
        <v/>
      </c>
      <c r="AQ56" s="27" t="str">
        <f t="shared" si="26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15"/>
        <v/>
      </c>
      <c r="J57" s="42"/>
      <c r="K57" s="45"/>
      <c r="L57" s="50">
        <f t="shared" si="16"/>
        <v>0</v>
      </c>
      <c r="M57" s="42"/>
      <c r="N57" s="45"/>
      <c r="O57" s="52">
        <f t="shared" si="17"/>
        <v>0</v>
      </c>
      <c r="P57" s="27" t="str">
        <f t="shared" si="18"/>
        <v>X</v>
      </c>
      <c r="Q57" s="29"/>
      <c r="S57" s="27"/>
      <c r="U57" s="27"/>
      <c r="V57" s="42">
        <f t="shared" si="19"/>
        <v>0</v>
      </c>
      <c r="W57" s="42">
        <f t="shared" si="20"/>
        <v>0</v>
      </c>
      <c r="X57" s="27" t="str">
        <f t="shared" si="21"/>
        <v>OK</v>
      </c>
      <c r="Z57" s="27"/>
      <c r="AA57" s="42">
        <f t="shared" si="22"/>
        <v>0</v>
      </c>
      <c r="AB57" s="42">
        <f t="shared" si="23"/>
        <v>0</v>
      </c>
      <c r="AC57" s="27" t="str">
        <f t="shared" si="24"/>
        <v>OK</v>
      </c>
      <c r="AE57" s="27" t="str">
        <f>IF(AG57="","",IF(U57="도비","세입없음",CONCATENATE(AG57,"-",COUNTIF($AG$7:AG57,AG57))))</f>
        <v/>
      </c>
      <c r="AG57" s="27" t="str">
        <f t="array" ref="AG57">IF(C57="","",INDEX(구분표!$I$2:$I$300, MATCH(1,(구분표!$E$2:$E$300='2추일입'!B57)*(구분표!$F$2:$F$300='2추일입'!C57)*(구분표!$G$2:$G$300='2추일입'!A57),0)))</f>
        <v/>
      </c>
      <c r="AI57" s="27"/>
      <c r="AK57" s="42">
        <f>IF(AE57="",0,SUMIFS('2추일출'!$V$6:$V$294,'2추일출'!$AE$6:$AE$294,'2추일입'!$AE57))</f>
        <v>0</v>
      </c>
      <c r="AL57" s="42" t="str">
        <f>IF(AE57="","",COUNTIFS('2추일출'!$AE$6:$AE$294,'2추일입'!AE57))</f>
        <v/>
      </c>
      <c r="AM57" s="27" t="str">
        <f t="shared" si="25"/>
        <v>OK</v>
      </c>
      <c r="AO57" s="42">
        <f>IF(AE57="",0,SUMIFS('2추일출'!$AA$6:$AA$294,'2추일출'!$AE$6:$AE$294,'2추일입'!$AE57))</f>
        <v>0</v>
      </c>
      <c r="AP57" s="42" t="str">
        <f>IF(AE57="","",COUNTIFS('2추일출'!$AE$6:$AE$294,AE57))</f>
        <v/>
      </c>
      <c r="AQ57" s="27" t="str">
        <f t="shared" si="26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15"/>
        <v/>
      </c>
      <c r="J58" s="42"/>
      <c r="K58" s="45"/>
      <c r="L58" s="50">
        <f t="shared" si="16"/>
        <v>0</v>
      </c>
      <c r="M58" s="42"/>
      <c r="N58" s="45"/>
      <c r="O58" s="52">
        <f t="shared" si="17"/>
        <v>0</v>
      </c>
      <c r="P58" s="27" t="str">
        <f t="shared" si="18"/>
        <v>X</v>
      </c>
      <c r="Q58" s="29"/>
      <c r="S58" s="27"/>
      <c r="U58" s="27"/>
      <c r="V58" s="42">
        <f t="shared" si="19"/>
        <v>0</v>
      </c>
      <c r="W58" s="42">
        <f t="shared" si="20"/>
        <v>0</v>
      </c>
      <c r="X58" s="27" t="str">
        <f t="shared" si="21"/>
        <v>OK</v>
      </c>
      <c r="Z58" s="27"/>
      <c r="AA58" s="42">
        <f t="shared" si="22"/>
        <v>0</v>
      </c>
      <c r="AB58" s="42">
        <f t="shared" si="23"/>
        <v>0</v>
      </c>
      <c r="AC58" s="27" t="str">
        <f t="shared" si="24"/>
        <v>OK</v>
      </c>
      <c r="AE58" s="27" t="str">
        <f>IF(AG58="","",IF(U58="도비","세입없음",CONCATENATE(AG58,"-",COUNTIF($AG$7:AG58,AG58))))</f>
        <v/>
      </c>
      <c r="AG58" s="27" t="str">
        <f t="array" ref="AG58">IF(C58="","",INDEX(구분표!$I$2:$I$300, MATCH(1,(구분표!$E$2:$E$300='2추일입'!B58)*(구분표!$F$2:$F$300='2추일입'!C58)*(구분표!$G$2:$G$300='2추일입'!A58),0)))</f>
        <v/>
      </c>
      <c r="AI58" s="27"/>
      <c r="AK58" s="42">
        <f>IF(AE58="",0,SUMIFS('2추일출'!$V$6:$V$294,'2추일출'!$AE$6:$AE$294,'2추일입'!$AE58))</f>
        <v>0</v>
      </c>
      <c r="AL58" s="42" t="str">
        <f>IF(AE58="","",COUNTIFS('2추일출'!$AE$6:$AE$294,'2추일입'!AE58))</f>
        <v/>
      </c>
      <c r="AM58" s="27" t="str">
        <f t="shared" si="25"/>
        <v>OK</v>
      </c>
      <c r="AO58" s="42">
        <f>IF(AE58="",0,SUMIFS('2추일출'!$AA$6:$AA$294,'2추일출'!$AE$6:$AE$294,'2추일입'!$AE58))</f>
        <v>0</v>
      </c>
      <c r="AP58" s="42" t="str">
        <f>IF(AE58="","",COUNTIFS('2추일출'!$AE$6:$AE$294,AE58))</f>
        <v/>
      </c>
      <c r="AQ58" s="27" t="str">
        <f t="shared" si="26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15"/>
        <v/>
      </c>
      <c r="J59" s="42"/>
      <c r="K59" s="45"/>
      <c r="L59" s="50">
        <f t="shared" si="16"/>
        <v>0</v>
      </c>
      <c r="M59" s="42"/>
      <c r="N59" s="45"/>
      <c r="O59" s="52">
        <f t="shared" si="17"/>
        <v>0</v>
      </c>
      <c r="P59" s="27" t="str">
        <f t="shared" si="18"/>
        <v>X</v>
      </c>
      <c r="Q59" s="29"/>
      <c r="S59" s="27"/>
      <c r="U59" s="27"/>
      <c r="V59" s="42">
        <f t="shared" si="19"/>
        <v>0</v>
      </c>
      <c r="W59" s="42">
        <f t="shared" si="20"/>
        <v>0</v>
      </c>
      <c r="X59" s="27" t="str">
        <f t="shared" si="21"/>
        <v>OK</v>
      </c>
      <c r="Z59" s="27"/>
      <c r="AA59" s="42">
        <f t="shared" si="22"/>
        <v>0</v>
      </c>
      <c r="AB59" s="42">
        <f t="shared" si="23"/>
        <v>0</v>
      </c>
      <c r="AC59" s="27" t="str">
        <f t="shared" si="24"/>
        <v>OK</v>
      </c>
      <c r="AE59" s="27" t="str">
        <f>IF(AG59="","",IF(U59="도비","세입없음",CONCATENATE(AG59,"-",COUNTIF($AG$7:AG59,AG59))))</f>
        <v/>
      </c>
      <c r="AG59" s="27" t="str">
        <f t="array" ref="AG59">IF(C59="","",INDEX(구분표!$I$2:$I$300, MATCH(1,(구분표!$E$2:$E$300='2추일입'!B59)*(구분표!$F$2:$F$300='2추일입'!C59)*(구분표!$G$2:$G$300='2추일입'!A59),0)))</f>
        <v/>
      </c>
      <c r="AI59" s="27"/>
      <c r="AK59" s="42">
        <f>IF(AE59="",0,SUMIFS('2추일출'!$V$6:$V$294,'2추일출'!$AE$6:$AE$294,'2추일입'!$AE59))</f>
        <v>0</v>
      </c>
      <c r="AL59" s="42" t="str">
        <f>IF(AE59="","",COUNTIFS('2추일출'!$AE$6:$AE$294,'2추일입'!AE59))</f>
        <v/>
      </c>
      <c r="AM59" s="27" t="str">
        <f t="shared" si="25"/>
        <v>OK</v>
      </c>
      <c r="AO59" s="42">
        <f>IF(AE59="",0,SUMIFS('2추일출'!$AA$6:$AA$294,'2추일출'!$AE$6:$AE$294,'2추일입'!$AE59))</f>
        <v>0</v>
      </c>
      <c r="AP59" s="42" t="str">
        <f>IF(AE59="","",COUNTIFS('2추일출'!$AE$6:$AE$294,AE59))</f>
        <v/>
      </c>
      <c r="AQ59" s="27" t="str">
        <f t="shared" si="26"/>
        <v>OK</v>
      </c>
    </row>
    <row r="60" spans="1:43" ht="50.1" customHeight="1" x14ac:dyDescent="0.3">
      <c r="A60" s="34" t="str">
        <f>IFERROR(VLOOKUP($C60,구분표!$A$2:$C$300,2,FALSE),"")</f>
        <v/>
      </c>
      <c r="B60" s="25" t="str">
        <f>IFERROR(VLOOKUP($C60,구분표!$A$2:$C$300,3,FALSE),"")</f>
        <v/>
      </c>
      <c r="C60" s="32"/>
      <c r="D60" s="37"/>
      <c r="E60" s="38"/>
      <c r="F60" s="37"/>
      <c r="G60" s="46"/>
      <c r="H60" s="43"/>
      <c r="I60" s="55" t="str">
        <f t="shared" si="15"/>
        <v/>
      </c>
      <c r="J60" s="43"/>
      <c r="K60" s="47"/>
      <c r="L60" s="51">
        <f t="shared" si="16"/>
        <v>0</v>
      </c>
      <c r="M60" s="43"/>
      <c r="N60" s="47"/>
      <c r="O60" s="53">
        <f t="shared" si="17"/>
        <v>0</v>
      </c>
      <c r="P60" s="28" t="str">
        <f t="shared" si="18"/>
        <v>X</v>
      </c>
      <c r="Q60" s="30"/>
      <c r="S60" s="28"/>
      <c r="U60" s="28"/>
      <c r="V60" s="43">
        <f t="shared" si="19"/>
        <v>0</v>
      </c>
      <c r="W60" s="43">
        <f t="shared" si="20"/>
        <v>0</v>
      </c>
      <c r="X60" s="28" t="str">
        <f t="shared" si="21"/>
        <v>OK</v>
      </c>
      <c r="Z60" s="28"/>
      <c r="AA60" s="43">
        <f t="shared" si="22"/>
        <v>0</v>
      </c>
      <c r="AB60" s="43">
        <f t="shared" si="23"/>
        <v>0</v>
      </c>
      <c r="AC60" s="28" t="str">
        <f t="shared" si="24"/>
        <v>OK</v>
      </c>
      <c r="AE60" s="28" t="str">
        <f>IF(AG60="","",IF(U60="도비","세입없음",CONCATENATE(AG60,"-",COUNTIF($AG$7:AG60,AG60))))</f>
        <v/>
      </c>
      <c r="AG60" s="28" t="str">
        <f t="array" ref="AG60">IF(C60="","",INDEX(구분표!$I$2:$I$300, MATCH(1,(구분표!$E$2:$E$300='2추일입'!B60)*(구분표!$F$2:$F$300='2추일입'!C60)*(구분표!$G$2:$G$300='2추일입'!A60),0)))</f>
        <v/>
      </c>
      <c r="AI60" s="28"/>
      <c r="AK60" s="43">
        <f>IF(AE60="",0,SUMIFS('2추일출'!$V$6:$V$294,'2추일출'!$AE$6:$AE$294,'2추일입'!$AE60))</f>
        <v>0</v>
      </c>
      <c r="AL60" s="43" t="str">
        <f>IF(AE60="","",COUNTIFS('2추일출'!$AE$6:$AE$294,'2추일입'!AE60))</f>
        <v/>
      </c>
      <c r="AM60" s="28" t="str">
        <f t="shared" si="25"/>
        <v>OK</v>
      </c>
      <c r="AO60" s="43">
        <f>IF(AE60="",0,SUMIFS('2추일출'!$AA$6:$AA$294,'2추일출'!$AE$6:$AE$294,'2추일입'!$AE60))</f>
        <v>0</v>
      </c>
      <c r="AP60" s="43" t="str">
        <f>IF(AE60="","",COUNTIFS('2추일출'!$AE$6:$AE$294,AE60))</f>
        <v/>
      </c>
      <c r="AQ60" s="28" t="str">
        <f t="shared" si="26"/>
        <v>OK</v>
      </c>
    </row>
  </sheetData>
  <autoFilter ref="A6:AQ60"/>
  <mergeCells count="25"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</mergeCells>
  <phoneticPr fontId="1" type="noConversion"/>
  <dataValidations disablePrompts="1" count="3">
    <dataValidation type="list" allowBlank="1" showInputMessage="1" showErrorMessage="1" sqref="D7:D60">
      <formula1>"본예산,1회추경,2회추경,신규"</formula1>
    </dataValidation>
    <dataValidation type="list" allowBlank="1" showInputMessage="1" showErrorMessage="1" sqref="S7:S60">
      <formula1>"도비,국도비"</formula1>
    </dataValidation>
    <dataValidation type="list" allowBlank="1" showInputMessage="1" showErrorMessage="1" sqref="U7:U60 Z7:Z6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294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1" sqref="F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7" width="12.375" style="1" customWidth="1"/>
    <col min="8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768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673</v>
      </c>
      <c r="P2" s="200" t="s">
        <v>1286</v>
      </c>
      <c r="V2" s="56" t="s">
        <v>685</v>
      </c>
      <c r="AA2" s="56" t="s">
        <v>685</v>
      </c>
    </row>
    <row r="3" spans="1:38" ht="20.25" customHeight="1" x14ac:dyDescent="0.3">
      <c r="J3" s="49">
        <f>COUNTA(J7:J294)-10</f>
        <v>54</v>
      </c>
      <c r="K3" s="49">
        <f>COUNTA(K7:K294)-10</f>
        <v>198</v>
      </c>
      <c r="M3" s="49">
        <f>COUNTA(M7:M294)-10</f>
        <v>130</v>
      </c>
      <c r="N3" s="49">
        <f>COUNTA(N7:N294)-10</f>
        <v>258</v>
      </c>
      <c r="Q3" s="20" t="s">
        <v>656</v>
      </c>
      <c r="V3" s="63" t="str">
        <f>IF(V6='2추일입'!V6,"OK","@@")</f>
        <v>@@</v>
      </c>
      <c r="W3" s="64"/>
      <c r="X3" s="63" t="str">
        <f>IF(COUNTIF(X6:X294,"검토")&gt;0,"@@","OK")</f>
        <v>OK</v>
      </c>
      <c r="AA3" s="63" t="str">
        <f>IF((AA6='2추일입'!AA6-'2추일입'!AA1),"OK","@@")</f>
        <v>OK</v>
      </c>
      <c r="AC3" s="63" t="str">
        <f>IF(COUNTIF(AC6:AC294,"검토")&gt;0,"@@","OK")</f>
        <v>OK</v>
      </c>
    </row>
    <row r="4" spans="1:38" s="18" customFormat="1" ht="30" customHeight="1" x14ac:dyDescent="0.3">
      <c r="A4" s="243" t="s">
        <v>644</v>
      </c>
      <c r="B4" s="245" t="s">
        <v>645</v>
      </c>
      <c r="C4" s="247" t="s">
        <v>646</v>
      </c>
      <c r="D4" s="246" t="s">
        <v>655</v>
      </c>
      <c r="E4" s="244" t="s">
        <v>647</v>
      </c>
      <c r="F4" s="245" t="s">
        <v>674</v>
      </c>
      <c r="G4" s="244" t="s">
        <v>764</v>
      </c>
      <c r="H4" s="246" t="s">
        <v>652</v>
      </c>
      <c r="I4" s="244" t="s">
        <v>765</v>
      </c>
      <c r="J4" s="248" t="s">
        <v>766</v>
      </c>
      <c r="K4" s="249"/>
      <c r="L4" s="250" t="s">
        <v>651</v>
      </c>
      <c r="M4" s="252" t="s">
        <v>767</v>
      </c>
      <c r="N4" s="253"/>
      <c r="O4" s="241" t="s">
        <v>657</v>
      </c>
      <c r="P4" s="246" t="s">
        <v>654</v>
      </c>
      <c r="Q4" s="255" t="s">
        <v>653</v>
      </c>
      <c r="S4" s="256" t="s">
        <v>658</v>
      </c>
      <c r="U4" s="257" t="s">
        <v>659</v>
      </c>
      <c r="V4" s="258" t="s">
        <v>660</v>
      </c>
      <c r="W4" s="258"/>
      <c r="X4" s="258"/>
      <c r="Z4" s="257" t="s">
        <v>659</v>
      </c>
      <c r="AA4" s="254" t="s">
        <v>664</v>
      </c>
      <c r="AB4" s="254"/>
      <c r="AC4" s="254"/>
      <c r="AE4" s="257" t="s">
        <v>665</v>
      </c>
      <c r="AG4" s="259" t="s">
        <v>686</v>
      </c>
      <c r="AH4" s="261" t="s">
        <v>687</v>
      </c>
      <c r="AJ4" s="256" t="s">
        <v>666</v>
      </c>
      <c r="AL4" s="256" t="s">
        <v>667</v>
      </c>
    </row>
    <row r="5" spans="1:38" s="18" customFormat="1" ht="18" customHeight="1" x14ac:dyDescent="0.3">
      <c r="A5" s="243"/>
      <c r="B5" s="245"/>
      <c r="C5" s="247"/>
      <c r="D5" s="245"/>
      <c r="E5" s="244"/>
      <c r="F5" s="245"/>
      <c r="G5" s="244"/>
      <c r="H5" s="245"/>
      <c r="I5" s="247"/>
      <c r="J5" s="21" t="s">
        <v>649</v>
      </c>
      <c r="K5" s="40" t="s">
        <v>650</v>
      </c>
      <c r="L5" s="251"/>
      <c r="M5" s="22" t="s">
        <v>649</v>
      </c>
      <c r="N5" s="39" t="s">
        <v>650</v>
      </c>
      <c r="O5" s="242"/>
      <c r="P5" s="246"/>
      <c r="Q5" s="255"/>
      <c r="S5" s="257"/>
      <c r="U5" s="257"/>
      <c r="V5" s="67" t="s">
        <v>661</v>
      </c>
      <c r="W5" s="67" t="s">
        <v>662</v>
      </c>
      <c r="X5" s="67" t="s">
        <v>663</v>
      </c>
      <c r="Z5" s="257"/>
      <c r="AA5" s="67" t="s">
        <v>661</v>
      </c>
      <c r="AB5" s="67" t="s">
        <v>662</v>
      </c>
      <c r="AC5" s="67" t="s">
        <v>663</v>
      </c>
      <c r="AE5" s="257"/>
      <c r="AG5" s="260"/>
      <c r="AH5" s="262"/>
      <c r="AJ5" s="257"/>
      <c r="AL5" s="257"/>
    </row>
    <row r="6" spans="1:38" ht="50.1" customHeight="1" x14ac:dyDescent="0.3">
      <c r="A6" s="48" t="s">
        <v>672</v>
      </c>
      <c r="B6" s="23"/>
      <c r="C6" s="23"/>
      <c r="D6" s="23"/>
      <c r="E6" s="23"/>
      <c r="F6" s="135"/>
      <c r="G6" s="41">
        <f t="shared" ref="G6:O6" si="0">SUBTOTAL(9,G7:G294)/2</f>
        <v>1175159009</v>
      </c>
      <c r="H6" s="41">
        <f t="shared" si="0"/>
        <v>893443440</v>
      </c>
      <c r="I6" s="41">
        <f t="shared" si="0"/>
        <v>281715569</v>
      </c>
      <c r="J6" s="41">
        <f t="shared" si="0"/>
        <v>-67930918</v>
      </c>
      <c r="K6" s="41">
        <f t="shared" si="0"/>
        <v>82409958</v>
      </c>
      <c r="L6" s="41">
        <f t="shared" si="0"/>
        <v>1189788049</v>
      </c>
      <c r="M6" s="41">
        <f t="shared" si="0"/>
        <v>-74682271</v>
      </c>
      <c r="N6" s="41">
        <f t="shared" si="0"/>
        <v>94507148</v>
      </c>
      <c r="O6" s="41">
        <f t="shared" si="0"/>
        <v>1194833886</v>
      </c>
      <c r="P6" s="26"/>
      <c r="Q6" s="223"/>
      <c r="S6" s="26"/>
      <c r="U6" s="26"/>
      <c r="V6" s="41">
        <f>SUBTOTAL(9,V7:V294)</f>
        <v>20348091</v>
      </c>
      <c r="W6" s="41">
        <f>SUBTOTAL(9,W7:W294)</f>
        <v>-5869051</v>
      </c>
      <c r="X6" s="27" t="str">
        <f t="shared" ref="X6" si="1">IF(SUM($J6:$K6)=SUM($V6:$W6),"OK","검토")</f>
        <v>OK</v>
      </c>
      <c r="Z6" s="26"/>
      <c r="AA6" s="41">
        <f>SUBTOTAL(9,AA7:AA294)</f>
        <v>19827870</v>
      </c>
      <c r="AB6" s="41">
        <f>SUBTOTAL(9,AB7:AB294)</f>
        <v>-2993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675</v>
      </c>
      <c r="B7" s="58"/>
      <c r="C7" s="59"/>
      <c r="D7" s="58"/>
      <c r="E7" s="59"/>
      <c r="F7" s="136"/>
      <c r="G7" s="60">
        <f t="shared" ref="G7:O7" si="3">SUM(G8:G29)</f>
        <v>9247996</v>
      </c>
      <c r="H7" s="60">
        <f t="shared" si="3"/>
        <v>5555996</v>
      </c>
      <c r="I7" s="60">
        <f t="shared" si="3"/>
        <v>3692000</v>
      </c>
      <c r="J7" s="60">
        <f t="shared" si="3"/>
        <v>-1765000</v>
      </c>
      <c r="K7" s="60">
        <f t="shared" si="3"/>
        <v>900000</v>
      </c>
      <c r="L7" s="60">
        <f t="shared" si="3"/>
        <v>8382996</v>
      </c>
      <c r="M7" s="60">
        <f t="shared" si="3"/>
        <v>-2165000</v>
      </c>
      <c r="N7" s="60">
        <f t="shared" si="3"/>
        <v>819700</v>
      </c>
      <c r="O7" s="60">
        <f t="shared" si="3"/>
        <v>7902696</v>
      </c>
      <c r="P7" s="61"/>
      <c r="Q7" s="224"/>
      <c r="S7" s="27"/>
      <c r="U7" s="27"/>
      <c r="V7" s="42"/>
      <c r="W7" s="42"/>
      <c r="X7" s="27"/>
      <c r="Z7" s="27"/>
      <c r="AA7" s="42"/>
      <c r="AB7" s="42"/>
      <c r="AC7" s="27"/>
      <c r="AE7" s="27" t="str">
        <f>IF(U7="","",IF(U7="도비","세입없음","직접입력"))</f>
        <v/>
      </c>
      <c r="AG7" s="24" t="str">
        <f t="shared" ref="AG7:AG70" si="4">IF(AE7="","",COUNTIF($AE$7:$AE$294,AE7))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MATCH(1,(구분표!$E$2:$E$300='2추일출'!B7)*(구분표!$F$2:$F$300='2추일출'!C7)*(구분표!$G$2:$G$300='2추일출'!A7),0)))</f>
        <v/>
      </c>
      <c r="AL7" s="27"/>
    </row>
    <row r="8" spans="1:38" ht="50.1" customHeight="1" x14ac:dyDescent="0.3">
      <c r="A8" s="33" t="str">
        <f>IFERROR(VLOOKUP($C8,구분표!$A$2:$C$300,2,FALSE),"")</f>
        <v>의회운영위원회</v>
      </c>
      <c r="B8" s="24" t="str">
        <f>IFERROR(VLOOKUP($C8,구분표!$A$2:$C$300,3,FALSE),"")</f>
        <v>의회사무처</v>
      </c>
      <c r="C8" s="31" t="s">
        <v>13</v>
      </c>
      <c r="D8" s="137" t="s">
        <v>771</v>
      </c>
      <c r="E8" s="143" t="s">
        <v>832</v>
      </c>
      <c r="F8" s="138" t="s">
        <v>833</v>
      </c>
      <c r="G8" s="44"/>
      <c r="H8" s="42"/>
      <c r="I8" s="54">
        <f t="shared" ref="I8:I217" si="5">IF(D8="","",G8-H8)</f>
        <v>0</v>
      </c>
      <c r="J8" s="42"/>
      <c r="K8" s="45">
        <v>20000</v>
      </c>
      <c r="L8" s="50">
        <f t="shared" ref="L8:L217" si="6">IF(G8=0,H8+J8+K8,G8+J8+K8)</f>
        <v>20000</v>
      </c>
      <c r="M8" s="42"/>
      <c r="N8" s="159">
        <v>20000</v>
      </c>
      <c r="O8" s="160">
        <f t="shared" ref="O8:O217" si="7">IF(G8=0,H8+M8+N8,G8+M8+N8)</f>
        <v>20000</v>
      </c>
      <c r="P8" s="27" t="str">
        <f>IF(AND((L8=0),(O8&gt;0)),"O",IF(AND((J8&lt;0),(L8-O8&lt;0)),"O","X"))</f>
        <v>X</v>
      </c>
      <c r="Q8" s="206"/>
      <c r="S8" s="27" t="s">
        <v>1084</v>
      </c>
      <c r="U8" s="27" t="s">
        <v>1084</v>
      </c>
      <c r="V8" s="42">
        <f t="shared" ref="V8:V224" si="8">IF($U8&lt;&gt;"도비",IF($S8="국도비","직접입력",SUM($J8:$K8)),)</f>
        <v>0</v>
      </c>
      <c r="W8" s="42">
        <f t="shared" ref="W8:W224" si="9">IF($U8="도비",SUM($J8:$K8),IF($S8="국도비","직접입력",SUM($J8:$K8)-$V8))</f>
        <v>20000</v>
      </c>
      <c r="X8" s="27" t="str">
        <f t="shared" ref="X8:X224" si="10">IF(SUM($J8:$K8)=SUM($V8:$W8),"OK","검토")</f>
        <v>OK</v>
      </c>
      <c r="Z8" s="27"/>
      <c r="AA8" s="42">
        <f t="shared" ref="AA8:AA224" si="11">IF($U8&lt;&gt;"도비",IF($S8="국도비","직접입력",SUM($M8:$N8)),)</f>
        <v>0</v>
      </c>
      <c r="AB8" s="42">
        <f t="shared" ref="AB8:AB217" si="12">IF($U8="도비",SUM(M8:N8),IF($S8="국도비","직접입력",SUM(M8:N8)-AA8))</f>
        <v>20000</v>
      </c>
      <c r="AC8" s="27" t="str">
        <f t="shared" ref="AC8:AC217" si="13">IF(SUM(M8:N8)=SUM(AA8:AB8),"OK","검토")</f>
        <v>OK</v>
      </c>
      <c r="AE8" s="27" t="str">
        <f t="shared" ref="AE8:AE231" si="14">IF(U8="","",IF(U8="도비","세입없음","직접입력"))</f>
        <v>세입없음</v>
      </c>
      <c r="AG8" s="24">
        <f t="shared" si="4"/>
        <v>217</v>
      </c>
      <c r="AH8" s="65" t="str">
        <f t="shared" ref="AH8:AH231" si="15">IF(U8="","",IF(AND(U8="도비",AE8="세입없음"),"OK",IF(AND(U8&lt;&gt;"도비",AE8&lt;&gt;""),"OK","@@")))</f>
        <v>OK</v>
      </c>
      <c r="AJ8" s="27" t="str">
        <f t="array" ref="AJ8">IF(C8="","",INDEX(구분표!$I$2:$I$300, MATCH(1,(구분표!$E$2:$E$300='2추일출'!B8)*(구분표!$F$2:$F$300='2추일출'!C8)*(구분표!$G$2:$G$300='2추일출'!A8),0)))</f>
        <v>0102</v>
      </c>
      <c r="AL8" s="27"/>
    </row>
    <row r="9" spans="1:38" ht="50.1" customHeight="1" x14ac:dyDescent="0.3">
      <c r="A9" s="33" t="str">
        <f>IFERROR(VLOOKUP($C9,구분표!$A$2:$C$300,2,FALSE),"")</f>
        <v>의회운영위원회</v>
      </c>
      <c r="B9" s="24" t="str">
        <f>IFERROR(VLOOKUP($C9,구분표!$A$2:$C$300,3,FALSE),"")</f>
        <v>의회사무처</v>
      </c>
      <c r="C9" s="31" t="s">
        <v>13</v>
      </c>
      <c r="D9" s="137" t="s">
        <v>771</v>
      </c>
      <c r="E9" s="143" t="s">
        <v>832</v>
      </c>
      <c r="F9" s="138" t="s">
        <v>834</v>
      </c>
      <c r="G9" s="44"/>
      <c r="H9" s="42"/>
      <c r="I9" s="54">
        <f t="shared" si="5"/>
        <v>0</v>
      </c>
      <c r="J9" s="42"/>
      <c r="K9" s="45">
        <v>60000</v>
      </c>
      <c r="L9" s="50">
        <f t="shared" si="6"/>
        <v>60000</v>
      </c>
      <c r="M9" s="42"/>
      <c r="N9" s="159">
        <v>0</v>
      </c>
      <c r="O9" s="160">
        <f t="shared" si="7"/>
        <v>0</v>
      </c>
      <c r="P9" s="27" t="str">
        <f t="shared" ref="P9:P56" si="16">IF(AND((L9=0),(O9&gt;0)),"O",IF(AND((J9&lt;0),(L9-O9&lt;0)),"O","X"))</f>
        <v>X</v>
      </c>
      <c r="Q9" s="221" t="s">
        <v>1317</v>
      </c>
      <c r="S9" s="27" t="s">
        <v>1164</v>
      </c>
      <c r="U9" s="27" t="s">
        <v>1084</v>
      </c>
      <c r="V9" s="42">
        <f t="shared" si="8"/>
        <v>0</v>
      </c>
      <c r="W9" s="42">
        <f t="shared" si="9"/>
        <v>60000</v>
      </c>
      <c r="X9" s="27" t="str">
        <f t="shared" si="10"/>
        <v>OK</v>
      </c>
      <c r="Z9" s="27"/>
      <c r="AA9" s="42">
        <f t="shared" si="11"/>
        <v>0</v>
      </c>
      <c r="AB9" s="42">
        <f t="shared" si="12"/>
        <v>0</v>
      </c>
      <c r="AC9" s="27" t="str">
        <f t="shared" si="13"/>
        <v>OK</v>
      </c>
      <c r="AE9" s="27" t="str">
        <f t="shared" si="14"/>
        <v>세입없음</v>
      </c>
      <c r="AG9" s="24">
        <f t="shared" si="4"/>
        <v>217</v>
      </c>
      <c r="AH9" s="65" t="str">
        <f t="shared" si="15"/>
        <v>OK</v>
      </c>
      <c r="AJ9" s="27" t="str">
        <f t="array" ref="AJ9">IF(C9="","",INDEX(구분표!$I$2:$I$300, MATCH(1,(구분표!$E$2:$E$300='2추일출'!B9)*(구분표!$F$2:$F$300='2추일출'!C9)*(구분표!$G$2:$G$300='2추일출'!A9),0)))</f>
        <v>0102</v>
      </c>
      <c r="AL9" s="27"/>
    </row>
    <row r="10" spans="1:38" ht="50.1" customHeight="1" x14ac:dyDescent="0.3">
      <c r="A10" s="33" t="s">
        <v>1234</v>
      </c>
      <c r="B10" s="24" t="s">
        <v>1235</v>
      </c>
      <c r="C10" s="31" t="s">
        <v>1236</v>
      </c>
      <c r="D10" s="137" t="s">
        <v>779</v>
      </c>
      <c r="E10" s="143"/>
      <c r="F10" s="138" t="s">
        <v>1237</v>
      </c>
      <c r="G10" s="44">
        <v>18000</v>
      </c>
      <c r="H10" s="42">
        <v>18000</v>
      </c>
      <c r="I10" s="54">
        <f t="shared" si="5"/>
        <v>0</v>
      </c>
      <c r="J10" s="42"/>
      <c r="K10" s="45"/>
      <c r="L10" s="50">
        <f t="shared" si="6"/>
        <v>18000</v>
      </c>
      <c r="M10" s="42"/>
      <c r="N10" s="159">
        <v>20000</v>
      </c>
      <c r="O10" s="160">
        <f t="shared" si="7"/>
        <v>38000</v>
      </c>
      <c r="P10" s="27" t="str">
        <f t="shared" si="16"/>
        <v>X</v>
      </c>
      <c r="Q10" s="170"/>
      <c r="S10" s="27" t="s">
        <v>1239</v>
      </c>
      <c r="U10" s="27" t="s">
        <v>1239</v>
      </c>
      <c r="V10" s="42">
        <f t="shared" si="8"/>
        <v>0</v>
      </c>
      <c r="W10" s="42">
        <f t="shared" si="9"/>
        <v>0</v>
      </c>
      <c r="X10" s="27" t="str">
        <f t="shared" si="10"/>
        <v>OK</v>
      </c>
      <c r="Z10" s="27"/>
      <c r="AA10" s="42">
        <f t="shared" si="11"/>
        <v>0</v>
      </c>
      <c r="AB10" s="42">
        <f t="shared" ref="AB10" si="17">IF($U10="도비",SUM(M10:N10),IF($S10="국도비","직접입력",SUM(M10:N10)-AA10))</f>
        <v>20000</v>
      </c>
      <c r="AC10" s="27" t="str">
        <f t="shared" ref="AC10" si="18">IF(SUM(M10:N10)=SUM(AA10:AB10),"OK","검토")</f>
        <v>OK</v>
      </c>
      <c r="AE10" s="27" t="str">
        <f t="shared" si="14"/>
        <v>세입없음</v>
      </c>
      <c r="AG10" s="24">
        <f t="shared" si="4"/>
        <v>217</v>
      </c>
      <c r="AH10" s="65" t="str">
        <f t="shared" ref="AH10" si="19">IF(U10="","",IF(AND(U10="도비",AE10="세입없음"),"OK",IF(AND(U10&lt;&gt;"도비",AE10&lt;&gt;""),"OK","@@")))</f>
        <v>OK</v>
      </c>
      <c r="AJ10" s="27" t="str">
        <f t="array" ref="AJ10">IF(C10="","",INDEX(구분표!$I$2:$I$300, MATCH(1,(구분표!$E$2:$E$300='2추일출'!B10)*(구분표!$F$2:$F$300='2추일출'!C10)*(구분표!$G$2:$G$300='2추일출'!A10),0)))</f>
        <v>0102</v>
      </c>
      <c r="AL10" s="27"/>
    </row>
    <row r="11" spans="1:38" ht="50.1" customHeight="1" x14ac:dyDescent="0.3">
      <c r="A11" s="33" t="str">
        <f>IFERROR(VLOOKUP($C11,구분표!$A$2:$C$300,2,FALSE),"")</f>
        <v>의회운영위원회</v>
      </c>
      <c r="B11" s="24" t="str">
        <f>IFERROR(VLOOKUP($C11,구분표!$A$2:$C$300,3,FALSE),"")</f>
        <v>의회사무처</v>
      </c>
      <c r="C11" s="31" t="s">
        <v>13</v>
      </c>
      <c r="D11" s="137" t="s">
        <v>771</v>
      </c>
      <c r="E11" s="143" t="s">
        <v>832</v>
      </c>
      <c r="F11" s="138" t="s">
        <v>835</v>
      </c>
      <c r="G11" s="44"/>
      <c r="H11" s="42"/>
      <c r="I11" s="54">
        <f t="shared" si="5"/>
        <v>0</v>
      </c>
      <c r="J11" s="42"/>
      <c r="K11" s="45">
        <v>15000</v>
      </c>
      <c r="L11" s="50">
        <f t="shared" si="6"/>
        <v>15000</v>
      </c>
      <c r="M11" s="42"/>
      <c r="N11" s="159">
        <v>15000</v>
      </c>
      <c r="O11" s="160">
        <f t="shared" si="7"/>
        <v>15000</v>
      </c>
      <c r="P11" s="27" t="str">
        <f t="shared" si="16"/>
        <v>X</v>
      </c>
      <c r="Q11" s="206"/>
      <c r="S11" s="27" t="s">
        <v>1164</v>
      </c>
      <c r="U11" s="27" t="s">
        <v>1084</v>
      </c>
      <c r="V11" s="42">
        <f t="shared" si="8"/>
        <v>0</v>
      </c>
      <c r="W11" s="42">
        <f t="shared" si="9"/>
        <v>15000</v>
      </c>
      <c r="X11" s="27" t="str">
        <f t="shared" si="10"/>
        <v>OK</v>
      </c>
      <c r="Z11" s="27"/>
      <c r="AA11" s="42">
        <f t="shared" si="11"/>
        <v>0</v>
      </c>
      <c r="AB11" s="42">
        <f t="shared" si="12"/>
        <v>15000</v>
      </c>
      <c r="AC11" s="27" t="str">
        <f t="shared" si="13"/>
        <v>OK</v>
      </c>
      <c r="AE11" s="27" t="str">
        <f t="shared" si="14"/>
        <v>세입없음</v>
      </c>
      <c r="AG11" s="24">
        <f t="shared" si="4"/>
        <v>217</v>
      </c>
      <c r="AH11" s="65" t="str">
        <f t="shared" si="15"/>
        <v>OK</v>
      </c>
      <c r="AJ11" s="27" t="str">
        <f t="array" ref="AJ11">IF(C11="","",INDEX(구분표!$I$2:$I$300, MATCH(1,(구분표!$E$2:$E$300='2추일출'!B11)*(구분표!$F$2:$F$300='2추일출'!C11)*(구분표!$G$2:$G$300='2추일출'!A11),0)))</f>
        <v>0102</v>
      </c>
      <c r="AL11" s="27"/>
    </row>
    <row r="12" spans="1:38" ht="50.1" customHeight="1" x14ac:dyDescent="0.3">
      <c r="A12" s="33" t="str">
        <f>IFERROR(VLOOKUP($C12,구분표!$A$2:$C$300,2,FALSE),"")</f>
        <v>의회운영위원회</v>
      </c>
      <c r="B12" s="24" t="str">
        <f>IFERROR(VLOOKUP($C12,구분표!$A$2:$C$300,3,FALSE),"")</f>
        <v>의회사무처</v>
      </c>
      <c r="C12" s="31" t="s">
        <v>13</v>
      </c>
      <c r="D12" s="137" t="s">
        <v>771</v>
      </c>
      <c r="E12" s="143" t="s">
        <v>832</v>
      </c>
      <c r="F12" s="138" t="s">
        <v>836</v>
      </c>
      <c r="G12" s="44"/>
      <c r="H12" s="42"/>
      <c r="I12" s="54">
        <f t="shared" si="5"/>
        <v>0</v>
      </c>
      <c r="J12" s="42"/>
      <c r="K12" s="45">
        <v>26800</v>
      </c>
      <c r="L12" s="50">
        <f t="shared" si="6"/>
        <v>26800</v>
      </c>
      <c r="M12" s="42"/>
      <c r="N12" s="159">
        <v>0</v>
      </c>
      <c r="O12" s="160">
        <f t="shared" si="7"/>
        <v>0</v>
      </c>
      <c r="P12" s="27" t="str">
        <f t="shared" si="16"/>
        <v>X</v>
      </c>
      <c r="Q12" s="222"/>
      <c r="S12" s="27" t="s">
        <v>1164</v>
      </c>
      <c r="U12" s="27" t="s">
        <v>1084</v>
      </c>
      <c r="V12" s="42">
        <f t="shared" si="8"/>
        <v>0</v>
      </c>
      <c r="W12" s="42">
        <f t="shared" si="9"/>
        <v>26800</v>
      </c>
      <c r="X12" s="27" t="str">
        <f t="shared" si="10"/>
        <v>OK</v>
      </c>
      <c r="Z12" s="27"/>
      <c r="AA12" s="42">
        <f t="shared" si="11"/>
        <v>0</v>
      </c>
      <c r="AB12" s="42">
        <f t="shared" si="12"/>
        <v>0</v>
      </c>
      <c r="AC12" s="27" t="str">
        <f t="shared" si="13"/>
        <v>OK</v>
      </c>
      <c r="AE12" s="27" t="str">
        <f t="shared" si="14"/>
        <v>세입없음</v>
      </c>
      <c r="AG12" s="24">
        <f t="shared" si="4"/>
        <v>217</v>
      </c>
      <c r="AH12" s="65" t="str">
        <f t="shared" si="15"/>
        <v>OK</v>
      </c>
      <c r="AJ12" s="27" t="str">
        <f t="array" ref="AJ12">IF(C12="","",INDEX(구분표!$I$2:$I$300, MATCH(1,(구분표!$E$2:$E$300='2추일출'!B12)*(구분표!$F$2:$F$300='2추일출'!C12)*(구분표!$G$2:$G$300='2추일출'!A12),0)))</f>
        <v>0102</v>
      </c>
      <c r="AL12" s="27"/>
    </row>
    <row r="13" spans="1:38" ht="50.1" customHeight="1" x14ac:dyDescent="0.3">
      <c r="A13" s="33" t="str">
        <f>IFERROR(VLOOKUP($C13,구분표!$A$2:$C$300,2,FALSE),"")</f>
        <v>의회운영위원회</v>
      </c>
      <c r="B13" s="24" t="str">
        <f>IFERROR(VLOOKUP($C13,구분표!$A$2:$C$300,3,FALSE),"")</f>
        <v>의회사무처</v>
      </c>
      <c r="C13" s="31" t="s">
        <v>13</v>
      </c>
      <c r="D13" s="137" t="s">
        <v>771</v>
      </c>
      <c r="E13" s="143" t="s">
        <v>832</v>
      </c>
      <c r="F13" s="138" t="s">
        <v>837</v>
      </c>
      <c r="G13" s="44"/>
      <c r="H13" s="42"/>
      <c r="I13" s="54">
        <f t="shared" si="5"/>
        <v>0</v>
      </c>
      <c r="J13" s="42"/>
      <c r="K13" s="45">
        <v>15000</v>
      </c>
      <c r="L13" s="50">
        <f t="shared" si="6"/>
        <v>15000</v>
      </c>
      <c r="M13" s="42"/>
      <c r="N13" s="159">
        <v>15000</v>
      </c>
      <c r="O13" s="160">
        <f t="shared" si="7"/>
        <v>15000</v>
      </c>
      <c r="P13" s="27" t="str">
        <f t="shared" si="16"/>
        <v>X</v>
      </c>
      <c r="Q13" s="206"/>
      <c r="S13" s="27" t="s">
        <v>1164</v>
      </c>
      <c r="U13" s="27" t="s">
        <v>1084</v>
      </c>
      <c r="V13" s="42">
        <f t="shared" si="8"/>
        <v>0</v>
      </c>
      <c r="W13" s="42">
        <f t="shared" si="9"/>
        <v>15000</v>
      </c>
      <c r="X13" s="27" t="str">
        <f t="shared" si="10"/>
        <v>OK</v>
      </c>
      <c r="Z13" s="27"/>
      <c r="AA13" s="42">
        <f t="shared" si="11"/>
        <v>0</v>
      </c>
      <c r="AB13" s="42">
        <f t="shared" si="12"/>
        <v>15000</v>
      </c>
      <c r="AC13" s="27" t="str">
        <f t="shared" si="13"/>
        <v>OK</v>
      </c>
      <c r="AE13" s="27" t="str">
        <f t="shared" si="14"/>
        <v>세입없음</v>
      </c>
      <c r="AG13" s="24">
        <f t="shared" si="4"/>
        <v>217</v>
      </c>
      <c r="AH13" s="65" t="str">
        <f t="shared" si="15"/>
        <v>OK</v>
      </c>
      <c r="AJ13" s="27" t="str">
        <f t="array" ref="AJ13">IF(C13="","",INDEX(구분표!$I$2:$I$300, MATCH(1,(구분표!$E$2:$E$300='2추일출'!B13)*(구분표!$F$2:$F$300='2추일출'!C13)*(구분표!$G$2:$G$300='2추일출'!A13),0)))</f>
        <v>0102</v>
      </c>
      <c r="AL13" s="27"/>
    </row>
    <row r="14" spans="1:38" ht="50.1" customHeight="1" x14ac:dyDescent="0.3">
      <c r="A14" s="33" t="str">
        <f>IFERROR(VLOOKUP($C14,구분표!$A$2:$C$300,2,FALSE),"")</f>
        <v>의회운영위원회</v>
      </c>
      <c r="B14" s="24" t="str">
        <f>IFERROR(VLOOKUP($C14,구분표!$A$2:$C$300,3,FALSE),"")</f>
        <v>의회사무처</v>
      </c>
      <c r="C14" s="31" t="s">
        <v>8</v>
      </c>
      <c r="D14" s="137" t="s">
        <v>771</v>
      </c>
      <c r="E14" s="143" t="s">
        <v>832</v>
      </c>
      <c r="F14" s="138" t="s">
        <v>838</v>
      </c>
      <c r="G14" s="44"/>
      <c r="H14" s="42"/>
      <c r="I14" s="54">
        <f t="shared" si="5"/>
        <v>0</v>
      </c>
      <c r="J14" s="42"/>
      <c r="K14" s="45">
        <v>45000</v>
      </c>
      <c r="L14" s="50">
        <f t="shared" si="6"/>
        <v>45000</v>
      </c>
      <c r="M14" s="42"/>
      <c r="N14" s="159">
        <v>45000</v>
      </c>
      <c r="O14" s="160">
        <f t="shared" si="7"/>
        <v>45000</v>
      </c>
      <c r="P14" s="27" t="str">
        <f t="shared" si="16"/>
        <v>X</v>
      </c>
      <c r="Q14" s="206"/>
      <c r="S14" s="27" t="s">
        <v>1164</v>
      </c>
      <c r="U14" s="27" t="s">
        <v>1084</v>
      </c>
      <c r="V14" s="42">
        <f t="shared" si="8"/>
        <v>0</v>
      </c>
      <c r="W14" s="42">
        <f t="shared" si="9"/>
        <v>45000</v>
      </c>
      <c r="X14" s="27" t="str">
        <f t="shared" si="10"/>
        <v>OK</v>
      </c>
      <c r="Z14" s="27"/>
      <c r="AA14" s="42">
        <f t="shared" si="11"/>
        <v>0</v>
      </c>
      <c r="AB14" s="42">
        <f t="shared" si="12"/>
        <v>45000</v>
      </c>
      <c r="AC14" s="27" t="str">
        <f t="shared" si="13"/>
        <v>OK</v>
      </c>
      <c r="AE14" s="27" t="str">
        <f t="shared" si="14"/>
        <v>세입없음</v>
      </c>
      <c r="AG14" s="24">
        <f t="shared" si="4"/>
        <v>217</v>
      </c>
      <c r="AH14" s="65" t="str">
        <f t="shared" si="15"/>
        <v>OK</v>
      </c>
      <c r="AJ14" s="27" t="str">
        <f t="array" ref="AJ14">IF(C14="","",INDEX(구분표!$I$2:$I$300, MATCH(1,(구분표!$E$2:$E$300='2추일출'!B14)*(구분표!$F$2:$F$300='2추일출'!C14)*(구분표!$G$2:$G$300='2추일출'!A14),0)))</f>
        <v>0101</v>
      </c>
      <c r="AL14" s="27"/>
    </row>
    <row r="15" spans="1:38" ht="50.1" customHeight="1" x14ac:dyDescent="0.3">
      <c r="A15" s="33" t="str">
        <f>IFERROR(VLOOKUP($C15,구분표!$A$2:$C$300,2,FALSE),"")</f>
        <v>의회운영위원회</v>
      </c>
      <c r="B15" s="24" t="str">
        <f>IFERROR(VLOOKUP($C15,구분표!$A$2:$C$300,3,FALSE),"")</f>
        <v>의회사무처</v>
      </c>
      <c r="C15" s="31" t="s">
        <v>8</v>
      </c>
      <c r="D15" s="137" t="s">
        <v>779</v>
      </c>
      <c r="E15" s="143" t="s">
        <v>832</v>
      </c>
      <c r="F15" s="138" t="s">
        <v>839</v>
      </c>
      <c r="G15" s="44">
        <v>1817996</v>
      </c>
      <c r="H15" s="42">
        <v>1817996</v>
      </c>
      <c r="I15" s="54">
        <f>IF(D15="","",G15-H15)</f>
        <v>0</v>
      </c>
      <c r="J15" s="42"/>
      <c r="K15" s="45">
        <v>175000</v>
      </c>
      <c r="L15" s="50">
        <f t="shared" ref="L15:L29" si="20">IF(G15=0,H15+J15+K15,G15+J15+K15)</f>
        <v>1992996</v>
      </c>
      <c r="M15" s="42"/>
      <c r="N15" s="159">
        <v>240000</v>
      </c>
      <c r="O15" s="160">
        <f t="shared" ref="O15:O29" si="21">IF(G15=0,H15+M15+N15,G15+M15+N15)</f>
        <v>2057996</v>
      </c>
      <c r="P15" s="27" t="str">
        <f t="shared" si="16"/>
        <v>X</v>
      </c>
      <c r="Q15" s="219" t="s">
        <v>1251</v>
      </c>
      <c r="S15" s="27" t="s">
        <v>1164</v>
      </c>
      <c r="U15" s="27" t="s">
        <v>1084</v>
      </c>
      <c r="V15" s="42">
        <f t="shared" si="8"/>
        <v>0</v>
      </c>
      <c r="W15" s="42">
        <f t="shared" si="9"/>
        <v>175000</v>
      </c>
      <c r="X15" s="27" t="str">
        <f t="shared" si="10"/>
        <v>OK</v>
      </c>
      <c r="Z15" s="27"/>
      <c r="AA15" s="42">
        <f t="shared" si="11"/>
        <v>0</v>
      </c>
      <c r="AB15" s="42">
        <f t="shared" ref="AB15:AB29" si="22">IF($U15="도비",SUM(M15:N15),IF($S15="국도비","직접입력",SUM(M15:N15)-AA15))</f>
        <v>240000</v>
      </c>
      <c r="AC15" s="27" t="str">
        <f t="shared" ref="AC15:AC29" si="23">IF(SUM(M15:N15)=SUM(AA15:AB15),"OK","검토")</f>
        <v>OK</v>
      </c>
      <c r="AE15" s="27" t="str">
        <f t="shared" ref="AE15:AE29" si="24">IF(U15="","",IF(U15="도비","세입없음","직접입력"))</f>
        <v>세입없음</v>
      </c>
      <c r="AG15" s="24">
        <f t="shared" si="4"/>
        <v>217</v>
      </c>
      <c r="AH15" s="65" t="str">
        <f t="shared" ref="AH15:AH29" si="25">IF(U15="","",IF(AND(U15="도비",AE15="세입없음"),"OK",IF(AND(U15&lt;&gt;"도비",AE15&lt;&gt;""),"OK","@@")))</f>
        <v>OK</v>
      </c>
      <c r="AJ15" s="27" t="str">
        <f t="array" ref="AJ15">IF(C15="","",INDEX(구분표!$I$2:$I$300, MATCH(1,(구분표!$E$2:$E$300='2추일출'!B15)*(구분표!$F$2:$F$300='2추일출'!C15)*(구분표!$G$2:$G$300='2추일출'!A15),0)))</f>
        <v>0101</v>
      </c>
      <c r="AL15" s="27"/>
    </row>
    <row r="16" spans="1:38" ht="50.1" customHeight="1" x14ac:dyDescent="0.3">
      <c r="A16" s="33" t="str">
        <f>IFERROR(VLOOKUP($C16,구분표!$A$2:$C$300,2,FALSE),"")</f>
        <v>의회운영위원회</v>
      </c>
      <c r="B16" s="24" t="str">
        <f>IFERROR(VLOOKUP($C16,구분표!$A$2:$C$300,3,FALSE),"")</f>
        <v>의회사무처</v>
      </c>
      <c r="C16" s="31" t="s">
        <v>8</v>
      </c>
      <c r="D16" s="137" t="s">
        <v>779</v>
      </c>
      <c r="E16" s="143" t="s">
        <v>832</v>
      </c>
      <c r="F16" s="138" t="s">
        <v>840</v>
      </c>
      <c r="G16" s="44">
        <v>150000</v>
      </c>
      <c r="H16" s="42">
        <v>150000</v>
      </c>
      <c r="I16" s="54">
        <f t="shared" ref="I16:I29" si="26">IF(D16="","",G16-H16)</f>
        <v>0</v>
      </c>
      <c r="J16" s="42"/>
      <c r="K16" s="45">
        <v>65000</v>
      </c>
      <c r="L16" s="50">
        <f t="shared" si="20"/>
        <v>215000</v>
      </c>
      <c r="M16" s="42"/>
      <c r="N16" s="159"/>
      <c r="O16" s="160">
        <f t="shared" si="21"/>
        <v>150000</v>
      </c>
      <c r="P16" s="27" t="str">
        <f t="shared" si="16"/>
        <v>X</v>
      </c>
      <c r="Q16" s="206"/>
      <c r="S16" s="27" t="s">
        <v>1164</v>
      </c>
      <c r="U16" s="27" t="s">
        <v>1084</v>
      </c>
      <c r="V16" s="42">
        <f t="shared" si="8"/>
        <v>0</v>
      </c>
      <c r="W16" s="42">
        <f t="shared" si="9"/>
        <v>65000</v>
      </c>
      <c r="X16" s="27" t="str">
        <f t="shared" si="10"/>
        <v>OK</v>
      </c>
      <c r="Z16" s="27"/>
      <c r="AA16" s="42">
        <f t="shared" si="11"/>
        <v>0</v>
      </c>
      <c r="AB16" s="42">
        <f t="shared" si="22"/>
        <v>0</v>
      </c>
      <c r="AC16" s="27" t="str">
        <f t="shared" si="23"/>
        <v>OK</v>
      </c>
      <c r="AE16" s="27" t="str">
        <f t="shared" si="24"/>
        <v>세입없음</v>
      </c>
      <c r="AG16" s="24">
        <f t="shared" si="4"/>
        <v>217</v>
      </c>
      <c r="AH16" s="65" t="str">
        <f t="shared" si="25"/>
        <v>OK</v>
      </c>
      <c r="AJ16" s="27" t="str">
        <f t="array" ref="AJ16">IF(C16="","",INDEX(구분표!$I$2:$I$300, MATCH(1,(구분표!$E$2:$E$300='2추일출'!B16)*(구분표!$F$2:$F$300='2추일출'!C16)*(구분표!$G$2:$G$300='2추일출'!A16),0)))</f>
        <v>0101</v>
      </c>
      <c r="AL16" s="27"/>
    </row>
    <row r="17" spans="1:38" ht="50.1" customHeight="1" x14ac:dyDescent="0.3">
      <c r="A17" s="33" t="str">
        <f>IFERROR(VLOOKUP($C17,구분표!$A$2:$C$300,2,FALSE),"")</f>
        <v>의회운영위원회</v>
      </c>
      <c r="B17" s="24" t="str">
        <f>IFERROR(VLOOKUP($C17,구분표!$A$2:$C$300,3,FALSE),"")</f>
        <v>의회사무처</v>
      </c>
      <c r="C17" s="31" t="s">
        <v>13</v>
      </c>
      <c r="D17" s="137" t="s">
        <v>771</v>
      </c>
      <c r="E17" s="143" t="s">
        <v>832</v>
      </c>
      <c r="F17" s="138" t="s">
        <v>841</v>
      </c>
      <c r="G17" s="44"/>
      <c r="H17" s="42"/>
      <c r="I17" s="54">
        <f t="shared" si="26"/>
        <v>0</v>
      </c>
      <c r="J17" s="42"/>
      <c r="K17" s="45">
        <v>20000</v>
      </c>
      <c r="L17" s="50">
        <f t="shared" si="20"/>
        <v>20000</v>
      </c>
      <c r="M17" s="42"/>
      <c r="N17" s="159">
        <v>30000</v>
      </c>
      <c r="O17" s="160">
        <f t="shared" si="21"/>
        <v>30000</v>
      </c>
      <c r="P17" s="27" t="str">
        <f t="shared" si="16"/>
        <v>X</v>
      </c>
      <c r="Q17" s="206"/>
      <c r="S17" s="27" t="s">
        <v>1164</v>
      </c>
      <c r="U17" s="27" t="s">
        <v>1084</v>
      </c>
      <c r="V17" s="42">
        <f t="shared" si="8"/>
        <v>0</v>
      </c>
      <c r="W17" s="42">
        <f t="shared" si="9"/>
        <v>20000</v>
      </c>
      <c r="X17" s="27" t="str">
        <f t="shared" si="10"/>
        <v>OK</v>
      </c>
      <c r="Z17" s="27"/>
      <c r="AA17" s="42">
        <f t="shared" si="11"/>
        <v>0</v>
      </c>
      <c r="AB17" s="42">
        <f t="shared" si="22"/>
        <v>30000</v>
      </c>
      <c r="AC17" s="27" t="str">
        <f t="shared" si="23"/>
        <v>OK</v>
      </c>
      <c r="AE17" s="27" t="str">
        <f t="shared" si="24"/>
        <v>세입없음</v>
      </c>
      <c r="AG17" s="24">
        <f t="shared" si="4"/>
        <v>217</v>
      </c>
      <c r="AH17" s="65" t="str">
        <f t="shared" si="25"/>
        <v>OK</v>
      </c>
      <c r="AJ17" s="27" t="str">
        <f t="array" ref="AJ17">IF(C17="","",INDEX(구분표!$I$2:$I$300, MATCH(1,(구분표!$E$2:$E$300='2추일출'!B17)*(구분표!$F$2:$F$300='2추일출'!C17)*(구분표!$G$2:$G$300='2추일출'!A17),0)))</f>
        <v>0102</v>
      </c>
      <c r="AL17" s="27"/>
    </row>
    <row r="18" spans="1:38" ht="50.1" customHeight="1" x14ac:dyDescent="0.3">
      <c r="A18" s="33" t="str">
        <f>IFERROR(VLOOKUP($C18,구분표!$A$2:$C$300,2,FALSE),"")</f>
        <v>의회운영위원회</v>
      </c>
      <c r="B18" s="24" t="str">
        <f>IFERROR(VLOOKUP($C18,구분표!$A$2:$C$300,3,FALSE),"")</f>
        <v>의회사무처</v>
      </c>
      <c r="C18" s="31" t="s">
        <v>13</v>
      </c>
      <c r="D18" s="137" t="s">
        <v>779</v>
      </c>
      <c r="E18" s="143" t="s">
        <v>832</v>
      </c>
      <c r="F18" s="138" t="s">
        <v>842</v>
      </c>
      <c r="G18" s="44">
        <v>40000</v>
      </c>
      <c r="H18" s="42">
        <v>40000</v>
      </c>
      <c r="I18" s="54">
        <f t="shared" si="26"/>
        <v>0</v>
      </c>
      <c r="J18" s="42"/>
      <c r="K18" s="45">
        <v>20000</v>
      </c>
      <c r="L18" s="50">
        <f t="shared" si="20"/>
        <v>60000</v>
      </c>
      <c r="M18" s="42"/>
      <c r="N18" s="159">
        <v>0</v>
      </c>
      <c r="O18" s="160">
        <f t="shared" si="21"/>
        <v>40000</v>
      </c>
      <c r="P18" s="27" t="str">
        <f t="shared" si="16"/>
        <v>X</v>
      </c>
      <c r="Q18" s="206"/>
      <c r="S18" s="27" t="s">
        <v>1164</v>
      </c>
      <c r="U18" s="27" t="s">
        <v>1084</v>
      </c>
      <c r="V18" s="42">
        <f t="shared" si="8"/>
        <v>0</v>
      </c>
      <c r="W18" s="42">
        <f t="shared" si="9"/>
        <v>20000</v>
      </c>
      <c r="X18" s="27" t="str">
        <f t="shared" si="10"/>
        <v>OK</v>
      </c>
      <c r="Z18" s="27"/>
      <c r="AA18" s="42">
        <f t="shared" si="11"/>
        <v>0</v>
      </c>
      <c r="AB18" s="42">
        <f t="shared" si="22"/>
        <v>0</v>
      </c>
      <c r="AC18" s="27" t="str">
        <f t="shared" si="23"/>
        <v>OK</v>
      </c>
      <c r="AE18" s="27" t="str">
        <f t="shared" si="24"/>
        <v>세입없음</v>
      </c>
      <c r="AG18" s="24">
        <f t="shared" si="4"/>
        <v>217</v>
      </c>
      <c r="AH18" s="65" t="str">
        <f t="shared" si="25"/>
        <v>OK</v>
      </c>
      <c r="AJ18" s="27" t="str">
        <f t="array" ref="AJ18">IF(C18="","",INDEX(구분표!$I$2:$I$300, MATCH(1,(구분표!$E$2:$E$300='2추일출'!B18)*(구분표!$F$2:$F$300='2추일출'!C18)*(구분표!$G$2:$G$300='2추일출'!A18),0)))</f>
        <v>0102</v>
      </c>
      <c r="AL18" s="27"/>
    </row>
    <row r="19" spans="1:38" ht="50.1" customHeight="1" x14ac:dyDescent="0.3">
      <c r="A19" s="33" t="str">
        <f>IFERROR(VLOOKUP($C19,구분표!$A$2:$C$300,2,FALSE),"")</f>
        <v>의회운영위원회</v>
      </c>
      <c r="B19" s="24" t="str">
        <f>IFERROR(VLOOKUP($C19,구분표!$A$2:$C$300,3,FALSE),"")</f>
        <v>의회사무처</v>
      </c>
      <c r="C19" s="31" t="s">
        <v>13</v>
      </c>
      <c r="D19" s="137" t="s">
        <v>771</v>
      </c>
      <c r="E19" s="143" t="s">
        <v>832</v>
      </c>
      <c r="F19" s="138" t="s">
        <v>843</v>
      </c>
      <c r="G19" s="44"/>
      <c r="H19" s="42"/>
      <c r="I19" s="54">
        <f t="shared" si="26"/>
        <v>0</v>
      </c>
      <c r="J19" s="42"/>
      <c r="K19" s="45">
        <v>154200</v>
      </c>
      <c r="L19" s="50">
        <f t="shared" si="20"/>
        <v>154200</v>
      </c>
      <c r="M19" s="42"/>
      <c r="N19" s="159">
        <v>154200</v>
      </c>
      <c r="O19" s="160">
        <f t="shared" si="21"/>
        <v>154200</v>
      </c>
      <c r="P19" s="27" t="str">
        <f t="shared" si="16"/>
        <v>X</v>
      </c>
      <c r="Q19" s="206"/>
      <c r="S19" s="27" t="s">
        <v>1164</v>
      </c>
      <c r="U19" s="27" t="s">
        <v>1084</v>
      </c>
      <c r="V19" s="42">
        <f t="shared" si="8"/>
        <v>0</v>
      </c>
      <c r="W19" s="42">
        <f t="shared" si="9"/>
        <v>154200</v>
      </c>
      <c r="X19" s="27" t="str">
        <f t="shared" si="10"/>
        <v>OK</v>
      </c>
      <c r="Z19" s="27"/>
      <c r="AA19" s="42">
        <f t="shared" si="11"/>
        <v>0</v>
      </c>
      <c r="AB19" s="42">
        <f t="shared" si="22"/>
        <v>154200</v>
      </c>
      <c r="AC19" s="27" t="str">
        <f t="shared" si="23"/>
        <v>OK</v>
      </c>
      <c r="AE19" s="27" t="str">
        <f t="shared" si="24"/>
        <v>세입없음</v>
      </c>
      <c r="AG19" s="24">
        <f t="shared" si="4"/>
        <v>217</v>
      </c>
      <c r="AH19" s="65" t="str">
        <f t="shared" si="25"/>
        <v>OK</v>
      </c>
      <c r="AJ19" s="27" t="str">
        <f t="array" ref="AJ19">IF(C19="","",INDEX(구분표!$I$2:$I$300, MATCH(1,(구분표!$E$2:$E$300='2추일출'!B19)*(구분표!$F$2:$F$300='2추일출'!C19)*(구분표!$G$2:$G$300='2추일출'!A19),0)))</f>
        <v>0102</v>
      </c>
      <c r="AL19" s="27"/>
    </row>
    <row r="20" spans="1:38" ht="50.1" customHeight="1" x14ac:dyDescent="0.3">
      <c r="A20" s="33" t="str">
        <f>IFERROR(VLOOKUP($C20,구분표!$A$2:$C$300,2,FALSE),"")</f>
        <v>의회운영위원회</v>
      </c>
      <c r="B20" s="24" t="str">
        <f>IFERROR(VLOOKUP($C20,구분표!$A$2:$C$300,3,FALSE),"")</f>
        <v>의회사무처</v>
      </c>
      <c r="C20" s="31" t="s">
        <v>8</v>
      </c>
      <c r="D20" s="137" t="s">
        <v>779</v>
      </c>
      <c r="E20" s="143" t="s">
        <v>832</v>
      </c>
      <c r="F20" s="138" t="s">
        <v>844</v>
      </c>
      <c r="G20" s="44">
        <v>110000</v>
      </c>
      <c r="H20" s="42">
        <v>110000</v>
      </c>
      <c r="I20" s="54">
        <f t="shared" si="26"/>
        <v>0</v>
      </c>
      <c r="J20" s="42"/>
      <c r="K20" s="45">
        <v>30000</v>
      </c>
      <c r="L20" s="50">
        <f t="shared" si="20"/>
        <v>140000</v>
      </c>
      <c r="M20" s="42"/>
      <c r="N20" s="159">
        <v>30000</v>
      </c>
      <c r="O20" s="160">
        <f t="shared" si="21"/>
        <v>140000</v>
      </c>
      <c r="P20" s="27" t="str">
        <f t="shared" si="16"/>
        <v>X</v>
      </c>
      <c r="Q20" s="206"/>
      <c r="S20" s="27" t="s">
        <v>1164</v>
      </c>
      <c r="U20" s="27" t="s">
        <v>1084</v>
      </c>
      <c r="V20" s="42">
        <f t="shared" si="8"/>
        <v>0</v>
      </c>
      <c r="W20" s="42">
        <f t="shared" si="9"/>
        <v>30000</v>
      </c>
      <c r="X20" s="27" t="str">
        <f t="shared" si="10"/>
        <v>OK</v>
      </c>
      <c r="Z20" s="27"/>
      <c r="AA20" s="42">
        <f t="shared" si="11"/>
        <v>0</v>
      </c>
      <c r="AB20" s="42">
        <f t="shared" si="22"/>
        <v>30000</v>
      </c>
      <c r="AC20" s="27" t="str">
        <f t="shared" si="23"/>
        <v>OK</v>
      </c>
      <c r="AE20" s="27" t="str">
        <f t="shared" si="24"/>
        <v>세입없음</v>
      </c>
      <c r="AG20" s="24">
        <f t="shared" si="4"/>
        <v>217</v>
      </c>
      <c r="AH20" s="65" t="str">
        <f t="shared" si="25"/>
        <v>OK</v>
      </c>
      <c r="AJ20" s="27" t="str">
        <f t="array" ref="AJ20">IF(C20="","",INDEX(구분표!$I$2:$I$300, MATCH(1,(구분표!$E$2:$E$300='2추일출'!B20)*(구분표!$F$2:$F$300='2추일출'!C20)*(구분표!$G$2:$G$300='2추일출'!A20),0)))</f>
        <v>0101</v>
      </c>
      <c r="AL20" s="27"/>
    </row>
    <row r="21" spans="1:38" ht="50.1" customHeight="1" x14ac:dyDescent="0.3">
      <c r="A21" s="33" t="str">
        <f>IFERROR(VLOOKUP($C21,구분표!$A$2:$C$300,2,FALSE),"")</f>
        <v>의회운영위원회</v>
      </c>
      <c r="B21" s="24" t="str">
        <f>IFERROR(VLOOKUP($C21,구분표!$A$2:$C$300,3,FALSE),"")</f>
        <v>의회사무처</v>
      </c>
      <c r="C21" s="31" t="s">
        <v>13</v>
      </c>
      <c r="D21" s="137" t="s">
        <v>771</v>
      </c>
      <c r="E21" s="143" t="s">
        <v>832</v>
      </c>
      <c r="F21" s="138" t="s">
        <v>845</v>
      </c>
      <c r="G21" s="44"/>
      <c r="H21" s="42"/>
      <c r="I21" s="54">
        <f t="shared" si="26"/>
        <v>0</v>
      </c>
      <c r="J21" s="42"/>
      <c r="K21" s="45">
        <v>170000</v>
      </c>
      <c r="L21" s="50">
        <f t="shared" si="20"/>
        <v>170000</v>
      </c>
      <c r="M21" s="42"/>
      <c r="N21" s="159">
        <v>166500</v>
      </c>
      <c r="O21" s="160">
        <f t="shared" si="21"/>
        <v>166500</v>
      </c>
      <c r="P21" s="27" t="str">
        <f t="shared" si="16"/>
        <v>X</v>
      </c>
      <c r="Q21" s="206"/>
      <c r="S21" s="27" t="s">
        <v>1164</v>
      </c>
      <c r="U21" s="27" t="s">
        <v>1084</v>
      </c>
      <c r="V21" s="42">
        <f t="shared" si="8"/>
        <v>0</v>
      </c>
      <c r="W21" s="42">
        <f t="shared" si="9"/>
        <v>170000</v>
      </c>
      <c r="X21" s="27" t="str">
        <f t="shared" si="10"/>
        <v>OK</v>
      </c>
      <c r="Z21" s="27"/>
      <c r="AA21" s="42">
        <f t="shared" si="11"/>
        <v>0</v>
      </c>
      <c r="AB21" s="42">
        <f t="shared" si="22"/>
        <v>166500</v>
      </c>
      <c r="AC21" s="27" t="str">
        <f t="shared" si="23"/>
        <v>OK</v>
      </c>
      <c r="AE21" s="27" t="str">
        <f t="shared" si="24"/>
        <v>세입없음</v>
      </c>
      <c r="AG21" s="24">
        <f t="shared" si="4"/>
        <v>217</v>
      </c>
      <c r="AH21" s="65" t="str">
        <f t="shared" si="25"/>
        <v>OK</v>
      </c>
      <c r="AJ21" s="27" t="str">
        <f t="array" ref="AJ21">IF(C21="","",INDEX(구분표!$I$2:$I$300, MATCH(1,(구분표!$E$2:$E$300='2추일출'!B21)*(구분표!$F$2:$F$300='2추일출'!C21)*(구분표!$G$2:$G$300='2추일출'!A21),0)))</f>
        <v>0102</v>
      </c>
      <c r="AL21" s="27"/>
    </row>
    <row r="22" spans="1:38" ht="50.1" customHeight="1" x14ac:dyDescent="0.3">
      <c r="A22" s="33" t="str">
        <f>IFERROR(VLOOKUP($C22,구분표!$A$2:$C$300,2,FALSE),"")</f>
        <v>의회운영위원회</v>
      </c>
      <c r="B22" s="24" t="str">
        <f>IFERROR(VLOOKUP($C22,구분표!$A$2:$C$300,3,FALSE),"")</f>
        <v>의회사무처</v>
      </c>
      <c r="C22" s="31" t="s">
        <v>19</v>
      </c>
      <c r="D22" s="137" t="s">
        <v>771</v>
      </c>
      <c r="E22" s="143" t="s">
        <v>832</v>
      </c>
      <c r="F22" s="138" t="s">
        <v>846</v>
      </c>
      <c r="G22" s="44">
        <v>320000</v>
      </c>
      <c r="H22" s="42">
        <v>320000</v>
      </c>
      <c r="I22" s="54">
        <f t="shared" ref="I22:I26" si="27">IF(D22="","",G22-H22)</f>
        <v>0</v>
      </c>
      <c r="J22" s="42"/>
      <c r="K22" s="45">
        <v>10000</v>
      </c>
      <c r="L22" s="50">
        <f t="shared" ref="L22:L26" si="28">IF(G22=0,H22+J22+K22,G22+J22+K22)</f>
        <v>330000</v>
      </c>
      <c r="M22" s="42"/>
      <c r="N22" s="159">
        <v>10000</v>
      </c>
      <c r="O22" s="160">
        <f t="shared" ref="O22:O26" si="29">IF(G22=0,H22+M22+N22,G22+M22+N22)</f>
        <v>330000</v>
      </c>
      <c r="P22" s="27" t="str">
        <f t="shared" si="16"/>
        <v>X</v>
      </c>
      <c r="Q22" s="206"/>
      <c r="S22" s="27" t="s">
        <v>1164</v>
      </c>
      <c r="U22" s="27" t="s">
        <v>1084</v>
      </c>
      <c r="V22" s="42">
        <f t="shared" si="8"/>
        <v>0</v>
      </c>
      <c r="W22" s="42">
        <f t="shared" si="9"/>
        <v>10000</v>
      </c>
      <c r="X22" s="27" t="str">
        <f t="shared" si="10"/>
        <v>OK</v>
      </c>
      <c r="Z22" s="27"/>
      <c r="AA22" s="42">
        <f t="shared" si="11"/>
        <v>0</v>
      </c>
      <c r="AB22" s="42">
        <f t="shared" ref="AB22:AB26" si="30">IF($U22="도비",SUM(M22:N22),IF($S22="국도비","직접입력",SUM(M22:N22)-AA22))</f>
        <v>10000</v>
      </c>
      <c r="AC22" s="27" t="str">
        <f t="shared" ref="AC22:AC26" si="31">IF(SUM(M22:N22)=SUM(AA22:AB22),"OK","검토")</f>
        <v>OK</v>
      </c>
      <c r="AE22" s="27" t="str">
        <f t="shared" ref="AE22:AE26" si="32">IF(U22="","",IF(U22="도비","세입없음","직접입력"))</f>
        <v>세입없음</v>
      </c>
      <c r="AG22" s="24">
        <f t="shared" si="4"/>
        <v>217</v>
      </c>
      <c r="AH22" s="65" t="str">
        <f t="shared" ref="AH22:AH26" si="33">IF(U22="","",IF(AND(U22="도비",AE22="세입없음"),"OK",IF(AND(U22&lt;&gt;"도비",AE22&lt;&gt;""),"OK","@@")))</f>
        <v>OK</v>
      </c>
      <c r="AJ22" s="27" t="str">
        <f t="array" ref="AJ22">IF(C22="","",INDEX(구분표!$I$2:$I$300, MATCH(1,(구분표!$E$2:$E$300='2추일출'!B22)*(구분표!$F$2:$F$300='2추일출'!C22)*(구분표!$G$2:$G$300='2추일출'!A22),0)))</f>
        <v>0104</v>
      </c>
      <c r="AL22" s="27"/>
    </row>
    <row r="23" spans="1:38" ht="50.1" customHeight="1" x14ac:dyDescent="0.3">
      <c r="A23" s="33" t="str">
        <f>IFERROR(VLOOKUP($C23,구분표!$A$2:$C$300,2,FALSE),"")</f>
        <v>의회운영위원회</v>
      </c>
      <c r="B23" s="24" t="str">
        <f>IFERROR(VLOOKUP($C23,구분표!$A$2:$C$300,3,FALSE),"")</f>
        <v>소통기획관</v>
      </c>
      <c r="C23" s="31" t="s">
        <v>36</v>
      </c>
      <c r="D23" s="137" t="s">
        <v>771</v>
      </c>
      <c r="E23" s="143" t="s">
        <v>832</v>
      </c>
      <c r="F23" s="138" t="s">
        <v>847</v>
      </c>
      <c r="G23" s="44"/>
      <c r="H23" s="42"/>
      <c r="I23" s="54">
        <f t="shared" si="27"/>
        <v>0</v>
      </c>
      <c r="J23" s="42"/>
      <c r="K23" s="45">
        <v>74000</v>
      </c>
      <c r="L23" s="50">
        <f t="shared" si="28"/>
        <v>74000</v>
      </c>
      <c r="M23" s="42"/>
      <c r="N23" s="159">
        <v>74000</v>
      </c>
      <c r="O23" s="160">
        <f t="shared" si="29"/>
        <v>74000</v>
      </c>
      <c r="P23" s="27" t="str">
        <f t="shared" si="16"/>
        <v>X</v>
      </c>
      <c r="Q23" s="206"/>
      <c r="S23" s="27" t="s">
        <v>1164</v>
      </c>
      <c r="U23" s="27" t="s">
        <v>1084</v>
      </c>
      <c r="V23" s="42">
        <f t="shared" si="8"/>
        <v>0</v>
      </c>
      <c r="W23" s="42">
        <f t="shared" si="9"/>
        <v>74000</v>
      </c>
      <c r="X23" s="27" t="str">
        <f t="shared" si="10"/>
        <v>OK</v>
      </c>
      <c r="Z23" s="27"/>
      <c r="AA23" s="42">
        <f t="shared" si="11"/>
        <v>0</v>
      </c>
      <c r="AB23" s="42">
        <f t="shared" si="30"/>
        <v>74000</v>
      </c>
      <c r="AC23" s="27" t="str">
        <f t="shared" si="31"/>
        <v>OK</v>
      </c>
      <c r="AE23" s="27" t="str">
        <f t="shared" si="32"/>
        <v>세입없음</v>
      </c>
      <c r="AG23" s="24">
        <f t="shared" si="4"/>
        <v>217</v>
      </c>
      <c r="AH23" s="65" t="str">
        <f t="shared" si="33"/>
        <v>OK</v>
      </c>
      <c r="AJ23" s="27" t="str">
        <f t="array" ref="AJ23">IF(C23="","",INDEX(구분표!$I$2:$I$300, MATCH(1,(구분표!$E$2:$E$300='2추일출'!B23)*(구분표!$F$2:$F$300='2추일출'!C23)*(구분표!$G$2:$G$300='2추일출'!A23),0)))</f>
        <v>0109</v>
      </c>
      <c r="AL23" s="27"/>
    </row>
    <row r="24" spans="1:38" ht="50.1" customHeight="1" x14ac:dyDescent="0.3">
      <c r="A24" s="33" t="str">
        <f>IFERROR(VLOOKUP($C24,구분표!$A$2:$C$300,2,FALSE),"")</f>
        <v>의회운영위원회</v>
      </c>
      <c r="B24" s="24" t="str">
        <f>IFERROR(VLOOKUP($C24,구분표!$A$2:$C$300,3,FALSE),"")</f>
        <v>대변인</v>
      </c>
      <c r="C24" s="31" t="s">
        <v>25</v>
      </c>
      <c r="D24" s="139" t="s">
        <v>776</v>
      </c>
      <c r="E24" s="144">
        <v>254</v>
      </c>
      <c r="F24" s="140" t="s">
        <v>969</v>
      </c>
      <c r="G24" s="44">
        <v>2900000</v>
      </c>
      <c r="H24" s="42">
        <v>900000</v>
      </c>
      <c r="I24" s="54">
        <f t="shared" si="27"/>
        <v>2000000</v>
      </c>
      <c r="J24" s="42">
        <v>-800000</v>
      </c>
      <c r="K24" s="45"/>
      <c r="L24" s="50">
        <f t="shared" si="28"/>
        <v>2100000</v>
      </c>
      <c r="M24" s="158">
        <v>-900000</v>
      </c>
      <c r="N24" s="159">
        <v>0</v>
      </c>
      <c r="O24" s="160">
        <f t="shared" si="29"/>
        <v>2000000</v>
      </c>
      <c r="P24" s="27" t="str">
        <f t="shared" si="16"/>
        <v>X</v>
      </c>
      <c r="Q24" s="170"/>
      <c r="S24" s="27" t="s">
        <v>975</v>
      </c>
      <c r="U24" s="27" t="s">
        <v>975</v>
      </c>
      <c r="V24" s="42">
        <f t="shared" si="8"/>
        <v>0</v>
      </c>
      <c r="W24" s="42">
        <f t="shared" si="9"/>
        <v>-800000</v>
      </c>
      <c r="X24" s="27" t="str">
        <f t="shared" si="10"/>
        <v>OK</v>
      </c>
      <c r="Z24" s="27"/>
      <c r="AA24" s="42">
        <f t="shared" si="11"/>
        <v>0</v>
      </c>
      <c r="AB24" s="42">
        <f t="shared" si="30"/>
        <v>-900000</v>
      </c>
      <c r="AC24" s="27" t="str">
        <f t="shared" si="31"/>
        <v>OK</v>
      </c>
      <c r="AE24" s="27" t="str">
        <f t="shared" si="32"/>
        <v>세입없음</v>
      </c>
      <c r="AG24" s="24">
        <f t="shared" si="4"/>
        <v>217</v>
      </c>
      <c r="AH24" s="65" t="str">
        <f t="shared" si="33"/>
        <v>OK</v>
      </c>
      <c r="AJ24" s="27" t="str">
        <f t="array" ref="AJ24">IF(C24="","",INDEX(구분표!$I$2:$I$300, MATCH(1,(구분표!$E$2:$E$300='2추일출'!B24)*(구분표!$F$2:$F$300='2추일출'!C24)*(구분표!$G$2:$G$300='2추일출'!A24),0)))</f>
        <v>0106</v>
      </c>
      <c r="AL24" s="27"/>
    </row>
    <row r="25" spans="1:38" ht="50.1" customHeight="1" x14ac:dyDescent="0.3">
      <c r="A25" s="33" t="str">
        <f>IFERROR(VLOOKUP($C25,구분표!$A$2:$C$300,2,FALSE),"")</f>
        <v>의회운영위원회</v>
      </c>
      <c r="B25" s="24" t="str">
        <f>IFERROR(VLOOKUP($C25,구분표!$A$2:$C$300,3,FALSE),"")</f>
        <v>대변인</v>
      </c>
      <c r="C25" s="31" t="s">
        <v>25</v>
      </c>
      <c r="D25" s="139" t="s">
        <v>776</v>
      </c>
      <c r="E25" s="144">
        <v>254</v>
      </c>
      <c r="F25" s="140" t="s">
        <v>970</v>
      </c>
      <c r="G25" s="44">
        <v>1000000</v>
      </c>
      <c r="H25" s="42"/>
      <c r="I25" s="54">
        <f t="shared" si="27"/>
        <v>1000000</v>
      </c>
      <c r="J25" s="42">
        <v>-365000</v>
      </c>
      <c r="K25" s="45"/>
      <c r="L25" s="50">
        <f t="shared" si="28"/>
        <v>635000</v>
      </c>
      <c r="M25" s="158">
        <v>-565000</v>
      </c>
      <c r="N25" s="159">
        <v>0</v>
      </c>
      <c r="O25" s="160">
        <f t="shared" si="29"/>
        <v>435000</v>
      </c>
      <c r="P25" s="27" t="str">
        <f t="shared" si="16"/>
        <v>X</v>
      </c>
      <c r="Q25" s="170"/>
      <c r="S25" s="27" t="s">
        <v>975</v>
      </c>
      <c r="U25" s="27" t="s">
        <v>975</v>
      </c>
      <c r="V25" s="42">
        <f t="shared" si="8"/>
        <v>0</v>
      </c>
      <c r="W25" s="42">
        <f t="shared" si="9"/>
        <v>-365000</v>
      </c>
      <c r="X25" s="27" t="str">
        <f t="shared" si="10"/>
        <v>OK</v>
      </c>
      <c r="Z25" s="27"/>
      <c r="AA25" s="42">
        <f t="shared" si="11"/>
        <v>0</v>
      </c>
      <c r="AB25" s="42">
        <f t="shared" si="30"/>
        <v>-565000</v>
      </c>
      <c r="AC25" s="27" t="str">
        <f t="shared" si="31"/>
        <v>OK</v>
      </c>
      <c r="AE25" s="27" t="str">
        <f t="shared" si="32"/>
        <v>세입없음</v>
      </c>
      <c r="AG25" s="24">
        <f t="shared" si="4"/>
        <v>217</v>
      </c>
      <c r="AH25" s="65" t="str">
        <f t="shared" si="33"/>
        <v>OK</v>
      </c>
      <c r="AJ25" s="27" t="str">
        <f t="array" ref="AJ25">IF(C25="","",INDEX(구분표!$I$2:$I$300, MATCH(1,(구분표!$E$2:$E$300='2추일출'!B25)*(구분표!$F$2:$F$300='2추일출'!C25)*(구분표!$G$2:$G$300='2추일출'!A25),0)))</f>
        <v>0106</v>
      </c>
      <c r="AL25" s="27"/>
    </row>
    <row r="26" spans="1:38" ht="50.1" customHeight="1" x14ac:dyDescent="0.3">
      <c r="A26" s="33" t="str">
        <f>IFERROR(VLOOKUP($C26,구분표!$A$2:$C$300,2,FALSE),"")</f>
        <v>의회운영위원회</v>
      </c>
      <c r="B26" s="24" t="str">
        <f>IFERROR(VLOOKUP($C26,구분표!$A$2:$C$300,3,FALSE),"")</f>
        <v>대변인</v>
      </c>
      <c r="C26" s="31" t="s">
        <v>25</v>
      </c>
      <c r="D26" s="139" t="s">
        <v>776</v>
      </c>
      <c r="E26" s="144">
        <v>254</v>
      </c>
      <c r="F26" s="140" t="s">
        <v>971</v>
      </c>
      <c r="G26" s="44">
        <v>700000</v>
      </c>
      <c r="H26" s="42"/>
      <c r="I26" s="54">
        <f t="shared" si="27"/>
        <v>700000</v>
      </c>
      <c r="J26" s="42">
        <v>-500000</v>
      </c>
      <c r="K26" s="45"/>
      <c r="L26" s="50">
        <f t="shared" si="28"/>
        <v>200000</v>
      </c>
      <c r="M26" s="158">
        <v>-600000</v>
      </c>
      <c r="N26" s="159">
        <v>0</v>
      </c>
      <c r="O26" s="160">
        <f t="shared" si="29"/>
        <v>100000</v>
      </c>
      <c r="P26" s="27" t="str">
        <f t="shared" si="16"/>
        <v>X</v>
      </c>
      <c r="Q26" s="170"/>
      <c r="S26" s="27" t="s">
        <v>975</v>
      </c>
      <c r="U26" s="27" t="s">
        <v>975</v>
      </c>
      <c r="V26" s="42">
        <f t="shared" si="8"/>
        <v>0</v>
      </c>
      <c r="W26" s="42">
        <f t="shared" si="9"/>
        <v>-500000</v>
      </c>
      <c r="X26" s="27" t="str">
        <f t="shared" si="10"/>
        <v>OK</v>
      </c>
      <c r="Z26" s="27"/>
      <c r="AA26" s="42">
        <f t="shared" si="11"/>
        <v>0</v>
      </c>
      <c r="AB26" s="42">
        <f t="shared" si="30"/>
        <v>-600000</v>
      </c>
      <c r="AC26" s="27" t="str">
        <f t="shared" si="31"/>
        <v>OK</v>
      </c>
      <c r="AE26" s="27" t="str">
        <f t="shared" si="32"/>
        <v>세입없음</v>
      </c>
      <c r="AG26" s="24">
        <f t="shared" si="4"/>
        <v>217</v>
      </c>
      <c r="AH26" s="65" t="str">
        <f t="shared" si="33"/>
        <v>OK</v>
      </c>
      <c r="AJ26" s="27" t="str">
        <f t="array" ref="AJ26">IF(C26="","",INDEX(구분표!$I$2:$I$300, MATCH(1,(구분표!$E$2:$E$300='2추일출'!B26)*(구분표!$F$2:$F$300='2추일출'!C26)*(구분표!$G$2:$G$300='2추일출'!A26),0)))</f>
        <v>0106</v>
      </c>
      <c r="AL26" s="27"/>
    </row>
    <row r="27" spans="1:38" ht="50.1" customHeight="1" x14ac:dyDescent="0.3">
      <c r="A27" s="33" t="str">
        <f>IFERROR(VLOOKUP($C27,구분표!$A$2:$C$300,2,FALSE),"")</f>
        <v>의회운영위원회</v>
      </c>
      <c r="B27" s="24" t="str">
        <f>IFERROR(VLOOKUP($C27,구분표!$A$2:$C$300,3,FALSE),"")</f>
        <v>소통기획관</v>
      </c>
      <c r="C27" s="31" t="s">
        <v>32</v>
      </c>
      <c r="D27" s="35" t="s">
        <v>776</v>
      </c>
      <c r="E27" s="145">
        <v>260</v>
      </c>
      <c r="F27" s="134" t="s">
        <v>972</v>
      </c>
      <c r="G27" s="44">
        <v>2086000</v>
      </c>
      <c r="H27" s="42">
        <v>2200000</v>
      </c>
      <c r="I27" s="54">
        <f t="shared" si="26"/>
        <v>-114000</v>
      </c>
      <c r="J27" s="42">
        <v>-50000</v>
      </c>
      <c r="K27" s="45"/>
      <c r="L27" s="50">
        <f t="shared" si="20"/>
        <v>2036000</v>
      </c>
      <c r="M27" s="158">
        <v>-50000</v>
      </c>
      <c r="N27" s="159">
        <v>0</v>
      </c>
      <c r="O27" s="160">
        <f t="shared" si="21"/>
        <v>2036000</v>
      </c>
      <c r="P27" s="27" t="str">
        <f t="shared" si="16"/>
        <v>X</v>
      </c>
      <c r="Q27" s="170"/>
      <c r="S27" s="27" t="s">
        <v>975</v>
      </c>
      <c r="U27" s="27" t="s">
        <v>975</v>
      </c>
      <c r="V27" s="42">
        <f t="shared" si="8"/>
        <v>0</v>
      </c>
      <c r="W27" s="42">
        <f t="shared" si="9"/>
        <v>-50000</v>
      </c>
      <c r="X27" s="27" t="str">
        <f t="shared" si="10"/>
        <v>OK</v>
      </c>
      <c r="Z27" s="27"/>
      <c r="AA27" s="42">
        <f t="shared" si="11"/>
        <v>0</v>
      </c>
      <c r="AB27" s="42">
        <f t="shared" si="22"/>
        <v>-50000</v>
      </c>
      <c r="AC27" s="27" t="str">
        <f t="shared" si="23"/>
        <v>OK</v>
      </c>
      <c r="AE27" s="27" t="str">
        <f t="shared" si="24"/>
        <v>세입없음</v>
      </c>
      <c r="AG27" s="24">
        <f t="shared" si="4"/>
        <v>217</v>
      </c>
      <c r="AH27" s="65" t="str">
        <f t="shared" si="25"/>
        <v>OK</v>
      </c>
      <c r="AJ27" s="27" t="str">
        <f t="array" ref="AJ27">IF(C27="","",INDEX(구분표!$I$2:$I$300, MATCH(1,(구분표!$E$2:$E$300='2추일출'!B27)*(구분표!$F$2:$F$300='2추일출'!C27)*(구분표!$G$2:$G$300='2추일출'!A27),0)))</f>
        <v>0108</v>
      </c>
      <c r="AL27" s="27"/>
    </row>
    <row r="28" spans="1:38" ht="50.1" customHeight="1" x14ac:dyDescent="0.3">
      <c r="A28" s="33" t="str">
        <f>IFERROR(VLOOKUP($C28,구분표!$A$2:$C$300,2,FALSE),"")</f>
        <v>의회운영위원회</v>
      </c>
      <c r="B28" s="24" t="str">
        <f>IFERROR(VLOOKUP($C28,구분표!$A$2:$C$300,3,FALSE),"")</f>
        <v>소통기획관</v>
      </c>
      <c r="C28" s="31" t="s">
        <v>32</v>
      </c>
      <c r="D28" s="139" t="s">
        <v>776</v>
      </c>
      <c r="E28" s="144">
        <v>260</v>
      </c>
      <c r="F28" s="140" t="s">
        <v>973</v>
      </c>
      <c r="G28" s="44">
        <v>100000</v>
      </c>
      <c r="H28" s="42"/>
      <c r="I28" s="54">
        <f t="shared" si="26"/>
        <v>100000</v>
      </c>
      <c r="J28" s="42">
        <v>-50000</v>
      </c>
      <c r="K28" s="45"/>
      <c r="L28" s="50">
        <f t="shared" si="20"/>
        <v>50000</v>
      </c>
      <c r="M28" s="158">
        <v>-50000</v>
      </c>
      <c r="N28" s="159">
        <v>0</v>
      </c>
      <c r="O28" s="160">
        <f t="shared" si="21"/>
        <v>50000</v>
      </c>
      <c r="P28" s="27" t="str">
        <f t="shared" si="16"/>
        <v>X</v>
      </c>
      <c r="Q28" s="170"/>
      <c r="S28" s="27" t="s">
        <v>975</v>
      </c>
      <c r="U28" s="27" t="s">
        <v>975</v>
      </c>
      <c r="V28" s="42">
        <f t="shared" si="8"/>
        <v>0</v>
      </c>
      <c r="W28" s="42">
        <f t="shared" si="9"/>
        <v>-50000</v>
      </c>
      <c r="X28" s="27" t="str">
        <f t="shared" si="10"/>
        <v>OK</v>
      </c>
      <c r="Z28" s="27"/>
      <c r="AA28" s="42">
        <f t="shared" si="11"/>
        <v>0</v>
      </c>
      <c r="AB28" s="42">
        <f t="shared" si="22"/>
        <v>-50000</v>
      </c>
      <c r="AC28" s="27" t="str">
        <f t="shared" si="23"/>
        <v>OK</v>
      </c>
      <c r="AE28" s="27" t="str">
        <f t="shared" si="24"/>
        <v>세입없음</v>
      </c>
      <c r="AG28" s="24">
        <f t="shared" si="4"/>
        <v>217</v>
      </c>
      <c r="AH28" s="65" t="str">
        <f t="shared" si="25"/>
        <v>OK</v>
      </c>
      <c r="AJ28" s="27" t="str">
        <f t="array" ref="AJ28">IF(C28="","",INDEX(구분표!$I$2:$I$300, MATCH(1,(구분표!$E$2:$E$300='2추일출'!B28)*(구분표!$F$2:$F$300='2추일출'!C28)*(구분표!$G$2:$G$300='2추일출'!A28),0)))</f>
        <v>0108</v>
      </c>
      <c r="AL28" s="27"/>
    </row>
    <row r="29" spans="1:38" ht="60" customHeight="1" x14ac:dyDescent="0.3">
      <c r="A29" s="33" t="str">
        <f>IFERROR(VLOOKUP($C29,구분표!$A$2:$C$300,2,FALSE),"")</f>
        <v>의회운영위원회</v>
      </c>
      <c r="B29" s="24" t="str">
        <f>IFERROR(VLOOKUP($C29,구분표!$A$2:$C$300,3,FALSE),"")</f>
        <v>의회사무처</v>
      </c>
      <c r="C29" s="31" t="s">
        <v>19</v>
      </c>
      <c r="D29" s="35" t="s">
        <v>776</v>
      </c>
      <c r="E29" s="145">
        <v>247</v>
      </c>
      <c r="F29" s="134" t="s">
        <v>1088</v>
      </c>
      <c r="G29" s="44">
        <v>6000</v>
      </c>
      <c r="H29" s="42"/>
      <c r="I29" s="54">
        <f t="shared" si="26"/>
        <v>6000</v>
      </c>
      <c r="J29" s="42"/>
      <c r="K29" s="45"/>
      <c r="L29" s="50">
        <f t="shared" si="20"/>
        <v>6000</v>
      </c>
      <c r="M29" s="42">
        <v>0</v>
      </c>
      <c r="N29" s="45">
        <v>0</v>
      </c>
      <c r="O29" s="52">
        <f t="shared" si="21"/>
        <v>6000</v>
      </c>
      <c r="P29" s="27" t="str">
        <f t="shared" si="16"/>
        <v>X</v>
      </c>
      <c r="Q29" s="170" t="s">
        <v>974</v>
      </c>
      <c r="S29" s="27" t="s">
        <v>975</v>
      </c>
      <c r="U29" s="27" t="s">
        <v>975</v>
      </c>
      <c r="V29" s="42">
        <f t="shared" si="8"/>
        <v>0</v>
      </c>
      <c r="W29" s="42">
        <f t="shared" si="9"/>
        <v>0</v>
      </c>
      <c r="X29" s="27" t="str">
        <f t="shared" si="10"/>
        <v>OK</v>
      </c>
      <c r="Z29" s="27"/>
      <c r="AA29" s="42">
        <f t="shared" si="11"/>
        <v>0</v>
      </c>
      <c r="AB29" s="42">
        <f t="shared" si="22"/>
        <v>0</v>
      </c>
      <c r="AC29" s="27" t="str">
        <f t="shared" si="23"/>
        <v>OK</v>
      </c>
      <c r="AE29" s="27" t="str">
        <f t="shared" si="24"/>
        <v>세입없음</v>
      </c>
      <c r="AG29" s="24">
        <f t="shared" si="4"/>
        <v>217</v>
      </c>
      <c r="AH29" s="65" t="str">
        <f t="shared" si="25"/>
        <v>OK</v>
      </c>
      <c r="AJ29" s="27" t="str">
        <f t="array" ref="AJ29">IF(C29="","",INDEX(구분표!$I$2:$I$300, MATCH(1,(구분표!$E$2:$E$300='2추일출'!B29)*(구분표!$F$2:$F$300='2추일출'!C29)*(구분표!$G$2:$G$300='2추일출'!A29),0)))</f>
        <v>0104</v>
      </c>
      <c r="AL29" s="27"/>
    </row>
    <row r="30" spans="1:38" ht="50.1" customHeight="1" x14ac:dyDescent="0.3">
      <c r="A30" s="57" t="s">
        <v>676</v>
      </c>
      <c r="B30" s="58"/>
      <c r="C30" s="59"/>
      <c r="D30" s="58"/>
      <c r="E30" s="59"/>
      <c r="F30" s="136"/>
      <c r="G30" s="60">
        <f t="shared" ref="G30:O30" si="34">SUM(G31:G40)</f>
        <v>140079859</v>
      </c>
      <c r="H30" s="60">
        <f t="shared" si="34"/>
        <v>58063418</v>
      </c>
      <c r="I30" s="60">
        <f t="shared" si="34"/>
        <v>82016441</v>
      </c>
      <c r="J30" s="60">
        <f t="shared" si="34"/>
        <v>-30825000</v>
      </c>
      <c r="K30" s="60">
        <f t="shared" si="34"/>
        <v>2000000</v>
      </c>
      <c r="L30" s="60">
        <f t="shared" si="34"/>
        <v>111254859</v>
      </c>
      <c r="M30" s="60">
        <f t="shared" si="34"/>
        <v>-30855000</v>
      </c>
      <c r="N30" s="60">
        <f t="shared" si="34"/>
        <v>14449889</v>
      </c>
      <c r="O30" s="60">
        <f t="shared" si="34"/>
        <v>123674748</v>
      </c>
      <c r="P30" s="61"/>
      <c r="Q30" s="224"/>
      <c r="S30" s="27"/>
      <c r="U30" s="27"/>
      <c r="V30" s="42"/>
      <c r="W30" s="42"/>
      <c r="X30" s="27"/>
      <c r="Z30" s="27"/>
      <c r="AA30" s="42"/>
      <c r="AB30" s="42"/>
      <c r="AC30" s="27"/>
      <c r="AE30" s="27" t="str">
        <f t="shared" si="14"/>
        <v/>
      </c>
      <c r="AG30" s="24" t="str">
        <f t="shared" si="4"/>
        <v/>
      </c>
      <c r="AH30" s="65" t="str">
        <f t="shared" si="15"/>
        <v/>
      </c>
      <c r="AJ30" s="27" t="str">
        <f t="array" ref="AJ30">IF(C30="","",INDEX(구분표!$I$2:$I$300, MATCH(1,(구분표!$E$2:$E$300='2추일출'!B30)*(구분표!$F$2:$F$300='2추일출'!C30)*(구분표!$G$2:$G$300='2추일출'!A30),0)))</f>
        <v/>
      </c>
      <c r="AL30" s="27"/>
    </row>
    <row r="31" spans="1:38" ht="50.1" customHeight="1" x14ac:dyDescent="0.3">
      <c r="A31" s="33" t="str">
        <f>IFERROR(VLOOKUP($C31,구분표!$A$2:$C$300,2,FALSE),"")</f>
        <v>기획재정위원회</v>
      </c>
      <c r="B31" s="24" t="str">
        <f>IFERROR(VLOOKUP($C31,구분표!$A$2:$C$300,3,FALSE),"")</f>
        <v>따복공동체지원단</v>
      </c>
      <c r="C31" s="31" t="s">
        <v>109</v>
      </c>
      <c r="D31" s="137" t="s">
        <v>771</v>
      </c>
      <c r="E31" s="143" t="s">
        <v>832</v>
      </c>
      <c r="F31" s="138" t="s">
        <v>1184</v>
      </c>
      <c r="G31" s="44"/>
      <c r="H31" s="42"/>
      <c r="I31" s="54">
        <f t="shared" si="5"/>
        <v>0</v>
      </c>
      <c r="J31" s="42"/>
      <c r="K31" s="45">
        <v>1000000</v>
      </c>
      <c r="L31" s="50">
        <f t="shared" si="6"/>
        <v>1000000</v>
      </c>
      <c r="M31" s="158"/>
      <c r="N31" s="159">
        <v>1000000</v>
      </c>
      <c r="O31" s="160">
        <f t="shared" si="7"/>
        <v>1000000</v>
      </c>
      <c r="P31" s="27" t="str">
        <f t="shared" si="16"/>
        <v>X</v>
      </c>
      <c r="Q31" s="170"/>
      <c r="S31" s="27" t="s">
        <v>1084</v>
      </c>
      <c r="U31" s="27" t="s">
        <v>1084</v>
      </c>
      <c r="V31" s="42">
        <f t="shared" si="8"/>
        <v>0</v>
      </c>
      <c r="W31" s="42">
        <f t="shared" si="9"/>
        <v>1000000</v>
      </c>
      <c r="X31" s="27" t="str">
        <f t="shared" si="10"/>
        <v>OK</v>
      </c>
      <c r="Z31" s="27"/>
      <c r="AA31" s="42">
        <f t="shared" si="11"/>
        <v>0</v>
      </c>
      <c r="AB31" s="42">
        <f t="shared" si="12"/>
        <v>1000000</v>
      </c>
      <c r="AC31" s="27" t="str">
        <f t="shared" si="13"/>
        <v>OK</v>
      </c>
      <c r="AE31" s="27" t="str">
        <f t="shared" si="14"/>
        <v>세입없음</v>
      </c>
      <c r="AG31" s="24">
        <f t="shared" si="4"/>
        <v>217</v>
      </c>
      <c r="AH31" s="65" t="str">
        <f t="shared" si="15"/>
        <v>OK</v>
      </c>
      <c r="AJ31" s="27" t="str">
        <f t="array" ref="AJ31">IF(C31="","",INDEX(구분표!$I$2:$I$300, MATCH(1,(구분표!$E$2:$E$300='2추일출'!B31)*(구분표!$F$2:$F$300='2추일출'!C31)*(구분표!$G$2:$G$300='2추일출'!A31),0)))</f>
        <v>0220</v>
      </c>
      <c r="AL31" s="27"/>
    </row>
    <row r="32" spans="1:38" ht="50.1" customHeight="1" x14ac:dyDescent="0.3">
      <c r="A32" s="33" t="str">
        <f>IFERROR(VLOOKUP($C32,구분표!$A$2:$C$300,2,FALSE),"")</f>
        <v>기획재정위원회</v>
      </c>
      <c r="B32" s="24" t="str">
        <f>IFERROR(VLOOKUP($C32,구분표!$A$2:$C$300,3,FALSE),"")</f>
        <v>기획조정실</v>
      </c>
      <c r="C32" s="31" t="s">
        <v>66</v>
      </c>
      <c r="D32" s="137" t="s">
        <v>771</v>
      </c>
      <c r="E32" s="143" t="s">
        <v>832</v>
      </c>
      <c r="F32" s="138" t="s">
        <v>848</v>
      </c>
      <c r="G32" s="44"/>
      <c r="H32" s="42"/>
      <c r="I32" s="54">
        <f t="shared" si="5"/>
        <v>0</v>
      </c>
      <c r="J32" s="42"/>
      <c r="K32" s="45">
        <v>900000</v>
      </c>
      <c r="L32" s="50">
        <f t="shared" si="6"/>
        <v>900000</v>
      </c>
      <c r="M32" s="158"/>
      <c r="N32" s="159">
        <v>900000</v>
      </c>
      <c r="O32" s="160">
        <f t="shared" si="7"/>
        <v>900000</v>
      </c>
      <c r="P32" s="27" t="str">
        <f t="shared" si="16"/>
        <v>X</v>
      </c>
      <c r="Q32" s="170"/>
      <c r="S32" s="27" t="s">
        <v>1032</v>
      </c>
      <c r="U32" s="27" t="s">
        <v>1032</v>
      </c>
      <c r="V32" s="42">
        <f t="shared" si="8"/>
        <v>0</v>
      </c>
      <c r="W32" s="42">
        <f t="shared" si="9"/>
        <v>900000</v>
      </c>
      <c r="X32" s="27" t="str">
        <f t="shared" si="10"/>
        <v>OK</v>
      </c>
      <c r="Z32" s="27"/>
      <c r="AA32" s="42">
        <f t="shared" si="11"/>
        <v>0</v>
      </c>
      <c r="AB32" s="42">
        <f t="shared" si="12"/>
        <v>900000</v>
      </c>
      <c r="AC32" s="27" t="str">
        <f t="shared" si="13"/>
        <v>OK</v>
      </c>
      <c r="AE32" s="27" t="str">
        <f t="shared" si="14"/>
        <v>세입없음</v>
      </c>
      <c r="AG32" s="24">
        <f t="shared" si="4"/>
        <v>217</v>
      </c>
      <c r="AH32" s="65" t="str">
        <f t="shared" si="15"/>
        <v>OK</v>
      </c>
      <c r="AJ32" s="27" t="str">
        <f t="array" ref="AJ32">IF(C32="","",INDEX(구분표!$I$2:$I$300, MATCH(1,(구분표!$E$2:$E$300='2추일출'!B32)*(구분표!$F$2:$F$300='2추일출'!C32)*(구분표!$G$2:$G$300='2추일출'!A32),0)))</f>
        <v>0206</v>
      </c>
      <c r="AL32" s="27"/>
    </row>
    <row r="33" spans="1:38" ht="50.1" customHeight="1" x14ac:dyDescent="0.3">
      <c r="A33" s="33" t="str">
        <f>IFERROR(VLOOKUP($C33,구분표!$A$2:$C$300,2,FALSE),"")</f>
        <v>기획재정위원회</v>
      </c>
      <c r="B33" s="24" t="str">
        <f>IFERROR(VLOOKUP($C33,구분표!$A$2:$C$300,3,FALSE),"")</f>
        <v>기획조정실</v>
      </c>
      <c r="C33" s="31" t="s">
        <v>90</v>
      </c>
      <c r="D33" s="139" t="s">
        <v>776</v>
      </c>
      <c r="E33" s="144">
        <v>294</v>
      </c>
      <c r="F33" s="140" t="s">
        <v>1214</v>
      </c>
      <c r="G33" s="44">
        <v>500000</v>
      </c>
      <c r="H33" s="42"/>
      <c r="I33" s="54">
        <f t="shared" si="5"/>
        <v>500000</v>
      </c>
      <c r="J33" s="42">
        <v>-255000</v>
      </c>
      <c r="K33" s="45"/>
      <c r="L33" s="50">
        <f t="shared" si="6"/>
        <v>245000</v>
      </c>
      <c r="M33" s="158">
        <v>-255000</v>
      </c>
      <c r="N33" s="159">
        <v>0</v>
      </c>
      <c r="O33" s="160">
        <f t="shared" si="7"/>
        <v>245000</v>
      </c>
      <c r="P33" s="27" t="str">
        <f t="shared" si="16"/>
        <v>X</v>
      </c>
      <c r="Q33" s="170" t="s">
        <v>1225</v>
      </c>
      <c r="S33" s="27" t="s">
        <v>975</v>
      </c>
      <c r="U33" s="27" t="s">
        <v>975</v>
      </c>
      <c r="V33" s="42">
        <f t="shared" si="8"/>
        <v>0</v>
      </c>
      <c r="W33" s="42">
        <f t="shared" si="9"/>
        <v>-255000</v>
      </c>
      <c r="X33" s="27" t="str">
        <f t="shared" si="10"/>
        <v>OK</v>
      </c>
      <c r="Z33" s="27"/>
      <c r="AA33" s="42">
        <f t="shared" si="11"/>
        <v>0</v>
      </c>
      <c r="AB33" s="42">
        <f t="shared" si="12"/>
        <v>-255000</v>
      </c>
      <c r="AC33" s="27" t="str">
        <f t="shared" si="13"/>
        <v>OK</v>
      </c>
      <c r="AE33" s="27" t="str">
        <f t="shared" si="14"/>
        <v>세입없음</v>
      </c>
      <c r="AG33" s="24">
        <f t="shared" si="4"/>
        <v>217</v>
      </c>
      <c r="AH33" s="65" t="str">
        <f t="shared" si="15"/>
        <v>OK</v>
      </c>
      <c r="AJ33" s="27" t="str">
        <f t="array" ref="AJ33">IF(C33="","",INDEX(구분표!$I$2:$I$300, MATCH(1,(구분표!$E$2:$E$300='2추일출'!B33)*(구분표!$F$2:$F$300='2추일출'!C33)*(구분표!$G$2:$G$300='2추일출'!A33),0)))</f>
        <v>0214</v>
      </c>
      <c r="AL33" s="27"/>
    </row>
    <row r="34" spans="1:38" ht="50.1" customHeight="1" x14ac:dyDescent="0.3">
      <c r="A34" s="33" t="str">
        <f>IFERROR(VLOOKUP($C34,구분표!$A$2:$C$300,2,FALSE),"")</f>
        <v>기획재정위원회</v>
      </c>
      <c r="B34" s="24" t="str">
        <f>IFERROR(VLOOKUP($C34,구분표!$A$2:$C$300,3,FALSE),"")</f>
        <v>균형발전기획실</v>
      </c>
      <c r="C34" s="31" t="s">
        <v>103</v>
      </c>
      <c r="D34" s="139" t="s">
        <v>776</v>
      </c>
      <c r="E34" s="144">
        <v>308</v>
      </c>
      <c r="F34" s="140" t="s">
        <v>976</v>
      </c>
      <c r="G34" s="44">
        <v>570000</v>
      </c>
      <c r="H34" s="42"/>
      <c r="I34" s="54">
        <f t="shared" si="5"/>
        <v>570000</v>
      </c>
      <c r="J34" s="42">
        <v>-570000</v>
      </c>
      <c r="K34" s="45"/>
      <c r="L34" s="50">
        <f t="shared" si="6"/>
        <v>0</v>
      </c>
      <c r="M34" s="158">
        <v>-570000</v>
      </c>
      <c r="N34" s="159">
        <v>0</v>
      </c>
      <c r="O34" s="160">
        <f t="shared" si="7"/>
        <v>0</v>
      </c>
      <c r="P34" s="27" t="str">
        <f t="shared" si="16"/>
        <v>X</v>
      </c>
      <c r="Q34" s="170"/>
      <c r="S34" s="27" t="s">
        <v>975</v>
      </c>
      <c r="U34" s="27" t="s">
        <v>975</v>
      </c>
      <c r="V34" s="42">
        <f t="shared" si="8"/>
        <v>0</v>
      </c>
      <c r="W34" s="42">
        <f t="shared" si="9"/>
        <v>-570000</v>
      </c>
      <c r="X34" s="27" t="str">
        <f t="shared" si="10"/>
        <v>OK</v>
      </c>
      <c r="Z34" s="27"/>
      <c r="AA34" s="42">
        <f t="shared" si="11"/>
        <v>0</v>
      </c>
      <c r="AB34" s="42">
        <f t="shared" si="12"/>
        <v>-570000</v>
      </c>
      <c r="AC34" s="27" t="str">
        <f t="shared" si="13"/>
        <v>OK</v>
      </c>
      <c r="AE34" s="27" t="str">
        <f t="shared" si="14"/>
        <v>세입없음</v>
      </c>
      <c r="AG34" s="24">
        <f t="shared" si="4"/>
        <v>217</v>
      </c>
      <c r="AH34" s="65" t="str">
        <f t="shared" si="15"/>
        <v>OK</v>
      </c>
      <c r="AJ34" s="27" t="str">
        <f t="array" ref="AJ34">IF(C34="","",INDEX(구분표!$I$2:$I$300, MATCH(1,(구분표!$E$2:$E$300='2추일출'!B34)*(구분표!$F$2:$F$300='2추일출'!C34)*(구분표!$G$2:$G$300='2추일출'!A34),0)))</f>
        <v>0218</v>
      </c>
      <c r="AL34" s="27"/>
    </row>
    <row r="35" spans="1:38" ht="50.1" customHeight="1" x14ac:dyDescent="0.3">
      <c r="A35" s="33" t="str">
        <f>IFERROR(VLOOKUP($C35,구분표!$A$2:$C$300,2,FALSE),"")</f>
        <v>기획재정위원회</v>
      </c>
      <c r="B35" s="24" t="s">
        <v>952</v>
      </c>
      <c r="C35" s="31" t="s">
        <v>84</v>
      </c>
      <c r="D35" s="137" t="s">
        <v>771</v>
      </c>
      <c r="E35" s="143" t="s">
        <v>832</v>
      </c>
      <c r="F35" s="138" t="s">
        <v>949</v>
      </c>
      <c r="G35" s="44"/>
      <c r="H35" s="42"/>
      <c r="I35" s="54">
        <f t="shared" si="5"/>
        <v>0</v>
      </c>
      <c r="J35" s="42"/>
      <c r="K35" s="45">
        <v>50000</v>
      </c>
      <c r="L35" s="50">
        <f t="shared" si="6"/>
        <v>50000</v>
      </c>
      <c r="M35" s="42"/>
      <c r="N35" s="159">
        <v>50000</v>
      </c>
      <c r="O35" s="160">
        <f t="shared" si="7"/>
        <v>50000</v>
      </c>
      <c r="P35" s="27" t="str">
        <f t="shared" si="16"/>
        <v>X</v>
      </c>
      <c r="Q35" s="170"/>
      <c r="S35" s="27" t="s">
        <v>1084</v>
      </c>
      <c r="U35" s="27" t="s">
        <v>1084</v>
      </c>
      <c r="V35" s="42">
        <f t="shared" si="8"/>
        <v>0</v>
      </c>
      <c r="W35" s="42">
        <f t="shared" si="9"/>
        <v>50000</v>
      </c>
      <c r="X35" s="27" t="str">
        <f t="shared" si="10"/>
        <v>OK</v>
      </c>
      <c r="Z35" s="27"/>
      <c r="AA35" s="42">
        <f t="shared" si="11"/>
        <v>0</v>
      </c>
      <c r="AB35" s="42">
        <f t="shared" si="12"/>
        <v>50000</v>
      </c>
      <c r="AC35" s="27" t="str">
        <f t="shared" si="13"/>
        <v>OK</v>
      </c>
      <c r="AE35" s="27" t="str">
        <f t="shared" si="14"/>
        <v>세입없음</v>
      </c>
      <c r="AG35" s="24">
        <f t="shared" si="4"/>
        <v>217</v>
      </c>
      <c r="AH35" s="65" t="str">
        <f t="shared" si="15"/>
        <v>OK</v>
      </c>
      <c r="AJ35" s="27" t="str">
        <f t="array" ref="AJ35">IF(C35="","",INDEX(구분표!$I$2:$I$300, MATCH(1,(구분표!$E$2:$E$300='2추일출'!B35)*(구분표!$F$2:$F$300='2추일출'!C35)*(구분표!$G$2:$G$300='2추일출'!A35),0)))</f>
        <v>0212</v>
      </c>
      <c r="AL35" s="27"/>
    </row>
    <row r="36" spans="1:38" ht="50.1" customHeight="1" x14ac:dyDescent="0.3">
      <c r="A36" s="33" t="str">
        <f>IFERROR(VLOOKUP($C36,구분표!$A$2:$C$300,2,FALSE),"")</f>
        <v>기획재정위원회</v>
      </c>
      <c r="B36" s="24" t="s">
        <v>954</v>
      </c>
      <c r="C36" s="31" t="s">
        <v>100</v>
      </c>
      <c r="D36" s="137" t="s">
        <v>771</v>
      </c>
      <c r="E36" s="143" t="s">
        <v>832</v>
      </c>
      <c r="F36" s="138" t="s">
        <v>953</v>
      </c>
      <c r="G36" s="44"/>
      <c r="H36" s="42"/>
      <c r="I36" s="54">
        <f t="shared" ref="I36:I40" si="35">IF(D36="","",G36-H36)</f>
        <v>0</v>
      </c>
      <c r="J36" s="42"/>
      <c r="K36" s="45">
        <v>50000</v>
      </c>
      <c r="L36" s="50">
        <f t="shared" ref="L36:L40" si="36">IF(G36=0,H36+J36+K36,G36+J36+K36)</f>
        <v>50000</v>
      </c>
      <c r="M36" s="42"/>
      <c r="N36" s="159">
        <v>50000</v>
      </c>
      <c r="O36" s="160">
        <f t="shared" ref="O36:O40" si="37">IF(G36=0,H36+M36+N36,G36+M36+N36)</f>
        <v>50000</v>
      </c>
      <c r="P36" s="27" t="str">
        <f t="shared" si="16"/>
        <v>X</v>
      </c>
      <c r="Q36" s="170"/>
      <c r="S36" s="27" t="s">
        <v>1084</v>
      </c>
      <c r="U36" s="27" t="s">
        <v>1084</v>
      </c>
      <c r="V36" s="42">
        <f t="shared" si="8"/>
        <v>0</v>
      </c>
      <c r="W36" s="42">
        <f t="shared" si="9"/>
        <v>50000</v>
      </c>
      <c r="X36" s="27" t="str">
        <f t="shared" si="10"/>
        <v>OK</v>
      </c>
      <c r="Z36" s="27"/>
      <c r="AA36" s="42">
        <f t="shared" si="11"/>
        <v>0</v>
      </c>
      <c r="AB36" s="42">
        <f t="shared" ref="AB36:AB40" si="38">IF($U36="도비",SUM(M36:N36),IF($S36="국도비","직접입력",SUM(M36:N36)-AA36))</f>
        <v>50000</v>
      </c>
      <c r="AC36" s="27" t="str">
        <f t="shared" ref="AC36:AC40" si="39">IF(SUM(M36:N36)=SUM(AA36:AB36),"OK","검토")</f>
        <v>OK</v>
      </c>
      <c r="AE36" s="27" t="str">
        <f t="shared" ref="AE36:AE40" si="40">IF(U36="","",IF(U36="도비","세입없음","직접입력"))</f>
        <v>세입없음</v>
      </c>
      <c r="AG36" s="24">
        <f t="shared" si="4"/>
        <v>217</v>
      </c>
      <c r="AH36" s="65" t="str">
        <f t="shared" ref="AH36:AH40" si="41">IF(U36="","",IF(AND(U36="도비",AE36="세입없음"),"OK",IF(AND(U36&lt;&gt;"도비",AE36&lt;&gt;""),"OK","@@")))</f>
        <v>OK</v>
      </c>
      <c r="AJ36" s="27" t="str">
        <f t="array" ref="AJ36">IF(C36="","",INDEX(구분표!$I$2:$I$300, MATCH(1,(구분표!$E$2:$E$300='2추일출'!B36)*(구분표!$F$2:$F$300='2추일출'!C36)*(구분표!$G$2:$G$300='2추일출'!A36),0)))</f>
        <v>0217</v>
      </c>
      <c r="AL36" s="27"/>
    </row>
    <row r="37" spans="1:38" ht="50.1" customHeight="1" x14ac:dyDescent="0.3">
      <c r="A37" s="33" t="str">
        <f>IFERROR(VLOOKUP($C37,구분표!$A$2:$C$300,2,FALSE),"")</f>
        <v>기획재정위원회</v>
      </c>
      <c r="B37" s="24" t="str">
        <f>IFERROR(VLOOKUP($C37,구분표!$A$2:$C$300,3,FALSE),"")</f>
        <v>기획조정실</v>
      </c>
      <c r="C37" s="31" t="s">
        <v>977</v>
      </c>
      <c r="D37" s="139" t="s">
        <v>776</v>
      </c>
      <c r="E37" s="144">
        <v>288</v>
      </c>
      <c r="F37" s="207" t="s">
        <v>1248</v>
      </c>
      <c r="G37" s="44">
        <v>350000</v>
      </c>
      <c r="H37" s="42"/>
      <c r="I37" s="54">
        <f t="shared" si="35"/>
        <v>350000</v>
      </c>
      <c r="J37" s="42"/>
      <c r="K37" s="45"/>
      <c r="L37" s="50">
        <f t="shared" si="36"/>
        <v>350000</v>
      </c>
      <c r="M37" s="158">
        <v>0</v>
      </c>
      <c r="N37" s="159">
        <v>200000</v>
      </c>
      <c r="O37" s="52">
        <f t="shared" si="37"/>
        <v>550000</v>
      </c>
      <c r="P37" s="27" t="str">
        <f t="shared" si="16"/>
        <v>X</v>
      </c>
      <c r="Q37" s="170" t="s">
        <v>1249</v>
      </c>
      <c r="S37" s="27" t="s">
        <v>975</v>
      </c>
      <c r="U37" s="27" t="s">
        <v>975</v>
      </c>
      <c r="V37" s="42">
        <f t="shared" si="8"/>
        <v>0</v>
      </c>
      <c r="W37" s="42">
        <f t="shared" si="9"/>
        <v>0</v>
      </c>
      <c r="X37" s="27" t="str">
        <f t="shared" si="10"/>
        <v>OK</v>
      </c>
      <c r="Z37" s="27"/>
      <c r="AA37" s="42">
        <f t="shared" si="11"/>
        <v>0</v>
      </c>
      <c r="AB37" s="42">
        <f t="shared" si="38"/>
        <v>200000</v>
      </c>
      <c r="AC37" s="27" t="str">
        <f t="shared" si="39"/>
        <v>OK</v>
      </c>
      <c r="AE37" s="27" t="str">
        <f t="shared" si="40"/>
        <v>세입없음</v>
      </c>
      <c r="AG37" s="24">
        <f t="shared" si="4"/>
        <v>217</v>
      </c>
      <c r="AH37" s="65" t="str">
        <f t="shared" si="41"/>
        <v>OK</v>
      </c>
      <c r="AJ37" s="27" t="str">
        <f t="array" ref="AJ37">IF(C37="","",INDEX(구분표!$I$2:$I$300, MATCH(1,(구분표!$E$2:$E$300='2추일출'!B37)*(구분표!$F$2:$F$300='2추일출'!C37)*(구분표!$G$2:$G$300='2추일출'!A37),0)))</f>
        <v>0208</v>
      </c>
      <c r="AL37" s="27"/>
    </row>
    <row r="38" spans="1:38" ht="50.1" customHeight="1" x14ac:dyDescent="0.3">
      <c r="A38" s="33" t="str">
        <f>IFERROR(VLOOKUP($C38,구분표!$A$2:$C$300,2,FALSE),"")</f>
        <v>기획재정위원회</v>
      </c>
      <c r="B38" s="24" t="str">
        <f>IFERROR(VLOOKUP($C38,구분표!$A$2:$C$300,3,FALSE),"")</f>
        <v>균형발전기획실</v>
      </c>
      <c r="C38" s="31" t="s">
        <v>978</v>
      </c>
      <c r="D38" s="139" t="s">
        <v>776</v>
      </c>
      <c r="E38" s="144">
        <v>306</v>
      </c>
      <c r="F38" s="140" t="s">
        <v>979</v>
      </c>
      <c r="G38" s="44">
        <v>100000</v>
      </c>
      <c r="H38" s="42"/>
      <c r="I38" s="54">
        <f t="shared" si="35"/>
        <v>100000</v>
      </c>
      <c r="J38" s="42"/>
      <c r="K38" s="45"/>
      <c r="L38" s="50">
        <f t="shared" si="36"/>
        <v>100000</v>
      </c>
      <c r="M38" s="158">
        <v>-30000</v>
      </c>
      <c r="N38" s="159">
        <v>0</v>
      </c>
      <c r="O38" s="160">
        <f t="shared" si="37"/>
        <v>70000</v>
      </c>
      <c r="P38" s="27" t="str">
        <f t="shared" si="16"/>
        <v>X</v>
      </c>
      <c r="Q38" s="170"/>
      <c r="S38" s="27" t="s">
        <v>975</v>
      </c>
      <c r="U38" s="27" t="s">
        <v>975</v>
      </c>
      <c r="V38" s="42">
        <f t="shared" si="8"/>
        <v>0</v>
      </c>
      <c r="W38" s="42">
        <f t="shared" si="9"/>
        <v>0</v>
      </c>
      <c r="X38" s="27" t="str">
        <f t="shared" si="10"/>
        <v>OK</v>
      </c>
      <c r="Z38" s="27"/>
      <c r="AA38" s="42">
        <f t="shared" si="11"/>
        <v>0</v>
      </c>
      <c r="AB38" s="42">
        <f t="shared" si="38"/>
        <v>-30000</v>
      </c>
      <c r="AC38" s="27" t="str">
        <f t="shared" si="39"/>
        <v>OK</v>
      </c>
      <c r="AE38" s="27" t="str">
        <f t="shared" si="40"/>
        <v>세입없음</v>
      </c>
      <c r="AG38" s="24">
        <f t="shared" si="4"/>
        <v>217</v>
      </c>
      <c r="AH38" s="65" t="str">
        <f t="shared" si="41"/>
        <v>OK</v>
      </c>
      <c r="AJ38" s="27" t="str">
        <f t="array" ref="AJ38">IF(C38="","",INDEX(구분표!$I$2:$I$300, MATCH(1,(구분표!$E$2:$E$300='2추일출'!B38)*(구분표!$F$2:$F$300='2추일출'!C38)*(구분표!$G$2:$G$300='2추일출'!A38),0)))</f>
        <v>0218</v>
      </c>
      <c r="AL38" s="27"/>
    </row>
    <row r="39" spans="1:38" ht="50.1" customHeight="1" x14ac:dyDescent="0.3">
      <c r="A39" s="33" t="str">
        <f>IFERROR(VLOOKUP($C39,구분표!$A$2:$C$300,2,FALSE),"")</f>
        <v>기획재정위원회</v>
      </c>
      <c r="B39" s="24" t="str">
        <f>IFERROR(VLOOKUP($C39,구분표!$A$2:$C$300,3,FALSE),"")</f>
        <v>기획조정실</v>
      </c>
      <c r="C39" s="31" t="s">
        <v>1209</v>
      </c>
      <c r="D39" s="35" t="s">
        <v>1178</v>
      </c>
      <c r="E39" s="145">
        <v>286</v>
      </c>
      <c r="F39" s="134" t="s">
        <v>1210</v>
      </c>
      <c r="G39" s="44">
        <v>30000000</v>
      </c>
      <c r="H39" s="42">
        <v>0</v>
      </c>
      <c r="I39" s="54">
        <f t="shared" si="35"/>
        <v>30000000</v>
      </c>
      <c r="J39" s="42">
        <v>-30000000</v>
      </c>
      <c r="K39" s="45"/>
      <c r="L39" s="50">
        <f t="shared" si="36"/>
        <v>0</v>
      </c>
      <c r="M39" s="158">
        <v>-30000000</v>
      </c>
      <c r="N39" s="159"/>
      <c r="O39" s="160">
        <f t="shared" si="37"/>
        <v>0</v>
      </c>
      <c r="P39" s="27" t="str">
        <f t="shared" si="16"/>
        <v>X</v>
      </c>
      <c r="Q39" s="170"/>
      <c r="S39" s="27" t="s">
        <v>1215</v>
      </c>
      <c r="U39" s="27" t="s">
        <v>1215</v>
      </c>
      <c r="V39" s="42">
        <f t="shared" si="8"/>
        <v>0</v>
      </c>
      <c r="W39" s="42">
        <f t="shared" si="9"/>
        <v>-30000000</v>
      </c>
      <c r="X39" s="27" t="str">
        <f t="shared" si="10"/>
        <v>OK</v>
      </c>
      <c r="Z39" s="27"/>
      <c r="AA39" s="42">
        <f t="shared" si="11"/>
        <v>0</v>
      </c>
      <c r="AB39" s="42">
        <f t="shared" si="38"/>
        <v>-30000000</v>
      </c>
      <c r="AC39" s="27" t="str">
        <f t="shared" si="39"/>
        <v>OK</v>
      </c>
      <c r="AE39" s="27" t="str">
        <f t="shared" si="40"/>
        <v>세입없음</v>
      </c>
      <c r="AG39" s="24">
        <f t="shared" si="4"/>
        <v>217</v>
      </c>
      <c r="AH39" s="65" t="str">
        <f t="shared" si="41"/>
        <v>OK</v>
      </c>
      <c r="AJ39" s="27" t="str">
        <f t="array" ref="AJ39">IF(C39="","",INDEX(구분표!$I$2:$I$300, MATCH(1,(구분표!$E$2:$E$300='2추일출'!B39)*(구분표!$F$2:$F$300='2추일출'!C39)*(구분표!$G$2:$G$300='2추일출'!A39),0)))</f>
        <v>0207</v>
      </c>
      <c r="AL39" s="27"/>
    </row>
    <row r="40" spans="1:38" ht="50.1" customHeight="1" x14ac:dyDescent="0.3">
      <c r="A40" s="33" t="str">
        <f>IFERROR(VLOOKUP($C40,구분표!$A$2:$C$300,2,FALSE),"")</f>
        <v>기획재정위원회</v>
      </c>
      <c r="B40" s="24" t="str">
        <f>IFERROR(VLOOKUP($C40,구분표!$A$2:$C$300,3,FALSE),"")</f>
        <v>기획조정실</v>
      </c>
      <c r="C40" s="31" t="s">
        <v>1209</v>
      </c>
      <c r="D40" s="35" t="s">
        <v>1178</v>
      </c>
      <c r="E40" s="145">
        <v>286</v>
      </c>
      <c r="F40" s="134" t="s">
        <v>1212</v>
      </c>
      <c r="G40" s="44">
        <v>108559859</v>
      </c>
      <c r="H40" s="42">
        <v>58063418</v>
      </c>
      <c r="I40" s="54">
        <f t="shared" si="35"/>
        <v>50496441</v>
      </c>
      <c r="J40" s="42"/>
      <c r="K40" s="45"/>
      <c r="L40" s="50">
        <f t="shared" si="36"/>
        <v>108559859</v>
      </c>
      <c r="M40" s="42"/>
      <c r="N40" s="45">
        <v>12249889</v>
      </c>
      <c r="O40" s="52">
        <f t="shared" si="37"/>
        <v>120809748</v>
      </c>
      <c r="P40" s="27" t="str">
        <f t="shared" si="16"/>
        <v>X</v>
      </c>
      <c r="Q40" s="170"/>
      <c r="S40" s="27" t="s">
        <v>1215</v>
      </c>
      <c r="U40" s="27" t="s">
        <v>1215</v>
      </c>
      <c r="V40" s="42">
        <f t="shared" si="8"/>
        <v>0</v>
      </c>
      <c r="W40" s="42">
        <f t="shared" si="9"/>
        <v>0</v>
      </c>
      <c r="X40" s="27" t="str">
        <f t="shared" si="10"/>
        <v>OK</v>
      </c>
      <c r="Z40" s="27"/>
      <c r="AA40" s="42">
        <f t="shared" si="11"/>
        <v>0</v>
      </c>
      <c r="AB40" s="42">
        <f t="shared" si="38"/>
        <v>12249889</v>
      </c>
      <c r="AC40" s="27" t="str">
        <f t="shared" si="39"/>
        <v>OK</v>
      </c>
      <c r="AE40" s="27" t="str">
        <f t="shared" si="40"/>
        <v>세입없음</v>
      </c>
      <c r="AG40" s="24">
        <f t="shared" si="4"/>
        <v>217</v>
      </c>
      <c r="AH40" s="65" t="str">
        <f t="shared" si="41"/>
        <v>OK</v>
      </c>
      <c r="AJ40" s="27" t="str">
        <f t="array" ref="AJ40">IF(C40="","",INDEX(구분표!$I$2:$I$300, MATCH(1,(구분표!$E$2:$E$300='2추일출'!B40)*(구분표!$F$2:$F$300='2추일출'!C40)*(구분표!$G$2:$G$300='2추일출'!A40),0)))</f>
        <v>0207</v>
      </c>
      <c r="AL40" s="27"/>
    </row>
    <row r="41" spans="1:38" ht="50.1" customHeight="1" x14ac:dyDescent="0.3">
      <c r="A41" s="57" t="s">
        <v>677</v>
      </c>
      <c r="B41" s="58"/>
      <c r="C41" s="59"/>
      <c r="D41" s="58"/>
      <c r="E41" s="59"/>
      <c r="F41" s="136"/>
      <c r="G41" s="60">
        <f t="shared" ref="G41:O41" si="42">SUM(G42:G56)</f>
        <v>15236000</v>
      </c>
      <c r="H41" s="60">
        <f t="shared" si="42"/>
        <v>0</v>
      </c>
      <c r="I41" s="60">
        <f t="shared" si="42"/>
        <v>15236000</v>
      </c>
      <c r="J41" s="60">
        <f t="shared" si="42"/>
        <v>-200000</v>
      </c>
      <c r="K41" s="60">
        <f t="shared" si="42"/>
        <v>3880000</v>
      </c>
      <c r="L41" s="60">
        <f t="shared" si="42"/>
        <v>18916000</v>
      </c>
      <c r="M41" s="60">
        <f t="shared" si="42"/>
        <v>-1350000</v>
      </c>
      <c r="N41" s="60">
        <f t="shared" si="42"/>
        <v>3030000</v>
      </c>
      <c r="O41" s="60">
        <f t="shared" si="42"/>
        <v>16916000</v>
      </c>
      <c r="P41" s="61"/>
      <c r="Q41" s="224"/>
      <c r="S41" s="27"/>
      <c r="U41" s="27"/>
      <c r="V41" s="42"/>
      <c r="W41" s="42"/>
      <c r="X41" s="27"/>
      <c r="Z41" s="27"/>
      <c r="AA41" s="42"/>
      <c r="AB41" s="42"/>
      <c r="AC41" s="27"/>
      <c r="AE41" s="27" t="str">
        <f t="shared" si="14"/>
        <v/>
      </c>
      <c r="AG41" s="24" t="str">
        <f t="shared" si="4"/>
        <v/>
      </c>
      <c r="AH41" s="65" t="str">
        <f t="shared" si="15"/>
        <v/>
      </c>
      <c r="AJ41" s="27" t="str">
        <f t="array" ref="AJ41">IF(C41="","",INDEX(구분표!$I$2:$I$300, MATCH(1,(구분표!$E$2:$E$300='2추일출'!B41)*(구분표!$F$2:$F$300='2추일출'!C41)*(구분표!$G$2:$G$300='2추일출'!A41),0)))</f>
        <v/>
      </c>
      <c r="AL41" s="27"/>
    </row>
    <row r="42" spans="1:38" ht="60" customHeight="1" x14ac:dyDescent="0.3">
      <c r="A42" s="33" t="str">
        <f>IFERROR(VLOOKUP($C42,구분표!$A$2:$C$300,2,FALSE),"")</f>
        <v>경제과학기술위원회</v>
      </c>
      <c r="B42" s="24" t="str">
        <f>IFERROR(VLOOKUP($C42,구분표!$A$2:$C$300,3,FALSE),"")</f>
        <v>경제실</v>
      </c>
      <c r="C42" s="31" t="s">
        <v>117</v>
      </c>
      <c r="D42" s="139" t="s">
        <v>776</v>
      </c>
      <c r="E42" s="144">
        <v>339</v>
      </c>
      <c r="F42" s="140" t="s">
        <v>1266</v>
      </c>
      <c r="G42" s="44">
        <v>500000</v>
      </c>
      <c r="H42" s="42"/>
      <c r="I42" s="54">
        <f t="shared" si="5"/>
        <v>500000</v>
      </c>
      <c r="J42" s="42">
        <v>-200000</v>
      </c>
      <c r="K42" s="45"/>
      <c r="L42" s="50">
        <f t="shared" si="6"/>
        <v>300000</v>
      </c>
      <c r="M42" s="158">
        <v>-250000</v>
      </c>
      <c r="N42" s="159">
        <v>0</v>
      </c>
      <c r="O42" s="160">
        <f t="shared" si="7"/>
        <v>250000</v>
      </c>
      <c r="P42" s="27" t="str">
        <f t="shared" si="16"/>
        <v>X</v>
      </c>
      <c r="Q42" s="170"/>
      <c r="S42" s="27" t="s">
        <v>975</v>
      </c>
      <c r="U42" s="27" t="s">
        <v>975</v>
      </c>
      <c r="V42" s="42">
        <f t="shared" si="8"/>
        <v>0</v>
      </c>
      <c r="W42" s="42">
        <f t="shared" si="9"/>
        <v>-200000</v>
      </c>
      <c r="X42" s="27" t="str">
        <f t="shared" si="10"/>
        <v>OK</v>
      </c>
      <c r="Z42" s="27"/>
      <c r="AA42" s="42">
        <f t="shared" si="11"/>
        <v>0</v>
      </c>
      <c r="AB42" s="42">
        <f t="shared" si="12"/>
        <v>-250000</v>
      </c>
      <c r="AC42" s="27" t="str">
        <f t="shared" si="13"/>
        <v>OK</v>
      </c>
      <c r="AE42" s="27" t="str">
        <f t="shared" si="14"/>
        <v>세입없음</v>
      </c>
      <c r="AG42" s="24">
        <f t="shared" si="4"/>
        <v>217</v>
      </c>
      <c r="AH42" s="65" t="str">
        <f t="shared" si="15"/>
        <v>OK</v>
      </c>
      <c r="AJ42" s="27" t="str">
        <f t="array" ref="AJ42">IF(C42="","",INDEX(구분표!$I$2:$I$300, MATCH(1,(구분표!$E$2:$E$300='2추일출'!B42)*(구분표!$F$2:$F$300='2추일출'!C42)*(구분표!$G$2:$G$300='2추일출'!A42),0)))</f>
        <v>0302</v>
      </c>
      <c r="AL42" s="27"/>
    </row>
    <row r="43" spans="1:38" ht="60" customHeight="1" x14ac:dyDescent="0.3">
      <c r="A43" s="33" t="str">
        <f>IFERROR(VLOOKUP($C43,구분표!$A$2:$C$300,2,FALSE),"")</f>
        <v>경제과학기술위원회</v>
      </c>
      <c r="B43" s="24" t="str">
        <f>IFERROR(VLOOKUP($C43,구분표!$A$2:$C$300,3,FALSE),"")</f>
        <v>경제실</v>
      </c>
      <c r="C43" s="31" t="s">
        <v>126</v>
      </c>
      <c r="D43" s="139" t="s">
        <v>776</v>
      </c>
      <c r="E43" s="144">
        <v>346</v>
      </c>
      <c r="F43" s="140" t="s">
        <v>980</v>
      </c>
      <c r="G43" s="44">
        <v>14406000</v>
      </c>
      <c r="H43" s="42"/>
      <c r="I43" s="54">
        <f t="shared" si="5"/>
        <v>14406000</v>
      </c>
      <c r="J43" s="42"/>
      <c r="K43" s="45">
        <v>1000000</v>
      </c>
      <c r="L43" s="50">
        <f t="shared" si="6"/>
        <v>15406000</v>
      </c>
      <c r="M43" s="158">
        <v>-1100000</v>
      </c>
      <c r="N43" s="159">
        <v>0</v>
      </c>
      <c r="O43" s="160">
        <f t="shared" si="7"/>
        <v>13306000</v>
      </c>
      <c r="P43" s="27" t="str">
        <f t="shared" si="16"/>
        <v>X</v>
      </c>
      <c r="Q43" s="218" t="s">
        <v>1318</v>
      </c>
      <c r="S43" s="27" t="s">
        <v>975</v>
      </c>
      <c r="U43" s="27" t="s">
        <v>975</v>
      </c>
      <c r="V43" s="42">
        <f t="shared" si="8"/>
        <v>0</v>
      </c>
      <c r="W43" s="42">
        <f t="shared" si="9"/>
        <v>1000000</v>
      </c>
      <c r="X43" s="27" t="str">
        <f t="shared" si="10"/>
        <v>OK</v>
      </c>
      <c r="Z43" s="27"/>
      <c r="AA43" s="42">
        <f t="shared" si="11"/>
        <v>0</v>
      </c>
      <c r="AB43" s="42">
        <f t="shared" si="12"/>
        <v>-1100000</v>
      </c>
      <c r="AC43" s="27" t="str">
        <f t="shared" si="13"/>
        <v>OK</v>
      </c>
      <c r="AE43" s="27" t="str">
        <f t="shared" si="14"/>
        <v>세입없음</v>
      </c>
      <c r="AG43" s="24">
        <f t="shared" si="4"/>
        <v>217</v>
      </c>
      <c r="AH43" s="65" t="str">
        <f t="shared" si="15"/>
        <v>OK</v>
      </c>
      <c r="AJ43" s="27" t="str">
        <f t="array" ref="AJ43">IF(C43="","",INDEX(구분표!$I$2:$I$300, MATCH(1,(구분표!$E$2:$E$300='2추일출'!B43)*(구분표!$F$2:$F$300='2추일출'!C43)*(구분표!$G$2:$G$300='2추일출'!A43),0)))</f>
        <v>0305</v>
      </c>
      <c r="AL43" s="27"/>
    </row>
    <row r="44" spans="1:38" ht="50.1" customHeight="1" thickBot="1" x14ac:dyDescent="0.35">
      <c r="A44" s="33" t="str">
        <f>IFERROR(VLOOKUP($C44,구분표!$A$2:$C$300,2,FALSE),"")</f>
        <v>경제과학기술위원회</v>
      </c>
      <c r="B44" s="24" t="str">
        <f>IFERROR(VLOOKUP($C44,구분표!$A$2:$C$300,3,FALSE),"")</f>
        <v>경제실</v>
      </c>
      <c r="C44" s="31" t="s">
        <v>138</v>
      </c>
      <c r="D44" s="35" t="s">
        <v>776</v>
      </c>
      <c r="E44" s="145">
        <v>354</v>
      </c>
      <c r="F44" s="163" t="s">
        <v>981</v>
      </c>
      <c r="G44" s="44">
        <v>300000</v>
      </c>
      <c r="H44" s="42"/>
      <c r="I44" s="54">
        <f t="shared" si="5"/>
        <v>300000</v>
      </c>
      <c r="J44" s="42"/>
      <c r="K44" s="45">
        <v>30000</v>
      </c>
      <c r="L44" s="50">
        <f t="shared" si="6"/>
        <v>330000</v>
      </c>
      <c r="M44" s="158">
        <v>0</v>
      </c>
      <c r="N44" s="159">
        <v>30000</v>
      </c>
      <c r="O44" s="160">
        <f t="shared" si="7"/>
        <v>330000</v>
      </c>
      <c r="P44" s="27" t="str">
        <f t="shared" si="16"/>
        <v>X</v>
      </c>
      <c r="Q44" s="170"/>
      <c r="S44" s="27" t="s">
        <v>975</v>
      </c>
      <c r="U44" s="27" t="s">
        <v>975</v>
      </c>
      <c r="V44" s="42">
        <f t="shared" si="8"/>
        <v>0</v>
      </c>
      <c r="W44" s="42">
        <f t="shared" si="9"/>
        <v>30000</v>
      </c>
      <c r="X44" s="27" t="str">
        <f t="shared" si="10"/>
        <v>OK</v>
      </c>
      <c r="Z44" s="27"/>
      <c r="AA44" s="42">
        <f t="shared" si="11"/>
        <v>0</v>
      </c>
      <c r="AB44" s="42">
        <f t="shared" si="12"/>
        <v>30000</v>
      </c>
      <c r="AC44" s="27" t="str">
        <f t="shared" si="13"/>
        <v>OK</v>
      </c>
      <c r="AE44" s="27" t="str">
        <f t="shared" si="14"/>
        <v>세입없음</v>
      </c>
      <c r="AG44" s="24">
        <f t="shared" si="4"/>
        <v>217</v>
      </c>
      <c r="AH44" s="65" t="str">
        <f t="shared" si="15"/>
        <v>OK</v>
      </c>
      <c r="AJ44" s="27" t="str">
        <f t="array" ref="AJ44">IF(C44="","",INDEX(구분표!$I$2:$I$300, MATCH(1,(구분표!$E$2:$E$300='2추일출'!B44)*(구분표!$F$2:$F$300='2추일출'!C44)*(구분표!$G$2:$G$300='2추일출'!A44),0)))</f>
        <v>0309</v>
      </c>
      <c r="AL44" s="27"/>
    </row>
    <row r="45" spans="1:38" ht="50.1" customHeight="1" thickTop="1" x14ac:dyDescent="0.3">
      <c r="A45" s="33" t="str">
        <f>IFERROR(VLOOKUP($C45,구분표!$A$2:$C$300,2,FALSE),"")</f>
        <v>경제과학기술위원회</v>
      </c>
      <c r="B45" s="24" t="str">
        <f>IFERROR(VLOOKUP($C45,구분표!$A$2:$C$300,3,FALSE),"")</f>
        <v>경제실</v>
      </c>
      <c r="C45" s="211" t="s">
        <v>1171</v>
      </c>
      <c r="D45" s="161" t="s">
        <v>776</v>
      </c>
      <c r="E45" s="162">
        <v>357</v>
      </c>
      <c r="F45" s="165" t="s">
        <v>1325</v>
      </c>
      <c r="G45" s="44">
        <v>30000</v>
      </c>
      <c r="H45" s="42"/>
      <c r="I45" s="54">
        <f t="shared" ref="I45" si="43">IF(D45="","",G45-H45)</f>
        <v>30000</v>
      </c>
      <c r="J45" s="42"/>
      <c r="K45" s="45">
        <v>50000</v>
      </c>
      <c r="L45" s="50">
        <f t="shared" ref="L45" si="44">IF(G45=0,H45+J45+K45,G45+J45+K45)</f>
        <v>80000</v>
      </c>
      <c r="M45" s="175">
        <v>0</v>
      </c>
      <c r="N45" s="176">
        <v>0</v>
      </c>
      <c r="O45" s="160">
        <f t="shared" ref="O45" si="45">IF(G45=0,H45+M45+N45,G45+M45+N45)</f>
        <v>30000</v>
      </c>
      <c r="P45" s="27" t="str">
        <f t="shared" si="16"/>
        <v>X</v>
      </c>
      <c r="Q45" s="170"/>
      <c r="S45" s="27" t="s">
        <v>975</v>
      </c>
      <c r="U45" s="27" t="s">
        <v>975</v>
      </c>
      <c r="V45" s="42">
        <f t="shared" si="8"/>
        <v>0</v>
      </c>
      <c r="W45" s="42">
        <f t="shared" si="9"/>
        <v>50000</v>
      </c>
      <c r="X45" s="27" t="str">
        <f t="shared" si="10"/>
        <v>OK</v>
      </c>
      <c r="Z45" s="27"/>
      <c r="AA45" s="42">
        <f t="shared" si="11"/>
        <v>0</v>
      </c>
      <c r="AB45" s="42">
        <f t="shared" ref="AB45" si="46">IF($U45="도비",SUM(M45:N45),IF($S45="국도비","직접입력",SUM(M45:N45)-AA45))</f>
        <v>0</v>
      </c>
      <c r="AC45" s="27" t="str">
        <f t="shared" ref="AC45" si="47">IF(SUM(M45:N45)=SUM(AA45:AB45),"OK","검토")</f>
        <v>OK</v>
      </c>
      <c r="AE45" s="27" t="str">
        <f t="shared" ref="AE45" si="48">IF(U45="","",IF(U45="도비","세입없음","직접입력"))</f>
        <v>세입없음</v>
      </c>
      <c r="AG45" s="24">
        <f t="shared" si="4"/>
        <v>217</v>
      </c>
      <c r="AH45" s="65" t="str">
        <f t="shared" ref="AH45" si="49">IF(U45="","",IF(AND(U45="도비",AE45="세입없음"),"OK",IF(AND(U45&lt;&gt;"도비",AE45&lt;&gt;""),"OK","@@")))</f>
        <v>OK</v>
      </c>
      <c r="AJ45" s="27" t="str">
        <f t="array" ref="AJ45">IF(C45="","",INDEX(구분표!$I$2:$I$300, MATCH(1,(구분표!$E$2:$E$300='2추일출'!B45)*(구분표!$F$2:$F$300='2추일출'!C45)*(구분표!$G$2:$G$300='2추일출'!A45),0)))</f>
        <v>0311</v>
      </c>
      <c r="AL45" s="27"/>
    </row>
    <row r="46" spans="1:38" ht="50.1" customHeight="1" thickBot="1" x14ac:dyDescent="0.35">
      <c r="A46" s="33" t="str">
        <f>IFERROR(VLOOKUP($C46,구분표!$A$2:$C$300,2,FALSE),"")</f>
        <v>경제과학기술위원회</v>
      </c>
      <c r="B46" s="24" t="str">
        <f>IFERROR(VLOOKUP($C46,구분표!$A$2:$C$300,3,FALSE),"")</f>
        <v>경제실</v>
      </c>
      <c r="C46" s="31" t="s">
        <v>144</v>
      </c>
      <c r="D46" s="137" t="s">
        <v>776</v>
      </c>
      <c r="E46" s="143" t="s">
        <v>832</v>
      </c>
      <c r="F46" s="166" t="s">
        <v>1325</v>
      </c>
      <c r="G46" s="44"/>
      <c r="H46" s="42"/>
      <c r="I46" s="54">
        <f t="shared" si="5"/>
        <v>0</v>
      </c>
      <c r="J46" s="42"/>
      <c r="K46" s="45">
        <v>130000</v>
      </c>
      <c r="L46" s="50">
        <f t="shared" si="6"/>
        <v>130000</v>
      </c>
      <c r="M46" s="158"/>
      <c r="N46" s="159">
        <v>130000</v>
      </c>
      <c r="O46" s="160">
        <f t="shared" si="7"/>
        <v>130000</v>
      </c>
      <c r="P46" s="27" t="str">
        <f t="shared" si="16"/>
        <v>X</v>
      </c>
      <c r="Q46" s="170"/>
      <c r="S46" s="27" t="s">
        <v>975</v>
      </c>
      <c r="U46" s="27" t="s">
        <v>975</v>
      </c>
      <c r="V46" s="42">
        <f t="shared" si="8"/>
        <v>0</v>
      </c>
      <c r="W46" s="42">
        <f t="shared" si="9"/>
        <v>130000</v>
      </c>
      <c r="X46" s="27" t="str">
        <f t="shared" si="10"/>
        <v>OK</v>
      </c>
      <c r="Z46" s="27"/>
      <c r="AA46" s="42">
        <f t="shared" si="11"/>
        <v>0</v>
      </c>
      <c r="AB46" s="42">
        <f t="shared" si="12"/>
        <v>130000</v>
      </c>
      <c r="AC46" s="27" t="str">
        <f t="shared" si="13"/>
        <v>OK</v>
      </c>
      <c r="AE46" s="27" t="str">
        <f t="shared" si="14"/>
        <v>세입없음</v>
      </c>
      <c r="AG46" s="24">
        <f t="shared" si="4"/>
        <v>217</v>
      </c>
      <c r="AH46" s="65" t="str">
        <f t="shared" si="15"/>
        <v>OK</v>
      </c>
      <c r="AJ46" s="27" t="str">
        <f t="array" ref="AJ46">IF(C46="","",INDEX(구분표!$I$2:$I$300, MATCH(1,(구분표!$E$2:$E$300='2추일출'!B46)*(구분표!$F$2:$F$300='2추일출'!C46)*(구분표!$G$2:$G$300='2추일출'!A46),0)))</f>
        <v>0311</v>
      </c>
      <c r="AL46" s="27"/>
    </row>
    <row r="47" spans="1:38" ht="50.1" customHeight="1" thickTop="1" x14ac:dyDescent="0.3">
      <c r="A47" s="33" t="str">
        <f>IFERROR(VLOOKUP($C47,구분표!$A$2:$C$300,2,FALSE),"")</f>
        <v>경제과학기술위원회</v>
      </c>
      <c r="B47" s="24" t="str">
        <f>IFERROR(VLOOKUP($C47,구분표!$A$2:$C$300,3,FALSE),"")</f>
        <v>경제실</v>
      </c>
      <c r="C47" s="31" t="s">
        <v>132</v>
      </c>
      <c r="D47" s="35" t="s">
        <v>771</v>
      </c>
      <c r="E47" s="145"/>
      <c r="F47" s="164" t="s">
        <v>982</v>
      </c>
      <c r="G47" s="44"/>
      <c r="H47" s="42"/>
      <c r="I47" s="54">
        <f t="shared" si="5"/>
        <v>0</v>
      </c>
      <c r="J47" s="42"/>
      <c r="K47" s="45">
        <v>100000</v>
      </c>
      <c r="L47" s="50">
        <f t="shared" si="6"/>
        <v>100000</v>
      </c>
      <c r="M47" s="158"/>
      <c r="N47" s="159">
        <v>100000</v>
      </c>
      <c r="O47" s="160">
        <f t="shared" si="7"/>
        <v>100000</v>
      </c>
      <c r="P47" s="27" t="str">
        <f t="shared" si="16"/>
        <v>X</v>
      </c>
      <c r="Q47" s="170"/>
      <c r="S47" s="27" t="s">
        <v>975</v>
      </c>
      <c r="U47" s="27" t="s">
        <v>975</v>
      </c>
      <c r="V47" s="42">
        <f t="shared" si="8"/>
        <v>0</v>
      </c>
      <c r="W47" s="42">
        <f t="shared" si="9"/>
        <v>100000</v>
      </c>
      <c r="X47" s="27" t="str">
        <f t="shared" si="10"/>
        <v>OK</v>
      </c>
      <c r="Z47" s="27"/>
      <c r="AA47" s="42">
        <f t="shared" si="11"/>
        <v>0</v>
      </c>
      <c r="AB47" s="42">
        <f t="shared" si="12"/>
        <v>100000</v>
      </c>
      <c r="AC47" s="27" t="str">
        <f t="shared" si="13"/>
        <v>OK</v>
      </c>
      <c r="AE47" s="27" t="str">
        <f t="shared" si="14"/>
        <v>세입없음</v>
      </c>
      <c r="AG47" s="24">
        <f t="shared" si="4"/>
        <v>217</v>
      </c>
      <c r="AH47" s="65" t="str">
        <f t="shared" si="15"/>
        <v>OK</v>
      </c>
      <c r="AJ47" s="27" t="str">
        <f t="array" ref="AJ47">IF(C47="","",INDEX(구분표!$I$2:$I$300, MATCH(1,(구분표!$E$2:$E$300='2추일출'!B47)*(구분표!$F$2:$F$300='2추일출'!C47)*(구분표!$G$2:$G$300='2추일출'!A47),0)))</f>
        <v>0307</v>
      </c>
      <c r="AL47" s="27"/>
    </row>
    <row r="48" spans="1:38" ht="50.1" customHeight="1" x14ac:dyDescent="0.3">
      <c r="A48" s="33" t="str">
        <f>IFERROR(VLOOKUP($C48,구분표!$A$2:$C$300,2,FALSE),"")</f>
        <v>경제과학기술위원회</v>
      </c>
      <c r="B48" s="24" t="str">
        <f>IFERROR(VLOOKUP($C48,구분표!$A$2:$C$300,3,FALSE),"")</f>
        <v>경제실</v>
      </c>
      <c r="C48" s="31" t="s">
        <v>123</v>
      </c>
      <c r="D48" s="35" t="s">
        <v>771</v>
      </c>
      <c r="E48" s="145"/>
      <c r="F48" s="134" t="s">
        <v>983</v>
      </c>
      <c r="G48" s="44"/>
      <c r="H48" s="42"/>
      <c r="I48" s="54">
        <f t="shared" ref="I48:I55" si="50">IF(D48="","",G48-H48)</f>
        <v>0</v>
      </c>
      <c r="J48" s="42"/>
      <c r="K48" s="45">
        <v>20000</v>
      </c>
      <c r="L48" s="50">
        <f t="shared" ref="L48:L55" si="51">IF(G48=0,H48+J48+K48,G48+J48+K48)</f>
        <v>20000</v>
      </c>
      <c r="M48" s="158"/>
      <c r="N48" s="159">
        <v>20000</v>
      </c>
      <c r="O48" s="160">
        <f t="shared" ref="O48:O55" si="52">IF(G48=0,H48+M48+N48,G48+M48+N48)</f>
        <v>20000</v>
      </c>
      <c r="P48" s="27" t="str">
        <f t="shared" si="16"/>
        <v>X</v>
      </c>
      <c r="Q48" s="170"/>
      <c r="S48" s="27" t="s">
        <v>975</v>
      </c>
      <c r="U48" s="27" t="s">
        <v>975</v>
      </c>
      <c r="V48" s="42">
        <f t="shared" si="8"/>
        <v>0</v>
      </c>
      <c r="W48" s="42">
        <f t="shared" si="9"/>
        <v>20000</v>
      </c>
      <c r="X48" s="27" t="str">
        <f t="shared" si="10"/>
        <v>OK</v>
      </c>
      <c r="Z48" s="27"/>
      <c r="AA48" s="42">
        <f t="shared" si="11"/>
        <v>0</v>
      </c>
      <c r="AB48" s="42">
        <f t="shared" ref="AB48:AB55" si="53">IF($U48="도비",SUM(M48:N48),IF($S48="국도비","직접입력",SUM(M48:N48)-AA48))</f>
        <v>20000</v>
      </c>
      <c r="AC48" s="27" t="str">
        <f t="shared" ref="AC48:AC55" si="54">IF(SUM(M48:N48)=SUM(AA48:AB48),"OK","검토")</f>
        <v>OK</v>
      </c>
      <c r="AE48" s="27" t="str">
        <f t="shared" ref="AE48:AE55" si="55">IF(U48="","",IF(U48="도비","세입없음","직접입력"))</f>
        <v>세입없음</v>
      </c>
      <c r="AG48" s="24">
        <f t="shared" si="4"/>
        <v>217</v>
      </c>
      <c r="AH48" s="65" t="str">
        <f t="shared" ref="AH48:AH55" si="56">IF(U48="","",IF(AND(U48="도비",AE48="세입없음"),"OK",IF(AND(U48&lt;&gt;"도비",AE48&lt;&gt;""),"OK","@@")))</f>
        <v>OK</v>
      </c>
      <c r="AJ48" s="27" t="str">
        <f t="array" ref="AJ48">IF(C48="","",INDEX(구분표!$I$2:$I$300, MATCH(1,(구분표!$E$2:$E$300='2추일출'!B48)*(구분표!$F$2:$F$300='2추일출'!C48)*(구분표!$G$2:$G$300='2추일출'!A48),0)))</f>
        <v>0304</v>
      </c>
      <c r="AL48" s="27"/>
    </row>
    <row r="49" spans="1:38" ht="50.1" customHeight="1" x14ac:dyDescent="0.3">
      <c r="A49" s="33" t="str">
        <f>IFERROR(VLOOKUP($C49,구분표!$A$2:$C$300,2,FALSE),"")</f>
        <v>경제과학기술위원회</v>
      </c>
      <c r="B49" s="24" t="str">
        <f>IFERROR(VLOOKUP($C49,구분표!$A$2:$C$300,3,FALSE),"")</f>
        <v>경제실</v>
      </c>
      <c r="C49" s="31" t="s">
        <v>132</v>
      </c>
      <c r="D49" s="35" t="s">
        <v>771</v>
      </c>
      <c r="E49" s="145" t="s">
        <v>850</v>
      </c>
      <c r="F49" s="134" t="s">
        <v>984</v>
      </c>
      <c r="G49" s="44"/>
      <c r="H49" s="42"/>
      <c r="I49" s="54">
        <f t="shared" si="50"/>
        <v>0</v>
      </c>
      <c r="J49" s="42"/>
      <c r="K49" s="45">
        <v>600000</v>
      </c>
      <c r="L49" s="50">
        <f t="shared" si="51"/>
        <v>600000</v>
      </c>
      <c r="M49" s="158"/>
      <c r="N49" s="159">
        <v>600000</v>
      </c>
      <c r="O49" s="160">
        <f t="shared" si="52"/>
        <v>600000</v>
      </c>
      <c r="P49" s="27" t="str">
        <f t="shared" si="16"/>
        <v>X</v>
      </c>
      <c r="Q49" s="170" t="s">
        <v>849</v>
      </c>
      <c r="S49" s="27" t="s">
        <v>985</v>
      </c>
      <c r="U49" s="27" t="s">
        <v>850</v>
      </c>
      <c r="V49" s="42">
        <v>600000</v>
      </c>
      <c r="W49" s="42">
        <v>0</v>
      </c>
      <c r="X49" s="27" t="str">
        <f t="shared" si="10"/>
        <v>OK</v>
      </c>
      <c r="Z49" s="27" t="s">
        <v>850</v>
      </c>
      <c r="AA49" s="42">
        <v>600000</v>
      </c>
      <c r="AB49" s="42">
        <v>0</v>
      </c>
      <c r="AC49" s="27" t="str">
        <f t="shared" si="54"/>
        <v>OK</v>
      </c>
      <c r="AE49" s="27" t="s">
        <v>1011</v>
      </c>
      <c r="AG49" s="24">
        <f t="shared" si="4"/>
        <v>1</v>
      </c>
      <c r="AH49" s="65" t="str">
        <f t="shared" si="56"/>
        <v>OK</v>
      </c>
      <c r="AJ49" s="27" t="str">
        <f t="array" ref="AJ49">IF(C49="","",INDEX(구분표!$I$2:$I$300, MATCH(1,(구분표!$E$2:$E$300='2추일출'!B49)*(구분표!$F$2:$F$300='2추일출'!C49)*(구분표!$G$2:$G$300='2추일출'!A49),0)))</f>
        <v>0307</v>
      </c>
      <c r="AL49" s="27"/>
    </row>
    <row r="50" spans="1:38" ht="50.1" customHeight="1" x14ac:dyDescent="0.3">
      <c r="A50" s="33" t="str">
        <f>IFERROR(VLOOKUP($C50,구분표!$A$2:$C$300,2,FALSE),"")</f>
        <v>경제과학기술위원회</v>
      </c>
      <c r="B50" s="24" t="str">
        <f>IFERROR(VLOOKUP($C50,구분표!$A$2:$C$300,3,FALSE),"")</f>
        <v>경제실</v>
      </c>
      <c r="C50" s="31" t="s">
        <v>123</v>
      </c>
      <c r="D50" s="137" t="s">
        <v>771</v>
      </c>
      <c r="E50" s="143" t="s">
        <v>832</v>
      </c>
      <c r="F50" s="138" t="s">
        <v>936</v>
      </c>
      <c r="G50" s="44"/>
      <c r="H50" s="42"/>
      <c r="I50" s="54">
        <f t="shared" si="50"/>
        <v>0</v>
      </c>
      <c r="J50" s="42"/>
      <c r="K50" s="45">
        <v>770000</v>
      </c>
      <c r="L50" s="50">
        <f t="shared" si="51"/>
        <v>770000</v>
      </c>
      <c r="M50" s="42"/>
      <c r="N50" s="159">
        <v>770000</v>
      </c>
      <c r="O50" s="160">
        <f t="shared" si="52"/>
        <v>770000</v>
      </c>
      <c r="P50" s="27" t="str">
        <f t="shared" si="16"/>
        <v>X</v>
      </c>
      <c r="Q50" s="170"/>
      <c r="S50" s="27" t="s">
        <v>1084</v>
      </c>
      <c r="U50" s="27" t="s">
        <v>1084</v>
      </c>
      <c r="V50" s="42">
        <f t="shared" si="8"/>
        <v>0</v>
      </c>
      <c r="W50" s="42">
        <f t="shared" si="9"/>
        <v>770000</v>
      </c>
      <c r="X50" s="27" t="str">
        <f t="shared" si="10"/>
        <v>OK</v>
      </c>
      <c r="Z50" s="27"/>
      <c r="AA50" s="42">
        <f t="shared" si="11"/>
        <v>0</v>
      </c>
      <c r="AB50" s="42">
        <f t="shared" si="53"/>
        <v>770000</v>
      </c>
      <c r="AC50" s="27" t="str">
        <f t="shared" si="54"/>
        <v>OK</v>
      </c>
      <c r="AE50" s="27" t="str">
        <f t="shared" si="55"/>
        <v>세입없음</v>
      </c>
      <c r="AG50" s="24">
        <f t="shared" si="4"/>
        <v>217</v>
      </c>
      <c r="AH50" s="65" t="str">
        <f t="shared" si="56"/>
        <v>OK</v>
      </c>
      <c r="AJ50" s="27" t="str">
        <f t="array" ref="AJ50">IF(C50="","",INDEX(구분표!$I$2:$I$300, MATCH(1,(구분표!$E$2:$E$300='2추일출'!B50)*(구분표!$F$2:$F$300='2추일출'!C50)*(구분표!$G$2:$G$300='2추일출'!A50),0)))</f>
        <v>0304</v>
      </c>
      <c r="AL50" s="27"/>
    </row>
    <row r="51" spans="1:38" ht="50.1" customHeight="1" x14ac:dyDescent="0.3">
      <c r="A51" s="33" t="str">
        <f>IFERROR(VLOOKUP($C51,구분표!$A$2:$C$300,2,FALSE),"")</f>
        <v>경제과학기술위원회</v>
      </c>
      <c r="B51" s="24" t="str">
        <f>IFERROR(VLOOKUP($C51,구분표!$A$2:$C$300,3,FALSE),"")</f>
        <v>경제실</v>
      </c>
      <c r="C51" s="31" t="s">
        <v>123</v>
      </c>
      <c r="D51" s="137" t="s">
        <v>771</v>
      </c>
      <c r="E51" s="143" t="s">
        <v>832</v>
      </c>
      <c r="F51" s="138" t="s">
        <v>937</v>
      </c>
      <c r="G51" s="44"/>
      <c r="H51" s="42"/>
      <c r="I51" s="54">
        <f t="shared" si="50"/>
        <v>0</v>
      </c>
      <c r="J51" s="42"/>
      <c r="K51" s="45">
        <v>300000</v>
      </c>
      <c r="L51" s="50">
        <f t="shared" si="51"/>
        <v>300000</v>
      </c>
      <c r="M51" s="42"/>
      <c r="N51" s="159">
        <v>500000</v>
      </c>
      <c r="O51" s="160">
        <f t="shared" si="52"/>
        <v>500000</v>
      </c>
      <c r="P51" s="27" t="str">
        <f t="shared" si="16"/>
        <v>X</v>
      </c>
      <c r="Q51" s="170"/>
      <c r="S51" s="27" t="s">
        <v>1084</v>
      </c>
      <c r="U51" s="27" t="s">
        <v>1084</v>
      </c>
      <c r="V51" s="42">
        <f t="shared" si="8"/>
        <v>0</v>
      </c>
      <c r="W51" s="42">
        <f t="shared" si="9"/>
        <v>300000</v>
      </c>
      <c r="X51" s="27" t="str">
        <f t="shared" si="10"/>
        <v>OK</v>
      </c>
      <c r="Z51" s="27"/>
      <c r="AA51" s="42">
        <f t="shared" si="11"/>
        <v>0</v>
      </c>
      <c r="AB51" s="42">
        <f t="shared" si="53"/>
        <v>500000</v>
      </c>
      <c r="AC51" s="27" t="str">
        <f t="shared" si="54"/>
        <v>OK</v>
      </c>
      <c r="AE51" s="27" t="str">
        <f t="shared" si="55"/>
        <v>세입없음</v>
      </c>
      <c r="AG51" s="24">
        <f t="shared" si="4"/>
        <v>217</v>
      </c>
      <c r="AH51" s="65" t="str">
        <f t="shared" si="56"/>
        <v>OK</v>
      </c>
      <c r="AJ51" s="27" t="str">
        <f t="array" ref="AJ51">IF(C51="","",INDEX(구분표!$I$2:$I$300, MATCH(1,(구분표!$E$2:$E$300='2추일출'!B51)*(구분표!$F$2:$F$300='2추일출'!C51)*(구분표!$G$2:$G$300='2추일출'!A51),0)))</f>
        <v>0304</v>
      </c>
      <c r="AL51" s="27"/>
    </row>
    <row r="52" spans="1:38" ht="50.1" customHeight="1" x14ac:dyDescent="0.3">
      <c r="A52" s="33" t="str">
        <f>IFERROR(VLOOKUP($C52,구분표!$A$2:$C$300,2,FALSE),"")</f>
        <v>경제과학기술위원회</v>
      </c>
      <c r="B52" s="24" t="str">
        <f>IFERROR(VLOOKUP($C52,구분표!$A$2:$C$300,3,FALSE),"")</f>
        <v>경제실</v>
      </c>
      <c r="C52" s="31" t="s">
        <v>112</v>
      </c>
      <c r="D52" s="137" t="s">
        <v>771</v>
      </c>
      <c r="E52" s="143" t="s">
        <v>832</v>
      </c>
      <c r="F52" s="138" t="s">
        <v>938</v>
      </c>
      <c r="G52" s="44"/>
      <c r="H52" s="42"/>
      <c r="I52" s="54">
        <f t="shared" si="50"/>
        <v>0</v>
      </c>
      <c r="J52" s="42"/>
      <c r="K52" s="45">
        <v>300000</v>
      </c>
      <c r="L52" s="50">
        <f t="shared" si="51"/>
        <v>300000</v>
      </c>
      <c r="M52" s="42"/>
      <c r="N52" s="159">
        <v>300000</v>
      </c>
      <c r="O52" s="160">
        <f t="shared" si="52"/>
        <v>300000</v>
      </c>
      <c r="P52" s="27" t="str">
        <f t="shared" si="16"/>
        <v>X</v>
      </c>
      <c r="Q52" s="170"/>
      <c r="S52" s="27" t="s">
        <v>1084</v>
      </c>
      <c r="U52" s="27" t="s">
        <v>1084</v>
      </c>
      <c r="V52" s="42">
        <f t="shared" si="8"/>
        <v>0</v>
      </c>
      <c r="W52" s="42">
        <f t="shared" si="9"/>
        <v>300000</v>
      </c>
      <c r="X52" s="27" t="str">
        <f t="shared" si="10"/>
        <v>OK</v>
      </c>
      <c r="Z52" s="27"/>
      <c r="AA52" s="42">
        <f t="shared" si="11"/>
        <v>0</v>
      </c>
      <c r="AB52" s="42">
        <f t="shared" si="53"/>
        <v>300000</v>
      </c>
      <c r="AC52" s="27" t="str">
        <f t="shared" si="54"/>
        <v>OK</v>
      </c>
      <c r="AE52" s="27" t="str">
        <f t="shared" si="55"/>
        <v>세입없음</v>
      </c>
      <c r="AG52" s="24">
        <f t="shared" si="4"/>
        <v>217</v>
      </c>
      <c r="AH52" s="65" t="str">
        <f t="shared" si="56"/>
        <v>OK</v>
      </c>
      <c r="AJ52" s="27" t="str">
        <f t="array" ref="AJ52">IF(C52="","",INDEX(구분표!$I$2:$I$300, MATCH(1,(구분표!$E$2:$E$300='2추일출'!B52)*(구분표!$F$2:$F$300='2추일출'!C52)*(구분표!$G$2:$G$300='2추일출'!A52),0)))</f>
        <v>0301</v>
      </c>
      <c r="AL52" s="27"/>
    </row>
    <row r="53" spans="1:38" ht="50.1" customHeight="1" x14ac:dyDescent="0.3">
      <c r="A53" s="33" t="str">
        <f>IFERROR(VLOOKUP($C53,구분표!$A$2:$C$300,2,FALSE),"")</f>
        <v>경제과학기술위원회</v>
      </c>
      <c r="B53" s="24" t="str">
        <f>IFERROR(VLOOKUP($C53,구분표!$A$2:$C$300,3,FALSE),"")</f>
        <v>경제실</v>
      </c>
      <c r="C53" s="31" t="s">
        <v>144</v>
      </c>
      <c r="D53" s="137" t="s">
        <v>771</v>
      </c>
      <c r="E53" s="143" t="s">
        <v>832</v>
      </c>
      <c r="F53" s="138" t="s">
        <v>939</v>
      </c>
      <c r="G53" s="44"/>
      <c r="H53" s="42"/>
      <c r="I53" s="54">
        <f t="shared" si="50"/>
        <v>0</v>
      </c>
      <c r="J53" s="42"/>
      <c r="K53" s="45">
        <v>20000</v>
      </c>
      <c r="L53" s="50">
        <f t="shared" si="51"/>
        <v>20000</v>
      </c>
      <c r="M53" s="42"/>
      <c r="N53" s="159">
        <v>20000</v>
      </c>
      <c r="O53" s="160">
        <f t="shared" si="52"/>
        <v>20000</v>
      </c>
      <c r="P53" s="27" t="str">
        <f t="shared" si="16"/>
        <v>X</v>
      </c>
      <c r="Q53" s="170"/>
      <c r="S53" s="27" t="s">
        <v>1164</v>
      </c>
      <c r="U53" s="27" t="s">
        <v>1164</v>
      </c>
      <c r="V53" s="42">
        <f t="shared" si="8"/>
        <v>0</v>
      </c>
      <c r="W53" s="42">
        <f t="shared" si="9"/>
        <v>20000</v>
      </c>
      <c r="X53" s="27" t="str">
        <f t="shared" si="10"/>
        <v>OK</v>
      </c>
      <c r="Z53" s="27"/>
      <c r="AA53" s="42">
        <f t="shared" si="11"/>
        <v>0</v>
      </c>
      <c r="AB53" s="42">
        <f t="shared" si="53"/>
        <v>20000</v>
      </c>
      <c r="AC53" s="27" t="str">
        <f t="shared" si="54"/>
        <v>OK</v>
      </c>
      <c r="AE53" s="27" t="str">
        <f t="shared" si="55"/>
        <v>세입없음</v>
      </c>
      <c r="AG53" s="24">
        <f t="shared" si="4"/>
        <v>217</v>
      </c>
      <c r="AH53" s="65" t="str">
        <f t="shared" si="56"/>
        <v>OK</v>
      </c>
      <c r="AJ53" s="27" t="str">
        <f t="array" ref="AJ53">IF(C53="","",INDEX(구분표!$I$2:$I$300, MATCH(1,(구분표!$E$2:$E$300='2추일출'!B53)*(구분표!$F$2:$F$300='2추일출'!C53)*(구분표!$G$2:$G$300='2추일출'!A53),0)))</f>
        <v>0311</v>
      </c>
      <c r="AL53" s="27"/>
    </row>
    <row r="54" spans="1:38" ht="50.1" customHeight="1" x14ac:dyDescent="0.3">
      <c r="A54" s="33" t="str">
        <f>IFERROR(VLOOKUP($C54,구분표!$A$2:$C$300,2,FALSE),"")</f>
        <v>경제과학기술위원회</v>
      </c>
      <c r="B54" s="24" t="str">
        <f>IFERROR(VLOOKUP($C54,구분표!$A$2:$C$300,3,FALSE),"")</f>
        <v>경제실</v>
      </c>
      <c r="C54" s="31" t="s">
        <v>138</v>
      </c>
      <c r="D54" s="137" t="s">
        <v>771</v>
      </c>
      <c r="E54" s="143" t="s">
        <v>832</v>
      </c>
      <c r="F54" s="138" t="s">
        <v>940</v>
      </c>
      <c r="G54" s="44"/>
      <c r="H54" s="42"/>
      <c r="I54" s="54">
        <f t="shared" si="50"/>
        <v>0</v>
      </c>
      <c r="J54" s="42"/>
      <c r="K54" s="45">
        <v>300000</v>
      </c>
      <c r="L54" s="50">
        <f t="shared" si="51"/>
        <v>300000</v>
      </c>
      <c r="M54" s="42"/>
      <c r="N54" s="159">
        <v>300000</v>
      </c>
      <c r="O54" s="160">
        <f t="shared" si="52"/>
        <v>300000</v>
      </c>
      <c r="P54" s="27" t="str">
        <f t="shared" si="16"/>
        <v>X</v>
      </c>
      <c r="Q54" s="170"/>
      <c r="S54" s="27" t="s">
        <v>1084</v>
      </c>
      <c r="U54" s="27" t="s">
        <v>1084</v>
      </c>
      <c r="V54" s="42">
        <f t="shared" si="8"/>
        <v>0</v>
      </c>
      <c r="W54" s="42">
        <f t="shared" si="9"/>
        <v>300000</v>
      </c>
      <c r="X54" s="27" t="str">
        <f t="shared" si="10"/>
        <v>OK</v>
      </c>
      <c r="Z54" s="27"/>
      <c r="AA54" s="42">
        <f t="shared" si="11"/>
        <v>0</v>
      </c>
      <c r="AB54" s="42">
        <f t="shared" si="53"/>
        <v>300000</v>
      </c>
      <c r="AC54" s="27" t="str">
        <f t="shared" si="54"/>
        <v>OK</v>
      </c>
      <c r="AE54" s="27" t="str">
        <f t="shared" si="55"/>
        <v>세입없음</v>
      </c>
      <c r="AG54" s="24">
        <f t="shared" si="4"/>
        <v>217</v>
      </c>
      <c r="AH54" s="65" t="str">
        <f t="shared" si="56"/>
        <v>OK</v>
      </c>
      <c r="AJ54" s="27" t="str">
        <f t="array" ref="AJ54">IF(C54="","",INDEX(구분표!$I$2:$I$300, MATCH(1,(구분표!$E$2:$E$300='2추일출'!B54)*(구분표!$F$2:$F$300='2추일출'!C54)*(구분표!$G$2:$G$300='2추일출'!A54),0)))</f>
        <v>0309</v>
      </c>
      <c r="AL54" s="27"/>
    </row>
    <row r="55" spans="1:38" ht="50.1" customHeight="1" x14ac:dyDescent="0.3">
      <c r="A55" s="33" t="str">
        <f>IFERROR(VLOOKUP($C55,구분표!$A$2:$C$300,2,FALSE),"")</f>
        <v>경제과학기술위원회</v>
      </c>
      <c r="B55" s="24" t="str">
        <f>IFERROR(VLOOKUP($C55,구분표!$A$2:$C$300,3,FALSE),"")</f>
        <v>경제실</v>
      </c>
      <c r="C55" s="31" t="s">
        <v>135</v>
      </c>
      <c r="D55" s="137" t="s">
        <v>771</v>
      </c>
      <c r="E55" s="143" t="s">
        <v>832</v>
      </c>
      <c r="F55" s="138" t="s">
        <v>941</v>
      </c>
      <c r="G55" s="44"/>
      <c r="H55" s="42"/>
      <c r="I55" s="54">
        <f t="shared" si="50"/>
        <v>0</v>
      </c>
      <c r="J55" s="42"/>
      <c r="K55" s="45">
        <v>80000</v>
      </c>
      <c r="L55" s="50">
        <f t="shared" si="51"/>
        <v>80000</v>
      </c>
      <c r="M55" s="42"/>
      <c r="N55" s="159">
        <v>80000</v>
      </c>
      <c r="O55" s="160">
        <f t="shared" si="52"/>
        <v>80000</v>
      </c>
      <c r="P55" s="27" t="str">
        <f t="shared" si="16"/>
        <v>X</v>
      </c>
      <c r="Q55" s="170"/>
      <c r="S55" s="27" t="s">
        <v>1084</v>
      </c>
      <c r="U55" s="27" t="s">
        <v>1084</v>
      </c>
      <c r="V55" s="42">
        <f t="shared" si="8"/>
        <v>0</v>
      </c>
      <c r="W55" s="42">
        <f t="shared" si="9"/>
        <v>80000</v>
      </c>
      <c r="X55" s="27" t="str">
        <f t="shared" si="10"/>
        <v>OK</v>
      </c>
      <c r="Z55" s="27"/>
      <c r="AA55" s="42">
        <f t="shared" si="11"/>
        <v>0</v>
      </c>
      <c r="AB55" s="42">
        <f t="shared" si="53"/>
        <v>80000</v>
      </c>
      <c r="AC55" s="27" t="str">
        <f t="shared" si="54"/>
        <v>OK</v>
      </c>
      <c r="AE55" s="27" t="str">
        <f t="shared" si="55"/>
        <v>세입없음</v>
      </c>
      <c r="AG55" s="24">
        <f t="shared" si="4"/>
        <v>217</v>
      </c>
      <c r="AH55" s="65" t="str">
        <f t="shared" si="56"/>
        <v>OK</v>
      </c>
      <c r="AJ55" s="27" t="str">
        <f t="array" ref="AJ55">IF(C55="","",INDEX(구분표!$I$2:$I$300, MATCH(1,(구분표!$E$2:$E$300='2추일출'!B55)*(구분표!$F$2:$F$300='2추일출'!C55)*(구분표!$G$2:$G$300='2추일출'!A55),0)))</f>
        <v>0308</v>
      </c>
      <c r="AL55" s="27"/>
    </row>
    <row r="56" spans="1:38" ht="50.1" customHeight="1" x14ac:dyDescent="0.3">
      <c r="A56" s="33" t="str">
        <f>IFERROR(VLOOKUP($C56,구분표!$A$2:$C$300,2,FALSE),"")</f>
        <v>경제과학기술위원회</v>
      </c>
      <c r="B56" s="24" t="str">
        <f>IFERROR(VLOOKUP($C56,구분표!$A$2:$C$300,3,FALSE),"")</f>
        <v>경제실</v>
      </c>
      <c r="C56" s="208" t="s">
        <v>1195</v>
      </c>
      <c r="D56" s="137" t="s">
        <v>771</v>
      </c>
      <c r="E56" s="143" t="s">
        <v>832</v>
      </c>
      <c r="F56" s="138" t="s">
        <v>1190</v>
      </c>
      <c r="G56" s="44"/>
      <c r="H56" s="42"/>
      <c r="I56" s="54">
        <f t="shared" ref="I56" si="57">IF(D56="","",G56-H56)</f>
        <v>0</v>
      </c>
      <c r="J56" s="42"/>
      <c r="K56" s="45">
        <v>180000</v>
      </c>
      <c r="L56" s="50">
        <f t="shared" ref="L56" si="58">IF(G56=0,H56+J56+K56,G56+J56+K56)</f>
        <v>180000</v>
      </c>
      <c r="M56" s="42"/>
      <c r="N56" s="45">
        <v>180000</v>
      </c>
      <c r="O56" s="52">
        <f t="shared" ref="O56" si="59">IF(G56=0,H56+M56+N56,G56+M56+N56)</f>
        <v>180000</v>
      </c>
      <c r="P56" s="27" t="str">
        <f t="shared" si="16"/>
        <v>X</v>
      </c>
      <c r="Q56" s="170"/>
      <c r="S56" s="27" t="s">
        <v>1215</v>
      </c>
      <c r="U56" s="27" t="s">
        <v>1215</v>
      </c>
      <c r="V56" s="42">
        <f t="shared" si="8"/>
        <v>0</v>
      </c>
      <c r="W56" s="42">
        <f t="shared" si="9"/>
        <v>180000</v>
      </c>
      <c r="X56" s="27" t="str">
        <f t="shared" si="10"/>
        <v>OK</v>
      </c>
      <c r="Z56" s="27"/>
      <c r="AA56" s="42">
        <f t="shared" si="11"/>
        <v>0</v>
      </c>
      <c r="AB56" s="42">
        <f t="shared" ref="AB56" si="60">IF($U56="도비",SUM(M56:N56),IF($S56="국도비","직접입력",SUM(M56:N56)-AA56))</f>
        <v>180000</v>
      </c>
      <c r="AC56" s="27" t="str">
        <f t="shared" ref="AC56" si="61">IF(SUM(M56:N56)=SUM(AA56:AB56),"OK","검토")</f>
        <v>OK</v>
      </c>
      <c r="AE56" s="27" t="str">
        <f t="shared" ref="AE56" si="62">IF(U56="","",IF(U56="도비","세입없음","직접입력"))</f>
        <v>세입없음</v>
      </c>
      <c r="AG56" s="24">
        <f t="shared" si="4"/>
        <v>217</v>
      </c>
      <c r="AH56" s="65" t="str">
        <f t="shared" ref="AH56" si="63">IF(U56="","",IF(AND(U56="도비",AE56="세입없음"),"OK",IF(AND(U56&lt;&gt;"도비",AE56&lt;&gt;""),"OK","@@")))</f>
        <v>OK</v>
      </c>
      <c r="AJ56" s="27" t="str">
        <f t="array" ref="AJ56">IF(C56="","",INDEX(구분표!$I$2:$I$300, MATCH(1,(구분표!$E$2:$E$300='2추일출'!B56)*(구분표!$F$2:$F$300='2추일출'!C56)*(구분표!$G$2:$G$300='2추일출'!A56),0)))</f>
        <v>0305</v>
      </c>
      <c r="AL56" s="27"/>
    </row>
    <row r="57" spans="1:38" ht="50.1" customHeight="1" x14ac:dyDescent="0.3">
      <c r="A57" s="57" t="s">
        <v>678</v>
      </c>
      <c r="B57" s="58"/>
      <c r="C57" s="59"/>
      <c r="D57" s="58"/>
      <c r="E57" s="59"/>
      <c r="F57" s="136"/>
      <c r="G57" s="60">
        <f t="shared" ref="G57:O57" si="64">SUM(G58:G89)</f>
        <v>4670096</v>
      </c>
      <c r="H57" s="60">
        <f t="shared" si="64"/>
        <v>2512096</v>
      </c>
      <c r="I57" s="60">
        <f t="shared" si="64"/>
        <v>2158000</v>
      </c>
      <c r="J57" s="60">
        <f t="shared" si="64"/>
        <v>-300000</v>
      </c>
      <c r="K57" s="60">
        <f t="shared" si="64"/>
        <v>4379000</v>
      </c>
      <c r="L57" s="60">
        <f t="shared" si="64"/>
        <v>8749096</v>
      </c>
      <c r="M57" s="60">
        <f t="shared" si="64"/>
        <v>-340000</v>
      </c>
      <c r="N57" s="60">
        <f t="shared" si="64"/>
        <v>4419000</v>
      </c>
      <c r="O57" s="60">
        <f t="shared" si="64"/>
        <v>8749096</v>
      </c>
      <c r="P57" s="61"/>
      <c r="Q57" s="224"/>
      <c r="S57" s="27"/>
      <c r="U57" s="27"/>
      <c r="V57" s="42"/>
      <c r="W57" s="42"/>
      <c r="X57" s="27"/>
      <c r="Z57" s="27"/>
      <c r="AA57" s="42"/>
      <c r="AB57" s="42"/>
      <c r="AC57" s="27"/>
      <c r="AE57" s="27" t="str">
        <f t="shared" si="14"/>
        <v/>
      </c>
      <c r="AG57" s="24" t="str">
        <f t="shared" si="4"/>
        <v/>
      </c>
      <c r="AH57" s="65" t="str">
        <f t="shared" si="15"/>
        <v/>
      </c>
      <c r="AJ57" s="27" t="str">
        <f t="array" ref="AJ57">IF(C57="","",INDEX(구분표!$I$2:$I$300, MATCH(1,(구분표!$E$2:$E$300='2추일출'!B57)*(구분표!$F$2:$F$300='2추일출'!C57)*(구분표!$G$2:$G$300='2추일출'!A57),0)))</f>
        <v/>
      </c>
      <c r="AL57" s="27"/>
    </row>
    <row r="58" spans="1:38" ht="50.1" customHeight="1" x14ac:dyDescent="0.3">
      <c r="A58" s="33" t="str">
        <f>IFERROR(VLOOKUP($C58,구분표!$A$2:$C$300,2,FALSE),"")</f>
        <v>안전행정위원회</v>
      </c>
      <c r="B58" s="24" t="str">
        <f>IFERROR(VLOOKUP($C58,구분표!$A$2:$C$300,3,FALSE),"")</f>
        <v>자치행정국</v>
      </c>
      <c r="C58" s="31" t="s">
        <v>170</v>
      </c>
      <c r="D58" s="139" t="s">
        <v>776</v>
      </c>
      <c r="E58" s="144">
        <v>376</v>
      </c>
      <c r="F58" s="140" t="s">
        <v>986</v>
      </c>
      <c r="G58" s="44">
        <v>300000</v>
      </c>
      <c r="H58" s="42"/>
      <c r="I58" s="54">
        <f t="shared" si="5"/>
        <v>300000</v>
      </c>
      <c r="J58" s="42">
        <v>-300000</v>
      </c>
      <c r="K58" s="45"/>
      <c r="L58" s="50">
        <f t="shared" si="6"/>
        <v>0</v>
      </c>
      <c r="M58" s="158">
        <v>-300000</v>
      </c>
      <c r="N58" s="159"/>
      <c r="O58" s="160">
        <f t="shared" si="7"/>
        <v>0</v>
      </c>
      <c r="P58" s="27" t="str">
        <f t="shared" ref="P58:P87" si="65">IF(AND((L58=0),(O58&gt;0)),"O",IF(AND((J58&lt;0),(L58-O58&lt;0)),"O","X"))</f>
        <v>X</v>
      </c>
      <c r="Q58" s="170"/>
      <c r="S58" s="27" t="s">
        <v>975</v>
      </c>
      <c r="U58" s="27" t="s">
        <v>975</v>
      </c>
      <c r="V58" s="42">
        <f t="shared" si="8"/>
        <v>0</v>
      </c>
      <c r="W58" s="42">
        <f t="shared" si="9"/>
        <v>-300000</v>
      </c>
      <c r="X58" s="27" t="str">
        <f t="shared" si="10"/>
        <v>OK</v>
      </c>
      <c r="Z58" s="27"/>
      <c r="AA58" s="42">
        <f t="shared" si="11"/>
        <v>0</v>
      </c>
      <c r="AB58" s="42">
        <f t="shared" si="12"/>
        <v>-300000</v>
      </c>
      <c r="AC58" s="27" t="str">
        <f t="shared" si="13"/>
        <v>OK</v>
      </c>
      <c r="AE58" s="27" t="str">
        <f t="shared" si="14"/>
        <v>세입없음</v>
      </c>
      <c r="AG58" s="24">
        <f t="shared" si="4"/>
        <v>217</v>
      </c>
      <c r="AH58" s="65" t="str">
        <f t="shared" si="15"/>
        <v>OK</v>
      </c>
      <c r="AJ58" s="27" t="str">
        <f t="array" ref="AJ58">IF(C58="","",INDEX(구분표!$I$2:$I$300, MATCH(1,(구분표!$E$2:$E$300='2추일출'!B58)*(구분표!$F$2:$F$300='2추일출'!C58)*(구분표!$G$2:$G$300='2추일출'!A58),0)))</f>
        <v>0402</v>
      </c>
      <c r="AL58" s="27"/>
    </row>
    <row r="59" spans="1:38" ht="50.1" customHeight="1" x14ac:dyDescent="0.3">
      <c r="A59" s="33" t="str">
        <f>IFERROR(VLOOKUP($C59,구분표!$A$2:$C$300,2,FALSE),"")</f>
        <v>안전행정위원회</v>
      </c>
      <c r="B59" s="24" t="str">
        <f>IFERROR(VLOOKUP($C59,구분표!$A$2:$C$300,3,FALSE),"")</f>
        <v>인재개발원</v>
      </c>
      <c r="C59" s="31" t="s">
        <v>942</v>
      </c>
      <c r="D59" s="137" t="s">
        <v>771</v>
      </c>
      <c r="E59" s="143" t="s">
        <v>832</v>
      </c>
      <c r="F59" s="138" t="s">
        <v>851</v>
      </c>
      <c r="G59" s="44"/>
      <c r="H59" s="42"/>
      <c r="I59" s="54">
        <f t="shared" si="5"/>
        <v>0</v>
      </c>
      <c r="J59" s="42"/>
      <c r="K59" s="45">
        <v>27500</v>
      </c>
      <c r="L59" s="50">
        <f t="shared" si="6"/>
        <v>27500</v>
      </c>
      <c r="M59" s="42"/>
      <c r="N59" s="159">
        <v>27500</v>
      </c>
      <c r="O59" s="160">
        <f t="shared" si="7"/>
        <v>27500</v>
      </c>
      <c r="P59" s="27" t="str">
        <f t="shared" si="65"/>
        <v>X</v>
      </c>
      <c r="Q59" s="170" t="s">
        <v>1252</v>
      </c>
      <c r="S59" s="27" t="s">
        <v>975</v>
      </c>
      <c r="U59" s="27" t="s">
        <v>975</v>
      </c>
      <c r="V59" s="42">
        <f t="shared" si="8"/>
        <v>0</v>
      </c>
      <c r="W59" s="42">
        <f t="shared" si="9"/>
        <v>27500</v>
      </c>
      <c r="X59" s="27" t="str">
        <f t="shared" si="10"/>
        <v>OK</v>
      </c>
      <c r="Z59" s="27"/>
      <c r="AA59" s="42">
        <f t="shared" si="11"/>
        <v>0</v>
      </c>
      <c r="AB59" s="42">
        <f t="shared" si="12"/>
        <v>27500</v>
      </c>
      <c r="AC59" s="27" t="str">
        <f t="shared" si="13"/>
        <v>OK</v>
      </c>
      <c r="AE59" s="27" t="str">
        <f t="shared" si="14"/>
        <v>세입없음</v>
      </c>
      <c r="AG59" s="24">
        <f t="shared" si="4"/>
        <v>217</v>
      </c>
      <c r="AH59" s="65" t="str">
        <f t="shared" si="15"/>
        <v>OK</v>
      </c>
      <c r="AJ59" s="27" t="str">
        <f t="array" ref="AJ59">IF(C59="","",INDEX(구분표!$I$2:$I$300, MATCH(1,(구분표!$E$2:$E$300='2추일출'!B59)*(구분표!$F$2:$F$300='2추일출'!C59)*(구분표!$G$2:$G$300='2추일출'!A59),0)))</f>
        <v>0458</v>
      </c>
      <c r="AL59" s="27"/>
    </row>
    <row r="60" spans="1:38" ht="60" customHeight="1" x14ac:dyDescent="0.3">
      <c r="A60" s="33" t="str">
        <f>IFERROR(VLOOKUP($C60,구분표!$A$2:$C$300,2,FALSE),"")</f>
        <v>안전행정위원회</v>
      </c>
      <c r="B60" s="24" t="str">
        <f>IFERROR(VLOOKUP($C60,구분표!$A$2:$C$300,3,FALSE),"")</f>
        <v>재난안전본부</v>
      </c>
      <c r="C60" s="31" t="s">
        <v>315</v>
      </c>
      <c r="D60" s="137" t="s">
        <v>771</v>
      </c>
      <c r="E60" s="143" t="s">
        <v>832</v>
      </c>
      <c r="F60" s="138" t="s">
        <v>987</v>
      </c>
      <c r="G60" s="44"/>
      <c r="H60" s="42"/>
      <c r="I60" s="54">
        <f t="shared" si="5"/>
        <v>0</v>
      </c>
      <c r="J60" s="42"/>
      <c r="K60" s="45">
        <v>60000</v>
      </c>
      <c r="L60" s="50">
        <f t="shared" si="6"/>
        <v>60000</v>
      </c>
      <c r="M60" s="42"/>
      <c r="N60" s="159">
        <v>60000</v>
      </c>
      <c r="O60" s="160">
        <f t="shared" si="7"/>
        <v>60000</v>
      </c>
      <c r="P60" s="27" t="str">
        <f t="shared" si="65"/>
        <v>X</v>
      </c>
      <c r="Q60" s="170" t="s">
        <v>1264</v>
      </c>
      <c r="S60" s="27" t="s">
        <v>975</v>
      </c>
      <c r="U60" s="27" t="s">
        <v>975</v>
      </c>
      <c r="V60" s="42">
        <f t="shared" si="8"/>
        <v>0</v>
      </c>
      <c r="W60" s="42">
        <f t="shared" si="9"/>
        <v>60000</v>
      </c>
      <c r="X60" s="27" t="str">
        <f t="shared" si="10"/>
        <v>OK</v>
      </c>
      <c r="Z60" s="27"/>
      <c r="AA60" s="42">
        <f t="shared" si="11"/>
        <v>0</v>
      </c>
      <c r="AB60" s="42">
        <f t="shared" si="12"/>
        <v>60000</v>
      </c>
      <c r="AC60" s="27" t="str">
        <f t="shared" si="13"/>
        <v>OK</v>
      </c>
      <c r="AE60" s="27" t="str">
        <f t="shared" si="14"/>
        <v>세입없음</v>
      </c>
      <c r="AG60" s="24">
        <f t="shared" si="4"/>
        <v>217</v>
      </c>
      <c r="AH60" s="65" t="str">
        <f t="shared" si="15"/>
        <v>OK</v>
      </c>
      <c r="AJ60" s="27" t="str">
        <f t="array" ref="AJ60">IF(C60="","",INDEX(구분표!$I$2:$I$300, MATCH(1,(구분표!$E$2:$E$300='2추일출'!B60)*(구분표!$F$2:$F$300='2추일출'!C60)*(구분표!$G$2:$G$300='2추일출'!A60),0)))</f>
        <v>0450</v>
      </c>
      <c r="AL60" s="27"/>
    </row>
    <row r="61" spans="1:38" ht="50.1" customHeight="1" x14ac:dyDescent="0.3">
      <c r="A61" s="33" t="str">
        <f>IFERROR(VLOOKUP($C61,구분표!$A$2:$C$300,2,FALSE),"")</f>
        <v>안전행정위원회</v>
      </c>
      <c r="B61" s="24" t="str">
        <f>IFERROR(VLOOKUP($C61,구분표!$A$2:$C$300,3,FALSE),"")</f>
        <v>재난안전본부</v>
      </c>
      <c r="C61" s="31" t="s">
        <v>315</v>
      </c>
      <c r="D61" s="137" t="s">
        <v>771</v>
      </c>
      <c r="E61" s="143" t="s">
        <v>832</v>
      </c>
      <c r="F61" s="138" t="s">
        <v>988</v>
      </c>
      <c r="G61" s="44"/>
      <c r="H61" s="42"/>
      <c r="I61" s="54">
        <f t="shared" si="5"/>
        <v>0</v>
      </c>
      <c r="J61" s="42"/>
      <c r="K61" s="45">
        <v>22000</v>
      </c>
      <c r="L61" s="50">
        <f t="shared" si="6"/>
        <v>22000</v>
      </c>
      <c r="M61" s="42"/>
      <c r="N61" s="159">
        <v>22000</v>
      </c>
      <c r="O61" s="160">
        <f t="shared" si="7"/>
        <v>22000</v>
      </c>
      <c r="P61" s="27" t="str">
        <f t="shared" si="65"/>
        <v>X</v>
      </c>
      <c r="Q61" s="170" t="s">
        <v>853</v>
      </c>
      <c r="S61" s="27" t="s">
        <v>975</v>
      </c>
      <c r="U61" s="27" t="s">
        <v>975</v>
      </c>
      <c r="V61" s="42">
        <f t="shared" si="8"/>
        <v>0</v>
      </c>
      <c r="W61" s="42">
        <f t="shared" si="9"/>
        <v>22000</v>
      </c>
      <c r="X61" s="27" t="str">
        <f t="shared" si="10"/>
        <v>OK</v>
      </c>
      <c r="Z61" s="27"/>
      <c r="AA61" s="42">
        <f t="shared" si="11"/>
        <v>0</v>
      </c>
      <c r="AB61" s="42">
        <f t="shared" si="12"/>
        <v>22000</v>
      </c>
      <c r="AC61" s="27" t="str">
        <f t="shared" si="13"/>
        <v>OK</v>
      </c>
      <c r="AE61" s="27" t="str">
        <f t="shared" si="14"/>
        <v>세입없음</v>
      </c>
      <c r="AG61" s="24">
        <f t="shared" si="4"/>
        <v>217</v>
      </c>
      <c r="AH61" s="65" t="str">
        <f t="shared" si="15"/>
        <v>OK</v>
      </c>
      <c r="AJ61" s="27" t="str">
        <f t="array" ref="AJ61">IF(C61="","",INDEX(구분표!$I$2:$I$300, MATCH(1,(구분표!$E$2:$E$300='2추일출'!B61)*(구분표!$F$2:$F$300='2추일출'!C61)*(구분표!$G$2:$G$300='2추일출'!A61),0)))</f>
        <v>0450</v>
      </c>
      <c r="AL61" s="27"/>
    </row>
    <row r="62" spans="1:38" ht="50.1" customHeight="1" x14ac:dyDescent="0.3">
      <c r="A62" s="33" t="str">
        <f>IFERROR(VLOOKUP($C62,구분표!$A$2:$C$300,2,FALSE),"")</f>
        <v>안전행정위원회</v>
      </c>
      <c r="B62" s="24" t="str">
        <f>IFERROR(VLOOKUP($C62,구분표!$A$2:$C$300,3,FALSE),"")</f>
        <v>재난안전본부</v>
      </c>
      <c r="C62" s="31" t="s">
        <v>246</v>
      </c>
      <c r="D62" s="137" t="s">
        <v>771</v>
      </c>
      <c r="E62" s="143" t="s">
        <v>832</v>
      </c>
      <c r="F62" s="138" t="s">
        <v>989</v>
      </c>
      <c r="G62" s="44"/>
      <c r="H62" s="42"/>
      <c r="I62" s="54">
        <f t="shared" ref="I62:I72" si="66">IF(D62="","",G62-H62)</f>
        <v>0</v>
      </c>
      <c r="J62" s="42"/>
      <c r="K62" s="45">
        <v>98352</v>
      </c>
      <c r="L62" s="50">
        <f t="shared" ref="L62:L72" si="67">IF(G62=0,H62+J62+K62,G62+J62+K62)</f>
        <v>98352</v>
      </c>
      <c r="M62" s="42"/>
      <c r="N62" s="159">
        <v>98352</v>
      </c>
      <c r="O62" s="160">
        <f t="shared" ref="O62:O72" si="68">IF(G62=0,H62+M62+N62,G62+M62+N62)</f>
        <v>98352</v>
      </c>
      <c r="P62" s="27" t="str">
        <f t="shared" si="65"/>
        <v>X</v>
      </c>
      <c r="Q62" s="170" t="s">
        <v>853</v>
      </c>
      <c r="S62" s="27" t="s">
        <v>975</v>
      </c>
      <c r="U62" s="27" t="s">
        <v>975</v>
      </c>
      <c r="V62" s="42">
        <f t="shared" si="8"/>
        <v>0</v>
      </c>
      <c r="W62" s="42">
        <f t="shared" si="9"/>
        <v>98352</v>
      </c>
      <c r="X62" s="27" t="str">
        <f t="shared" si="10"/>
        <v>OK</v>
      </c>
      <c r="Z62" s="27"/>
      <c r="AA62" s="42">
        <f t="shared" si="11"/>
        <v>0</v>
      </c>
      <c r="AB62" s="42">
        <f t="shared" ref="AB62:AB72" si="69">IF($U62="도비",SUM(M62:N62),IF($S62="국도비","직접입력",SUM(M62:N62)-AA62))</f>
        <v>98352</v>
      </c>
      <c r="AC62" s="27" t="str">
        <f t="shared" ref="AC62:AC72" si="70">IF(SUM(M62:N62)=SUM(AA62:AB62),"OK","검토")</f>
        <v>OK</v>
      </c>
      <c r="AE62" s="27" t="str">
        <f t="shared" ref="AE62:AE72" si="71">IF(U62="","",IF(U62="도비","세입없음","직접입력"))</f>
        <v>세입없음</v>
      </c>
      <c r="AG62" s="24">
        <f t="shared" si="4"/>
        <v>217</v>
      </c>
      <c r="AH62" s="65" t="str">
        <f t="shared" ref="AH62:AH72" si="72">IF(U62="","",IF(AND(U62="도비",AE62="세입없음"),"OK",IF(AND(U62&lt;&gt;"도비",AE62&lt;&gt;""),"OK","@@")))</f>
        <v>OK</v>
      </c>
      <c r="AJ62" s="27" t="str">
        <f t="array" ref="AJ62">IF(C62="","",INDEX(구분표!$I$2:$I$300, MATCH(1,(구분표!$E$2:$E$300='2추일출'!B62)*(구분표!$F$2:$F$300='2추일출'!C62)*(구분표!$G$2:$G$300='2추일출'!A62),0)))</f>
        <v>0427</v>
      </c>
      <c r="AL62" s="27"/>
    </row>
    <row r="63" spans="1:38" ht="50.1" customHeight="1" x14ac:dyDescent="0.3">
      <c r="A63" s="33" t="str">
        <f>IFERROR(VLOOKUP($C63,구분표!$A$2:$C$300,2,FALSE),"")</f>
        <v>안전행정위원회</v>
      </c>
      <c r="B63" s="24" t="str">
        <f>IFERROR(VLOOKUP($C63,구분표!$A$2:$C$300,3,FALSE),"")</f>
        <v>재난안전본부</v>
      </c>
      <c r="C63" s="31" t="s">
        <v>303</v>
      </c>
      <c r="D63" s="137" t="s">
        <v>771</v>
      </c>
      <c r="E63" s="143" t="s">
        <v>832</v>
      </c>
      <c r="F63" s="138" t="s">
        <v>990</v>
      </c>
      <c r="G63" s="44"/>
      <c r="H63" s="42"/>
      <c r="I63" s="54">
        <f t="shared" si="66"/>
        <v>0</v>
      </c>
      <c r="J63" s="42"/>
      <c r="K63" s="45">
        <v>20000</v>
      </c>
      <c r="L63" s="50">
        <f t="shared" si="67"/>
        <v>20000</v>
      </c>
      <c r="M63" s="42"/>
      <c r="N63" s="159">
        <v>20000</v>
      </c>
      <c r="O63" s="160">
        <f t="shared" si="68"/>
        <v>20000</v>
      </c>
      <c r="P63" s="27" t="str">
        <f t="shared" si="65"/>
        <v>X</v>
      </c>
      <c r="Q63" s="170" t="s">
        <v>853</v>
      </c>
      <c r="S63" s="27" t="s">
        <v>975</v>
      </c>
      <c r="U63" s="27" t="s">
        <v>975</v>
      </c>
      <c r="V63" s="42">
        <f t="shared" si="8"/>
        <v>0</v>
      </c>
      <c r="W63" s="42">
        <f t="shared" si="9"/>
        <v>20000</v>
      </c>
      <c r="X63" s="27" t="str">
        <f t="shared" si="10"/>
        <v>OK</v>
      </c>
      <c r="Z63" s="27"/>
      <c r="AA63" s="42">
        <f t="shared" si="11"/>
        <v>0</v>
      </c>
      <c r="AB63" s="42">
        <f t="shared" si="69"/>
        <v>20000</v>
      </c>
      <c r="AC63" s="27" t="str">
        <f t="shared" si="70"/>
        <v>OK</v>
      </c>
      <c r="AE63" s="27" t="str">
        <f t="shared" si="71"/>
        <v>세입없음</v>
      </c>
      <c r="AG63" s="24">
        <f t="shared" si="4"/>
        <v>217</v>
      </c>
      <c r="AH63" s="65" t="str">
        <f t="shared" si="72"/>
        <v>OK</v>
      </c>
      <c r="AJ63" s="27" t="str">
        <f t="array" ref="AJ63">IF(C63="","",INDEX(구분표!$I$2:$I$300, MATCH(1,(구분표!$E$2:$E$300='2추일출'!B63)*(구분표!$F$2:$F$300='2추일출'!C63)*(구분표!$G$2:$G$300='2추일출'!A63),0)))</f>
        <v>0446</v>
      </c>
      <c r="AL63" s="27"/>
    </row>
    <row r="64" spans="1:38" ht="50.1" customHeight="1" x14ac:dyDescent="0.3">
      <c r="A64" s="33" t="str">
        <f>IFERROR(VLOOKUP($C64,구분표!$A$2:$C$300,2,FALSE),"")</f>
        <v>안전행정위원회</v>
      </c>
      <c r="B64" s="24" t="str">
        <f>IFERROR(VLOOKUP($C64,구분표!$A$2:$C$300,3,FALSE),"")</f>
        <v>재난안전본부</v>
      </c>
      <c r="C64" s="31" t="s">
        <v>303</v>
      </c>
      <c r="D64" s="137" t="s">
        <v>771</v>
      </c>
      <c r="E64" s="143" t="s">
        <v>832</v>
      </c>
      <c r="F64" s="138" t="s">
        <v>991</v>
      </c>
      <c r="G64" s="44"/>
      <c r="H64" s="42"/>
      <c r="I64" s="54">
        <f t="shared" si="66"/>
        <v>0</v>
      </c>
      <c r="J64" s="42"/>
      <c r="K64" s="45">
        <v>25000</v>
      </c>
      <c r="L64" s="50">
        <f t="shared" si="67"/>
        <v>25000</v>
      </c>
      <c r="M64" s="42"/>
      <c r="N64" s="159">
        <v>25000</v>
      </c>
      <c r="O64" s="160">
        <f t="shared" si="68"/>
        <v>25000</v>
      </c>
      <c r="P64" s="27" t="str">
        <f t="shared" si="65"/>
        <v>X</v>
      </c>
      <c r="Q64" s="170" t="s">
        <v>853</v>
      </c>
      <c r="S64" s="27" t="s">
        <v>975</v>
      </c>
      <c r="U64" s="27" t="s">
        <v>975</v>
      </c>
      <c r="V64" s="42">
        <f t="shared" si="8"/>
        <v>0</v>
      </c>
      <c r="W64" s="42">
        <f t="shared" si="9"/>
        <v>25000</v>
      </c>
      <c r="X64" s="27" t="str">
        <f t="shared" si="10"/>
        <v>OK</v>
      </c>
      <c r="Z64" s="27"/>
      <c r="AA64" s="42">
        <f t="shared" si="11"/>
        <v>0</v>
      </c>
      <c r="AB64" s="42">
        <f t="shared" si="69"/>
        <v>25000</v>
      </c>
      <c r="AC64" s="27" t="str">
        <f t="shared" si="70"/>
        <v>OK</v>
      </c>
      <c r="AE64" s="27" t="str">
        <f t="shared" si="71"/>
        <v>세입없음</v>
      </c>
      <c r="AG64" s="24">
        <f t="shared" si="4"/>
        <v>217</v>
      </c>
      <c r="AH64" s="65" t="str">
        <f t="shared" si="72"/>
        <v>OK</v>
      </c>
      <c r="AJ64" s="27" t="str">
        <f t="array" ref="AJ64">IF(C64="","",INDEX(구분표!$I$2:$I$300, MATCH(1,(구분표!$E$2:$E$300='2추일출'!B64)*(구분표!$F$2:$F$300='2추일출'!C64)*(구분표!$G$2:$G$300='2추일출'!A64),0)))</f>
        <v>0446</v>
      </c>
      <c r="AL64" s="27"/>
    </row>
    <row r="65" spans="1:38" ht="50.1" customHeight="1" x14ac:dyDescent="0.3">
      <c r="A65" s="33" t="str">
        <f>IFERROR(VLOOKUP($C65,구분표!$A$2:$C$300,2,FALSE),"")</f>
        <v>안전행정위원회</v>
      </c>
      <c r="B65" s="24" t="str">
        <f>IFERROR(VLOOKUP($C65,구분표!$A$2:$C$300,3,FALSE),"")</f>
        <v>재난안전본부</v>
      </c>
      <c r="C65" s="31" t="s">
        <v>303</v>
      </c>
      <c r="D65" s="137" t="s">
        <v>771</v>
      </c>
      <c r="E65" s="143" t="s">
        <v>832</v>
      </c>
      <c r="F65" s="138" t="s">
        <v>992</v>
      </c>
      <c r="G65" s="44"/>
      <c r="H65" s="42"/>
      <c r="I65" s="54">
        <f t="shared" si="66"/>
        <v>0</v>
      </c>
      <c r="J65" s="42"/>
      <c r="K65" s="45">
        <v>28640</v>
      </c>
      <c r="L65" s="50">
        <f t="shared" si="67"/>
        <v>28640</v>
      </c>
      <c r="M65" s="42"/>
      <c r="N65" s="159">
        <v>28640</v>
      </c>
      <c r="O65" s="160">
        <f t="shared" si="68"/>
        <v>28640</v>
      </c>
      <c r="P65" s="27" t="str">
        <f t="shared" si="65"/>
        <v>X</v>
      </c>
      <c r="Q65" s="170" t="s">
        <v>1252</v>
      </c>
      <c r="S65" s="27" t="s">
        <v>975</v>
      </c>
      <c r="U65" s="27" t="s">
        <v>975</v>
      </c>
      <c r="V65" s="42">
        <f t="shared" si="8"/>
        <v>0</v>
      </c>
      <c r="W65" s="42">
        <f t="shared" si="9"/>
        <v>28640</v>
      </c>
      <c r="X65" s="27" t="str">
        <f t="shared" si="10"/>
        <v>OK</v>
      </c>
      <c r="Z65" s="27"/>
      <c r="AA65" s="42">
        <f t="shared" si="11"/>
        <v>0</v>
      </c>
      <c r="AB65" s="42">
        <f t="shared" si="69"/>
        <v>28640</v>
      </c>
      <c r="AC65" s="27" t="str">
        <f t="shared" si="70"/>
        <v>OK</v>
      </c>
      <c r="AE65" s="27" t="str">
        <f t="shared" si="71"/>
        <v>세입없음</v>
      </c>
      <c r="AG65" s="24">
        <f t="shared" si="4"/>
        <v>217</v>
      </c>
      <c r="AH65" s="65" t="str">
        <f t="shared" si="72"/>
        <v>OK</v>
      </c>
      <c r="AJ65" s="27" t="str">
        <f t="array" ref="AJ65">IF(C65="","",INDEX(구분표!$I$2:$I$300, MATCH(1,(구분표!$E$2:$E$300='2추일출'!B65)*(구분표!$F$2:$F$300='2추일출'!C65)*(구분표!$G$2:$G$300='2추일출'!A65),0)))</f>
        <v>0446</v>
      </c>
      <c r="AL65" s="27"/>
    </row>
    <row r="66" spans="1:38" ht="50.1" customHeight="1" x14ac:dyDescent="0.3">
      <c r="A66" s="33" t="str">
        <f>IFERROR(VLOOKUP($C66,구분표!$A$2:$C$300,2,FALSE),"")</f>
        <v>안전행정위원회</v>
      </c>
      <c r="B66" s="24" t="str">
        <f>IFERROR(VLOOKUP($C66,구분표!$A$2:$C$300,3,FALSE),"")</f>
        <v>재난안전본부</v>
      </c>
      <c r="C66" s="31" t="s">
        <v>303</v>
      </c>
      <c r="D66" s="137" t="s">
        <v>771</v>
      </c>
      <c r="E66" s="143" t="s">
        <v>832</v>
      </c>
      <c r="F66" s="138" t="s">
        <v>993</v>
      </c>
      <c r="G66" s="44"/>
      <c r="H66" s="42"/>
      <c r="I66" s="54">
        <f t="shared" si="66"/>
        <v>0</v>
      </c>
      <c r="J66" s="42"/>
      <c r="K66" s="45">
        <v>28104</v>
      </c>
      <c r="L66" s="50">
        <f t="shared" si="67"/>
        <v>28104</v>
      </c>
      <c r="M66" s="42"/>
      <c r="N66" s="159">
        <v>28104</v>
      </c>
      <c r="O66" s="160">
        <f t="shared" si="68"/>
        <v>28104</v>
      </c>
      <c r="P66" s="27" t="str">
        <f t="shared" si="65"/>
        <v>X</v>
      </c>
      <c r="Q66" s="170" t="s">
        <v>1252</v>
      </c>
      <c r="S66" s="27" t="s">
        <v>975</v>
      </c>
      <c r="U66" s="27" t="s">
        <v>975</v>
      </c>
      <c r="V66" s="42">
        <f t="shared" si="8"/>
        <v>0</v>
      </c>
      <c r="W66" s="42">
        <f t="shared" si="9"/>
        <v>28104</v>
      </c>
      <c r="X66" s="27" t="str">
        <f t="shared" si="10"/>
        <v>OK</v>
      </c>
      <c r="Z66" s="27"/>
      <c r="AA66" s="42">
        <f t="shared" si="11"/>
        <v>0</v>
      </c>
      <c r="AB66" s="42">
        <f t="shared" si="69"/>
        <v>28104</v>
      </c>
      <c r="AC66" s="27" t="str">
        <f t="shared" si="70"/>
        <v>OK</v>
      </c>
      <c r="AE66" s="27" t="str">
        <f t="shared" si="71"/>
        <v>세입없음</v>
      </c>
      <c r="AG66" s="24">
        <f t="shared" si="4"/>
        <v>217</v>
      </c>
      <c r="AH66" s="65" t="str">
        <f t="shared" si="72"/>
        <v>OK</v>
      </c>
      <c r="AJ66" s="27" t="str">
        <f t="array" ref="AJ66">IF(C66="","",INDEX(구분표!$I$2:$I$300, MATCH(1,(구분표!$E$2:$E$300='2추일출'!B66)*(구분표!$F$2:$F$300='2추일출'!C66)*(구분표!$G$2:$G$300='2추일출'!A66),0)))</f>
        <v>0446</v>
      </c>
      <c r="AL66" s="27"/>
    </row>
    <row r="67" spans="1:38" ht="50.1" customHeight="1" x14ac:dyDescent="0.3">
      <c r="A67" s="33" t="str">
        <f>IFERROR(VLOOKUP($C67,구분표!$A$2:$C$300,2,FALSE),"")</f>
        <v>안전행정위원회</v>
      </c>
      <c r="B67" s="24" t="str">
        <f>IFERROR(VLOOKUP($C67,구분표!$A$2:$C$300,3,FALSE),"")</f>
        <v>재난안전본부</v>
      </c>
      <c r="C67" s="31" t="s">
        <v>240</v>
      </c>
      <c r="D67" s="137" t="s">
        <v>771</v>
      </c>
      <c r="E67" s="143" t="s">
        <v>832</v>
      </c>
      <c r="F67" s="138" t="s">
        <v>1301</v>
      </c>
      <c r="G67" s="44"/>
      <c r="H67" s="42"/>
      <c r="I67" s="54">
        <f t="shared" si="66"/>
        <v>0</v>
      </c>
      <c r="J67" s="42"/>
      <c r="K67" s="45">
        <v>50000</v>
      </c>
      <c r="L67" s="50">
        <f t="shared" si="67"/>
        <v>50000</v>
      </c>
      <c r="M67" s="42"/>
      <c r="N67" s="159">
        <v>50000</v>
      </c>
      <c r="O67" s="160">
        <f t="shared" si="68"/>
        <v>50000</v>
      </c>
      <c r="P67" s="27" t="str">
        <f t="shared" si="65"/>
        <v>X</v>
      </c>
      <c r="Q67" s="170" t="s">
        <v>853</v>
      </c>
      <c r="S67" s="27" t="s">
        <v>975</v>
      </c>
      <c r="U67" s="27" t="s">
        <v>975</v>
      </c>
      <c r="V67" s="42">
        <f t="shared" si="8"/>
        <v>0</v>
      </c>
      <c r="W67" s="42">
        <f t="shared" si="9"/>
        <v>50000</v>
      </c>
      <c r="X67" s="27" t="str">
        <f t="shared" si="10"/>
        <v>OK</v>
      </c>
      <c r="Z67" s="27"/>
      <c r="AA67" s="42">
        <f t="shared" si="11"/>
        <v>0</v>
      </c>
      <c r="AB67" s="42">
        <f t="shared" si="69"/>
        <v>50000</v>
      </c>
      <c r="AC67" s="27" t="str">
        <f t="shared" si="70"/>
        <v>OK</v>
      </c>
      <c r="AE67" s="27" t="str">
        <f t="shared" si="71"/>
        <v>세입없음</v>
      </c>
      <c r="AG67" s="24">
        <f t="shared" si="4"/>
        <v>217</v>
      </c>
      <c r="AH67" s="65" t="str">
        <f t="shared" si="72"/>
        <v>OK</v>
      </c>
      <c r="AJ67" s="27" t="str">
        <f t="array" ref="AJ67">IF(C67="","",INDEX(구분표!$I$2:$I$300, MATCH(1,(구분표!$E$2:$E$300='2추일출'!B67)*(구분표!$F$2:$F$300='2추일출'!C67)*(구분표!$G$2:$G$300='2추일출'!A67),0)))</f>
        <v>0425</v>
      </c>
      <c r="AL67" s="27"/>
    </row>
    <row r="68" spans="1:38" ht="50.1" customHeight="1" x14ac:dyDescent="0.3">
      <c r="A68" s="33" t="str">
        <f>IFERROR(VLOOKUP($C68,구분표!$A$2:$C$300,2,FALSE),"")</f>
        <v>안전행정위원회</v>
      </c>
      <c r="B68" s="24" t="str">
        <f>IFERROR(VLOOKUP($C68,구분표!$A$2:$C$300,3,FALSE),"")</f>
        <v>재난안전본부</v>
      </c>
      <c r="C68" s="31" t="s">
        <v>249</v>
      </c>
      <c r="D68" s="137" t="s">
        <v>771</v>
      </c>
      <c r="E68" s="143" t="s">
        <v>832</v>
      </c>
      <c r="F68" s="138" t="s">
        <v>994</v>
      </c>
      <c r="G68" s="44"/>
      <c r="H68" s="42"/>
      <c r="I68" s="54">
        <f t="shared" si="66"/>
        <v>0</v>
      </c>
      <c r="J68" s="42"/>
      <c r="K68" s="45">
        <v>80000</v>
      </c>
      <c r="L68" s="50">
        <f t="shared" si="67"/>
        <v>80000</v>
      </c>
      <c r="M68" s="42"/>
      <c r="N68" s="159">
        <v>80000</v>
      </c>
      <c r="O68" s="160">
        <f t="shared" si="68"/>
        <v>80000</v>
      </c>
      <c r="P68" s="27" t="str">
        <f t="shared" si="65"/>
        <v>X</v>
      </c>
      <c r="Q68" s="170" t="s">
        <v>853</v>
      </c>
      <c r="S68" s="27" t="s">
        <v>975</v>
      </c>
      <c r="U68" s="27" t="s">
        <v>975</v>
      </c>
      <c r="V68" s="42">
        <f t="shared" si="8"/>
        <v>0</v>
      </c>
      <c r="W68" s="42">
        <f t="shared" si="9"/>
        <v>80000</v>
      </c>
      <c r="X68" s="27" t="str">
        <f t="shared" si="10"/>
        <v>OK</v>
      </c>
      <c r="Z68" s="27"/>
      <c r="AA68" s="42">
        <f t="shared" si="11"/>
        <v>0</v>
      </c>
      <c r="AB68" s="42">
        <f t="shared" si="69"/>
        <v>80000</v>
      </c>
      <c r="AC68" s="27" t="str">
        <f t="shared" si="70"/>
        <v>OK</v>
      </c>
      <c r="AE68" s="27" t="str">
        <f t="shared" si="71"/>
        <v>세입없음</v>
      </c>
      <c r="AG68" s="24">
        <f t="shared" si="4"/>
        <v>217</v>
      </c>
      <c r="AH68" s="65" t="str">
        <f t="shared" si="72"/>
        <v>OK</v>
      </c>
      <c r="AJ68" s="27" t="str">
        <f t="array" ref="AJ68">IF(C68="","",INDEX(구분표!$I$2:$I$300, MATCH(1,(구분표!$E$2:$E$300='2추일출'!B68)*(구분표!$F$2:$F$300='2추일출'!C68)*(구분표!$G$2:$G$300='2추일출'!A68),0)))</f>
        <v>0428</v>
      </c>
      <c r="AL68" s="27"/>
    </row>
    <row r="69" spans="1:38" ht="50.1" customHeight="1" x14ac:dyDescent="0.3">
      <c r="A69" s="33" t="str">
        <f>IFERROR(VLOOKUP($C69,구분표!$A$2:$C$300,2,FALSE),"")</f>
        <v>안전행정위원회</v>
      </c>
      <c r="B69" s="24" t="str">
        <f>IFERROR(VLOOKUP($C69,구분표!$A$2:$C$300,3,FALSE),"")</f>
        <v>재난안전본부</v>
      </c>
      <c r="C69" s="31" t="s">
        <v>234</v>
      </c>
      <c r="D69" s="137" t="s">
        <v>771</v>
      </c>
      <c r="E69" s="143" t="s">
        <v>832</v>
      </c>
      <c r="F69" s="138" t="s">
        <v>852</v>
      </c>
      <c r="G69" s="44"/>
      <c r="H69" s="42"/>
      <c r="I69" s="54">
        <f t="shared" si="66"/>
        <v>0</v>
      </c>
      <c r="J69" s="42"/>
      <c r="K69" s="45">
        <v>100000</v>
      </c>
      <c r="L69" s="50">
        <f t="shared" si="67"/>
        <v>100000</v>
      </c>
      <c r="M69" s="42"/>
      <c r="N69" s="159">
        <v>100000</v>
      </c>
      <c r="O69" s="160">
        <f t="shared" si="68"/>
        <v>100000</v>
      </c>
      <c r="P69" s="27" t="str">
        <f t="shared" si="65"/>
        <v>X</v>
      </c>
      <c r="Q69" s="170" t="s">
        <v>854</v>
      </c>
      <c r="S69" s="27" t="s">
        <v>975</v>
      </c>
      <c r="U69" s="27" t="s">
        <v>975</v>
      </c>
      <c r="V69" s="42">
        <f t="shared" si="8"/>
        <v>0</v>
      </c>
      <c r="W69" s="42">
        <f t="shared" si="9"/>
        <v>100000</v>
      </c>
      <c r="X69" s="27" t="str">
        <f t="shared" si="10"/>
        <v>OK</v>
      </c>
      <c r="Z69" s="27"/>
      <c r="AA69" s="42">
        <f t="shared" si="11"/>
        <v>0</v>
      </c>
      <c r="AB69" s="42">
        <f t="shared" si="69"/>
        <v>100000</v>
      </c>
      <c r="AC69" s="27" t="str">
        <f t="shared" si="70"/>
        <v>OK</v>
      </c>
      <c r="AE69" s="27" t="str">
        <f t="shared" si="71"/>
        <v>세입없음</v>
      </c>
      <c r="AG69" s="24">
        <f t="shared" si="4"/>
        <v>217</v>
      </c>
      <c r="AH69" s="65" t="str">
        <f t="shared" si="72"/>
        <v>OK</v>
      </c>
      <c r="AJ69" s="27" t="str">
        <f t="array" ref="AJ69">IF(C69="","",INDEX(구분표!$I$2:$I$300, MATCH(1,(구분표!$E$2:$E$300='2추일출'!B69)*(구분표!$F$2:$F$300='2추일출'!C69)*(구분표!$G$2:$G$300='2추일출'!A69),0)))</f>
        <v>0423</v>
      </c>
      <c r="AL69" s="27"/>
    </row>
    <row r="70" spans="1:38" ht="60" customHeight="1" x14ac:dyDescent="0.3">
      <c r="A70" s="33" t="str">
        <f>IFERROR(VLOOKUP($C70,구분표!$A$2:$C$300,2,FALSE),"")</f>
        <v>안전행정위원회</v>
      </c>
      <c r="B70" s="24" t="str">
        <f>IFERROR(VLOOKUP($C70,구분표!$A$2:$C$300,3,FALSE),"")</f>
        <v>재난안전본부</v>
      </c>
      <c r="C70" s="31" t="s">
        <v>273</v>
      </c>
      <c r="D70" s="137" t="s">
        <v>771</v>
      </c>
      <c r="E70" s="143" t="s">
        <v>832</v>
      </c>
      <c r="F70" s="138" t="s">
        <v>995</v>
      </c>
      <c r="G70" s="44"/>
      <c r="H70" s="42"/>
      <c r="I70" s="54">
        <f t="shared" si="66"/>
        <v>0</v>
      </c>
      <c r="J70" s="42"/>
      <c r="K70" s="45">
        <v>40000</v>
      </c>
      <c r="L70" s="50">
        <f t="shared" si="67"/>
        <v>40000</v>
      </c>
      <c r="M70" s="42"/>
      <c r="N70" s="159">
        <v>40000</v>
      </c>
      <c r="O70" s="160">
        <f t="shared" si="68"/>
        <v>40000</v>
      </c>
      <c r="P70" s="27" t="str">
        <f t="shared" si="65"/>
        <v>X</v>
      </c>
      <c r="Q70" s="170" t="s">
        <v>1263</v>
      </c>
      <c r="S70" s="27" t="s">
        <v>975</v>
      </c>
      <c r="U70" s="27" t="s">
        <v>975</v>
      </c>
      <c r="V70" s="42">
        <f t="shared" si="8"/>
        <v>0</v>
      </c>
      <c r="W70" s="42">
        <f t="shared" si="9"/>
        <v>40000</v>
      </c>
      <c r="X70" s="27" t="str">
        <f t="shared" si="10"/>
        <v>OK</v>
      </c>
      <c r="Z70" s="27"/>
      <c r="AA70" s="42">
        <f t="shared" si="11"/>
        <v>0</v>
      </c>
      <c r="AB70" s="42">
        <f t="shared" si="69"/>
        <v>40000</v>
      </c>
      <c r="AC70" s="27" t="str">
        <f t="shared" si="70"/>
        <v>OK</v>
      </c>
      <c r="AE70" s="27" t="str">
        <f t="shared" si="71"/>
        <v>세입없음</v>
      </c>
      <c r="AG70" s="24">
        <f t="shared" si="4"/>
        <v>217</v>
      </c>
      <c r="AH70" s="65" t="str">
        <f t="shared" si="72"/>
        <v>OK</v>
      </c>
      <c r="AJ70" s="27" t="str">
        <f t="array" ref="AJ70">IF(C70="","",INDEX(구분표!$I$2:$I$300, MATCH(1,(구분표!$E$2:$E$300='2추일출'!B70)*(구분표!$F$2:$F$300='2추일출'!C70)*(구분표!$G$2:$G$300='2추일출'!A70),0)))</f>
        <v>0436</v>
      </c>
      <c r="AL70" s="27"/>
    </row>
    <row r="71" spans="1:38" ht="50.1" customHeight="1" x14ac:dyDescent="0.3">
      <c r="A71" s="33" t="str">
        <f>IFERROR(VLOOKUP($C71,구분표!$A$2:$C$300,2,FALSE),"")</f>
        <v>안전행정위원회</v>
      </c>
      <c r="B71" s="24" t="str">
        <f>IFERROR(VLOOKUP($C71,구분표!$A$2:$C$300,3,FALSE),"")</f>
        <v>재난안전본부</v>
      </c>
      <c r="C71" s="31" t="s">
        <v>273</v>
      </c>
      <c r="D71" s="137" t="s">
        <v>771</v>
      </c>
      <c r="E71" s="143" t="s">
        <v>832</v>
      </c>
      <c r="F71" s="138" t="s">
        <v>996</v>
      </c>
      <c r="G71" s="44"/>
      <c r="H71" s="42"/>
      <c r="I71" s="54">
        <f t="shared" si="66"/>
        <v>0</v>
      </c>
      <c r="J71" s="42"/>
      <c r="K71" s="45">
        <v>30000</v>
      </c>
      <c r="L71" s="50">
        <f t="shared" si="67"/>
        <v>30000</v>
      </c>
      <c r="M71" s="42"/>
      <c r="N71" s="159">
        <v>30000</v>
      </c>
      <c r="O71" s="160">
        <f t="shared" si="68"/>
        <v>30000</v>
      </c>
      <c r="P71" s="27" t="str">
        <f t="shared" si="65"/>
        <v>X</v>
      </c>
      <c r="Q71" s="170" t="s">
        <v>853</v>
      </c>
      <c r="S71" s="27" t="s">
        <v>975</v>
      </c>
      <c r="U71" s="27" t="s">
        <v>975</v>
      </c>
      <c r="V71" s="42">
        <f t="shared" si="8"/>
        <v>0</v>
      </c>
      <c r="W71" s="42">
        <f t="shared" si="9"/>
        <v>30000</v>
      </c>
      <c r="X71" s="27" t="str">
        <f t="shared" si="10"/>
        <v>OK</v>
      </c>
      <c r="Z71" s="27"/>
      <c r="AA71" s="42">
        <f t="shared" si="11"/>
        <v>0</v>
      </c>
      <c r="AB71" s="42">
        <f t="shared" si="69"/>
        <v>30000</v>
      </c>
      <c r="AC71" s="27" t="str">
        <f t="shared" si="70"/>
        <v>OK</v>
      </c>
      <c r="AE71" s="27" t="str">
        <f t="shared" si="71"/>
        <v>세입없음</v>
      </c>
      <c r="AG71" s="24">
        <f t="shared" ref="AG71:AG134" si="73">IF(AE71="","",COUNTIF($AE$7:$AE$294,AE71))</f>
        <v>217</v>
      </c>
      <c r="AH71" s="65" t="str">
        <f t="shared" si="72"/>
        <v>OK</v>
      </c>
      <c r="AJ71" s="27" t="str">
        <f t="array" ref="AJ71">IF(C71="","",INDEX(구분표!$I$2:$I$300, MATCH(1,(구분표!$E$2:$E$300='2추일출'!B71)*(구분표!$F$2:$F$300='2추일출'!C71)*(구분표!$G$2:$G$300='2추일출'!A71),0)))</f>
        <v>0436</v>
      </c>
      <c r="AL71" s="27"/>
    </row>
    <row r="72" spans="1:38" ht="50.1" customHeight="1" x14ac:dyDescent="0.3">
      <c r="A72" s="33" t="str">
        <f>IFERROR(VLOOKUP($C72,구분표!$A$2:$C$300,2,FALSE),"")</f>
        <v>안전행정위원회</v>
      </c>
      <c r="B72" s="24" t="str">
        <f>IFERROR(VLOOKUP($C72,구분표!$A$2:$C$300,3,FALSE),"")</f>
        <v>재난안전본부</v>
      </c>
      <c r="C72" s="31" t="s">
        <v>318</v>
      </c>
      <c r="D72" s="137" t="s">
        <v>771</v>
      </c>
      <c r="E72" s="143" t="s">
        <v>832</v>
      </c>
      <c r="F72" s="138" t="s">
        <v>997</v>
      </c>
      <c r="G72" s="44"/>
      <c r="H72" s="42"/>
      <c r="I72" s="54">
        <f t="shared" si="66"/>
        <v>0</v>
      </c>
      <c r="J72" s="42"/>
      <c r="K72" s="45">
        <v>50000</v>
      </c>
      <c r="L72" s="50">
        <f t="shared" si="67"/>
        <v>50000</v>
      </c>
      <c r="M72" s="42"/>
      <c r="N72" s="159">
        <v>50000</v>
      </c>
      <c r="O72" s="160">
        <f t="shared" si="68"/>
        <v>50000</v>
      </c>
      <c r="P72" s="27" t="str">
        <f t="shared" si="65"/>
        <v>X</v>
      </c>
      <c r="Q72" s="170" t="s">
        <v>1252</v>
      </c>
      <c r="S72" s="27" t="s">
        <v>975</v>
      </c>
      <c r="U72" s="27" t="s">
        <v>975</v>
      </c>
      <c r="V72" s="42">
        <f t="shared" si="8"/>
        <v>0</v>
      </c>
      <c r="W72" s="42">
        <f t="shared" si="9"/>
        <v>50000</v>
      </c>
      <c r="X72" s="27" t="str">
        <f t="shared" si="10"/>
        <v>OK</v>
      </c>
      <c r="Z72" s="27"/>
      <c r="AA72" s="42">
        <f t="shared" si="11"/>
        <v>0</v>
      </c>
      <c r="AB72" s="42">
        <f t="shared" si="69"/>
        <v>50000</v>
      </c>
      <c r="AC72" s="27" t="str">
        <f t="shared" si="70"/>
        <v>OK</v>
      </c>
      <c r="AE72" s="27" t="str">
        <f t="shared" si="71"/>
        <v>세입없음</v>
      </c>
      <c r="AG72" s="24">
        <f t="shared" si="73"/>
        <v>217</v>
      </c>
      <c r="AH72" s="65" t="str">
        <f t="shared" si="72"/>
        <v>OK</v>
      </c>
      <c r="AJ72" s="27" t="str">
        <f t="array" ref="AJ72">IF(C72="","",INDEX(구분표!$I$2:$I$300, MATCH(1,(구분표!$E$2:$E$300='2추일출'!B72)*(구분표!$F$2:$F$300='2추일출'!C72)*(구분표!$G$2:$G$300='2추일출'!A72),0)))</f>
        <v>0451</v>
      </c>
      <c r="AL72" s="27"/>
    </row>
    <row r="73" spans="1:38" ht="50.1" customHeight="1" x14ac:dyDescent="0.3">
      <c r="A73" s="33" t="str">
        <f>IFERROR(VLOOKUP($C73,구분표!$A$2:$C$300,2,FALSE),"")</f>
        <v>안전행정위원회</v>
      </c>
      <c r="B73" s="24" t="str">
        <f>IFERROR(VLOOKUP($C73,구분표!$A$2:$C$300,3,FALSE),"")</f>
        <v>재난안전본부</v>
      </c>
      <c r="C73" s="31" t="s">
        <v>318</v>
      </c>
      <c r="D73" s="137" t="s">
        <v>771</v>
      </c>
      <c r="E73" s="143" t="s">
        <v>832</v>
      </c>
      <c r="F73" s="138" t="s">
        <v>998</v>
      </c>
      <c r="G73" s="44"/>
      <c r="H73" s="42"/>
      <c r="I73" s="54">
        <f t="shared" si="5"/>
        <v>0</v>
      </c>
      <c r="J73" s="42"/>
      <c r="K73" s="45">
        <v>20000</v>
      </c>
      <c r="L73" s="50">
        <f t="shared" si="6"/>
        <v>20000</v>
      </c>
      <c r="M73" s="42"/>
      <c r="N73" s="159">
        <v>20000</v>
      </c>
      <c r="O73" s="160">
        <f t="shared" si="7"/>
        <v>20000</v>
      </c>
      <c r="P73" s="27" t="str">
        <f t="shared" si="65"/>
        <v>X</v>
      </c>
      <c r="Q73" s="170" t="s">
        <v>853</v>
      </c>
      <c r="S73" s="27" t="s">
        <v>975</v>
      </c>
      <c r="U73" s="27" t="s">
        <v>975</v>
      </c>
      <c r="V73" s="42">
        <f t="shared" si="8"/>
        <v>0</v>
      </c>
      <c r="W73" s="42">
        <f t="shared" si="9"/>
        <v>20000</v>
      </c>
      <c r="X73" s="27" t="str">
        <f t="shared" si="10"/>
        <v>OK</v>
      </c>
      <c r="Z73" s="27"/>
      <c r="AA73" s="42">
        <f t="shared" si="11"/>
        <v>0</v>
      </c>
      <c r="AB73" s="42">
        <f t="shared" si="12"/>
        <v>20000</v>
      </c>
      <c r="AC73" s="27" t="str">
        <f t="shared" si="13"/>
        <v>OK</v>
      </c>
      <c r="AE73" s="27" t="str">
        <f t="shared" si="14"/>
        <v>세입없음</v>
      </c>
      <c r="AG73" s="24">
        <f t="shared" si="73"/>
        <v>217</v>
      </c>
      <c r="AH73" s="65" t="str">
        <f t="shared" si="15"/>
        <v>OK</v>
      </c>
      <c r="AJ73" s="27" t="str">
        <f t="array" ref="AJ73">IF(C73="","",INDEX(구분표!$I$2:$I$300, MATCH(1,(구분표!$E$2:$E$300='2추일출'!B73)*(구분표!$F$2:$F$300='2추일출'!C73)*(구분표!$G$2:$G$300='2추일출'!A73),0)))</f>
        <v>0451</v>
      </c>
      <c r="AL73" s="27"/>
    </row>
    <row r="74" spans="1:38" ht="60" customHeight="1" x14ac:dyDescent="0.3">
      <c r="A74" s="33" t="str">
        <f>IFERROR(VLOOKUP($C74,구분표!$A$2:$C$300,2,FALSE),"")</f>
        <v>안전행정위원회</v>
      </c>
      <c r="B74" s="24" t="str">
        <f>IFERROR(VLOOKUP($C74,구분표!$A$2:$C$300,3,FALSE),"")</f>
        <v>재난안전본부</v>
      </c>
      <c r="C74" s="31" t="s">
        <v>191</v>
      </c>
      <c r="D74" s="137" t="s">
        <v>771</v>
      </c>
      <c r="E74" s="143" t="s">
        <v>832</v>
      </c>
      <c r="F74" s="138" t="s">
        <v>999</v>
      </c>
      <c r="G74" s="44"/>
      <c r="H74" s="42"/>
      <c r="I74" s="54">
        <f t="shared" si="5"/>
        <v>0</v>
      </c>
      <c r="J74" s="42"/>
      <c r="K74" s="45">
        <v>825200</v>
      </c>
      <c r="L74" s="50">
        <f t="shared" si="6"/>
        <v>825200</v>
      </c>
      <c r="M74" s="42"/>
      <c r="N74" s="159">
        <v>825200</v>
      </c>
      <c r="O74" s="160">
        <f t="shared" si="7"/>
        <v>825200</v>
      </c>
      <c r="P74" s="27" t="str">
        <f t="shared" si="65"/>
        <v>X</v>
      </c>
      <c r="Q74" s="170" t="s">
        <v>855</v>
      </c>
      <c r="S74" s="27" t="s">
        <v>975</v>
      </c>
      <c r="U74" s="27" t="s">
        <v>975</v>
      </c>
      <c r="V74" s="42">
        <f t="shared" si="8"/>
        <v>0</v>
      </c>
      <c r="W74" s="42">
        <f t="shared" si="9"/>
        <v>825200</v>
      </c>
      <c r="X74" s="27" t="str">
        <f t="shared" si="10"/>
        <v>OK</v>
      </c>
      <c r="Z74" s="27"/>
      <c r="AA74" s="42">
        <f t="shared" si="11"/>
        <v>0</v>
      </c>
      <c r="AB74" s="42">
        <f t="shared" si="12"/>
        <v>825200</v>
      </c>
      <c r="AC74" s="27" t="str">
        <f t="shared" si="13"/>
        <v>OK</v>
      </c>
      <c r="AE74" s="27" t="str">
        <f t="shared" si="14"/>
        <v>세입없음</v>
      </c>
      <c r="AG74" s="24">
        <f t="shared" si="73"/>
        <v>217</v>
      </c>
      <c r="AH74" s="65" t="str">
        <f t="shared" si="15"/>
        <v>OK</v>
      </c>
      <c r="AJ74" s="27" t="str">
        <f t="array" ref="AJ74">IF(C74="","",INDEX(구분표!$I$2:$I$300, MATCH(1,(구분표!$E$2:$E$300='2추일출'!B74)*(구분표!$F$2:$F$300='2추일출'!C74)*(구분표!$G$2:$G$300='2추일출'!A74),0)))</f>
        <v>0409</v>
      </c>
      <c r="AL74" s="27"/>
    </row>
    <row r="75" spans="1:38" ht="60" customHeight="1" x14ac:dyDescent="0.3">
      <c r="A75" s="33" t="str">
        <f>IFERROR(VLOOKUP($C75,구분표!$A$2:$C$300,2,FALSE),"")</f>
        <v>안전행정위원회</v>
      </c>
      <c r="B75" s="24" t="str">
        <f>IFERROR(VLOOKUP($C75,구분표!$A$2:$C$300,3,FALSE),"")</f>
        <v>재난안전본부</v>
      </c>
      <c r="C75" s="31" t="s">
        <v>198</v>
      </c>
      <c r="D75" s="137" t="s">
        <v>771</v>
      </c>
      <c r="E75" s="143" t="s">
        <v>832</v>
      </c>
      <c r="F75" s="138" t="s">
        <v>1000</v>
      </c>
      <c r="G75" s="44"/>
      <c r="H75" s="42"/>
      <c r="I75" s="54">
        <f t="shared" ref="I75:I85" si="74">IF(D75="","",G75-H75)</f>
        <v>0</v>
      </c>
      <c r="J75" s="42"/>
      <c r="K75" s="45">
        <v>57078</v>
      </c>
      <c r="L75" s="50">
        <f t="shared" ref="L75:L85" si="75">IF(G75=0,H75+J75+K75,G75+J75+K75)</f>
        <v>57078</v>
      </c>
      <c r="M75" s="42"/>
      <c r="N75" s="159">
        <v>57078</v>
      </c>
      <c r="O75" s="160">
        <f t="shared" ref="O75:O85" si="76">IF(G75=0,H75+M75+N75,G75+M75+N75)</f>
        <v>57078</v>
      </c>
      <c r="P75" s="27" t="str">
        <f t="shared" si="65"/>
        <v>X</v>
      </c>
      <c r="Q75" s="170" t="s">
        <v>1262</v>
      </c>
      <c r="S75" s="27" t="s">
        <v>975</v>
      </c>
      <c r="U75" s="27" t="s">
        <v>975</v>
      </c>
      <c r="V75" s="42">
        <f t="shared" si="8"/>
        <v>0</v>
      </c>
      <c r="W75" s="42">
        <f t="shared" si="9"/>
        <v>57078</v>
      </c>
      <c r="X75" s="27" t="str">
        <f t="shared" si="10"/>
        <v>OK</v>
      </c>
      <c r="Z75" s="27"/>
      <c r="AA75" s="42">
        <f t="shared" si="11"/>
        <v>0</v>
      </c>
      <c r="AB75" s="42">
        <f t="shared" ref="AB75:AB85" si="77">IF($U75="도비",SUM(M75:N75),IF($S75="국도비","직접입력",SUM(M75:N75)-AA75))</f>
        <v>57078</v>
      </c>
      <c r="AC75" s="27" t="str">
        <f t="shared" ref="AC75:AC85" si="78">IF(SUM(M75:N75)=SUM(AA75:AB75),"OK","검토")</f>
        <v>OK</v>
      </c>
      <c r="AE75" s="27" t="str">
        <f t="shared" ref="AE75:AE85" si="79">IF(U75="","",IF(U75="도비","세입없음","직접입력"))</f>
        <v>세입없음</v>
      </c>
      <c r="AG75" s="24">
        <f t="shared" si="73"/>
        <v>217</v>
      </c>
      <c r="AH75" s="65" t="str">
        <f t="shared" ref="AH75:AH85" si="80">IF(U75="","",IF(AND(U75="도비",AE75="세입없음"),"OK",IF(AND(U75&lt;&gt;"도비",AE75&lt;&gt;""),"OK","@@")))</f>
        <v>OK</v>
      </c>
      <c r="AJ75" s="27" t="str">
        <f t="array" ref="AJ75">IF(C75="","",INDEX(구분표!$I$2:$I$300, MATCH(1,(구분표!$E$2:$E$300='2추일출'!B75)*(구분표!$F$2:$F$300='2추일출'!C75)*(구분표!$G$2:$G$300='2추일출'!A75),0)))</f>
        <v>0411</v>
      </c>
      <c r="AL75" s="27"/>
    </row>
    <row r="76" spans="1:38" ht="50.1" customHeight="1" x14ac:dyDescent="0.3">
      <c r="A76" s="33" t="str">
        <f>IFERROR(VLOOKUP($C76,구분표!$A$2:$C$300,2,FALSE),"")</f>
        <v>안전행정위원회</v>
      </c>
      <c r="B76" s="24" t="str">
        <f>IFERROR(VLOOKUP($C76,구분표!$A$2:$C$300,3,FALSE),"")</f>
        <v>재난안전본부</v>
      </c>
      <c r="C76" s="31" t="s">
        <v>294</v>
      </c>
      <c r="D76" s="137" t="s">
        <v>771</v>
      </c>
      <c r="E76" s="143" t="s">
        <v>832</v>
      </c>
      <c r="F76" s="138" t="s">
        <v>1005</v>
      </c>
      <c r="G76" s="44"/>
      <c r="H76" s="42"/>
      <c r="I76" s="54">
        <f t="shared" si="74"/>
        <v>0</v>
      </c>
      <c r="J76" s="42"/>
      <c r="K76" s="45">
        <v>40000</v>
      </c>
      <c r="L76" s="50">
        <f t="shared" si="75"/>
        <v>40000</v>
      </c>
      <c r="M76" s="42"/>
      <c r="N76" s="159">
        <v>40000</v>
      </c>
      <c r="O76" s="160">
        <f t="shared" si="76"/>
        <v>40000</v>
      </c>
      <c r="P76" s="27" t="str">
        <f t="shared" si="65"/>
        <v>X</v>
      </c>
      <c r="Q76" s="170" t="s">
        <v>1252</v>
      </c>
      <c r="S76" s="27" t="s">
        <v>975</v>
      </c>
      <c r="U76" s="27" t="s">
        <v>975</v>
      </c>
      <c r="V76" s="42">
        <f t="shared" si="8"/>
        <v>0</v>
      </c>
      <c r="W76" s="42">
        <f t="shared" si="9"/>
        <v>40000</v>
      </c>
      <c r="X76" s="27" t="str">
        <f t="shared" si="10"/>
        <v>OK</v>
      </c>
      <c r="Z76" s="27"/>
      <c r="AA76" s="42">
        <f t="shared" si="11"/>
        <v>0</v>
      </c>
      <c r="AB76" s="42">
        <f t="shared" si="77"/>
        <v>40000</v>
      </c>
      <c r="AC76" s="27" t="str">
        <f t="shared" si="78"/>
        <v>OK</v>
      </c>
      <c r="AE76" s="27" t="str">
        <f t="shared" si="79"/>
        <v>세입없음</v>
      </c>
      <c r="AG76" s="24">
        <f t="shared" si="73"/>
        <v>217</v>
      </c>
      <c r="AH76" s="65" t="str">
        <f t="shared" si="80"/>
        <v>OK</v>
      </c>
      <c r="AJ76" s="27" t="str">
        <f t="array" ref="AJ76">IF(C76="","",INDEX(구분표!$I$2:$I$300, MATCH(1,(구분표!$E$2:$E$300='2추일출'!B76)*(구분표!$F$2:$F$300='2추일출'!C76)*(구분표!$G$2:$G$300='2추일출'!A76),0)))</f>
        <v>0443</v>
      </c>
      <c r="AL76" s="27"/>
    </row>
    <row r="77" spans="1:38" ht="50.1" customHeight="1" x14ac:dyDescent="0.3">
      <c r="A77" s="33" t="str">
        <f>IFERROR(VLOOKUP($C77,구분표!$A$2:$C$300,2,FALSE),"")</f>
        <v>안전행정위원회</v>
      </c>
      <c r="B77" s="24" t="str">
        <f>IFERROR(VLOOKUP($C77,구분표!$A$2:$C$300,3,FALSE),"")</f>
        <v>재난안전본부</v>
      </c>
      <c r="C77" s="31" t="s">
        <v>198</v>
      </c>
      <c r="D77" s="137" t="s">
        <v>771</v>
      </c>
      <c r="E77" s="143" t="s">
        <v>832</v>
      </c>
      <c r="F77" s="138" t="s">
        <v>1001</v>
      </c>
      <c r="G77" s="44"/>
      <c r="H77" s="42"/>
      <c r="I77" s="54">
        <f t="shared" si="74"/>
        <v>0</v>
      </c>
      <c r="J77" s="42"/>
      <c r="K77" s="45">
        <v>154968</v>
      </c>
      <c r="L77" s="50">
        <f t="shared" si="75"/>
        <v>154968</v>
      </c>
      <c r="M77" s="42"/>
      <c r="N77" s="159">
        <v>154968</v>
      </c>
      <c r="O77" s="160">
        <f t="shared" si="76"/>
        <v>154968</v>
      </c>
      <c r="P77" s="27" t="str">
        <f t="shared" si="65"/>
        <v>X</v>
      </c>
      <c r="Q77" s="170" t="s">
        <v>856</v>
      </c>
      <c r="S77" s="27" t="s">
        <v>975</v>
      </c>
      <c r="U77" s="27" t="s">
        <v>975</v>
      </c>
      <c r="V77" s="42">
        <f t="shared" si="8"/>
        <v>0</v>
      </c>
      <c r="W77" s="42">
        <f t="shared" si="9"/>
        <v>154968</v>
      </c>
      <c r="X77" s="27" t="str">
        <f t="shared" si="10"/>
        <v>OK</v>
      </c>
      <c r="Z77" s="27"/>
      <c r="AA77" s="42">
        <f t="shared" si="11"/>
        <v>0</v>
      </c>
      <c r="AB77" s="42">
        <f t="shared" si="77"/>
        <v>154968</v>
      </c>
      <c r="AC77" s="27" t="str">
        <f t="shared" si="78"/>
        <v>OK</v>
      </c>
      <c r="AE77" s="27" t="str">
        <f t="shared" si="79"/>
        <v>세입없음</v>
      </c>
      <c r="AG77" s="24">
        <f t="shared" si="73"/>
        <v>217</v>
      </c>
      <c r="AH77" s="65" t="str">
        <f t="shared" si="80"/>
        <v>OK</v>
      </c>
      <c r="AJ77" s="27" t="str">
        <f t="array" ref="AJ77">IF(C77="","",INDEX(구분표!$I$2:$I$300, MATCH(1,(구분표!$E$2:$E$300='2추일출'!B77)*(구분표!$F$2:$F$300='2추일출'!C77)*(구분표!$G$2:$G$300='2추일출'!A77),0)))</f>
        <v>0411</v>
      </c>
      <c r="AL77" s="27"/>
    </row>
    <row r="78" spans="1:38" ht="50.1" customHeight="1" thickBot="1" x14ac:dyDescent="0.35">
      <c r="A78" s="33" t="str">
        <f>IFERROR(VLOOKUP($C78,구분표!$A$2:$C$300,2,FALSE),"")</f>
        <v>안전행정위원회</v>
      </c>
      <c r="B78" s="24" t="str">
        <f>IFERROR(VLOOKUP($C78,구분표!$A$2:$C$300,3,FALSE),"")</f>
        <v>재난안전본부</v>
      </c>
      <c r="C78" s="31" t="s">
        <v>198</v>
      </c>
      <c r="D78" s="137" t="s">
        <v>771</v>
      </c>
      <c r="E78" s="143" t="s">
        <v>832</v>
      </c>
      <c r="F78" s="172" t="s">
        <v>1002</v>
      </c>
      <c r="G78" s="44"/>
      <c r="H78" s="42"/>
      <c r="I78" s="54">
        <f t="shared" si="74"/>
        <v>0</v>
      </c>
      <c r="J78" s="42"/>
      <c r="K78" s="45">
        <v>15540</v>
      </c>
      <c r="L78" s="50">
        <f t="shared" si="75"/>
        <v>15540</v>
      </c>
      <c r="M78" s="42"/>
      <c r="N78" s="159">
        <v>15540</v>
      </c>
      <c r="O78" s="160">
        <f t="shared" si="76"/>
        <v>15540</v>
      </c>
      <c r="P78" s="27" t="str">
        <f t="shared" si="65"/>
        <v>X</v>
      </c>
      <c r="Q78" s="170" t="s">
        <v>1252</v>
      </c>
      <c r="S78" s="27" t="s">
        <v>975</v>
      </c>
      <c r="U78" s="27" t="s">
        <v>975</v>
      </c>
      <c r="V78" s="42">
        <f t="shared" si="8"/>
        <v>0</v>
      </c>
      <c r="W78" s="42">
        <f t="shared" si="9"/>
        <v>15540</v>
      </c>
      <c r="X78" s="27" t="str">
        <f t="shared" si="10"/>
        <v>OK</v>
      </c>
      <c r="Z78" s="27"/>
      <c r="AA78" s="42">
        <f t="shared" si="11"/>
        <v>0</v>
      </c>
      <c r="AB78" s="42">
        <f t="shared" si="77"/>
        <v>15540</v>
      </c>
      <c r="AC78" s="27" t="str">
        <f t="shared" si="78"/>
        <v>OK</v>
      </c>
      <c r="AE78" s="27" t="str">
        <f t="shared" si="79"/>
        <v>세입없음</v>
      </c>
      <c r="AG78" s="24">
        <f t="shared" si="73"/>
        <v>217</v>
      </c>
      <c r="AH78" s="65" t="str">
        <f t="shared" si="80"/>
        <v>OK</v>
      </c>
      <c r="AJ78" s="27" t="str">
        <f t="array" ref="AJ78">IF(C78="","",INDEX(구분표!$I$2:$I$300, MATCH(1,(구분표!$E$2:$E$300='2추일출'!B78)*(구분표!$F$2:$F$300='2추일출'!C78)*(구분표!$G$2:$G$300='2추일출'!A78),0)))</f>
        <v>0411</v>
      </c>
      <c r="AL78" s="27"/>
    </row>
    <row r="79" spans="1:38" ht="50.1" customHeight="1" thickTop="1" x14ac:dyDescent="0.3">
      <c r="A79" s="33" t="str">
        <f>IFERROR(VLOOKUP($C79,구분표!$A$2:$C$300,2,FALSE),"")</f>
        <v>안전행정위원회</v>
      </c>
      <c r="B79" s="24" t="str">
        <f>IFERROR(VLOOKUP($C79,구분표!$A$2:$C$300,3,FALSE),"")</f>
        <v>재난안전본부</v>
      </c>
      <c r="C79" s="31" t="s">
        <v>191</v>
      </c>
      <c r="D79" s="137" t="s">
        <v>776</v>
      </c>
      <c r="E79" s="143" t="s">
        <v>832</v>
      </c>
      <c r="F79" s="184" t="s">
        <v>1302</v>
      </c>
      <c r="G79" s="44">
        <v>1342096</v>
      </c>
      <c r="H79" s="42">
        <v>1032096</v>
      </c>
      <c r="I79" s="54">
        <f t="shared" si="74"/>
        <v>310000</v>
      </c>
      <c r="J79" s="42"/>
      <c r="K79" s="45">
        <v>62418</v>
      </c>
      <c r="L79" s="50">
        <f t="shared" si="75"/>
        <v>1404514</v>
      </c>
      <c r="M79" s="42"/>
      <c r="N79" s="159">
        <v>62418</v>
      </c>
      <c r="O79" s="160">
        <f t="shared" si="76"/>
        <v>1404514</v>
      </c>
      <c r="P79" s="27" t="str">
        <f t="shared" si="65"/>
        <v>X</v>
      </c>
      <c r="Q79" s="170" t="s">
        <v>1252</v>
      </c>
      <c r="S79" s="27" t="s">
        <v>975</v>
      </c>
      <c r="U79" s="27" t="s">
        <v>975</v>
      </c>
      <c r="V79" s="42">
        <f t="shared" si="8"/>
        <v>0</v>
      </c>
      <c r="W79" s="42">
        <f t="shared" si="9"/>
        <v>62418</v>
      </c>
      <c r="X79" s="27" t="str">
        <f t="shared" si="10"/>
        <v>OK</v>
      </c>
      <c r="Z79" s="27"/>
      <c r="AA79" s="42">
        <f t="shared" si="11"/>
        <v>0</v>
      </c>
      <c r="AB79" s="42">
        <f t="shared" si="77"/>
        <v>62418</v>
      </c>
      <c r="AC79" s="27" t="str">
        <f t="shared" si="78"/>
        <v>OK</v>
      </c>
      <c r="AE79" s="27" t="str">
        <f t="shared" si="79"/>
        <v>세입없음</v>
      </c>
      <c r="AG79" s="24">
        <f t="shared" si="73"/>
        <v>217</v>
      </c>
      <c r="AH79" s="65" t="str">
        <f t="shared" si="80"/>
        <v>OK</v>
      </c>
      <c r="AJ79" s="27" t="str">
        <f t="array" ref="AJ79">IF(C79="","",INDEX(구분표!$I$2:$I$300, MATCH(1,(구분표!$E$2:$E$300='2추일출'!B79)*(구분표!$F$2:$F$300='2추일출'!C79)*(구분표!$G$2:$G$300='2추일출'!A79),0)))</f>
        <v>0409</v>
      </c>
      <c r="AL79" s="27"/>
    </row>
    <row r="80" spans="1:38" ht="50.1" customHeight="1" thickBot="1" x14ac:dyDescent="0.35">
      <c r="A80" s="33" t="str">
        <f>IFERROR(VLOOKUP($C80,구분표!$A$2:$C$300,2,FALSE),"")</f>
        <v>안전행정위원회</v>
      </c>
      <c r="B80" s="24" t="str">
        <f>IFERROR(VLOOKUP($C80,구분표!$A$2:$C$300,3,FALSE),"")</f>
        <v>재난안전본부</v>
      </c>
      <c r="C80" s="31" t="s">
        <v>191</v>
      </c>
      <c r="D80" s="137" t="s">
        <v>776</v>
      </c>
      <c r="E80" s="143" t="s">
        <v>832</v>
      </c>
      <c r="F80" s="166" t="s">
        <v>1303</v>
      </c>
      <c r="G80" s="44"/>
      <c r="H80" s="42"/>
      <c r="I80" s="54">
        <f t="shared" ref="I80" si="81">IF(D80="","",G80-H80)</f>
        <v>0</v>
      </c>
      <c r="J80" s="42"/>
      <c r="K80" s="45">
        <v>423000</v>
      </c>
      <c r="L80" s="50">
        <f t="shared" ref="L80" si="82">IF(G80=0,H80+J80+K80,G80+J80+K80)</f>
        <v>423000</v>
      </c>
      <c r="M80" s="42"/>
      <c r="N80" s="159">
        <v>423000</v>
      </c>
      <c r="O80" s="160">
        <f t="shared" ref="O80" si="83">IF(G80=0,H80+M80+N80,G80+M80+N80)</f>
        <v>423000</v>
      </c>
      <c r="P80" s="27" t="str">
        <f t="shared" si="65"/>
        <v>X</v>
      </c>
      <c r="Q80" s="170"/>
      <c r="S80" s="27" t="s">
        <v>1223</v>
      </c>
      <c r="U80" s="27" t="s">
        <v>1223</v>
      </c>
      <c r="V80" s="42">
        <f t="shared" si="8"/>
        <v>0</v>
      </c>
      <c r="W80" s="42">
        <f t="shared" si="9"/>
        <v>423000</v>
      </c>
      <c r="X80" s="27" t="str">
        <f t="shared" si="10"/>
        <v>OK</v>
      </c>
      <c r="Z80" s="27"/>
      <c r="AA80" s="42">
        <f t="shared" si="11"/>
        <v>0</v>
      </c>
      <c r="AB80" s="42">
        <f t="shared" ref="AB80" si="84">IF($U80="도비",SUM(M80:N80),IF($S80="국도비","직접입력",SUM(M80:N80)-AA80))</f>
        <v>423000</v>
      </c>
      <c r="AC80" s="27" t="str">
        <f t="shared" ref="AC80" si="85">IF(SUM(M80:N80)=SUM(AA80:AB80),"OK","검토")</f>
        <v>OK</v>
      </c>
      <c r="AE80" s="27" t="str">
        <f t="shared" ref="AE80" si="86">IF(U80="","",IF(U80="도비","세입없음","직접입력"))</f>
        <v>세입없음</v>
      </c>
      <c r="AG80" s="24">
        <f t="shared" si="73"/>
        <v>217</v>
      </c>
      <c r="AH80" s="65" t="str">
        <f t="shared" ref="AH80" si="87">IF(U80="","",IF(AND(U80="도비",AE80="세입없음"),"OK",IF(AND(U80&lt;&gt;"도비",AE80&lt;&gt;""),"OK","@@")))</f>
        <v>OK</v>
      </c>
      <c r="AJ80" s="27" t="str">
        <f t="array" ref="AJ80">IF(C80="","",INDEX(구분표!$I$2:$I$300, MATCH(1,(구분표!$E$2:$E$300='2추일출'!B80)*(구분표!$F$2:$F$300='2추일출'!C80)*(구분표!$G$2:$G$300='2추일출'!A80),0)))</f>
        <v>0409</v>
      </c>
      <c r="AL80" s="27"/>
    </row>
    <row r="81" spans="1:38" ht="50.1" customHeight="1" thickTop="1" x14ac:dyDescent="0.3">
      <c r="A81" s="33" t="str">
        <f>IFERROR(VLOOKUP($C81,구분표!$A$2:$C$300,2,FALSE),"")</f>
        <v>안전행정위원회</v>
      </c>
      <c r="B81" s="24" t="str">
        <f>IFERROR(VLOOKUP($C81,구분표!$A$2:$C$300,3,FALSE),"")</f>
        <v>재난안전본부</v>
      </c>
      <c r="C81" s="31" t="s">
        <v>198</v>
      </c>
      <c r="D81" s="137" t="s">
        <v>771</v>
      </c>
      <c r="E81" s="143" t="s">
        <v>832</v>
      </c>
      <c r="F81" s="173" t="s">
        <v>1003</v>
      </c>
      <c r="G81" s="44"/>
      <c r="H81" s="42"/>
      <c r="I81" s="54">
        <f t="shared" si="74"/>
        <v>0</v>
      </c>
      <c r="J81" s="42"/>
      <c r="K81" s="45">
        <v>65200</v>
      </c>
      <c r="L81" s="50">
        <f t="shared" si="75"/>
        <v>65200</v>
      </c>
      <c r="M81" s="42"/>
      <c r="N81" s="159">
        <v>65200</v>
      </c>
      <c r="O81" s="160">
        <f t="shared" si="76"/>
        <v>65200</v>
      </c>
      <c r="P81" s="27" t="str">
        <f t="shared" si="65"/>
        <v>X</v>
      </c>
      <c r="Q81" s="170" t="s">
        <v>1252</v>
      </c>
      <c r="S81" s="27" t="s">
        <v>975</v>
      </c>
      <c r="U81" s="27" t="s">
        <v>975</v>
      </c>
      <c r="V81" s="42">
        <f t="shared" si="8"/>
        <v>0</v>
      </c>
      <c r="W81" s="42">
        <f t="shared" si="9"/>
        <v>65200</v>
      </c>
      <c r="X81" s="27" t="str">
        <f t="shared" si="10"/>
        <v>OK</v>
      </c>
      <c r="Z81" s="27"/>
      <c r="AA81" s="42">
        <f t="shared" si="11"/>
        <v>0</v>
      </c>
      <c r="AB81" s="42">
        <f t="shared" si="77"/>
        <v>65200</v>
      </c>
      <c r="AC81" s="27" t="str">
        <f t="shared" si="78"/>
        <v>OK</v>
      </c>
      <c r="AE81" s="27" t="str">
        <f t="shared" si="79"/>
        <v>세입없음</v>
      </c>
      <c r="AG81" s="24">
        <f t="shared" si="73"/>
        <v>217</v>
      </c>
      <c r="AH81" s="65" t="str">
        <f t="shared" si="80"/>
        <v>OK</v>
      </c>
      <c r="AJ81" s="27" t="str">
        <f t="array" ref="AJ81">IF(C81="","",INDEX(구분표!$I$2:$I$300, MATCH(1,(구분표!$E$2:$E$300='2추일출'!B81)*(구분표!$F$2:$F$300='2추일출'!C81)*(구분표!$G$2:$G$300='2추일출'!A81),0)))</f>
        <v>0411</v>
      </c>
      <c r="AL81" s="27"/>
    </row>
    <row r="82" spans="1:38" ht="50.1" customHeight="1" x14ac:dyDescent="0.3">
      <c r="A82" s="33" t="str">
        <f>IFERROR(VLOOKUP($C82,구분표!$A$2:$C$300,2,FALSE),"")</f>
        <v>안전행정위원회</v>
      </c>
      <c r="B82" s="24" t="str">
        <f>IFERROR(VLOOKUP($C82,구분표!$A$2:$C$300,3,FALSE),"")</f>
        <v>재난안전본부</v>
      </c>
      <c r="C82" s="31" t="s">
        <v>198</v>
      </c>
      <c r="D82" s="35" t="s">
        <v>771</v>
      </c>
      <c r="E82" s="145" t="s">
        <v>771</v>
      </c>
      <c r="F82" s="134" t="s">
        <v>1004</v>
      </c>
      <c r="G82" s="44"/>
      <c r="H82" s="42"/>
      <c r="I82" s="54">
        <f t="shared" si="74"/>
        <v>0</v>
      </c>
      <c r="J82" s="42"/>
      <c r="K82" s="45">
        <v>500000</v>
      </c>
      <c r="L82" s="50">
        <f t="shared" si="75"/>
        <v>500000</v>
      </c>
      <c r="M82" s="158">
        <v>0</v>
      </c>
      <c r="N82" s="159">
        <v>500000</v>
      </c>
      <c r="O82" s="160">
        <f t="shared" si="76"/>
        <v>500000</v>
      </c>
      <c r="P82" s="27" t="str">
        <f t="shared" si="65"/>
        <v>X</v>
      </c>
      <c r="Q82" s="170"/>
      <c r="S82" s="27" t="s">
        <v>975</v>
      </c>
      <c r="U82" s="27" t="s">
        <v>975</v>
      </c>
      <c r="V82" s="42">
        <f t="shared" si="8"/>
        <v>0</v>
      </c>
      <c r="W82" s="42">
        <f t="shared" si="9"/>
        <v>500000</v>
      </c>
      <c r="X82" s="27" t="str">
        <f t="shared" si="10"/>
        <v>OK</v>
      </c>
      <c r="Z82" s="27"/>
      <c r="AA82" s="42">
        <f t="shared" si="11"/>
        <v>0</v>
      </c>
      <c r="AB82" s="42">
        <f t="shared" si="77"/>
        <v>500000</v>
      </c>
      <c r="AC82" s="27" t="str">
        <f t="shared" si="78"/>
        <v>OK</v>
      </c>
      <c r="AE82" s="27" t="str">
        <f t="shared" si="79"/>
        <v>세입없음</v>
      </c>
      <c r="AG82" s="24">
        <f t="shared" si="73"/>
        <v>217</v>
      </c>
      <c r="AH82" s="65" t="str">
        <f t="shared" si="80"/>
        <v>OK</v>
      </c>
      <c r="AJ82" s="27" t="str">
        <f t="array" ref="AJ82">IF(C82="","",INDEX(구분표!$I$2:$I$300, MATCH(1,(구분표!$E$2:$E$300='2추일출'!B82)*(구분표!$F$2:$F$300='2추일출'!C82)*(구분표!$G$2:$G$300='2추일출'!A82),0)))</f>
        <v>0411</v>
      </c>
      <c r="AL82" s="27"/>
    </row>
    <row r="83" spans="1:38" ht="60" customHeight="1" x14ac:dyDescent="0.3">
      <c r="A83" s="33" t="str">
        <f>IFERROR(VLOOKUP($C83,구분표!$A$2:$C$300,2,FALSE),"")</f>
        <v>안전행정위원회</v>
      </c>
      <c r="B83" s="24" t="str">
        <f>IFERROR(VLOOKUP($C83,구분표!$A$2:$C$300,3,FALSE),"")</f>
        <v>재난안전본부</v>
      </c>
      <c r="C83" s="31" t="s">
        <v>198</v>
      </c>
      <c r="D83" s="35" t="s">
        <v>776</v>
      </c>
      <c r="E83" s="145">
        <v>402</v>
      </c>
      <c r="F83" s="134" t="s">
        <v>1304</v>
      </c>
      <c r="G83" s="44">
        <v>1408000</v>
      </c>
      <c r="H83" s="42"/>
      <c r="I83" s="54">
        <f t="shared" si="74"/>
        <v>1408000</v>
      </c>
      <c r="J83" s="42"/>
      <c r="K83" s="45"/>
      <c r="L83" s="50">
        <f t="shared" si="75"/>
        <v>1408000</v>
      </c>
      <c r="M83" s="158">
        <v>0</v>
      </c>
      <c r="N83" s="159">
        <v>0</v>
      </c>
      <c r="O83" s="160">
        <f t="shared" si="76"/>
        <v>1408000</v>
      </c>
      <c r="P83" s="27" t="str">
        <f t="shared" si="65"/>
        <v>X</v>
      </c>
      <c r="Q83" s="170" t="s">
        <v>1008</v>
      </c>
      <c r="S83" s="27" t="s">
        <v>985</v>
      </c>
      <c r="U83" s="27" t="s">
        <v>850</v>
      </c>
      <c r="V83" s="42">
        <v>0</v>
      </c>
      <c r="W83" s="42">
        <v>0</v>
      </c>
      <c r="X83" s="27" t="str">
        <f t="shared" si="10"/>
        <v>OK</v>
      </c>
      <c r="Z83" s="27" t="s">
        <v>1007</v>
      </c>
      <c r="AA83" s="42">
        <v>0</v>
      </c>
      <c r="AB83" s="42">
        <v>0</v>
      </c>
      <c r="AC83" s="27" t="str">
        <f t="shared" si="78"/>
        <v>OK</v>
      </c>
      <c r="AE83" s="27" t="s">
        <v>1010</v>
      </c>
      <c r="AG83" s="24">
        <f t="shared" si="73"/>
        <v>1</v>
      </c>
      <c r="AH83" s="65" t="str">
        <f t="shared" si="80"/>
        <v>OK</v>
      </c>
      <c r="AJ83" s="27" t="str">
        <f t="array" ref="AJ83">IF(C83="","",INDEX(구분표!$I$2:$I$300, MATCH(1,(구분표!$E$2:$E$300='2추일출'!B83)*(구분표!$F$2:$F$300='2추일출'!C83)*(구분표!$G$2:$G$300='2추일출'!A83),0)))</f>
        <v>0411</v>
      </c>
      <c r="AL83" s="27"/>
    </row>
    <row r="84" spans="1:38" ht="50.1" customHeight="1" x14ac:dyDescent="0.3">
      <c r="A84" s="33" t="str">
        <f>IFERROR(VLOOKUP($C84,구분표!$A$2:$C$300,2,FALSE),"")</f>
        <v>안전행정위원회</v>
      </c>
      <c r="B84" s="24" t="s">
        <v>951</v>
      </c>
      <c r="C84" s="31" t="s">
        <v>204</v>
      </c>
      <c r="D84" s="137" t="s">
        <v>771</v>
      </c>
      <c r="E84" s="143" t="s">
        <v>832</v>
      </c>
      <c r="F84" s="138" t="s">
        <v>950</v>
      </c>
      <c r="G84" s="44"/>
      <c r="H84" s="42"/>
      <c r="I84" s="54">
        <f t="shared" ref="I84" si="88">IF(D84="","",G84-H84)</f>
        <v>0</v>
      </c>
      <c r="J84" s="42"/>
      <c r="K84" s="45">
        <v>500000</v>
      </c>
      <c r="L84" s="50">
        <f t="shared" ref="L84" si="89">IF(G84=0,H84+J84+K84,G84+J84+K84)</f>
        <v>500000</v>
      </c>
      <c r="M84" s="42"/>
      <c r="N84" s="159">
        <v>500000</v>
      </c>
      <c r="O84" s="160">
        <f t="shared" ref="O84" si="90">IF(G84=0,H84+M84+N84,G84+M84+N84)</f>
        <v>500000</v>
      </c>
      <c r="P84" s="27" t="str">
        <f t="shared" si="65"/>
        <v>X</v>
      </c>
      <c r="Q84" s="170"/>
      <c r="S84" s="27" t="s">
        <v>1084</v>
      </c>
      <c r="U84" s="27" t="s">
        <v>1084</v>
      </c>
      <c r="V84" s="42">
        <f t="shared" si="8"/>
        <v>0</v>
      </c>
      <c r="W84" s="42">
        <f t="shared" si="9"/>
        <v>500000</v>
      </c>
      <c r="X84" s="27" t="str">
        <f t="shared" si="10"/>
        <v>OK</v>
      </c>
      <c r="Z84" s="27"/>
      <c r="AA84" s="42">
        <f t="shared" si="11"/>
        <v>0</v>
      </c>
      <c r="AB84" s="42">
        <f t="shared" ref="AB84" si="91">IF($U84="도비",SUM(M84:N84),IF($S84="국도비","직접입력",SUM(M84:N84)-AA84))</f>
        <v>500000</v>
      </c>
      <c r="AC84" s="27" t="str">
        <f t="shared" ref="AC84" si="92">IF(SUM(M84:N84)=SUM(AA84:AB84),"OK","검토")</f>
        <v>OK</v>
      </c>
      <c r="AE84" s="27" t="str">
        <f t="shared" ref="AE84" si="93">IF(U84="","",IF(U84="도비","세입없음","직접입력"))</f>
        <v>세입없음</v>
      </c>
      <c r="AG84" s="24">
        <f t="shared" si="73"/>
        <v>217</v>
      </c>
      <c r="AH84" s="65" t="str">
        <f t="shared" ref="AH84" si="94">IF(U84="","",IF(AND(U84="도비",AE84="세입없음"),"OK",IF(AND(U84&lt;&gt;"도비",AE84&lt;&gt;""),"OK","@@")))</f>
        <v>OK</v>
      </c>
      <c r="AJ84" s="27" t="str">
        <f t="array" ref="AJ84">IF(C84="","",INDEX(구분표!$I$2:$I$300, MATCH(1,(구분표!$E$2:$E$300='2추일출'!B84)*(구분표!$F$2:$F$300='2추일출'!C84)*(구분표!$G$2:$G$300='2추일출'!A84),0)))</f>
        <v>0413</v>
      </c>
      <c r="AL84" s="27"/>
    </row>
    <row r="85" spans="1:38" ht="50.1" customHeight="1" x14ac:dyDescent="0.3">
      <c r="A85" s="33" t="str">
        <f>IFERROR(VLOOKUP($C85,구분표!$A$2:$C$300,2,FALSE),"")</f>
        <v>안전행정위원회</v>
      </c>
      <c r="B85" s="24" t="str">
        <f>IFERROR(VLOOKUP($C85,구분표!$A$2:$C$300,3,FALSE),"")</f>
        <v>재난안전본부</v>
      </c>
      <c r="C85" s="212" t="s">
        <v>1194</v>
      </c>
      <c r="D85" s="137" t="s">
        <v>771</v>
      </c>
      <c r="E85" s="143" t="s">
        <v>832</v>
      </c>
      <c r="F85" s="138" t="s">
        <v>1185</v>
      </c>
      <c r="G85" s="44"/>
      <c r="H85" s="42"/>
      <c r="I85" s="54">
        <f t="shared" si="74"/>
        <v>0</v>
      </c>
      <c r="J85" s="42"/>
      <c r="K85" s="45">
        <v>950000</v>
      </c>
      <c r="L85" s="50">
        <f t="shared" si="75"/>
        <v>950000</v>
      </c>
      <c r="M85" s="42"/>
      <c r="N85" s="159">
        <v>950000</v>
      </c>
      <c r="O85" s="160">
        <f t="shared" si="76"/>
        <v>950000</v>
      </c>
      <c r="P85" s="27" t="str">
        <f t="shared" si="65"/>
        <v>X</v>
      </c>
      <c r="Q85" s="170"/>
      <c r="S85" s="27" t="s">
        <v>1215</v>
      </c>
      <c r="U85" s="27" t="s">
        <v>1215</v>
      </c>
      <c r="V85" s="42">
        <f t="shared" si="8"/>
        <v>0</v>
      </c>
      <c r="W85" s="42">
        <f t="shared" si="9"/>
        <v>950000</v>
      </c>
      <c r="X85" s="27" t="str">
        <f t="shared" si="10"/>
        <v>OK</v>
      </c>
      <c r="Z85" s="27"/>
      <c r="AA85" s="42">
        <f t="shared" si="11"/>
        <v>0</v>
      </c>
      <c r="AB85" s="42">
        <f t="shared" si="77"/>
        <v>950000</v>
      </c>
      <c r="AC85" s="27" t="str">
        <f t="shared" si="78"/>
        <v>OK</v>
      </c>
      <c r="AE85" s="27" t="str">
        <f t="shared" si="79"/>
        <v>세입없음</v>
      </c>
      <c r="AG85" s="24">
        <f t="shared" si="73"/>
        <v>217</v>
      </c>
      <c r="AH85" s="65" t="str">
        <f t="shared" si="80"/>
        <v>OK</v>
      </c>
      <c r="AJ85" s="27" t="str">
        <f t="array" ref="AJ85">IF(C85="","",INDEX(구분표!$I$2:$I$300, MATCH(1,(구분표!$E$2:$E$300='2추일출'!B85)*(구분표!$F$2:$F$300='2추일출'!C85)*(구분표!$G$2:$G$300='2추일출'!A85),0)))</f>
        <v>0411</v>
      </c>
      <c r="AL85" s="27"/>
    </row>
    <row r="86" spans="1:38" ht="50.1" customHeight="1" x14ac:dyDescent="0.3">
      <c r="A86" s="33" t="str">
        <f>IFERROR(VLOOKUP($C86,구분표!$A$2:$C$300,2,FALSE),"")</f>
        <v>안전행정위원회</v>
      </c>
      <c r="B86" s="24" t="str">
        <f>IFERROR(VLOOKUP($C86,구분표!$A$2:$C$300,3,FALSE),"")</f>
        <v>재난안전본부</v>
      </c>
      <c r="C86" s="213" t="s">
        <v>1194</v>
      </c>
      <c r="D86" s="137" t="s">
        <v>771</v>
      </c>
      <c r="E86" s="143" t="s">
        <v>832</v>
      </c>
      <c r="F86" s="138" t="s">
        <v>1187</v>
      </c>
      <c r="G86" s="44"/>
      <c r="H86" s="42"/>
      <c r="I86" s="54">
        <f t="shared" ref="I86" si="95">IF(D86="","",G86-H86)</f>
        <v>0</v>
      </c>
      <c r="J86" s="42"/>
      <c r="K86" s="45">
        <v>106000</v>
      </c>
      <c r="L86" s="50">
        <f t="shared" ref="L86" si="96">IF(G86=0,H86+J86+K86,G86+J86+K86)</f>
        <v>106000</v>
      </c>
      <c r="M86" s="42"/>
      <c r="N86" s="159">
        <v>106000</v>
      </c>
      <c r="O86" s="160">
        <f t="shared" ref="O86" si="97">IF(G86=0,H86+M86+N86,G86+M86+N86)</f>
        <v>106000</v>
      </c>
      <c r="P86" s="27" t="str">
        <f t="shared" si="65"/>
        <v>X</v>
      </c>
      <c r="Q86" s="170"/>
      <c r="S86" s="27" t="s">
        <v>1215</v>
      </c>
      <c r="U86" s="27" t="s">
        <v>1215</v>
      </c>
      <c r="V86" s="42">
        <f t="shared" si="8"/>
        <v>0</v>
      </c>
      <c r="W86" s="42">
        <f t="shared" si="9"/>
        <v>106000</v>
      </c>
      <c r="X86" s="27" t="str">
        <f t="shared" si="10"/>
        <v>OK</v>
      </c>
      <c r="Z86" s="27"/>
      <c r="AA86" s="42">
        <f t="shared" si="11"/>
        <v>0</v>
      </c>
      <c r="AB86" s="42">
        <f t="shared" ref="AB86" si="98">IF($U86="도비",SUM(M86:N86),IF($S86="국도비","직접입력",SUM(M86:N86)-AA86))</f>
        <v>106000</v>
      </c>
      <c r="AC86" s="27" t="str">
        <f t="shared" ref="AC86" si="99">IF(SUM(M86:N86)=SUM(AA86:AB86),"OK","검토")</f>
        <v>OK</v>
      </c>
      <c r="AE86" s="27" t="str">
        <f t="shared" ref="AE86" si="100">IF(U86="","",IF(U86="도비","세입없음","직접입력"))</f>
        <v>세입없음</v>
      </c>
      <c r="AG86" s="24">
        <f t="shared" si="73"/>
        <v>217</v>
      </c>
      <c r="AH86" s="65" t="str">
        <f t="shared" ref="AH86" si="101">IF(U86="","",IF(AND(U86="도비",AE86="세입없음"),"OK",IF(AND(U86&lt;&gt;"도비",AE86&lt;&gt;""),"OK","@@")))</f>
        <v>OK</v>
      </c>
      <c r="AJ86" s="27" t="str">
        <f t="array" ref="AJ86">IF(C86="","",INDEX(구분표!$I$2:$I$300, MATCH(1,(구분표!$E$2:$E$300='2추일출'!B86)*(구분표!$F$2:$F$300='2추일출'!C86)*(구분표!$G$2:$G$300='2추일출'!A86),0)))</f>
        <v>0411</v>
      </c>
      <c r="AL86" s="27"/>
    </row>
    <row r="87" spans="1:38" ht="50.1" customHeight="1" x14ac:dyDescent="0.3">
      <c r="A87" s="33" t="str">
        <f>IFERROR(VLOOKUP($C87,구분표!$A$2:$C$300,2,FALSE),"")</f>
        <v>안전행정위원회</v>
      </c>
      <c r="B87" s="24" t="str">
        <f>IFERROR(VLOOKUP($C87,구분표!$A$2:$C$300,3,FALSE),"")</f>
        <v>재난안전본부</v>
      </c>
      <c r="C87" s="31" t="s">
        <v>1283</v>
      </c>
      <c r="D87" s="35" t="s">
        <v>1269</v>
      </c>
      <c r="E87" s="145">
        <v>417</v>
      </c>
      <c r="F87" s="134" t="s">
        <v>1284</v>
      </c>
      <c r="G87" s="44">
        <v>100000</v>
      </c>
      <c r="H87" s="42"/>
      <c r="I87" s="54">
        <f t="shared" ref="I87" si="102">IF(D87="","",G87-H87)</f>
        <v>100000</v>
      </c>
      <c r="J87" s="42"/>
      <c r="K87" s="45"/>
      <c r="L87" s="50">
        <f t="shared" ref="L87" si="103">IF(G87=0,H87+J87+K87,G87+J87+K87)</f>
        <v>100000</v>
      </c>
      <c r="M87" s="42"/>
      <c r="N87" s="45"/>
      <c r="O87" s="52">
        <f t="shared" ref="O87" si="104">IF(G87=0,H87+M87+N87,G87+M87+N87)</f>
        <v>100000</v>
      </c>
      <c r="P87" s="27" t="str">
        <f t="shared" si="65"/>
        <v>X</v>
      </c>
      <c r="Q87" s="170" t="s">
        <v>1285</v>
      </c>
      <c r="R87" s="1" t="s">
        <v>1281</v>
      </c>
      <c r="S87" s="27" t="s">
        <v>1272</v>
      </c>
      <c r="U87" s="27"/>
      <c r="V87" s="42">
        <f t="shared" si="8"/>
        <v>0</v>
      </c>
      <c r="W87" s="42">
        <f t="shared" si="9"/>
        <v>0</v>
      </c>
      <c r="X87" s="27" t="str">
        <f t="shared" si="10"/>
        <v>OK</v>
      </c>
      <c r="Z87" s="27"/>
      <c r="AA87" s="42">
        <f t="shared" si="11"/>
        <v>0</v>
      </c>
      <c r="AB87" s="42">
        <f t="shared" ref="AB87" si="105">IF($U87="도비",SUM(M87:N87),IF($S87="국도비","직접입력",SUM(M87:N87)-AA87))</f>
        <v>0</v>
      </c>
      <c r="AC87" s="27" t="str">
        <f t="shared" ref="AC87" si="106">IF(SUM(M87:N87)=SUM(AA87:AB87),"OK","검토")</f>
        <v>OK</v>
      </c>
      <c r="AE87" s="27" t="str">
        <f t="shared" ref="AE87" si="107">IF(U87="","",IF(U87="도비","세입없음","직접입력"))</f>
        <v/>
      </c>
      <c r="AG87" s="24" t="str">
        <f t="shared" si="73"/>
        <v/>
      </c>
      <c r="AH87" s="65" t="str">
        <f t="shared" ref="AH87" si="108">IF(U87="","",IF(AND(U87="도비",AE87="세입없음"),"OK",IF(AND(U87&lt;&gt;"도비",AE87&lt;&gt;""),"OK","@@")))</f>
        <v/>
      </c>
      <c r="AJ87" s="27" t="str">
        <f t="array" ref="AJ87">IF(C87="","",INDEX(구분표!$I$2:$I$300, MATCH(1,(구분표!$E$2:$E$300='2추일출'!B87)*(구분표!$F$2:$F$300='2추일출'!C87)*(구분표!$G$2:$G$300='2추일출'!A87),0)))</f>
        <v>0409</v>
      </c>
      <c r="AL87" s="27"/>
    </row>
    <row r="88" spans="1:38" ht="50.1" customHeight="1" x14ac:dyDescent="0.3">
      <c r="A88" s="33" t="str">
        <f>IFERROR(VLOOKUP($C88,구분표!$A$2:$C$300,2,FALSE),"")</f>
        <v>안전행정위원회</v>
      </c>
      <c r="B88" s="24" t="str">
        <f>IFERROR(VLOOKUP($C88,구분표!$A$2:$C$300,3,FALSE),"")</f>
        <v>자치행정국</v>
      </c>
      <c r="C88" s="31" t="s">
        <v>1293</v>
      </c>
      <c r="D88" s="35" t="s">
        <v>1294</v>
      </c>
      <c r="E88" s="145">
        <v>376</v>
      </c>
      <c r="F88" s="134" t="s">
        <v>1314</v>
      </c>
      <c r="G88" s="44">
        <v>1520000</v>
      </c>
      <c r="H88" s="42">
        <v>1480000</v>
      </c>
      <c r="I88" s="54">
        <f t="shared" ref="I88" si="109">IF(D88="","",G88-H88)</f>
        <v>40000</v>
      </c>
      <c r="J88" s="42"/>
      <c r="K88" s="45"/>
      <c r="L88" s="50">
        <f t="shared" ref="L88" si="110">IF(G88=0,H88+J88+K88,G88+J88+K88)</f>
        <v>1520000</v>
      </c>
      <c r="M88" s="42">
        <v>-40000</v>
      </c>
      <c r="N88" s="45"/>
      <c r="O88" s="52">
        <f t="shared" ref="O88" si="111">IF(G88=0,H88+M88+N88,G88+M88+N88)</f>
        <v>1480000</v>
      </c>
      <c r="P88" s="27" t="s">
        <v>1299</v>
      </c>
      <c r="Q88" s="170" t="s">
        <v>1298</v>
      </c>
      <c r="R88" s="1" t="s">
        <v>1316</v>
      </c>
      <c r="S88" s="27" t="s">
        <v>1296</v>
      </c>
      <c r="U88" s="27" t="s">
        <v>1296</v>
      </c>
      <c r="V88" s="42">
        <f t="shared" si="8"/>
        <v>0</v>
      </c>
      <c r="W88" s="42">
        <f t="shared" si="9"/>
        <v>0</v>
      </c>
      <c r="X88" s="27" t="str">
        <f t="shared" si="10"/>
        <v>OK</v>
      </c>
      <c r="Z88" s="27"/>
      <c r="AA88" s="42">
        <f t="shared" si="11"/>
        <v>0</v>
      </c>
      <c r="AB88" s="42">
        <f t="shared" ref="AB88" si="112">IF($U88="도비",SUM(M88:N88),IF($S88="국도비","직접입력",SUM(M88:N88)-AA88))</f>
        <v>-40000</v>
      </c>
      <c r="AC88" s="27" t="str">
        <f t="shared" ref="AC88" si="113">IF(SUM(M88:N88)=SUM(AA88:AB88),"OK","검토")</f>
        <v>OK</v>
      </c>
      <c r="AE88" s="27" t="str">
        <f t="shared" ref="AE88" si="114">IF(U88="","",IF(U88="도비","세입없음","직접입력"))</f>
        <v>세입없음</v>
      </c>
      <c r="AG88" s="24">
        <f t="shared" si="73"/>
        <v>217</v>
      </c>
      <c r="AH88" s="65" t="str">
        <f t="shared" ref="AH88" si="115">IF(U88="","",IF(AND(U88="도비",AE88="세입없음"),"OK",IF(AND(U88&lt;&gt;"도비",AE88&lt;&gt;""),"OK","@@")))</f>
        <v>OK</v>
      </c>
      <c r="AJ88" s="27" t="str">
        <f t="array" ref="AJ88">IF(C88="","",INDEX(구분표!$I$2:$I$300, MATCH(1,(구분표!$E$2:$E$300='2추일출'!B88)*(구분표!$F$2:$F$300='2추일출'!C88)*(구분표!$G$2:$G$300='2추일출'!A88),0)))</f>
        <v>0402</v>
      </c>
      <c r="AL88" s="27"/>
    </row>
    <row r="89" spans="1:38" ht="50.1" customHeight="1" x14ac:dyDescent="0.3">
      <c r="A89" s="33" t="str">
        <f>IFERROR(VLOOKUP($C89,구분표!$A$2:$C$300,2,FALSE),"")</f>
        <v>안전행정위원회</v>
      </c>
      <c r="B89" s="24" t="str">
        <f>IFERROR(VLOOKUP($C89,구분표!$A$2:$C$300,3,FALSE),"")</f>
        <v>자치행정국</v>
      </c>
      <c r="C89" s="31" t="s">
        <v>1293</v>
      </c>
      <c r="D89" s="35" t="s">
        <v>1295</v>
      </c>
      <c r="E89" s="145"/>
      <c r="F89" s="134" t="s">
        <v>1315</v>
      </c>
      <c r="G89" s="44"/>
      <c r="H89" s="42"/>
      <c r="I89" s="54">
        <f t="shared" ref="I89" si="116">IF(D89="","",G89-H89)</f>
        <v>0</v>
      </c>
      <c r="J89" s="42"/>
      <c r="K89" s="45"/>
      <c r="L89" s="50">
        <f t="shared" ref="L89" si="117">IF(G89=0,H89+J89+K89,G89+J89+K89)</f>
        <v>0</v>
      </c>
      <c r="M89" s="42"/>
      <c r="N89" s="45">
        <v>40000</v>
      </c>
      <c r="O89" s="52">
        <f t="shared" ref="O89" si="118">IF(G89=0,H89+M89+N89,G89+M89+N89)</f>
        <v>40000</v>
      </c>
      <c r="P89" s="27" t="str">
        <f t="shared" ref="P89" si="119">IF(AND((L89=0),(O89&gt;0)),"O",IF(AND((J89&lt;0),(L89-O89&lt;0)),"O","X"))</f>
        <v>O</v>
      </c>
      <c r="Q89" s="170" t="s">
        <v>1297</v>
      </c>
      <c r="R89" s="1" t="s">
        <v>1316</v>
      </c>
      <c r="S89" s="27" t="s">
        <v>1296</v>
      </c>
      <c r="U89" s="27" t="s">
        <v>1296</v>
      </c>
      <c r="V89" s="42">
        <f t="shared" si="8"/>
        <v>0</v>
      </c>
      <c r="W89" s="42">
        <f t="shared" si="9"/>
        <v>0</v>
      </c>
      <c r="X89" s="27" t="str">
        <f t="shared" si="10"/>
        <v>OK</v>
      </c>
      <c r="Z89" s="27"/>
      <c r="AA89" s="42">
        <f t="shared" si="11"/>
        <v>0</v>
      </c>
      <c r="AB89" s="42">
        <f t="shared" ref="AB89" si="120">IF($U89="도비",SUM(M89:N89),IF($S89="국도비","직접입력",SUM(M89:N89)-AA89))</f>
        <v>40000</v>
      </c>
      <c r="AC89" s="27" t="str">
        <f t="shared" ref="AC89" si="121">IF(SUM(M89:N89)=SUM(AA89:AB89),"OK","검토")</f>
        <v>OK</v>
      </c>
      <c r="AE89" s="27" t="str">
        <f t="shared" ref="AE89" si="122">IF(U89="","",IF(U89="도비","세입없음","직접입력"))</f>
        <v>세입없음</v>
      </c>
      <c r="AG89" s="24">
        <f t="shared" si="73"/>
        <v>217</v>
      </c>
      <c r="AH89" s="65" t="str">
        <f t="shared" ref="AH89" si="123">IF(U89="","",IF(AND(U89="도비",AE89="세입없음"),"OK",IF(AND(U89&lt;&gt;"도비",AE89&lt;&gt;""),"OK","@@")))</f>
        <v>OK</v>
      </c>
      <c r="AJ89" s="27" t="str">
        <f t="array" ref="AJ89">IF(C89="","",INDEX(구분표!$I$2:$I$300, MATCH(1,(구분표!$E$2:$E$300='2추일출'!B89)*(구분표!$F$2:$F$300='2추일출'!C89)*(구분표!$G$2:$G$300='2추일출'!A89),0)))</f>
        <v>0402</v>
      </c>
      <c r="AL89" s="27"/>
    </row>
    <row r="90" spans="1:38" ht="50.1" customHeight="1" x14ac:dyDescent="0.3">
      <c r="A90" s="57" t="s">
        <v>679</v>
      </c>
      <c r="B90" s="58"/>
      <c r="C90" s="59"/>
      <c r="D90" s="58"/>
      <c r="E90" s="59"/>
      <c r="F90" s="136"/>
      <c r="G90" s="60">
        <f t="shared" ref="G90:O90" si="124">SUM(G91:G125)</f>
        <v>93472815</v>
      </c>
      <c r="H90" s="60">
        <f t="shared" si="124"/>
        <v>76869936</v>
      </c>
      <c r="I90" s="60">
        <f t="shared" si="124"/>
        <v>16602879</v>
      </c>
      <c r="J90" s="60">
        <f t="shared" si="124"/>
        <v>-2800000</v>
      </c>
      <c r="K90" s="60">
        <f t="shared" si="124"/>
        <v>9205000</v>
      </c>
      <c r="L90" s="60">
        <f t="shared" si="124"/>
        <v>99877815</v>
      </c>
      <c r="M90" s="60">
        <f t="shared" si="124"/>
        <v>-3280000</v>
      </c>
      <c r="N90" s="60">
        <f t="shared" si="124"/>
        <v>8895000</v>
      </c>
      <c r="O90" s="60">
        <f t="shared" si="124"/>
        <v>99087815</v>
      </c>
      <c r="P90" s="61"/>
      <c r="Q90" s="224"/>
      <c r="S90" s="27"/>
      <c r="U90" s="27"/>
      <c r="V90" s="42"/>
      <c r="W90" s="42"/>
      <c r="X90" s="27"/>
      <c r="Z90" s="27"/>
      <c r="AA90" s="42"/>
      <c r="AB90" s="42"/>
      <c r="AC90" s="27"/>
      <c r="AE90" s="27" t="str">
        <f t="shared" si="14"/>
        <v/>
      </c>
      <c r="AG90" s="24" t="str">
        <f t="shared" si="73"/>
        <v/>
      </c>
      <c r="AH90" s="65" t="str">
        <f t="shared" si="15"/>
        <v/>
      </c>
      <c r="AJ90" s="27" t="str">
        <f t="array" ref="AJ90">IF(C90="","",INDEX(구분표!$I$2:$I$300, MATCH(1,(구분표!$E$2:$E$300='2추일출'!B90)*(구분표!$F$2:$F$300='2추일출'!C90)*(구분표!$G$2:$G$300='2추일출'!A90),0)))</f>
        <v/>
      </c>
      <c r="AL90" s="27"/>
    </row>
    <row r="91" spans="1:38" ht="99.95" customHeight="1" thickBot="1" x14ac:dyDescent="0.35">
      <c r="A91" s="33" t="str">
        <f>IFERROR(VLOOKUP($C91,구분표!$A$2:$C$300,2,FALSE),"")</f>
        <v>문화체육관광위원회</v>
      </c>
      <c r="B91" s="24" t="str">
        <f>IFERROR(VLOOKUP($C91,구분표!$A$2:$C$300,3,FALSE),"")</f>
        <v>문화체육관광국</v>
      </c>
      <c r="C91" s="31" t="s">
        <v>342</v>
      </c>
      <c r="D91" s="139" t="s">
        <v>776</v>
      </c>
      <c r="E91" s="144">
        <v>456</v>
      </c>
      <c r="F91" s="177" t="s">
        <v>862</v>
      </c>
      <c r="G91" s="44">
        <v>25175000</v>
      </c>
      <c r="H91" s="42">
        <v>24475000</v>
      </c>
      <c r="I91" s="54">
        <f t="shared" si="5"/>
        <v>700000</v>
      </c>
      <c r="J91" s="42"/>
      <c r="K91" s="45">
        <v>50000</v>
      </c>
      <c r="L91" s="50">
        <f t="shared" si="6"/>
        <v>25225000</v>
      </c>
      <c r="M91" s="167">
        <v>-150000</v>
      </c>
      <c r="N91" s="168"/>
      <c r="O91" s="169">
        <f t="shared" si="7"/>
        <v>25025000</v>
      </c>
      <c r="P91" s="27" t="str">
        <f t="shared" ref="P91:P125" si="125">IF(AND((L91=0),(O91&gt;0)),"O",IF(AND((J91&lt;0),(L91-O91&lt;0)),"O","X"))</f>
        <v>X</v>
      </c>
      <c r="Q91" s="170" t="s">
        <v>1305</v>
      </c>
      <c r="S91" s="27" t="s">
        <v>975</v>
      </c>
      <c r="U91" s="27" t="s">
        <v>975</v>
      </c>
      <c r="V91" s="42">
        <f t="shared" si="8"/>
        <v>0</v>
      </c>
      <c r="W91" s="42">
        <f t="shared" si="9"/>
        <v>50000</v>
      </c>
      <c r="X91" s="27" t="str">
        <f t="shared" si="10"/>
        <v>OK</v>
      </c>
      <c r="Z91" s="27"/>
      <c r="AA91" s="42">
        <f t="shared" si="11"/>
        <v>0</v>
      </c>
      <c r="AB91" s="42">
        <f t="shared" si="12"/>
        <v>-150000</v>
      </c>
      <c r="AC91" s="27" t="str">
        <f t="shared" si="13"/>
        <v>OK</v>
      </c>
      <c r="AE91" s="27" t="str">
        <f t="shared" si="14"/>
        <v>세입없음</v>
      </c>
      <c r="AG91" s="24">
        <f t="shared" si="73"/>
        <v>217</v>
      </c>
      <c r="AH91" s="65" t="str">
        <f t="shared" si="15"/>
        <v>OK</v>
      </c>
      <c r="AJ91" s="27" t="str">
        <f t="array" ref="AJ91">IF(C91="","",INDEX(구분표!$I$2:$I$300, MATCH(1,(구분표!$E$2:$E$300='2추일출'!B91)*(구분표!$F$2:$F$300='2추일출'!C91)*(구분표!$G$2:$G$300='2추일출'!A91),0)))</f>
        <v>0501</v>
      </c>
      <c r="AL91" s="27"/>
    </row>
    <row r="92" spans="1:38" ht="120" customHeight="1" thickTop="1" x14ac:dyDescent="0.3">
      <c r="A92" s="33" t="str">
        <f>IFERROR(VLOOKUP($C92,구분표!$A$2:$C$300,2,FALSE),"")</f>
        <v>문화체육관광위원회</v>
      </c>
      <c r="B92" s="24" t="str">
        <f>IFERROR(VLOOKUP($C92,구분표!$A$2:$C$300,3,FALSE),"")</f>
        <v>문화체육관광국</v>
      </c>
      <c r="C92" s="31" t="s">
        <v>342</v>
      </c>
      <c r="D92" s="139" t="s">
        <v>776</v>
      </c>
      <c r="E92" s="144">
        <v>456</v>
      </c>
      <c r="F92" s="178" t="s">
        <v>1189</v>
      </c>
      <c r="G92" s="44">
        <v>27650000</v>
      </c>
      <c r="H92" s="42">
        <v>25185000</v>
      </c>
      <c r="I92" s="54">
        <f t="shared" si="5"/>
        <v>2465000</v>
      </c>
      <c r="J92" s="42"/>
      <c r="K92" s="209">
        <v>700000</v>
      </c>
      <c r="L92" s="50">
        <f t="shared" si="6"/>
        <v>28350000</v>
      </c>
      <c r="M92" s="158"/>
      <c r="N92" s="171">
        <v>450000</v>
      </c>
      <c r="O92" s="160">
        <f t="shared" si="7"/>
        <v>28100000</v>
      </c>
      <c r="P92" s="27" t="str">
        <f t="shared" si="125"/>
        <v>X</v>
      </c>
      <c r="Q92" s="170" t="s">
        <v>1319</v>
      </c>
      <c r="S92" s="27" t="s">
        <v>975</v>
      </c>
      <c r="U92" s="27" t="s">
        <v>975</v>
      </c>
      <c r="V92" s="42">
        <f t="shared" si="8"/>
        <v>0</v>
      </c>
      <c r="W92" s="42">
        <f t="shared" si="9"/>
        <v>700000</v>
      </c>
      <c r="X92" s="27" t="str">
        <f t="shared" si="10"/>
        <v>OK</v>
      </c>
      <c r="Z92" s="27"/>
      <c r="AA92" s="42">
        <f t="shared" si="11"/>
        <v>0</v>
      </c>
      <c r="AB92" s="42">
        <f t="shared" si="12"/>
        <v>450000</v>
      </c>
      <c r="AC92" s="27" t="str">
        <f t="shared" si="13"/>
        <v>OK</v>
      </c>
      <c r="AE92" s="27" t="str">
        <f t="shared" si="14"/>
        <v>세입없음</v>
      </c>
      <c r="AG92" s="24">
        <f t="shared" si="73"/>
        <v>217</v>
      </c>
      <c r="AH92" s="65" t="str">
        <f t="shared" si="15"/>
        <v>OK</v>
      </c>
      <c r="AJ92" s="27" t="str">
        <f t="array" ref="AJ92">IF(C92="","",INDEX(구분표!$I$2:$I$300, MATCH(1,(구분표!$E$2:$E$300='2추일출'!B92)*(구분표!$F$2:$F$300='2추일출'!C92)*(구분표!$G$2:$G$300='2추일출'!A92),0)))</f>
        <v>0501</v>
      </c>
      <c r="AL92" s="27"/>
    </row>
    <row r="93" spans="1:38" ht="99.95" customHeight="1" x14ac:dyDescent="0.3">
      <c r="A93" s="33" t="str">
        <f>IFERROR(VLOOKUP($C93,구분표!$A$2:$C$300,2,FALSE),"")</f>
        <v>문화체육관광위원회</v>
      </c>
      <c r="B93" s="24" t="str">
        <f>IFERROR(VLOOKUP($C93,구분표!$A$2:$C$300,3,FALSE),"")</f>
        <v>문화체육관광국</v>
      </c>
      <c r="C93" s="31" t="s">
        <v>342</v>
      </c>
      <c r="D93" s="137" t="s">
        <v>776</v>
      </c>
      <c r="E93" s="143" t="s">
        <v>832</v>
      </c>
      <c r="F93" s="183" t="s">
        <v>943</v>
      </c>
      <c r="G93" s="44"/>
      <c r="H93" s="42"/>
      <c r="I93" s="54">
        <f t="shared" ref="I93" si="126">IF(D93="","",G93-H93)</f>
        <v>0</v>
      </c>
      <c r="J93" s="42"/>
      <c r="K93" s="210">
        <v>420000</v>
      </c>
      <c r="L93" s="50">
        <f t="shared" ref="L93" si="127">IF(G93=0,H93+J93+K93,G93+J93+K93)</f>
        <v>420000</v>
      </c>
      <c r="M93" s="42"/>
      <c r="N93" s="171">
        <v>420000</v>
      </c>
      <c r="O93" s="160">
        <f t="shared" ref="O93" si="128">IF(G93=0,H93+M93+N93,G93+M93+N93)</f>
        <v>420000</v>
      </c>
      <c r="P93" s="27" t="str">
        <f t="shared" si="125"/>
        <v>X</v>
      </c>
      <c r="Q93" s="225" t="s">
        <v>1306</v>
      </c>
      <c r="S93" s="27" t="s">
        <v>975</v>
      </c>
      <c r="U93" s="27" t="s">
        <v>975</v>
      </c>
      <c r="V93" s="42">
        <f t="shared" ref="V93:V94" si="129">IF($U93&lt;&gt;"도비",IF($S93="국도비","직접입력",SUM($J93:$K93)),)</f>
        <v>0</v>
      </c>
      <c r="W93" s="42">
        <f t="shared" ref="W93:W94" si="130">IF($U93="도비",SUM($J93:$K93),IF($S93="국도비","직접입력",SUM($J93:$K93)-$V93))</f>
        <v>420000</v>
      </c>
      <c r="X93" s="27" t="str">
        <f t="shared" ref="X93:X94" si="131">IF(SUM($J93:$K93)=SUM($V93:$W93),"OK","검토")</f>
        <v>OK</v>
      </c>
      <c r="Z93" s="27"/>
      <c r="AA93" s="42">
        <f t="shared" ref="AA93:AA94" si="132">IF($U93&lt;&gt;"도비",IF($S93="국도비","직접입력",SUM($M93:$N93)),)</f>
        <v>0</v>
      </c>
      <c r="AB93" s="42">
        <f t="shared" ref="AB93" si="133">IF($U93="도비",SUM(M93:N93),IF($S93="국도비","직접입력",SUM(M93:N93)-AA93))</f>
        <v>420000</v>
      </c>
      <c r="AC93" s="27" t="str">
        <f t="shared" ref="AC93" si="134">IF(SUM(M93:N93)=SUM(AA93:AB93),"OK","검토")</f>
        <v>OK</v>
      </c>
      <c r="AE93" s="27" t="str">
        <f t="shared" ref="AE93" si="135">IF(U93="","",IF(U93="도비","세입없음","직접입력"))</f>
        <v>세입없음</v>
      </c>
      <c r="AG93" s="24">
        <f t="shared" si="73"/>
        <v>217</v>
      </c>
      <c r="AH93" s="65" t="str">
        <f t="shared" ref="AH93" si="136">IF(U93="","",IF(AND(U93="도비",AE93="세입없음"),"OK",IF(AND(U93&lt;&gt;"도비",AE93&lt;&gt;""),"OK","@@")))</f>
        <v>OK</v>
      </c>
      <c r="AJ93" s="27" t="str">
        <f t="array" ref="AJ93">IF(C93="","",INDEX(구분표!$I$2:$I$300, MATCH(1,(구분표!$E$2:$E$300='2추일출'!B93)*(구분표!$F$2:$F$300='2추일출'!C93)*(구분표!$G$2:$G$300='2추일출'!A93),0)))</f>
        <v>0501</v>
      </c>
      <c r="AL93" s="27"/>
    </row>
    <row r="94" spans="1:38" ht="60" customHeight="1" thickBot="1" x14ac:dyDescent="0.35">
      <c r="A94" s="33" t="str">
        <f>IFERROR(VLOOKUP($C94,구분표!$A$2:$C$300,2,FALSE),"")</f>
        <v>문화체육관광위원회</v>
      </c>
      <c r="B94" s="24" t="str">
        <f>IFERROR(VLOOKUP($C94,구분표!$A$2:$C$300,3,FALSE),"")</f>
        <v>문화체육관광국</v>
      </c>
      <c r="C94" s="31" t="s">
        <v>342</v>
      </c>
      <c r="D94" s="137" t="s">
        <v>776</v>
      </c>
      <c r="E94" s="143" t="s">
        <v>832</v>
      </c>
      <c r="F94" s="166" t="s">
        <v>943</v>
      </c>
      <c r="G94" s="44"/>
      <c r="H94" s="42"/>
      <c r="I94" s="54">
        <f t="shared" si="5"/>
        <v>0</v>
      </c>
      <c r="J94" s="42"/>
      <c r="K94" s="210">
        <v>115000</v>
      </c>
      <c r="L94" s="50">
        <f t="shared" si="6"/>
        <v>115000</v>
      </c>
      <c r="M94" s="42"/>
      <c r="N94" s="159">
        <v>725000</v>
      </c>
      <c r="O94" s="160">
        <f t="shared" si="7"/>
        <v>725000</v>
      </c>
      <c r="P94" s="27" t="str">
        <f t="shared" si="125"/>
        <v>X</v>
      </c>
      <c r="Q94" s="170"/>
      <c r="S94" s="27" t="s">
        <v>975</v>
      </c>
      <c r="U94" s="27" t="s">
        <v>975</v>
      </c>
      <c r="V94" s="42">
        <f t="shared" si="129"/>
        <v>0</v>
      </c>
      <c r="W94" s="42">
        <f t="shared" si="130"/>
        <v>115000</v>
      </c>
      <c r="X94" s="27" t="str">
        <f t="shared" si="131"/>
        <v>OK</v>
      </c>
      <c r="Z94" s="27"/>
      <c r="AA94" s="42">
        <f t="shared" si="132"/>
        <v>0</v>
      </c>
      <c r="AB94" s="42">
        <f t="shared" ref="AB94" si="137">IF($U94="도비",SUM(M94:N94),IF($S94="국도비","직접입력",SUM(M94:N94)-AA94))</f>
        <v>725000</v>
      </c>
      <c r="AC94" s="27" t="str">
        <f t="shared" ref="AC94" si="138">IF(SUM(M94:N94)=SUM(AA94:AB94),"OK","검토")</f>
        <v>OK</v>
      </c>
      <c r="AE94" s="27" t="str">
        <f t="shared" si="14"/>
        <v>세입없음</v>
      </c>
      <c r="AG94" s="24">
        <f t="shared" si="73"/>
        <v>217</v>
      </c>
      <c r="AH94" s="65" t="str">
        <f t="shared" si="15"/>
        <v>OK</v>
      </c>
      <c r="AJ94" s="27" t="str">
        <f t="array" ref="AJ94">IF(C94="","",INDEX(구분표!$I$2:$I$300, MATCH(1,(구분표!$E$2:$E$300='2추일출'!B94)*(구분표!$F$2:$F$300='2추일출'!C94)*(구분표!$G$2:$G$300='2추일출'!A94),0)))</f>
        <v>0501</v>
      </c>
      <c r="AL94" s="27"/>
    </row>
    <row r="95" spans="1:38" ht="50.1" customHeight="1" thickTop="1" x14ac:dyDescent="0.3">
      <c r="A95" s="33" t="str">
        <f>IFERROR(VLOOKUP($C95,구분표!$A$2:$C$300,2,FALSE),"")</f>
        <v>문화체육관광위원회</v>
      </c>
      <c r="B95" s="24" t="str">
        <f>IFERROR(VLOOKUP($C95,구분표!$A$2:$C$300,3,FALSE),"")</f>
        <v>문화체육관광국</v>
      </c>
      <c r="C95" s="31" t="s">
        <v>342</v>
      </c>
      <c r="D95" s="35" t="s">
        <v>776</v>
      </c>
      <c r="E95" s="145">
        <v>456</v>
      </c>
      <c r="F95" s="134" t="s">
        <v>1012</v>
      </c>
      <c r="G95" s="44">
        <v>600000</v>
      </c>
      <c r="H95" s="42">
        <v>100000</v>
      </c>
      <c r="I95" s="54">
        <f t="shared" si="5"/>
        <v>500000</v>
      </c>
      <c r="J95" s="42">
        <v>-500000</v>
      </c>
      <c r="K95" s="45"/>
      <c r="L95" s="50">
        <f t="shared" si="6"/>
        <v>100000</v>
      </c>
      <c r="M95" s="158">
        <v>-500000</v>
      </c>
      <c r="N95" s="159">
        <v>0</v>
      </c>
      <c r="O95" s="160">
        <f t="shared" si="7"/>
        <v>100000</v>
      </c>
      <c r="P95" s="27" t="str">
        <f t="shared" si="125"/>
        <v>X</v>
      </c>
      <c r="Q95" s="170"/>
      <c r="S95" s="27" t="s">
        <v>975</v>
      </c>
      <c r="U95" s="27" t="s">
        <v>975</v>
      </c>
      <c r="V95" s="42">
        <f t="shared" si="8"/>
        <v>0</v>
      </c>
      <c r="W95" s="42">
        <f t="shared" si="9"/>
        <v>-500000</v>
      </c>
      <c r="X95" s="27" t="str">
        <f t="shared" si="10"/>
        <v>OK</v>
      </c>
      <c r="Z95" s="27"/>
      <c r="AA95" s="42">
        <f t="shared" si="11"/>
        <v>0</v>
      </c>
      <c r="AB95" s="42">
        <f t="shared" si="12"/>
        <v>-500000</v>
      </c>
      <c r="AC95" s="27" t="str">
        <f t="shared" si="13"/>
        <v>OK</v>
      </c>
      <c r="AE95" s="27" t="str">
        <f t="shared" si="14"/>
        <v>세입없음</v>
      </c>
      <c r="AG95" s="24">
        <f t="shared" si="73"/>
        <v>217</v>
      </c>
      <c r="AH95" s="65" t="str">
        <f t="shared" si="15"/>
        <v>OK</v>
      </c>
      <c r="AJ95" s="27" t="str">
        <f t="array" ref="AJ95">IF(C95="","",INDEX(구분표!$I$2:$I$300, MATCH(1,(구분표!$E$2:$E$300='2추일출'!B95)*(구분표!$F$2:$F$300='2추일출'!C95)*(구분표!$G$2:$G$300='2추일출'!A95),0)))</f>
        <v>0501</v>
      </c>
      <c r="AL95" s="27"/>
    </row>
    <row r="96" spans="1:38" ht="50.1" customHeight="1" x14ac:dyDescent="0.3">
      <c r="A96" s="33" t="str">
        <f>IFERROR(VLOOKUP($C96,구분표!$A$2:$C$300,2,FALSE),"")</f>
        <v>문화체육관광위원회</v>
      </c>
      <c r="B96" s="24" t="str">
        <f>IFERROR(VLOOKUP($C96,구분표!$A$2:$C$300,3,FALSE),"")</f>
        <v>문화체육관광국</v>
      </c>
      <c r="C96" s="31" t="s">
        <v>342</v>
      </c>
      <c r="D96" s="139" t="s">
        <v>776</v>
      </c>
      <c r="E96" s="144">
        <v>457</v>
      </c>
      <c r="F96" s="140" t="s">
        <v>1013</v>
      </c>
      <c r="G96" s="44">
        <v>1000000</v>
      </c>
      <c r="H96" s="42"/>
      <c r="I96" s="54">
        <f t="shared" si="5"/>
        <v>1000000</v>
      </c>
      <c r="J96" s="42">
        <v>-300000</v>
      </c>
      <c r="K96" s="45"/>
      <c r="L96" s="50">
        <f t="shared" si="6"/>
        <v>700000</v>
      </c>
      <c r="M96" s="158">
        <v>-500000</v>
      </c>
      <c r="N96" s="159"/>
      <c r="O96" s="160">
        <f t="shared" si="7"/>
        <v>500000</v>
      </c>
      <c r="P96" s="27" t="str">
        <f t="shared" si="125"/>
        <v>X</v>
      </c>
      <c r="Q96" s="170"/>
      <c r="S96" s="27" t="s">
        <v>975</v>
      </c>
      <c r="U96" s="27" t="s">
        <v>975</v>
      </c>
      <c r="V96" s="42">
        <f t="shared" si="8"/>
        <v>0</v>
      </c>
      <c r="W96" s="42">
        <f t="shared" si="9"/>
        <v>-300000</v>
      </c>
      <c r="X96" s="27" t="str">
        <f t="shared" si="10"/>
        <v>OK</v>
      </c>
      <c r="Z96" s="27"/>
      <c r="AA96" s="42">
        <f t="shared" si="11"/>
        <v>0</v>
      </c>
      <c r="AB96" s="42">
        <f t="shared" si="12"/>
        <v>-500000</v>
      </c>
      <c r="AC96" s="27" t="str">
        <f t="shared" si="13"/>
        <v>OK</v>
      </c>
      <c r="AE96" s="27" t="str">
        <f t="shared" si="14"/>
        <v>세입없음</v>
      </c>
      <c r="AG96" s="24">
        <f t="shared" si="73"/>
        <v>217</v>
      </c>
      <c r="AH96" s="65" t="str">
        <f t="shared" si="15"/>
        <v>OK</v>
      </c>
      <c r="AJ96" s="27" t="str">
        <f t="array" ref="AJ96">IF(C96="","",INDEX(구분표!$I$2:$I$300, MATCH(1,(구분표!$E$2:$E$300='2추일출'!B96)*(구분표!$F$2:$F$300='2추일출'!C96)*(구분표!$G$2:$G$300='2추일출'!A96),0)))</f>
        <v>0501</v>
      </c>
      <c r="AL96" s="27"/>
    </row>
    <row r="97" spans="1:38" ht="50.1" customHeight="1" x14ac:dyDescent="0.3">
      <c r="A97" s="33" t="str">
        <f>IFERROR(VLOOKUP($C97,구분표!$A$2:$C$300,2,FALSE),"")</f>
        <v>문화체육관광위원회</v>
      </c>
      <c r="B97" s="24" t="str">
        <f>IFERROR(VLOOKUP($C97,구분표!$A$2:$C$300,3,FALSE),"")</f>
        <v>문화체육관광국</v>
      </c>
      <c r="C97" s="31" t="s">
        <v>350</v>
      </c>
      <c r="D97" s="139" t="s">
        <v>776</v>
      </c>
      <c r="E97" s="144">
        <v>459</v>
      </c>
      <c r="F97" s="140" t="s">
        <v>1014</v>
      </c>
      <c r="G97" s="44">
        <v>100000</v>
      </c>
      <c r="H97" s="42"/>
      <c r="I97" s="54">
        <f t="shared" si="5"/>
        <v>100000</v>
      </c>
      <c r="J97" s="42">
        <v>-100000</v>
      </c>
      <c r="K97" s="45"/>
      <c r="L97" s="50">
        <f t="shared" si="6"/>
        <v>0</v>
      </c>
      <c r="M97" s="158">
        <v>-100000</v>
      </c>
      <c r="N97" s="159"/>
      <c r="O97" s="160">
        <f t="shared" si="7"/>
        <v>0</v>
      </c>
      <c r="P97" s="27" t="str">
        <f t="shared" si="125"/>
        <v>X</v>
      </c>
      <c r="Q97" s="170"/>
      <c r="S97" s="27" t="s">
        <v>975</v>
      </c>
      <c r="U97" s="27" t="s">
        <v>975</v>
      </c>
      <c r="V97" s="42">
        <f t="shared" si="8"/>
        <v>0</v>
      </c>
      <c r="W97" s="42">
        <f t="shared" si="9"/>
        <v>-100000</v>
      </c>
      <c r="X97" s="27" t="str">
        <f t="shared" si="10"/>
        <v>OK</v>
      </c>
      <c r="Z97" s="27"/>
      <c r="AA97" s="42">
        <f t="shared" si="11"/>
        <v>0</v>
      </c>
      <c r="AB97" s="42">
        <f t="shared" si="12"/>
        <v>-100000</v>
      </c>
      <c r="AC97" s="27" t="str">
        <f t="shared" si="13"/>
        <v>OK</v>
      </c>
      <c r="AE97" s="27" t="str">
        <f t="shared" si="14"/>
        <v>세입없음</v>
      </c>
      <c r="AG97" s="24">
        <f t="shared" si="73"/>
        <v>217</v>
      </c>
      <c r="AH97" s="65" t="str">
        <f t="shared" si="15"/>
        <v>OK</v>
      </c>
      <c r="AJ97" s="27" t="str">
        <f t="array" ref="AJ97">IF(C97="","",INDEX(구분표!$I$2:$I$300, MATCH(1,(구분표!$E$2:$E$300='2추일출'!B97)*(구분표!$F$2:$F$300='2추일출'!C97)*(구분표!$G$2:$G$300='2추일출'!A97),0)))</f>
        <v>0503</v>
      </c>
      <c r="AL97" s="27"/>
    </row>
    <row r="98" spans="1:38" ht="50.1" customHeight="1" x14ac:dyDescent="0.3">
      <c r="A98" s="33" t="str">
        <f>IFERROR(VLOOKUP($C98,구분표!$A$2:$C$300,2,FALSE),"")</f>
        <v>문화체육관광위원회</v>
      </c>
      <c r="B98" s="24" t="str">
        <f>IFERROR(VLOOKUP($C98,구분표!$A$2:$C$300,3,FALSE),"")</f>
        <v>문화체육관광국</v>
      </c>
      <c r="C98" s="31" t="s">
        <v>350</v>
      </c>
      <c r="D98" s="35" t="s">
        <v>776</v>
      </c>
      <c r="E98" s="145">
        <v>460</v>
      </c>
      <c r="F98" s="134" t="s">
        <v>1015</v>
      </c>
      <c r="G98" s="44">
        <v>1200000</v>
      </c>
      <c r="H98" s="42">
        <v>825000</v>
      </c>
      <c r="I98" s="54">
        <f t="shared" ref="I98:I106" si="139">IF(D98="","",G98-H98)</f>
        <v>375000</v>
      </c>
      <c r="J98" s="42"/>
      <c r="K98" s="45">
        <v>100000</v>
      </c>
      <c r="L98" s="50">
        <f t="shared" ref="L98:L106" si="140">IF(G98=0,H98+J98+K98,G98+J98+K98)</f>
        <v>1300000</v>
      </c>
      <c r="M98" s="158">
        <v>0</v>
      </c>
      <c r="N98" s="171">
        <v>100000</v>
      </c>
      <c r="O98" s="160">
        <f t="shared" ref="O98:O106" si="141">IF(G98=0,H98+M98+N98,G98+M98+N98)</f>
        <v>1300000</v>
      </c>
      <c r="P98" s="27" t="str">
        <f t="shared" si="125"/>
        <v>X</v>
      </c>
      <c r="Q98" s="170"/>
      <c r="S98" s="27" t="s">
        <v>975</v>
      </c>
      <c r="U98" s="27" t="s">
        <v>975</v>
      </c>
      <c r="V98" s="42">
        <f t="shared" si="8"/>
        <v>0</v>
      </c>
      <c r="W98" s="42">
        <f t="shared" si="9"/>
        <v>100000</v>
      </c>
      <c r="X98" s="27" t="str">
        <f t="shared" si="10"/>
        <v>OK</v>
      </c>
      <c r="Z98" s="27"/>
      <c r="AA98" s="42">
        <f t="shared" si="11"/>
        <v>0</v>
      </c>
      <c r="AB98" s="42">
        <f t="shared" ref="AB98:AB106" si="142">IF($U98="도비",SUM(M98:N98),IF($S98="국도비","직접입력",SUM(M98:N98)-AA98))</f>
        <v>100000</v>
      </c>
      <c r="AC98" s="27" t="str">
        <f t="shared" ref="AC98:AC106" si="143">IF(SUM(M98:N98)=SUM(AA98:AB98),"OK","검토")</f>
        <v>OK</v>
      </c>
      <c r="AE98" s="27" t="str">
        <f t="shared" ref="AE98:AE106" si="144">IF(U98="","",IF(U98="도비","세입없음","직접입력"))</f>
        <v>세입없음</v>
      </c>
      <c r="AG98" s="24">
        <f t="shared" si="73"/>
        <v>217</v>
      </c>
      <c r="AH98" s="65" t="str">
        <f t="shared" ref="AH98:AH106" si="145">IF(U98="","",IF(AND(U98="도비",AE98="세입없음"),"OK",IF(AND(U98&lt;&gt;"도비",AE98&lt;&gt;""),"OK","@@")))</f>
        <v>OK</v>
      </c>
      <c r="AJ98" s="27" t="str">
        <f t="array" ref="AJ98">IF(C98="","",INDEX(구분표!$I$2:$I$300, MATCH(1,(구분표!$E$2:$E$300='2추일출'!B98)*(구분표!$F$2:$F$300='2추일출'!C98)*(구분표!$G$2:$G$300='2추일출'!A98),0)))</f>
        <v>0503</v>
      </c>
      <c r="AL98" s="27"/>
    </row>
    <row r="99" spans="1:38" ht="50.1" customHeight="1" x14ac:dyDescent="0.3">
      <c r="A99" s="33" t="str">
        <f>IFERROR(VLOOKUP($C99,구분표!$A$2:$C$300,2,FALSE),"")</f>
        <v>문화체육관광위원회</v>
      </c>
      <c r="B99" s="24" t="str">
        <f>IFERROR(VLOOKUP($C99,구분표!$A$2:$C$300,3,FALSE),"")</f>
        <v>문화체육관광국</v>
      </c>
      <c r="C99" s="31" t="s">
        <v>350</v>
      </c>
      <c r="D99" s="35" t="s">
        <v>776</v>
      </c>
      <c r="E99" s="145">
        <v>460</v>
      </c>
      <c r="F99" s="134" t="s">
        <v>1016</v>
      </c>
      <c r="G99" s="44">
        <v>8740000</v>
      </c>
      <c r="H99" s="42">
        <v>4440000</v>
      </c>
      <c r="I99" s="54">
        <f t="shared" si="139"/>
        <v>4300000</v>
      </c>
      <c r="J99" s="42"/>
      <c r="K99" s="45">
        <v>2700000</v>
      </c>
      <c r="L99" s="50">
        <f t="shared" si="140"/>
        <v>11440000</v>
      </c>
      <c r="M99" s="158">
        <v>0</v>
      </c>
      <c r="N99" s="171">
        <v>2700000</v>
      </c>
      <c r="O99" s="160">
        <f t="shared" si="141"/>
        <v>11440000</v>
      </c>
      <c r="P99" s="27" t="str">
        <f t="shared" si="125"/>
        <v>X</v>
      </c>
      <c r="Q99" s="170" t="s">
        <v>857</v>
      </c>
      <c r="S99" s="27" t="s">
        <v>985</v>
      </c>
      <c r="U99" s="27" t="s">
        <v>1017</v>
      </c>
      <c r="V99" s="42">
        <v>2700000</v>
      </c>
      <c r="W99" s="42">
        <v>0</v>
      </c>
      <c r="X99" s="27" t="str">
        <f t="shared" si="10"/>
        <v>OK</v>
      </c>
      <c r="Z99" s="27" t="s">
        <v>1320</v>
      </c>
      <c r="AA99" s="42">
        <v>2700000</v>
      </c>
      <c r="AB99" s="42">
        <v>0</v>
      </c>
      <c r="AC99" s="27" t="str">
        <f t="shared" si="143"/>
        <v>OK</v>
      </c>
      <c r="AE99" s="27" t="s">
        <v>1018</v>
      </c>
      <c r="AG99" s="24">
        <f t="shared" si="73"/>
        <v>1</v>
      </c>
      <c r="AH99" s="65" t="str">
        <f t="shared" si="145"/>
        <v>OK</v>
      </c>
      <c r="AJ99" s="27" t="str">
        <f t="array" ref="AJ99">IF(C99="","",INDEX(구분표!$I$2:$I$300, MATCH(1,(구분표!$E$2:$E$300='2추일출'!B99)*(구분표!$F$2:$F$300='2추일출'!C99)*(구분표!$G$2:$G$300='2추일출'!A99),0)))</f>
        <v>0503</v>
      </c>
      <c r="AL99" s="27"/>
    </row>
    <row r="100" spans="1:38" ht="60" customHeight="1" thickBot="1" x14ac:dyDescent="0.35">
      <c r="A100" s="33" t="str">
        <f>IFERROR(VLOOKUP($C100,구분표!$A$2:$C$300,2,FALSE),"")</f>
        <v>문화체육관광위원회</v>
      </c>
      <c r="B100" s="24" t="str">
        <f>IFERROR(VLOOKUP($C100,구분표!$A$2:$C$300,3,FALSE),"")</f>
        <v>문화체육관광국</v>
      </c>
      <c r="C100" s="31" t="s">
        <v>353</v>
      </c>
      <c r="D100" s="139" t="s">
        <v>776</v>
      </c>
      <c r="E100" s="144">
        <v>463</v>
      </c>
      <c r="F100" s="177" t="s">
        <v>1019</v>
      </c>
      <c r="G100" s="44">
        <v>6217500</v>
      </c>
      <c r="H100" s="42">
        <v>4607000</v>
      </c>
      <c r="I100" s="54">
        <f t="shared" si="139"/>
        <v>1610500</v>
      </c>
      <c r="J100" s="42"/>
      <c r="K100" s="45"/>
      <c r="L100" s="50">
        <f t="shared" si="140"/>
        <v>6217500</v>
      </c>
      <c r="M100" s="158">
        <v>0</v>
      </c>
      <c r="N100" s="159">
        <v>0</v>
      </c>
      <c r="O100" s="160">
        <f t="shared" si="141"/>
        <v>6217500</v>
      </c>
      <c r="P100" s="27" t="str">
        <f t="shared" si="125"/>
        <v>X</v>
      </c>
      <c r="Q100" s="170" t="s">
        <v>1328</v>
      </c>
      <c r="S100" s="27" t="s">
        <v>975</v>
      </c>
      <c r="U100" s="27" t="s">
        <v>975</v>
      </c>
      <c r="V100" s="42">
        <f t="shared" si="8"/>
        <v>0</v>
      </c>
      <c r="W100" s="42">
        <f t="shared" si="9"/>
        <v>0</v>
      </c>
      <c r="X100" s="27" t="str">
        <f t="shared" si="10"/>
        <v>OK</v>
      </c>
      <c r="Z100" s="27"/>
      <c r="AA100" s="42">
        <f t="shared" si="11"/>
        <v>0</v>
      </c>
      <c r="AB100" s="42">
        <f t="shared" si="142"/>
        <v>0</v>
      </c>
      <c r="AC100" s="27" t="str">
        <f t="shared" si="143"/>
        <v>OK</v>
      </c>
      <c r="AE100" s="27" t="str">
        <f t="shared" si="144"/>
        <v>세입없음</v>
      </c>
      <c r="AG100" s="24">
        <f t="shared" si="73"/>
        <v>217</v>
      </c>
      <c r="AH100" s="65" t="str">
        <f t="shared" si="145"/>
        <v>OK</v>
      </c>
      <c r="AJ100" s="27" t="str">
        <f t="array" ref="AJ100">IF(C100="","",INDEX(구분표!$I$2:$I$300, MATCH(1,(구분표!$E$2:$E$300='2추일출'!B100)*(구분표!$F$2:$F$300='2추일출'!C100)*(구분표!$G$2:$G$300='2추일출'!A100),0)))</f>
        <v>0504</v>
      </c>
      <c r="AL100" s="27"/>
    </row>
    <row r="101" spans="1:38" ht="50.1" customHeight="1" thickTop="1" x14ac:dyDescent="0.3">
      <c r="A101" s="33" t="str">
        <f>IFERROR(VLOOKUP($C101,구분표!$A$2:$C$300,2,FALSE),"")</f>
        <v>문화체육관광위원회</v>
      </c>
      <c r="B101" s="24" t="str">
        <f>IFERROR(VLOOKUP($C101,구분표!$A$2:$C$300,3,FALSE),"")</f>
        <v>문화체육관광국</v>
      </c>
      <c r="C101" s="31" t="s">
        <v>356</v>
      </c>
      <c r="D101" s="137" t="s">
        <v>776</v>
      </c>
      <c r="E101" s="143" t="s">
        <v>832</v>
      </c>
      <c r="F101" s="184" t="s">
        <v>1020</v>
      </c>
      <c r="G101" s="44">
        <v>3783779</v>
      </c>
      <c r="H101" s="42">
        <v>3351400</v>
      </c>
      <c r="I101" s="54">
        <f t="shared" si="139"/>
        <v>432379</v>
      </c>
      <c r="J101" s="42"/>
      <c r="K101" s="45">
        <v>100000</v>
      </c>
      <c r="L101" s="50">
        <f t="shared" si="140"/>
        <v>3883779</v>
      </c>
      <c r="M101" s="42"/>
      <c r="N101" s="159">
        <v>100000</v>
      </c>
      <c r="O101" s="52">
        <f t="shared" si="141"/>
        <v>3883779</v>
      </c>
      <c r="P101" s="27" t="str">
        <f t="shared" si="125"/>
        <v>X</v>
      </c>
      <c r="Q101" s="170" t="s">
        <v>1226</v>
      </c>
      <c r="S101" s="27" t="s">
        <v>975</v>
      </c>
      <c r="U101" s="27" t="s">
        <v>975</v>
      </c>
      <c r="V101" s="42">
        <f t="shared" si="8"/>
        <v>0</v>
      </c>
      <c r="W101" s="42">
        <f t="shared" si="9"/>
        <v>100000</v>
      </c>
      <c r="X101" s="27" t="str">
        <f t="shared" si="10"/>
        <v>OK</v>
      </c>
      <c r="Z101" s="27"/>
      <c r="AA101" s="42">
        <f t="shared" si="11"/>
        <v>0</v>
      </c>
      <c r="AB101" s="42">
        <f t="shared" si="142"/>
        <v>100000</v>
      </c>
      <c r="AC101" s="27" t="str">
        <f t="shared" si="143"/>
        <v>OK</v>
      </c>
      <c r="AE101" s="27" t="str">
        <f t="shared" si="144"/>
        <v>세입없음</v>
      </c>
      <c r="AG101" s="24">
        <f t="shared" si="73"/>
        <v>217</v>
      </c>
      <c r="AH101" s="65" t="str">
        <f t="shared" si="145"/>
        <v>OK</v>
      </c>
      <c r="AJ101" s="27" t="str">
        <f t="array" ref="AJ101">IF(C101="","",INDEX(구분표!$I$2:$I$300, MATCH(1,(구분표!$E$2:$E$300='2추일출'!B101)*(구분표!$F$2:$F$300='2추일출'!C101)*(구분표!$G$2:$G$300='2추일출'!A101),0)))</f>
        <v>0505</v>
      </c>
      <c r="AL101" s="27"/>
    </row>
    <row r="102" spans="1:38" ht="50.1" customHeight="1" thickBot="1" x14ac:dyDescent="0.35">
      <c r="A102" s="33" t="str">
        <f>IFERROR(VLOOKUP($C102,구분표!$A$2:$C$300,2,FALSE),"")</f>
        <v>문화체육관광위원회</v>
      </c>
      <c r="B102" s="24" t="str">
        <f>IFERROR(VLOOKUP($C102,구분표!$A$2:$C$300,3,FALSE),"")</f>
        <v>문화체육관광국</v>
      </c>
      <c r="C102" s="31" t="s">
        <v>356</v>
      </c>
      <c r="D102" s="137" t="s">
        <v>1178</v>
      </c>
      <c r="E102" s="143" t="s">
        <v>832</v>
      </c>
      <c r="F102" s="166" t="s">
        <v>963</v>
      </c>
      <c r="G102" s="44"/>
      <c r="H102" s="42"/>
      <c r="I102" s="54">
        <f>IF(D102="","",G102-H102)</f>
        <v>0</v>
      </c>
      <c r="J102" s="42"/>
      <c r="K102" s="45">
        <v>40000</v>
      </c>
      <c r="L102" s="50">
        <f>IF(G102=0,H102+J102+K102,G102+J102+K102)</f>
        <v>40000</v>
      </c>
      <c r="M102" s="42"/>
      <c r="N102" s="159">
        <v>40000</v>
      </c>
      <c r="O102" s="160">
        <f>IF(G102=0,H102+M102+N102,G102+M102+N102)</f>
        <v>40000</v>
      </c>
      <c r="P102" s="27" t="str">
        <f t="shared" si="125"/>
        <v>X</v>
      </c>
      <c r="Q102" s="170" t="s">
        <v>1309</v>
      </c>
      <c r="S102" s="27" t="s">
        <v>1215</v>
      </c>
      <c r="U102" s="27" t="s">
        <v>1215</v>
      </c>
      <c r="V102" s="42">
        <f>IF($U102&lt;&gt;"도비",IF($S102="국도비","직접입력",SUM($J102:$K102)),)</f>
        <v>0</v>
      </c>
      <c r="W102" s="42">
        <f>IF($U102="도비",SUM($J102:$K102),IF($S102="국도비","직접입력",SUM($J102:$K102)-$V102))</f>
        <v>40000</v>
      </c>
      <c r="X102" s="27" t="str">
        <f>IF(SUM($J102:$K102)=SUM($V102:$W102),"OK","검토")</f>
        <v>OK</v>
      </c>
      <c r="Z102" s="27"/>
      <c r="AA102" s="42">
        <f>IF($U102&lt;&gt;"도비",IF($S102="국도비","직접입력",SUM($M102:$N102)),)</f>
        <v>0</v>
      </c>
      <c r="AB102" s="42">
        <f>IF($U102="도비",SUM(M102:N102),IF($S102="국도비","직접입력",SUM(M102:N102)-AA102))</f>
        <v>40000</v>
      </c>
      <c r="AC102" s="27" t="str">
        <f>IF(SUM(M102:N102)=SUM(AA102:AB102),"OK","검토")</f>
        <v>OK</v>
      </c>
      <c r="AE102" s="27" t="str">
        <f>IF(U102="","",IF(U102="도비","세입없음","직접입력"))</f>
        <v>세입없음</v>
      </c>
      <c r="AG102" s="24">
        <f t="shared" si="73"/>
        <v>217</v>
      </c>
      <c r="AH102" s="65" t="str">
        <f>IF(U102="","",IF(AND(U102="도비",AE102="세입없음"),"OK",IF(AND(U102&lt;&gt;"도비",AE102&lt;&gt;""),"OK","@@")))</f>
        <v>OK</v>
      </c>
      <c r="AJ102" s="27" t="str">
        <f t="array" ref="AJ102">IF(C102="","",INDEX(구분표!$I$2:$I$300, MATCH(1,(구분표!$E$2:$E$300='2추일출'!B102)*(구분표!$F$2:$F$300='2추일출'!C102)*(구분표!$G$2:$G$300='2추일출'!A102),0)))</f>
        <v>0505</v>
      </c>
      <c r="AL102" s="27"/>
    </row>
    <row r="103" spans="1:38" ht="50.1" customHeight="1" thickTop="1" x14ac:dyDescent="0.3">
      <c r="A103" s="33" t="str">
        <f>IFERROR(VLOOKUP($C103,구분표!$A$2:$C$300,2,FALSE),"")</f>
        <v>문화체육관광위원회</v>
      </c>
      <c r="B103" s="24" t="str">
        <f>IFERROR(VLOOKUP($C103,구분표!$A$2:$C$300,3,FALSE),"")</f>
        <v>문화체육관광국</v>
      </c>
      <c r="C103" s="31" t="s">
        <v>356</v>
      </c>
      <c r="D103" s="141" t="s">
        <v>776</v>
      </c>
      <c r="E103" s="146">
        <v>464</v>
      </c>
      <c r="F103" s="142" t="s">
        <v>1028</v>
      </c>
      <c r="G103" s="44">
        <v>850000</v>
      </c>
      <c r="H103" s="42">
        <v>550000</v>
      </c>
      <c r="I103" s="54">
        <f>IF(D103="","",G103-H103)</f>
        <v>300000</v>
      </c>
      <c r="J103" s="42"/>
      <c r="K103" s="45">
        <v>100000</v>
      </c>
      <c r="L103" s="50">
        <f>IF(G103=0,H103+J103+K103,G103+J103+K103)</f>
        <v>950000</v>
      </c>
      <c r="M103" s="158">
        <v>0</v>
      </c>
      <c r="N103" s="159">
        <v>0</v>
      </c>
      <c r="O103" s="160">
        <f>IF(G103=0,H103+M103+N103,G103+M103+N103)</f>
        <v>850000</v>
      </c>
      <c r="P103" s="27" t="str">
        <f t="shared" si="125"/>
        <v>X</v>
      </c>
      <c r="Q103" s="170"/>
      <c r="S103" s="27" t="s">
        <v>975</v>
      </c>
      <c r="U103" s="27" t="s">
        <v>975</v>
      </c>
      <c r="V103" s="42">
        <f>IF($U103&lt;&gt;"도비",IF($S103="국도비","직접입력",SUM($J103:$K103)),)</f>
        <v>0</v>
      </c>
      <c r="W103" s="42">
        <f>IF($U103="도비",SUM($J103:$K103),IF($S103="국도비","직접입력",SUM($J103:$K103)-$V103))</f>
        <v>100000</v>
      </c>
      <c r="X103" s="27" t="str">
        <f>IF(SUM($J103:$K103)=SUM($V103:$W103),"OK","검토")</f>
        <v>OK</v>
      </c>
      <c r="Z103" s="27"/>
      <c r="AA103" s="42">
        <f>IF($U103&lt;&gt;"도비",IF($S103="국도비","직접입력",SUM($M103:$N103)),)</f>
        <v>0</v>
      </c>
      <c r="AB103" s="42">
        <f>IF($U103="도비",SUM(M103:N103),IF($S103="국도비","직접입력",SUM(M103:N103)-AA103))</f>
        <v>0</v>
      </c>
      <c r="AC103" s="27" t="str">
        <f>IF(SUM(M103:N103)=SUM(AA103:AB103),"OK","검토")</f>
        <v>OK</v>
      </c>
      <c r="AE103" s="27" t="str">
        <f>IF(U103="","",IF(U103="도비","세입없음","직접입력"))</f>
        <v>세입없음</v>
      </c>
      <c r="AG103" s="24">
        <f t="shared" si="73"/>
        <v>217</v>
      </c>
      <c r="AH103" s="65" t="str">
        <f>IF(U103="","",IF(AND(U103="도비",AE103="세입없음"),"OK",IF(AND(U103&lt;&gt;"도비",AE103&lt;&gt;""),"OK","@@")))</f>
        <v>OK</v>
      </c>
      <c r="AJ103" s="27" t="str">
        <f t="array" ref="AJ103">IF(C103="","",INDEX(구분표!$I$2:$I$300, MATCH(1,(구분표!$E$2:$E$300='2추일출'!B103)*(구분표!$F$2:$F$300='2추일출'!C103)*(구분표!$G$2:$G$300='2추일출'!A103),0)))</f>
        <v>0505</v>
      </c>
      <c r="AL103" s="27"/>
    </row>
    <row r="104" spans="1:38" ht="50.1" customHeight="1" thickBot="1" x14ac:dyDescent="0.35">
      <c r="A104" s="33" t="str">
        <f>IFERROR(VLOOKUP($C104,구분표!$A$2:$C$300,2,FALSE),"")</f>
        <v>문화체육관광위원회</v>
      </c>
      <c r="B104" s="24" t="str">
        <f>IFERROR(VLOOKUP($C104,구분표!$A$2:$C$300,3,FALSE),"")</f>
        <v>문화체육관광국</v>
      </c>
      <c r="C104" s="31" t="s">
        <v>356</v>
      </c>
      <c r="D104" s="139" t="s">
        <v>776</v>
      </c>
      <c r="E104" s="144">
        <v>464</v>
      </c>
      <c r="F104" s="179" t="s">
        <v>1021</v>
      </c>
      <c r="G104" s="44">
        <v>1700000</v>
      </c>
      <c r="H104" s="42"/>
      <c r="I104" s="54">
        <f t="shared" si="139"/>
        <v>1700000</v>
      </c>
      <c r="J104" s="42">
        <v>-300000</v>
      </c>
      <c r="K104" s="45"/>
      <c r="L104" s="50">
        <f t="shared" si="140"/>
        <v>1400000</v>
      </c>
      <c r="M104" s="158">
        <v>-500000</v>
      </c>
      <c r="N104" s="159"/>
      <c r="O104" s="160">
        <f t="shared" si="141"/>
        <v>1200000</v>
      </c>
      <c r="P104" s="27" t="str">
        <f t="shared" si="125"/>
        <v>X</v>
      </c>
      <c r="Q104" s="170"/>
      <c r="S104" s="27" t="s">
        <v>975</v>
      </c>
      <c r="U104" s="27" t="s">
        <v>975</v>
      </c>
      <c r="V104" s="42">
        <f t="shared" si="8"/>
        <v>0</v>
      </c>
      <c r="W104" s="42">
        <f t="shared" si="9"/>
        <v>-300000</v>
      </c>
      <c r="X104" s="27" t="str">
        <f t="shared" si="10"/>
        <v>OK</v>
      </c>
      <c r="Z104" s="27"/>
      <c r="AA104" s="42">
        <f t="shared" si="11"/>
        <v>0</v>
      </c>
      <c r="AB104" s="42">
        <f t="shared" si="142"/>
        <v>-500000</v>
      </c>
      <c r="AC104" s="27" t="str">
        <f t="shared" si="143"/>
        <v>OK</v>
      </c>
      <c r="AE104" s="27" t="str">
        <f t="shared" si="144"/>
        <v>세입없음</v>
      </c>
      <c r="AG104" s="24">
        <f t="shared" si="73"/>
        <v>217</v>
      </c>
      <c r="AH104" s="65" t="str">
        <f t="shared" si="145"/>
        <v>OK</v>
      </c>
      <c r="AJ104" s="27" t="str">
        <f t="array" ref="AJ104">IF(C104="","",INDEX(구분표!$I$2:$I$300, MATCH(1,(구분표!$E$2:$E$300='2추일출'!B104)*(구분표!$F$2:$F$300='2추일출'!C104)*(구분표!$G$2:$G$300='2추일출'!A104),0)))</f>
        <v>0505</v>
      </c>
      <c r="AL104" s="27"/>
    </row>
    <row r="105" spans="1:38" ht="72" customHeight="1" thickTop="1" x14ac:dyDescent="0.3">
      <c r="A105" s="33" t="str">
        <f>IFERROR(VLOOKUP($C105,구분표!$A$2:$C$300,2,FALSE),"")</f>
        <v>문화체육관광위원회</v>
      </c>
      <c r="B105" s="24" t="str">
        <f>IFERROR(VLOOKUP($C105,구분표!$A$2:$C$300,3,FALSE),"")</f>
        <v>문화체육관광국</v>
      </c>
      <c r="C105" s="31" t="s">
        <v>359</v>
      </c>
      <c r="D105" s="139" t="s">
        <v>776</v>
      </c>
      <c r="E105" s="144">
        <v>467</v>
      </c>
      <c r="F105" s="178" t="s">
        <v>1022</v>
      </c>
      <c r="G105" s="44">
        <v>6313536</v>
      </c>
      <c r="H105" s="42">
        <v>4713536</v>
      </c>
      <c r="I105" s="54">
        <f t="shared" si="139"/>
        <v>1600000</v>
      </c>
      <c r="J105" s="42">
        <v>-1600000</v>
      </c>
      <c r="K105" s="45">
        <v>200000</v>
      </c>
      <c r="L105" s="50">
        <f t="shared" si="140"/>
        <v>4913536</v>
      </c>
      <c r="M105" s="158">
        <v>-1300000</v>
      </c>
      <c r="N105" s="159"/>
      <c r="O105" s="160">
        <f t="shared" si="141"/>
        <v>5013536</v>
      </c>
      <c r="P105" s="27" t="str">
        <f t="shared" si="125"/>
        <v>O</v>
      </c>
      <c r="Q105" s="218" t="s">
        <v>1238</v>
      </c>
      <c r="S105" s="27" t="s">
        <v>975</v>
      </c>
      <c r="U105" s="27" t="s">
        <v>975</v>
      </c>
      <c r="V105" s="42">
        <f t="shared" si="8"/>
        <v>0</v>
      </c>
      <c r="W105" s="42">
        <f t="shared" si="9"/>
        <v>-1400000</v>
      </c>
      <c r="X105" s="27" t="str">
        <f t="shared" si="10"/>
        <v>OK</v>
      </c>
      <c r="Z105" s="27"/>
      <c r="AA105" s="42">
        <f t="shared" si="11"/>
        <v>0</v>
      </c>
      <c r="AB105" s="42">
        <f t="shared" si="142"/>
        <v>-1300000</v>
      </c>
      <c r="AC105" s="27" t="str">
        <f t="shared" si="143"/>
        <v>OK</v>
      </c>
      <c r="AE105" s="27" t="str">
        <f t="shared" si="144"/>
        <v>세입없음</v>
      </c>
      <c r="AG105" s="24">
        <f t="shared" si="73"/>
        <v>217</v>
      </c>
      <c r="AH105" s="65" t="str">
        <f t="shared" si="145"/>
        <v>OK</v>
      </c>
      <c r="AJ105" s="27" t="str">
        <f t="array" ref="AJ105">IF(C105="","",INDEX(구분표!$I$2:$I$300, MATCH(1,(구분표!$E$2:$E$300='2추일출'!B105)*(구분표!$F$2:$F$300='2추일출'!C105)*(구분표!$G$2:$G$300='2추일출'!A105),0)))</f>
        <v>0506</v>
      </c>
      <c r="AL105" s="27"/>
    </row>
    <row r="106" spans="1:38" ht="50.1" customHeight="1" x14ac:dyDescent="0.3">
      <c r="A106" s="33" t="str">
        <f>IFERROR(VLOOKUP($C106,구분표!$A$2:$C$300,2,FALSE),"")</f>
        <v>문화체육관광위원회</v>
      </c>
      <c r="B106" s="24" t="str">
        <f>IFERROR(VLOOKUP($C106,구분표!$A$2:$C$300,3,FALSE),"")</f>
        <v>문화체육관광국</v>
      </c>
      <c r="C106" s="31" t="s">
        <v>359</v>
      </c>
      <c r="D106" s="137" t="s">
        <v>776</v>
      </c>
      <c r="E106" s="143" t="s">
        <v>832</v>
      </c>
      <c r="F106" s="183" t="s">
        <v>944</v>
      </c>
      <c r="G106" s="44"/>
      <c r="H106" s="42"/>
      <c r="I106" s="54">
        <f t="shared" si="139"/>
        <v>0</v>
      </c>
      <c r="J106" s="42"/>
      <c r="K106" s="45">
        <v>970000</v>
      </c>
      <c r="L106" s="50">
        <f t="shared" si="140"/>
        <v>970000</v>
      </c>
      <c r="M106" s="42"/>
      <c r="N106" s="159">
        <v>770000</v>
      </c>
      <c r="O106" s="160">
        <f t="shared" si="141"/>
        <v>770000</v>
      </c>
      <c r="P106" s="27" t="str">
        <f t="shared" si="125"/>
        <v>X</v>
      </c>
      <c r="Q106" s="170" t="s">
        <v>1227</v>
      </c>
      <c r="S106" s="27" t="s">
        <v>975</v>
      </c>
      <c r="U106" s="27" t="s">
        <v>975</v>
      </c>
      <c r="V106" s="42">
        <f t="shared" ref="V106:V107" si="146">IF($U106&lt;&gt;"도비",IF($S106="국도비","직접입력",SUM($J106:$K106)),)</f>
        <v>0</v>
      </c>
      <c r="W106" s="42">
        <f t="shared" ref="W106:W107" si="147">IF($U106="도비",SUM($J106:$K106),IF($S106="국도비","직접입력",SUM($J106:$K106)-$V106))</f>
        <v>970000</v>
      </c>
      <c r="X106" s="27" t="str">
        <f t="shared" ref="X106:X107" si="148">IF(SUM($J106:$K106)=SUM($V106:$W106),"OK","검토")</f>
        <v>OK</v>
      </c>
      <c r="Z106" s="27"/>
      <c r="AA106" s="42">
        <f t="shared" ref="AA106:AA107" si="149">IF($U106&lt;&gt;"도비",IF($S106="국도비","직접입력",SUM($M106:$N106)),)</f>
        <v>0</v>
      </c>
      <c r="AB106" s="42">
        <f t="shared" si="142"/>
        <v>770000</v>
      </c>
      <c r="AC106" s="27" t="str">
        <f t="shared" si="143"/>
        <v>OK</v>
      </c>
      <c r="AE106" s="27" t="str">
        <f t="shared" si="144"/>
        <v>세입없음</v>
      </c>
      <c r="AG106" s="24">
        <f t="shared" si="73"/>
        <v>217</v>
      </c>
      <c r="AH106" s="65" t="str">
        <f t="shared" si="145"/>
        <v>OK</v>
      </c>
      <c r="AJ106" s="27" t="str">
        <f t="array" ref="AJ106">IF(C106="","",INDEX(구분표!$I$2:$I$300, MATCH(1,(구분표!$E$2:$E$300='2추일출'!B106)*(구분표!$F$2:$F$300='2추일출'!C106)*(구분표!$G$2:$G$300='2추일출'!A106),0)))</f>
        <v>0506</v>
      </c>
      <c r="AL106" s="27"/>
    </row>
    <row r="107" spans="1:38" ht="50.1" customHeight="1" thickBot="1" x14ac:dyDescent="0.35">
      <c r="A107" s="33" t="str">
        <f>IFERROR(VLOOKUP($C107,구분표!$A$2:$C$300,2,FALSE),"")</f>
        <v>문화체육관광위원회</v>
      </c>
      <c r="B107" s="24" t="str">
        <f>IFERROR(VLOOKUP($C107,구분표!$A$2:$C$300,3,FALSE),"")</f>
        <v>문화체육관광국</v>
      </c>
      <c r="C107" s="31" t="s">
        <v>359</v>
      </c>
      <c r="D107" s="137" t="s">
        <v>776</v>
      </c>
      <c r="E107" s="143" t="s">
        <v>832</v>
      </c>
      <c r="F107" s="166" t="s">
        <v>944</v>
      </c>
      <c r="G107" s="44"/>
      <c r="H107" s="42"/>
      <c r="I107" s="54">
        <f t="shared" ref="I107" si="150">IF(D107="","",G107-H107)</f>
        <v>0</v>
      </c>
      <c r="J107" s="42"/>
      <c r="K107" s="45">
        <v>225000</v>
      </c>
      <c r="L107" s="50">
        <f t="shared" ref="L107" si="151">IF(G107=0,H107+J107+K107,G107+J107+K107)</f>
        <v>225000</v>
      </c>
      <c r="M107" s="42"/>
      <c r="N107" s="159">
        <v>205000</v>
      </c>
      <c r="O107" s="160">
        <f t="shared" ref="O107" si="152">IF(G107=0,H107+M107+N107,G107+M107+N107)</f>
        <v>205000</v>
      </c>
      <c r="P107" s="27" t="str">
        <f t="shared" si="125"/>
        <v>X</v>
      </c>
      <c r="Q107" s="170"/>
      <c r="S107" s="27" t="s">
        <v>975</v>
      </c>
      <c r="U107" s="27" t="s">
        <v>975</v>
      </c>
      <c r="V107" s="42">
        <f t="shared" si="146"/>
        <v>0</v>
      </c>
      <c r="W107" s="42">
        <f t="shared" si="147"/>
        <v>225000</v>
      </c>
      <c r="X107" s="27" t="str">
        <f t="shared" si="148"/>
        <v>OK</v>
      </c>
      <c r="Z107" s="27"/>
      <c r="AA107" s="42">
        <f t="shared" si="149"/>
        <v>0</v>
      </c>
      <c r="AB107" s="42">
        <f t="shared" ref="AB107" si="153">IF($U107="도비",SUM(M107:N107),IF($S107="국도비","직접입력",SUM(M107:N107)-AA107))</f>
        <v>205000</v>
      </c>
      <c r="AC107" s="27" t="str">
        <f t="shared" ref="AC107" si="154">IF(SUM(M107:N107)=SUM(AA107:AB107),"OK","검토")</f>
        <v>OK</v>
      </c>
      <c r="AE107" s="27" t="str">
        <f t="shared" ref="AE107" si="155">IF(U107="","",IF(U107="도비","세입없음","직접입력"))</f>
        <v>세입없음</v>
      </c>
      <c r="AG107" s="24">
        <f t="shared" si="73"/>
        <v>217</v>
      </c>
      <c r="AH107" s="65" t="str">
        <f t="shared" ref="AH107" si="156">IF(U107="","",IF(AND(U107="도비",AE107="세입없음"),"OK",IF(AND(U107&lt;&gt;"도비",AE107&lt;&gt;""),"OK","@@")))</f>
        <v>OK</v>
      </c>
      <c r="AJ107" s="27" t="str">
        <f t="array" ref="AJ107">IF(C107="","",INDEX(구분표!$I$2:$I$300, MATCH(1,(구분표!$E$2:$E$300='2추일출'!B107)*(구분표!$F$2:$F$300='2추일출'!C107)*(구분표!$G$2:$G$300='2추일출'!A107),0)))</f>
        <v>0506</v>
      </c>
      <c r="AL107" s="27"/>
    </row>
    <row r="108" spans="1:38" ht="50.1" customHeight="1" thickTop="1" x14ac:dyDescent="0.3">
      <c r="A108" s="33" t="str">
        <f>IFERROR(VLOOKUP($C108,구분표!$A$2:$C$300,2,FALSE),"")</f>
        <v>문화체육관광위원회</v>
      </c>
      <c r="B108" s="24" t="str">
        <f>IFERROR(VLOOKUP($C108,구분표!$A$2:$C$300,3,FALSE),"")</f>
        <v>문화체육관광국</v>
      </c>
      <c r="C108" s="31" t="s">
        <v>342</v>
      </c>
      <c r="D108" s="139" t="s">
        <v>771</v>
      </c>
      <c r="E108" s="144"/>
      <c r="F108" s="179" t="s">
        <v>1267</v>
      </c>
      <c r="G108" s="44"/>
      <c r="H108" s="42"/>
      <c r="I108" s="54">
        <f t="shared" ref="I108:I121" si="157">IF(D108="","",G108-H108)</f>
        <v>0</v>
      </c>
      <c r="J108" s="42"/>
      <c r="K108" s="45">
        <v>50000</v>
      </c>
      <c r="L108" s="50">
        <f t="shared" ref="L108:L121" si="158">IF(G108=0,H108+J108+K108,G108+J108+K108)</f>
        <v>50000</v>
      </c>
      <c r="M108" s="158">
        <v>0</v>
      </c>
      <c r="N108" s="171">
        <v>50000</v>
      </c>
      <c r="O108" s="160">
        <f t="shared" ref="O108:O121" si="159">IF(G108=0,H108+M108+N108,G108+M108+N108)</f>
        <v>50000</v>
      </c>
      <c r="P108" s="27" t="str">
        <f t="shared" si="125"/>
        <v>X</v>
      </c>
      <c r="Q108" s="170" t="s">
        <v>858</v>
      </c>
      <c r="S108" s="27" t="s">
        <v>1084</v>
      </c>
      <c r="U108" s="27" t="s">
        <v>1084</v>
      </c>
      <c r="V108" s="42">
        <f t="shared" si="8"/>
        <v>0</v>
      </c>
      <c r="W108" s="42">
        <f t="shared" si="9"/>
        <v>50000</v>
      </c>
      <c r="X108" s="27" t="str">
        <f t="shared" si="10"/>
        <v>OK</v>
      </c>
      <c r="Z108" s="27"/>
      <c r="AA108" s="42">
        <f t="shared" si="11"/>
        <v>0</v>
      </c>
      <c r="AB108" s="42">
        <f t="shared" ref="AB108:AB121" si="160">IF($U108="도비",SUM(M108:N108),IF($S108="국도비","직접입력",SUM(M108:N108)-AA108))</f>
        <v>50000</v>
      </c>
      <c r="AC108" s="27" t="str">
        <f t="shared" ref="AC108:AC121" si="161">IF(SUM(M108:N108)=SUM(AA108:AB108),"OK","검토")</f>
        <v>OK</v>
      </c>
      <c r="AE108" s="27" t="str">
        <f t="shared" ref="AE108:AE121" si="162">IF(U108="","",IF(U108="도비","세입없음","직접입력"))</f>
        <v>세입없음</v>
      </c>
      <c r="AG108" s="24">
        <f t="shared" si="73"/>
        <v>217</v>
      </c>
      <c r="AH108" s="65" t="str">
        <f t="shared" ref="AH108:AH121" si="163">IF(U108="","",IF(AND(U108="도비",AE108="세입없음"),"OK",IF(AND(U108&lt;&gt;"도비",AE108&lt;&gt;""),"OK","@@")))</f>
        <v>OK</v>
      </c>
      <c r="AJ108" s="27" t="str">
        <f t="array" ref="AJ108">IF(C108="","",INDEX(구분표!$I$2:$I$300, MATCH(1,(구분표!$E$2:$E$300='2추일출'!B108)*(구분표!$F$2:$F$300='2추일출'!C108)*(구분표!$G$2:$G$300='2추일출'!A108),0)))</f>
        <v>0501</v>
      </c>
      <c r="AL108" s="27"/>
    </row>
    <row r="109" spans="1:38" ht="50.1" customHeight="1" x14ac:dyDescent="0.3">
      <c r="A109" s="33" t="str">
        <f>IFERROR(VLOOKUP($C109,구분표!$A$2:$C$300,2,FALSE),"")</f>
        <v>문화체육관광위원회</v>
      </c>
      <c r="B109" s="24" t="str">
        <f>IFERROR(VLOOKUP($C109,구분표!$A$2:$C$300,3,FALSE),"")</f>
        <v>문화체육관광국</v>
      </c>
      <c r="C109" s="31" t="s">
        <v>347</v>
      </c>
      <c r="D109" s="35" t="s">
        <v>771</v>
      </c>
      <c r="E109" s="145"/>
      <c r="F109" s="134" t="s">
        <v>1031</v>
      </c>
      <c r="G109" s="44"/>
      <c r="H109" s="42"/>
      <c r="I109" s="54">
        <f t="shared" si="157"/>
        <v>0</v>
      </c>
      <c r="J109" s="42"/>
      <c r="K109" s="45">
        <v>600000</v>
      </c>
      <c r="L109" s="50">
        <f t="shared" si="158"/>
        <v>600000</v>
      </c>
      <c r="M109" s="158">
        <v>0</v>
      </c>
      <c r="N109" s="171">
        <v>600000</v>
      </c>
      <c r="O109" s="160">
        <f t="shared" si="159"/>
        <v>600000</v>
      </c>
      <c r="P109" s="27" t="str">
        <f t="shared" si="125"/>
        <v>X</v>
      </c>
      <c r="Q109" s="170" t="s">
        <v>859</v>
      </c>
      <c r="S109" s="27" t="s">
        <v>985</v>
      </c>
      <c r="U109" s="27"/>
      <c r="V109" s="42">
        <v>300000</v>
      </c>
      <c r="W109" s="42">
        <v>300000</v>
      </c>
      <c r="X109" s="27" t="str">
        <f t="shared" si="10"/>
        <v>OK</v>
      </c>
      <c r="Z109" s="27" t="s">
        <v>1321</v>
      </c>
      <c r="AA109" s="42">
        <v>300000</v>
      </c>
      <c r="AB109" s="42">
        <v>300000</v>
      </c>
      <c r="AC109" s="27" t="str">
        <f t="shared" si="161"/>
        <v>OK</v>
      </c>
      <c r="AE109" s="27" t="s">
        <v>1023</v>
      </c>
      <c r="AG109" s="24">
        <f t="shared" si="73"/>
        <v>1</v>
      </c>
      <c r="AH109" s="65" t="str">
        <f t="shared" si="163"/>
        <v/>
      </c>
      <c r="AJ109" s="27" t="str">
        <f t="array" ref="AJ109">IF(C109="","",INDEX(구분표!$I$2:$I$300, MATCH(1,(구분표!$E$2:$E$300='2추일출'!B109)*(구분표!$F$2:$F$300='2추일출'!C109)*(구분표!$G$2:$G$300='2추일출'!A109),0)))</f>
        <v>0502</v>
      </c>
      <c r="AL109" s="27"/>
    </row>
    <row r="110" spans="1:38" ht="50.1" customHeight="1" x14ac:dyDescent="0.3">
      <c r="A110" s="33" t="str">
        <f>IFERROR(VLOOKUP($C110,구분표!$A$2:$C$300,2,FALSE),"")</f>
        <v>문화체육관광위원회</v>
      </c>
      <c r="B110" s="24" t="str">
        <f>IFERROR(VLOOKUP($C110,구분표!$A$2:$C$300,3,FALSE),"")</f>
        <v>문화체육관광국</v>
      </c>
      <c r="C110" s="31" t="s">
        <v>350</v>
      </c>
      <c r="D110" s="35" t="s">
        <v>771</v>
      </c>
      <c r="E110" s="145"/>
      <c r="F110" s="134" t="s">
        <v>1025</v>
      </c>
      <c r="G110" s="44"/>
      <c r="H110" s="42"/>
      <c r="I110" s="54">
        <f t="shared" si="157"/>
        <v>0</v>
      </c>
      <c r="J110" s="42"/>
      <c r="K110" s="45">
        <v>743000</v>
      </c>
      <c r="L110" s="50">
        <f t="shared" si="158"/>
        <v>743000</v>
      </c>
      <c r="M110" s="158">
        <v>0</v>
      </c>
      <c r="N110" s="171">
        <v>743000</v>
      </c>
      <c r="O110" s="160">
        <f t="shared" si="159"/>
        <v>743000</v>
      </c>
      <c r="P110" s="27" t="str">
        <f t="shared" si="125"/>
        <v>X</v>
      </c>
      <c r="Q110" s="170" t="s">
        <v>860</v>
      </c>
      <c r="S110" s="27" t="s">
        <v>985</v>
      </c>
      <c r="U110" s="27" t="s">
        <v>1017</v>
      </c>
      <c r="V110" s="42">
        <v>743000</v>
      </c>
      <c r="W110" s="42">
        <v>0</v>
      </c>
      <c r="X110" s="27" t="str">
        <f t="shared" si="10"/>
        <v>OK</v>
      </c>
      <c r="Z110" s="27" t="s">
        <v>1017</v>
      </c>
      <c r="AA110" s="42">
        <v>743000</v>
      </c>
      <c r="AB110" s="42">
        <v>0</v>
      </c>
      <c r="AC110" s="27" t="str">
        <f t="shared" si="161"/>
        <v>OK</v>
      </c>
      <c r="AE110" s="27" t="s">
        <v>1024</v>
      </c>
      <c r="AG110" s="24">
        <f t="shared" si="73"/>
        <v>3</v>
      </c>
      <c r="AH110" s="65" t="str">
        <f t="shared" si="163"/>
        <v>OK</v>
      </c>
      <c r="AJ110" s="27" t="str">
        <f t="array" ref="AJ110">IF(C110="","",INDEX(구분표!$I$2:$I$300, MATCH(1,(구분표!$E$2:$E$300='2추일출'!B110)*(구분표!$F$2:$F$300='2추일출'!C110)*(구분표!$G$2:$G$300='2추일출'!A110),0)))</f>
        <v>0503</v>
      </c>
      <c r="AL110" s="27"/>
    </row>
    <row r="111" spans="1:38" ht="50.1" customHeight="1" x14ac:dyDescent="0.3">
      <c r="A111" s="33" t="str">
        <f>IFERROR(VLOOKUP($C111,구분표!$A$2:$C$300,2,FALSE),"")</f>
        <v>문화체육관광위원회</v>
      </c>
      <c r="B111" s="24" t="str">
        <f>IFERROR(VLOOKUP($C111,구분표!$A$2:$C$300,3,FALSE),"")</f>
        <v>문화체육관광국</v>
      </c>
      <c r="C111" s="31" t="s">
        <v>350</v>
      </c>
      <c r="D111" s="35" t="s">
        <v>771</v>
      </c>
      <c r="E111" s="145"/>
      <c r="F111" s="134" t="s">
        <v>964</v>
      </c>
      <c r="G111" s="44"/>
      <c r="H111" s="42"/>
      <c r="I111" s="54">
        <f t="shared" si="157"/>
        <v>0</v>
      </c>
      <c r="J111" s="42"/>
      <c r="K111" s="45">
        <v>52000</v>
      </c>
      <c r="L111" s="50">
        <f t="shared" si="158"/>
        <v>52000</v>
      </c>
      <c r="M111" s="158">
        <v>0</v>
      </c>
      <c r="N111" s="171">
        <v>52000</v>
      </c>
      <c r="O111" s="160">
        <f t="shared" si="159"/>
        <v>52000</v>
      </c>
      <c r="P111" s="27" t="str">
        <f t="shared" si="125"/>
        <v>X</v>
      </c>
      <c r="Q111" s="170" t="s">
        <v>861</v>
      </c>
      <c r="S111" s="27" t="s">
        <v>985</v>
      </c>
      <c r="U111" s="27" t="s">
        <v>1017</v>
      </c>
      <c r="V111" s="42">
        <v>52000</v>
      </c>
      <c r="W111" s="42">
        <v>0</v>
      </c>
      <c r="X111" s="27" t="str">
        <f t="shared" si="10"/>
        <v>OK</v>
      </c>
      <c r="Z111" s="27" t="s">
        <v>1017</v>
      </c>
      <c r="AA111" s="42">
        <v>52000</v>
      </c>
      <c r="AB111" s="42">
        <v>0</v>
      </c>
      <c r="AC111" s="27" t="str">
        <f t="shared" si="161"/>
        <v>OK</v>
      </c>
      <c r="AE111" s="27" t="s">
        <v>1024</v>
      </c>
      <c r="AG111" s="24">
        <f t="shared" si="73"/>
        <v>3</v>
      </c>
      <c r="AH111" s="65" t="str">
        <f t="shared" si="163"/>
        <v>OK</v>
      </c>
      <c r="AJ111" s="27" t="str">
        <f t="array" ref="AJ111">IF(C111="","",INDEX(구분표!$I$2:$I$300, MATCH(1,(구분표!$E$2:$E$300='2추일출'!B111)*(구분표!$F$2:$F$300='2추일출'!C111)*(구분표!$G$2:$G$300='2추일출'!A111),0)))</f>
        <v>0503</v>
      </c>
      <c r="AL111" s="27"/>
    </row>
    <row r="112" spans="1:38" ht="50.1" customHeight="1" x14ac:dyDescent="0.3">
      <c r="A112" s="33" t="str">
        <f>IFERROR(VLOOKUP($C112,구분표!$A$2:$C$300,2,FALSE),"")</f>
        <v>문화체육관광위원회</v>
      </c>
      <c r="B112" s="24" t="str">
        <f>IFERROR(VLOOKUP($C112,구분표!$A$2:$C$300,3,FALSE),"")</f>
        <v>문화체육관광국</v>
      </c>
      <c r="C112" s="31" t="s">
        <v>350</v>
      </c>
      <c r="D112" s="35" t="s">
        <v>771</v>
      </c>
      <c r="E112" s="145"/>
      <c r="F112" s="134" t="s">
        <v>965</v>
      </c>
      <c r="G112" s="44"/>
      <c r="H112" s="42"/>
      <c r="I112" s="54">
        <f t="shared" si="157"/>
        <v>0</v>
      </c>
      <c r="J112" s="42"/>
      <c r="K112" s="45">
        <v>130000</v>
      </c>
      <c r="L112" s="50">
        <f t="shared" si="158"/>
        <v>130000</v>
      </c>
      <c r="M112" s="158">
        <v>0</v>
      </c>
      <c r="N112" s="171">
        <v>130000</v>
      </c>
      <c r="O112" s="160">
        <f t="shared" si="159"/>
        <v>130000</v>
      </c>
      <c r="P112" s="27" t="str">
        <f t="shared" si="125"/>
        <v>X</v>
      </c>
      <c r="Q112" s="170" t="s">
        <v>861</v>
      </c>
      <c r="S112" s="27" t="s">
        <v>985</v>
      </c>
      <c r="U112" s="27" t="s">
        <v>1017</v>
      </c>
      <c r="V112" s="42">
        <v>130000</v>
      </c>
      <c r="W112" s="42">
        <v>0</v>
      </c>
      <c r="X112" s="27" t="str">
        <f t="shared" si="10"/>
        <v>OK</v>
      </c>
      <c r="Z112" s="27" t="s">
        <v>1017</v>
      </c>
      <c r="AA112" s="42">
        <v>130000</v>
      </c>
      <c r="AB112" s="42">
        <v>0</v>
      </c>
      <c r="AC112" s="27" t="str">
        <f t="shared" si="161"/>
        <v>OK</v>
      </c>
      <c r="AE112" s="27" t="s">
        <v>1024</v>
      </c>
      <c r="AG112" s="24">
        <f t="shared" si="73"/>
        <v>3</v>
      </c>
      <c r="AH112" s="65" t="str">
        <f t="shared" si="163"/>
        <v>OK</v>
      </c>
      <c r="AJ112" s="27" t="str">
        <f t="array" ref="AJ112">IF(C112="","",INDEX(구분표!$I$2:$I$300, MATCH(1,(구분표!$E$2:$E$300='2추일출'!B112)*(구분표!$F$2:$F$300='2추일출'!C112)*(구분표!$G$2:$G$300='2추일출'!A112),0)))</f>
        <v>0503</v>
      </c>
      <c r="AL112" s="27"/>
    </row>
    <row r="113" spans="1:38" ht="50.1" customHeight="1" x14ac:dyDescent="0.3">
      <c r="A113" s="33" t="str">
        <f>IFERROR(VLOOKUP($C113,구분표!$A$2:$C$300,2,FALSE),"")</f>
        <v>문화체육관광위원회</v>
      </c>
      <c r="B113" s="24" t="str">
        <f>IFERROR(VLOOKUP($C113,구분표!$A$2:$C$300,3,FALSE),"")</f>
        <v>문화체육관광국</v>
      </c>
      <c r="C113" s="31" t="s">
        <v>350</v>
      </c>
      <c r="D113" s="137" t="s">
        <v>771</v>
      </c>
      <c r="E113" s="143" t="s">
        <v>832</v>
      </c>
      <c r="F113" s="138" t="s">
        <v>863</v>
      </c>
      <c r="G113" s="44"/>
      <c r="H113" s="42"/>
      <c r="I113" s="54">
        <f t="shared" si="157"/>
        <v>0</v>
      </c>
      <c r="J113" s="42"/>
      <c r="K113" s="45">
        <v>110000</v>
      </c>
      <c r="L113" s="50">
        <f t="shared" si="158"/>
        <v>110000</v>
      </c>
      <c r="M113" s="42"/>
      <c r="N113" s="159">
        <v>110000</v>
      </c>
      <c r="O113" s="160">
        <f t="shared" si="159"/>
        <v>110000</v>
      </c>
      <c r="P113" s="27" t="str">
        <f t="shared" si="125"/>
        <v>X</v>
      </c>
      <c r="Q113" s="170" t="s">
        <v>1228</v>
      </c>
      <c r="S113" s="27" t="s">
        <v>975</v>
      </c>
      <c r="U113" s="27" t="s">
        <v>975</v>
      </c>
      <c r="V113" s="42">
        <f t="shared" si="8"/>
        <v>0</v>
      </c>
      <c r="W113" s="42">
        <f t="shared" si="9"/>
        <v>110000</v>
      </c>
      <c r="X113" s="27" t="str">
        <f t="shared" si="10"/>
        <v>OK</v>
      </c>
      <c r="Z113" s="27"/>
      <c r="AA113" s="42">
        <f t="shared" si="11"/>
        <v>0</v>
      </c>
      <c r="AB113" s="42">
        <f t="shared" si="160"/>
        <v>110000</v>
      </c>
      <c r="AC113" s="27" t="str">
        <f t="shared" si="161"/>
        <v>OK</v>
      </c>
      <c r="AE113" s="27" t="str">
        <f t="shared" si="162"/>
        <v>세입없음</v>
      </c>
      <c r="AG113" s="24">
        <f t="shared" si="73"/>
        <v>217</v>
      </c>
      <c r="AH113" s="65" t="str">
        <f t="shared" si="163"/>
        <v>OK</v>
      </c>
      <c r="AJ113" s="27" t="str">
        <f t="array" ref="AJ113">IF(C113="","",INDEX(구분표!$I$2:$I$300, MATCH(1,(구분표!$E$2:$E$300='2추일출'!B113)*(구분표!$F$2:$F$300='2추일출'!C113)*(구분표!$G$2:$G$300='2추일출'!A113),0)))</f>
        <v>0503</v>
      </c>
      <c r="AL113" s="27"/>
    </row>
    <row r="114" spans="1:38" ht="50.1" customHeight="1" x14ac:dyDescent="0.3">
      <c r="A114" s="33" t="str">
        <f>IFERROR(VLOOKUP($C114,구분표!$A$2:$C$300,2,FALSE),"")</f>
        <v>문화체육관광위원회</v>
      </c>
      <c r="B114" s="24" t="str">
        <f>IFERROR(VLOOKUP($C114,구분표!$A$2:$C$300,3,FALSE),"")</f>
        <v>문화체육관광국</v>
      </c>
      <c r="C114" s="31" t="s">
        <v>350</v>
      </c>
      <c r="D114" s="139" t="s">
        <v>771</v>
      </c>
      <c r="E114" s="144"/>
      <c r="F114" s="140" t="s">
        <v>864</v>
      </c>
      <c r="G114" s="44"/>
      <c r="H114" s="42"/>
      <c r="I114" s="54">
        <f t="shared" si="157"/>
        <v>0</v>
      </c>
      <c r="J114" s="42"/>
      <c r="K114" s="45">
        <v>120000</v>
      </c>
      <c r="L114" s="50">
        <f t="shared" si="158"/>
        <v>120000</v>
      </c>
      <c r="M114" s="158">
        <v>0</v>
      </c>
      <c r="N114" s="159">
        <v>120000</v>
      </c>
      <c r="O114" s="160">
        <f t="shared" si="159"/>
        <v>120000</v>
      </c>
      <c r="P114" s="27" t="str">
        <f t="shared" si="125"/>
        <v>X</v>
      </c>
      <c r="Q114" s="170"/>
      <c r="S114" s="27" t="s">
        <v>1084</v>
      </c>
      <c r="U114" s="27" t="s">
        <v>1084</v>
      </c>
      <c r="V114" s="42">
        <f t="shared" si="8"/>
        <v>0</v>
      </c>
      <c r="W114" s="42">
        <f t="shared" si="9"/>
        <v>120000</v>
      </c>
      <c r="X114" s="27" t="str">
        <f t="shared" si="10"/>
        <v>OK</v>
      </c>
      <c r="Z114" s="27"/>
      <c r="AA114" s="42">
        <f t="shared" si="11"/>
        <v>0</v>
      </c>
      <c r="AB114" s="42">
        <f t="shared" si="160"/>
        <v>120000</v>
      </c>
      <c r="AC114" s="27" t="str">
        <f t="shared" si="161"/>
        <v>OK</v>
      </c>
      <c r="AE114" s="27" t="str">
        <f t="shared" si="162"/>
        <v>세입없음</v>
      </c>
      <c r="AG114" s="24">
        <f t="shared" si="73"/>
        <v>217</v>
      </c>
      <c r="AH114" s="65" t="str">
        <f t="shared" si="163"/>
        <v>OK</v>
      </c>
      <c r="AJ114" s="27" t="str">
        <f t="array" ref="AJ114">IF(C114="","",INDEX(구분표!$I$2:$I$300, MATCH(1,(구분표!$E$2:$E$300='2추일출'!B114)*(구분표!$F$2:$F$300='2추일출'!C114)*(구분표!$G$2:$G$300='2추일출'!A114),0)))</f>
        <v>0503</v>
      </c>
      <c r="AL114" s="27"/>
    </row>
    <row r="115" spans="1:38" ht="50.1" customHeight="1" x14ac:dyDescent="0.3">
      <c r="A115" s="33" t="str">
        <f>IFERROR(VLOOKUP($C115,구분표!$A$2:$C$300,2,FALSE),"")</f>
        <v>문화체육관광위원회</v>
      </c>
      <c r="B115" s="24" t="str">
        <f>IFERROR(VLOOKUP($C115,구분표!$A$2:$C$300,3,FALSE),"")</f>
        <v>문화체육관광국</v>
      </c>
      <c r="C115" s="31" t="s">
        <v>350</v>
      </c>
      <c r="D115" s="139" t="s">
        <v>779</v>
      </c>
      <c r="E115" s="144"/>
      <c r="F115" s="140" t="s">
        <v>1172</v>
      </c>
      <c r="G115" s="44">
        <v>3128000</v>
      </c>
      <c r="H115" s="42">
        <v>3128000</v>
      </c>
      <c r="I115" s="54">
        <f t="shared" si="157"/>
        <v>0</v>
      </c>
      <c r="J115" s="42"/>
      <c r="K115" s="45">
        <v>180000</v>
      </c>
      <c r="L115" s="50">
        <f t="shared" si="158"/>
        <v>3308000</v>
      </c>
      <c r="M115" s="158"/>
      <c r="N115" s="171">
        <v>180000</v>
      </c>
      <c r="O115" s="160">
        <f t="shared" si="159"/>
        <v>3308000</v>
      </c>
      <c r="P115" s="27" t="str">
        <f t="shared" si="125"/>
        <v>X</v>
      </c>
      <c r="Q115" s="226" t="s">
        <v>1313</v>
      </c>
      <c r="S115" s="27" t="s">
        <v>1084</v>
      </c>
      <c r="U115" s="27" t="s">
        <v>1084</v>
      </c>
      <c r="V115" s="42">
        <f t="shared" si="8"/>
        <v>0</v>
      </c>
      <c r="W115" s="42">
        <f t="shared" si="9"/>
        <v>180000</v>
      </c>
      <c r="X115" s="27" t="str">
        <f t="shared" si="10"/>
        <v>OK</v>
      </c>
      <c r="Z115" s="27"/>
      <c r="AA115" s="42">
        <f t="shared" si="11"/>
        <v>0</v>
      </c>
      <c r="AB115" s="42">
        <f t="shared" si="160"/>
        <v>180000</v>
      </c>
      <c r="AC115" s="27" t="str">
        <f t="shared" si="161"/>
        <v>OK</v>
      </c>
      <c r="AE115" s="27" t="str">
        <f t="shared" si="162"/>
        <v>세입없음</v>
      </c>
      <c r="AG115" s="24">
        <f t="shared" si="73"/>
        <v>217</v>
      </c>
      <c r="AH115" s="65" t="str">
        <f t="shared" si="163"/>
        <v>OK</v>
      </c>
      <c r="AJ115" s="27" t="str">
        <f t="array" ref="AJ115">IF(C115="","",INDEX(구분표!$I$2:$I$300, MATCH(1,(구분표!$E$2:$E$300='2추일출'!B115)*(구분표!$F$2:$F$300='2추일출'!C115)*(구분표!$G$2:$G$300='2추일출'!A115),0)))</f>
        <v>0503</v>
      </c>
      <c r="AL115" s="27"/>
    </row>
    <row r="116" spans="1:38" ht="50.1" customHeight="1" x14ac:dyDescent="0.3">
      <c r="A116" s="33" t="str">
        <f>IFERROR(VLOOKUP($C116,구분표!$A$2:$C$300,2,FALSE),"")</f>
        <v>문화체육관광위원회</v>
      </c>
      <c r="B116" s="24" t="str">
        <f>IFERROR(VLOOKUP($C116,구분표!$A$2:$C$300,3,FALSE),"")</f>
        <v>문화체육관광국</v>
      </c>
      <c r="C116" s="31" t="s">
        <v>350</v>
      </c>
      <c r="D116" s="137" t="s">
        <v>771</v>
      </c>
      <c r="E116" s="143" t="s">
        <v>832</v>
      </c>
      <c r="F116" s="138" t="s">
        <v>865</v>
      </c>
      <c r="G116" s="44"/>
      <c r="H116" s="42"/>
      <c r="I116" s="54">
        <f t="shared" ref="I116:I119" si="164">IF(D116="","",G116-H116)</f>
        <v>0</v>
      </c>
      <c r="J116" s="42"/>
      <c r="K116" s="45">
        <v>80000</v>
      </c>
      <c r="L116" s="50">
        <f t="shared" ref="L116:L119" si="165">IF(G116=0,H116+J116+K116,G116+J116+K116)</f>
        <v>80000</v>
      </c>
      <c r="M116" s="42"/>
      <c r="N116" s="159">
        <v>80000</v>
      </c>
      <c r="O116" s="160">
        <f t="shared" ref="O116:O119" si="166">IF(G116=0,H116+M116+N116,G116+M116+N116)</f>
        <v>80000</v>
      </c>
      <c r="P116" s="27" t="str">
        <f t="shared" si="125"/>
        <v>X</v>
      </c>
      <c r="Q116" s="170"/>
      <c r="S116" s="27" t="s">
        <v>1084</v>
      </c>
      <c r="U116" s="27" t="s">
        <v>1084</v>
      </c>
      <c r="V116" s="42">
        <f t="shared" si="8"/>
        <v>0</v>
      </c>
      <c r="W116" s="42">
        <f t="shared" si="9"/>
        <v>80000</v>
      </c>
      <c r="X116" s="27" t="str">
        <f t="shared" si="10"/>
        <v>OK</v>
      </c>
      <c r="Z116" s="27"/>
      <c r="AA116" s="42">
        <f t="shared" si="11"/>
        <v>0</v>
      </c>
      <c r="AB116" s="42">
        <f t="shared" ref="AB116:AB119" si="167">IF($U116="도비",SUM(M116:N116),IF($S116="국도비","직접입력",SUM(M116:N116)-AA116))</f>
        <v>80000</v>
      </c>
      <c r="AC116" s="27" t="str">
        <f t="shared" ref="AC116:AC119" si="168">IF(SUM(M116:N116)=SUM(AA116:AB116),"OK","검토")</f>
        <v>OK</v>
      </c>
      <c r="AE116" s="27" t="str">
        <f t="shared" ref="AE116:AE119" si="169">IF(U116="","",IF(U116="도비","세입없음","직접입력"))</f>
        <v>세입없음</v>
      </c>
      <c r="AG116" s="24">
        <f t="shared" si="73"/>
        <v>217</v>
      </c>
      <c r="AH116" s="65" t="str">
        <f t="shared" ref="AH116:AH119" si="170">IF(U116="","",IF(AND(U116="도비",AE116="세입없음"),"OK",IF(AND(U116&lt;&gt;"도비",AE116&lt;&gt;""),"OK","@@")))</f>
        <v>OK</v>
      </c>
      <c r="AJ116" s="27" t="str">
        <f t="array" ref="AJ116">IF(C116="","",INDEX(구분표!$I$2:$I$300, MATCH(1,(구분표!$E$2:$E$300='2추일출'!B116)*(구분표!$F$2:$F$300='2추일출'!C116)*(구분표!$G$2:$G$300='2추일출'!A116),0)))</f>
        <v>0503</v>
      </c>
      <c r="AL116" s="27"/>
    </row>
    <row r="117" spans="1:38" ht="50.1" customHeight="1" x14ac:dyDescent="0.3">
      <c r="A117" s="33" t="str">
        <f>IFERROR(VLOOKUP($C117,구분표!$A$2:$C$300,2,FALSE),"")</f>
        <v>문화체육관광위원회</v>
      </c>
      <c r="B117" s="24" t="str">
        <f>IFERROR(VLOOKUP($C117,구분표!$A$2:$C$300,3,FALSE),"")</f>
        <v>문화체육관광국</v>
      </c>
      <c r="C117" s="31" t="s">
        <v>350</v>
      </c>
      <c r="D117" s="137" t="s">
        <v>771</v>
      </c>
      <c r="E117" s="143" t="s">
        <v>832</v>
      </c>
      <c r="F117" s="138" t="s">
        <v>866</v>
      </c>
      <c r="G117" s="44"/>
      <c r="H117" s="42"/>
      <c r="I117" s="54">
        <f t="shared" si="164"/>
        <v>0</v>
      </c>
      <c r="J117" s="42"/>
      <c r="K117" s="45">
        <v>70000</v>
      </c>
      <c r="L117" s="50">
        <f t="shared" si="165"/>
        <v>70000</v>
      </c>
      <c r="M117" s="42"/>
      <c r="N117" s="159">
        <v>0</v>
      </c>
      <c r="O117" s="160">
        <f t="shared" si="166"/>
        <v>0</v>
      </c>
      <c r="P117" s="27" t="str">
        <f t="shared" si="125"/>
        <v>X</v>
      </c>
      <c r="Q117" s="227"/>
      <c r="S117" s="27" t="s">
        <v>1084</v>
      </c>
      <c r="U117" s="27" t="s">
        <v>1084</v>
      </c>
      <c r="V117" s="42">
        <f t="shared" si="8"/>
        <v>0</v>
      </c>
      <c r="W117" s="42">
        <f t="shared" si="9"/>
        <v>70000</v>
      </c>
      <c r="X117" s="27" t="str">
        <f t="shared" si="10"/>
        <v>OK</v>
      </c>
      <c r="Z117" s="27"/>
      <c r="AA117" s="42">
        <f t="shared" si="11"/>
        <v>0</v>
      </c>
      <c r="AB117" s="42">
        <f t="shared" si="167"/>
        <v>0</v>
      </c>
      <c r="AC117" s="27" t="str">
        <f t="shared" si="168"/>
        <v>OK</v>
      </c>
      <c r="AE117" s="27" t="str">
        <f t="shared" si="169"/>
        <v>세입없음</v>
      </c>
      <c r="AG117" s="24">
        <f t="shared" si="73"/>
        <v>217</v>
      </c>
      <c r="AH117" s="65" t="str">
        <f t="shared" si="170"/>
        <v>OK</v>
      </c>
      <c r="AJ117" s="27" t="str">
        <f t="array" ref="AJ117">IF(C117="","",INDEX(구분표!$I$2:$I$300, MATCH(1,(구분표!$E$2:$E$300='2추일출'!B117)*(구분표!$F$2:$F$300='2추일출'!C117)*(구분표!$G$2:$G$300='2추일출'!A117),0)))</f>
        <v>0503</v>
      </c>
      <c r="AL117" s="27"/>
    </row>
    <row r="118" spans="1:38" ht="50.1" customHeight="1" x14ac:dyDescent="0.3">
      <c r="A118" s="33" t="str">
        <f>IFERROR(VLOOKUP($C118,구분표!$A$2:$C$300,2,FALSE),"")</f>
        <v>문화체육관광위원회</v>
      </c>
      <c r="B118" s="24" t="str">
        <f>IFERROR(VLOOKUP($C118,구분표!$A$2:$C$300,3,FALSE),"")</f>
        <v>문화체육관광국</v>
      </c>
      <c r="C118" s="31" t="s">
        <v>350</v>
      </c>
      <c r="D118" s="137" t="s">
        <v>771</v>
      </c>
      <c r="E118" s="143" t="s">
        <v>832</v>
      </c>
      <c r="F118" s="138" t="s">
        <v>867</v>
      </c>
      <c r="G118" s="44"/>
      <c r="H118" s="42"/>
      <c r="I118" s="54">
        <f t="shared" si="164"/>
        <v>0</v>
      </c>
      <c r="J118" s="42"/>
      <c r="K118" s="45">
        <v>100000</v>
      </c>
      <c r="L118" s="50">
        <f t="shared" si="165"/>
        <v>100000</v>
      </c>
      <c r="M118" s="42"/>
      <c r="N118" s="159">
        <v>0</v>
      </c>
      <c r="O118" s="160">
        <f t="shared" si="166"/>
        <v>0</v>
      </c>
      <c r="P118" s="27" t="str">
        <f t="shared" si="125"/>
        <v>X</v>
      </c>
      <c r="Q118" s="227"/>
      <c r="S118" s="27" t="s">
        <v>1084</v>
      </c>
      <c r="U118" s="27" t="s">
        <v>1084</v>
      </c>
      <c r="V118" s="42">
        <f t="shared" si="8"/>
        <v>0</v>
      </c>
      <c r="W118" s="42">
        <f t="shared" si="9"/>
        <v>100000</v>
      </c>
      <c r="X118" s="27" t="str">
        <f t="shared" si="10"/>
        <v>OK</v>
      </c>
      <c r="Z118" s="27"/>
      <c r="AA118" s="42">
        <f t="shared" si="11"/>
        <v>0</v>
      </c>
      <c r="AB118" s="42">
        <f t="shared" si="167"/>
        <v>0</v>
      </c>
      <c r="AC118" s="27" t="str">
        <f t="shared" si="168"/>
        <v>OK</v>
      </c>
      <c r="AE118" s="27" t="str">
        <f t="shared" si="169"/>
        <v>세입없음</v>
      </c>
      <c r="AG118" s="24">
        <f t="shared" si="73"/>
        <v>217</v>
      </c>
      <c r="AH118" s="65" t="str">
        <f t="shared" si="170"/>
        <v>OK</v>
      </c>
      <c r="AJ118" s="27" t="str">
        <f t="array" ref="AJ118">IF(C118="","",INDEX(구분표!$I$2:$I$300, MATCH(1,(구분표!$E$2:$E$300='2추일출'!B118)*(구분표!$F$2:$F$300='2추일출'!C118)*(구분표!$G$2:$G$300='2추일출'!A118),0)))</f>
        <v>0503</v>
      </c>
      <c r="AL118" s="27"/>
    </row>
    <row r="119" spans="1:38" ht="50.1" customHeight="1" x14ac:dyDescent="0.3">
      <c r="A119" s="33" t="str">
        <f>IFERROR(VLOOKUP($C119,구분표!$A$2:$C$300,2,FALSE),"")</f>
        <v>문화체육관광위원회</v>
      </c>
      <c r="B119" s="24" t="str">
        <f>IFERROR(VLOOKUP($C119,구분표!$A$2:$C$300,3,FALSE),"")</f>
        <v>문화체육관광국</v>
      </c>
      <c r="C119" s="31" t="s">
        <v>353</v>
      </c>
      <c r="D119" s="137" t="s">
        <v>771</v>
      </c>
      <c r="E119" s="143" t="s">
        <v>832</v>
      </c>
      <c r="F119" s="138" t="s">
        <v>868</v>
      </c>
      <c r="G119" s="44"/>
      <c r="H119" s="42"/>
      <c r="I119" s="54">
        <f t="shared" si="164"/>
        <v>0</v>
      </c>
      <c r="J119" s="42"/>
      <c r="K119" s="45">
        <v>50000</v>
      </c>
      <c r="L119" s="50">
        <f t="shared" si="165"/>
        <v>50000</v>
      </c>
      <c r="M119" s="42"/>
      <c r="N119" s="159">
        <v>120000</v>
      </c>
      <c r="O119" s="160">
        <f t="shared" si="166"/>
        <v>120000</v>
      </c>
      <c r="P119" s="27" t="str">
        <f t="shared" si="125"/>
        <v>X</v>
      </c>
      <c r="Q119" s="170"/>
      <c r="S119" s="27" t="s">
        <v>1084</v>
      </c>
      <c r="U119" s="27" t="s">
        <v>1084</v>
      </c>
      <c r="V119" s="42">
        <f t="shared" si="8"/>
        <v>0</v>
      </c>
      <c r="W119" s="42">
        <f t="shared" si="9"/>
        <v>50000</v>
      </c>
      <c r="X119" s="27" t="str">
        <f t="shared" si="10"/>
        <v>OK</v>
      </c>
      <c r="Z119" s="27"/>
      <c r="AA119" s="42">
        <f t="shared" si="11"/>
        <v>0</v>
      </c>
      <c r="AB119" s="42">
        <f t="shared" si="167"/>
        <v>120000</v>
      </c>
      <c r="AC119" s="27" t="str">
        <f t="shared" si="168"/>
        <v>OK</v>
      </c>
      <c r="AE119" s="27" t="str">
        <f t="shared" si="169"/>
        <v>세입없음</v>
      </c>
      <c r="AG119" s="24">
        <f t="shared" si="73"/>
        <v>217</v>
      </c>
      <c r="AH119" s="65" t="str">
        <f t="shared" si="170"/>
        <v>OK</v>
      </c>
      <c r="AJ119" s="27" t="str">
        <f t="array" ref="AJ119">IF(C119="","",INDEX(구분표!$I$2:$I$300, MATCH(1,(구분표!$E$2:$E$300='2추일출'!B119)*(구분표!$F$2:$F$300='2추일출'!C119)*(구분표!$G$2:$G$300='2추일출'!A119),0)))</f>
        <v>0504</v>
      </c>
      <c r="AL119" s="27"/>
    </row>
    <row r="120" spans="1:38" ht="50.1" customHeight="1" x14ac:dyDescent="0.3">
      <c r="A120" s="33" t="str">
        <f>IFERROR(VLOOKUP($C120,구분표!$A$2:$C$300,2,FALSE),"")</f>
        <v>문화체육관광위원회</v>
      </c>
      <c r="B120" s="24" t="str">
        <f>IFERROR(VLOOKUP($C120,구분표!$A$2:$C$300,3,FALSE),"")</f>
        <v>문화체육관광국</v>
      </c>
      <c r="C120" s="31" t="s">
        <v>359</v>
      </c>
      <c r="D120" s="139" t="s">
        <v>771</v>
      </c>
      <c r="E120" s="144"/>
      <c r="F120" s="140" t="s">
        <v>1211</v>
      </c>
      <c r="G120" s="44"/>
      <c r="H120" s="42"/>
      <c r="I120" s="54">
        <f t="shared" si="157"/>
        <v>0</v>
      </c>
      <c r="J120" s="42"/>
      <c r="K120" s="45">
        <v>1100000</v>
      </c>
      <c r="L120" s="50">
        <f t="shared" si="158"/>
        <v>1100000</v>
      </c>
      <c r="M120" s="158"/>
      <c r="N120" s="171">
        <v>1100000</v>
      </c>
      <c r="O120" s="160">
        <f t="shared" si="159"/>
        <v>1100000</v>
      </c>
      <c r="P120" s="27" t="str">
        <f t="shared" si="125"/>
        <v>X</v>
      </c>
      <c r="Q120" s="170"/>
      <c r="S120" s="27" t="s">
        <v>975</v>
      </c>
      <c r="U120" s="27" t="s">
        <v>975</v>
      </c>
      <c r="V120" s="42">
        <f t="shared" si="8"/>
        <v>0</v>
      </c>
      <c r="W120" s="42">
        <f t="shared" si="9"/>
        <v>1100000</v>
      </c>
      <c r="X120" s="27" t="str">
        <f t="shared" si="10"/>
        <v>OK</v>
      </c>
      <c r="Z120" s="27"/>
      <c r="AA120" s="42">
        <f t="shared" si="11"/>
        <v>0</v>
      </c>
      <c r="AB120" s="42">
        <f t="shared" si="160"/>
        <v>1100000</v>
      </c>
      <c r="AC120" s="27" t="str">
        <f t="shared" si="161"/>
        <v>OK</v>
      </c>
      <c r="AE120" s="27" t="str">
        <f t="shared" si="162"/>
        <v>세입없음</v>
      </c>
      <c r="AG120" s="24">
        <f t="shared" si="73"/>
        <v>217</v>
      </c>
      <c r="AH120" s="65" t="str">
        <f t="shared" si="163"/>
        <v>OK</v>
      </c>
      <c r="AJ120" s="27" t="str">
        <f t="array" ref="AJ120">IF(C120="","",INDEX(구분표!$I$2:$I$300, MATCH(1,(구분표!$E$2:$E$300='2추일출'!B120)*(구분표!$F$2:$F$300='2추일출'!C120)*(구분표!$G$2:$G$300='2추일출'!A120),0)))</f>
        <v>0506</v>
      </c>
      <c r="AL120" s="27"/>
    </row>
    <row r="121" spans="1:38" ht="50.1" customHeight="1" x14ac:dyDescent="0.3">
      <c r="A121" s="33" t="str">
        <f>IFERROR(VLOOKUP($C121,구분표!$A$2:$C$300,2,FALSE),"")</f>
        <v>문화체육관광위원회</v>
      </c>
      <c r="B121" s="24" t="str">
        <f>IFERROR(VLOOKUP($C121,구분표!$A$2:$C$300,3,FALSE),"")</f>
        <v>문화체육관광국</v>
      </c>
      <c r="C121" s="31" t="s">
        <v>342</v>
      </c>
      <c r="D121" s="139" t="s">
        <v>776</v>
      </c>
      <c r="E121" s="144">
        <v>457</v>
      </c>
      <c r="F121" s="140" t="s">
        <v>1026</v>
      </c>
      <c r="G121" s="44">
        <v>150000</v>
      </c>
      <c r="H121" s="42">
        <v>70000</v>
      </c>
      <c r="I121" s="54">
        <f t="shared" si="157"/>
        <v>80000</v>
      </c>
      <c r="J121" s="42"/>
      <c r="K121" s="45"/>
      <c r="L121" s="50">
        <f t="shared" si="158"/>
        <v>150000</v>
      </c>
      <c r="M121" s="158">
        <v>-50000</v>
      </c>
      <c r="N121" s="159"/>
      <c r="O121" s="160">
        <f t="shared" si="159"/>
        <v>100000</v>
      </c>
      <c r="P121" s="27" t="str">
        <f t="shared" si="125"/>
        <v>X</v>
      </c>
      <c r="Q121" s="170"/>
      <c r="S121" s="27" t="s">
        <v>975</v>
      </c>
      <c r="U121" s="27" t="s">
        <v>975</v>
      </c>
      <c r="V121" s="42">
        <f t="shared" si="8"/>
        <v>0</v>
      </c>
      <c r="W121" s="42">
        <f t="shared" si="9"/>
        <v>0</v>
      </c>
      <c r="X121" s="27" t="str">
        <f t="shared" si="10"/>
        <v>OK</v>
      </c>
      <c r="Z121" s="27"/>
      <c r="AA121" s="42">
        <f t="shared" si="11"/>
        <v>0</v>
      </c>
      <c r="AB121" s="42">
        <f t="shared" si="160"/>
        <v>-50000</v>
      </c>
      <c r="AC121" s="27" t="str">
        <f t="shared" si="161"/>
        <v>OK</v>
      </c>
      <c r="AE121" s="27" t="str">
        <f t="shared" si="162"/>
        <v>세입없음</v>
      </c>
      <c r="AG121" s="24">
        <f t="shared" si="73"/>
        <v>217</v>
      </c>
      <c r="AH121" s="65" t="str">
        <f t="shared" si="163"/>
        <v>OK</v>
      </c>
      <c r="AJ121" s="27" t="str">
        <f t="array" ref="AJ121">IF(C121="","",INDEX(구분표!$I$2:$I$300, MATCH(1,(구분표!$E$2:$E$300='2추일출'!B121)*(구분표!$F$2:$F$300='2추일출'!C121)*(구분표!$G$2:$G$300='2추일출'!A121),0)))</f>
        <v>0501</v>
      </c>
      <c r="AL121" s="27"/>
    </row>
    <row r="122" spans="1:38" ht="50.1" customHeight="1" x14ac:dyDescent="0.3">
      <c r="A122" s="33" t="str">
        <f>IFERROR(VLOOKUP($C122,구분표!$A$2:$C$300,2,FALSE),"")</f>
        <v>문화체육관광위원회</v>
      </c>
      <c r="B122" s="24" t="str">
        <f>IFERROR(VLOOKUP($C122,구분표!$A$2:$C$300,3,FALSE),"")</f>
        <v>문화체육관광국</v>
      </c>
      <c r="C122" s="31" t="s">
        <v>350</v>
      </c>
      <c r="D122" s="139" t="s">
        <v>776</v>
      </c>
      <c r="E122" s="144">
        <v>459</v>
      </c>
      <c r="F122" s="140" t="s">
        <v>1027</v>
      </c>
      <c r="G122" s="44">
        <v>80000</v>
      </c>
      <c r="H122" s="42"/>
      <c r="I122" s="54">
        <f t="shared" ref="I122:I125" si="171">IF(D122="","",G122-H122)</f>
        <v>80000</v>
      </c>
      <c r="J122" s="42"/>
      <c r="K122" s="45"/>
      <c r="L122" s="50">
        <f t="shared" ref="L122:L125" si="172">IF(G122=0,H122+J122+K122,G122+J122+K122)</f>
        <v>80000</v>
      </c>
      <c r="M122" s="158">
        <v>-80000</v>
      </c>
      <c r="N122" s="159"/>
      <c r="O122" s="160">
        <f t="shared" ref="O122:O125" si="173">IF(G122=0,H122+M122+N122,G122+M122+N122)</f>
        <v>0</v>
      </c>
      <c r="P122" s="27" t="str">
        <f t="shared" si="125"/>
        <v>X</v>
      </c>
      <c r="Q122" s="170"/>
      <c r="S122" s="27" t="s">
        <v>975</v>
      </c>
      <c r="U122" s="27" t="s">
        <v>975</v>
      </c>
      <c r="V122" s="42">
        <f t="shared" si="8"/>
        <v>0</v>
      </c>
      <c r="W122" s="42">
        <f t="shared" si="9"/>
        <v>0</v>
      </c>
      <c r="X122" s="27" t="str">
        <f t="shared" si="10"/>
        <v>OK</v>
      </c>
      <c r="Z122" s="27"/>
      <c r="AA122" s="42">
        <f t="shared" si="11"/>
        <v>0</v>
      </c>
      <c r="AB122" s="42">
        <f t="shared" ref="AB122:AB123" si="174">IF($U122="도비",SUM(M122:N122),IF($S122="국도비","직접입력",SUM(M122:N122)-AA122))</f>
        <v>-80000</v>
      </c>
      <c r="AC122" s="27" t="str">
        <f t="shared" ref="AC122:AC123" si="175">IF(SUM(M122:N122)=SUM(AA122:AB122),"OK","검토")</f>
        <v>OK</v>
      </c>
      <c r="AE122" s="27" t="str">
        <f t="shared" ref="AE122:AE125" si="176">IF(U122="","",IF(U122="도비","세입없음","직접입력"))</f>
        <v>세입없음</v>
      </c>
      <c r="AG122" s="24">
        <f t="shared" si="73"/>
        <v>217</v>
      </c>
      <c r="AH122" s="65" t="str">
        <f t="shared" ref="AH122:AH125" si="177">IF(U122="","",IF(AND(U122="도비",AE122="세입없음"),"OK",IF(AND(U122&lt;&gt;"도비",AE122&lt;&gt;""),"OK","@@")))</f>
        <v>OK</v>
      </c>
      <c r="AJ122" s="27" t="str">
        <f t="array" ref="AJ122">IF(C122="","",INDEX(구분표!$I$2:$I$300, MATCH(1,(구분표!$E$2:$E$300='2추일출'!B122)*(구분표!$F$2:$F$300='2추일출'!C122)*(구분표!$G$2:$G$300='2추일출'!A122),0)))</f>
        <v>0503</v>
      </c>
      <c r="AL122" s="27"/>
    </row>
    <row r="123" spans="1:38" ht="50.1" customHeight="1" x14ac:dyDescent="0.3">
      <c r="A123" s="33" t="str">
        <f>IFERROR(VLOOKUP($C123,구분표!$A$2:$C$300,2,FALSE),"")</f>
        <v>문화체육관광위원회</v>
      </c>
      <c r="B123" s="24" t="str">
        <f>IFERROR(VLOOKUP($C123,구분표!$A$2:$C$300,3,FALSE),"")</f>
        <v>문화체육관광국</v>
      </c>
      <c r="C123" s="31" t="s">
        <v>350</v>
      </c>
      <c r="D123" s="139" t="s">
        <v>776</v>
      </c>
      <c r="E123" s="144">
        <v>461</v>
      </c>
      <c r="F123" s="140" t="s">
        <v>1029</v>
      </c>
      <c r="G123" s="44">
        <v>960000</v>
      </c>
      <c r="H123" s="42"/>
      <c r="I123" s="54">
        <f t="shared" si="171"/>
        <v>960000</v>
      </c>
      <c r="J123" s="42"/>
      <c r="K123" s="45"/>
      <c r="L123" s="50">
        <f t="shared" si="172"/>
        <v>960000</v>
      </c>
      <c r="M123" s="158">
        <v>0</v>
      </c>
      <c r="N123" s="159">
        <v>0</v>
      </c>
      <c r="O123" s="160">
        <f t="shared" si="173"/>
        <v>960000</v>
      </c>
      <c r="P123" s="27" t="str">
        <f t="shared" si="125"/>
        <v>X</v>
      </c>
      <c r="Q123" s="218" t="s">
        <v>1326</v>
      </c>
      <c r="S123" s="27" t="s">
        <v>975</v>
      </c>
      <c r="U123" s="27" t="s">
        <v>975</v>
      </c>
      <c r="V123" s="42">
        <f t="shared" si="8"/>
        <v>0</v>
      </c>
      <c r="W123" s="42">
        <f t="shared" si="9"/>
        <v>0</v>
      </c>
      <c r="X123" s="27" t="str">
        <f t="shared" si="10"/>
        <v>OK</v>
      </c>
      <c r="Z123" s="27"/>
      <c r="AA123" s="42">
        <f t="shared" si="11"/>
        <v>0</v>
      </c>
      <c r="AB123" s="42">
        <f t="shared" si="174"/>
        <v>0</v>
      </c>
      <c r="AC123" s="27" t="str">
        <f t="shared" si="175"/>
        <v>OK</v>
      </c>
      <c r="AE123" s="27" t="str">
        <f t="shared" si="176"/>
        <v>세입없음</v>
      </c>
      <c r="AG123" s="24">
        <f t="shared" si="73"/>
        <v>217</v>
      </c>
      <c r="AH123" s="65" t="str">
        <f t="shared" si="177"/>
        <v>OK</v>
      </c>
      <c r="AJ123" s="27" t="str">
        <f t="array" ref="AJ123">IF(C123="","",INDEX(구분표!$I$2:$I$300, MATCH(1,(구분표!$E$2:$E$300='2추일출'!B123)*(구분표!$F$2:$F$300='2추일출'!C123)*(구분표!$G$2:$G$300='2추일출'!A123),0)))</f>
        <v>0503</v>
      </c>
      <c r="AL123" s="27"/>
    </row>
    <row r="124" spans="1:38" ht="50.1" customHeight="1" x14ac:dyDescent="0.3">
      <c r="A124" s="33" t="str">
        <f>IFERROR(VLOOKUP($C124,구분표!$A$2:$C$300,2,FALSE),"")</f>
        <v>문화체육관광위원회</v>
      </c>
      <c r="B124" s="24" t="str">
        <f>IFERROR(VLOOKUP($C124,구분표!$A$2:$C$300,3,FALSE),"")</f>
        <v>문화체육관광국</v>
      </c>
      <c r="C124" s="31" t="s">
        <v>359</v>
      </c>
      <c r="D124" s="139" t="s">
        <v>776</v>
      </c>
      <c r="E124" s="144">
        <v>467</v>
      </c>
      <c r="F124" s="140" t="s">
        <v>1030</v>
      </c>
      <c r="G124" s="44">
        <v>5825000</v>
      </c>
      <c r="H124" s="42">
        <v>5425000</v>
      </c>
      <c r="I124" s="54">
        <f t="shared" ref="I124" si="178">IF(D124="","",G124-H124)</f>
        <v>400000</v>
      </c>
      <c r="J124" s="42"/>
      <c r="K124" s="45"/>
      <c r="L124" s="50">
        <f t="shared" ref="L124" si="179">IF(G124=0,H124+J124+K124,G124+J124+K124)</f>
        <v>5825000</v>
      </c>
      <c r="M124" s="158">
        <v>-100000</v>
      </c>
      <c r="N124" s="159"/>
      <c r="O124" s="160">
        <f t="shared" ref="O124" si="180">IF(G124=0,H124+M124+N124,G124+M124+N124)</f>
        <v>5725000</v>
      </c>
      <c r="P124" s="27" t="str">
        <f t="shared" si="125"/>
        <v>X</v>
      </c>
      <c r="Q124" s="170"/>
      <c r="S124" s="27" t="s">
        <v>975</v>
      </c>
      <c r="U124" s="27" t="s">
        <v>975</v>
      </c>
      <c r="V124" s="42">
        <f t="shared" ref="V124" si="181">IF($U124&lt;&gt;"도비",IF($S124="국도비","직접입력",SUM($J124:$K124)),)</f>
        <v>0</v>
      </c>
      <c r="W124" s="42">
        <f t="shared" ref="W124" si="182">IF($U124="도비",SUM($J124:$K124),IF($S124="국도비","직접입력",SUM($J124:$K124)-$V124))</f>
        <v>0</v>
      </c>
      <c r="X124" s="27" t="str">
        <f t="shared" ref="X124" si="183">IF(SUM($J124:$K124)=SUM($V124:$W124),"OK","검토")</f>
        <v>OK</v>
      </c>
      <c r="Z124" s="27"/>
      <c r="AA124" s="42">
        <f t="shared" ref="AA124" si="184">IF($U124&lt;&gt;"도비",IF($S124="국도비","직접입력",SUM($M124:$N124)),)</f>
        <v>0</v>
      </c>
      <c r="AB124" s="42">
        <f t="shared" ref="AB124" si="185">IF($U124="도비",SUM(M124:N124),IF($S124="국도비","직접입력",SUM(M124:N124)-AA124))</f>
        <v>-100000</v>
      </c>
      <c r="AC124" s="27" t="str">
        <f t="shared" ref="AC124" si="186">IF(SUM(M124:N124)=SUM(AA124:AB124),"OK","검토")</f>
        <v>OK</v>
      </c>
      <c r="AE124" s="27" t="str">
        <f t="shared" ref="AE124" si="187">IF(U124="","",IF(U124="도비","세입없음","직접입력"))</f>
        <v>세입없음</v>
      </c>
      <c r="AG124" s="24">
        <f t="shared" si="73"/>
        <v>217</v>
      </c>
      <c r="AH124" s="65" t="str">
        <f t="shared" ref="AH124" si="188">IF(U124="","",IF(AND(U124="도비",AE124="세입없음"),"OK",IF(AND(U124&lt;&gt;"도비",AE124&lt;&gt;""),"OK","@@")))</f>
        <v>OK</v>
      </c>
      <c r="AJ124" s="27" t="str">
        <f t="array" ref="AJ124">IF(C124="","",INDEX(구분표!$I$2:$I$300, MATCH(1,(구분표!$E$2:$E$300='2추일출'!B124)*(구분표!$F$2:$F$300='2추일출'!C124)*(구분표!$G$2:$G$300='2추일출'!A124),0)))</f>
        <v>0506</v>
      </c>
      <c r="AL124" s="27"/>
    </row>
    <row r="125" spans="1:38" ht="50.1" customHeight="1" x14ac:dyDescent="0.3">
      <c r="A125" s="33" t="str">
        <f>IFERROR(VLOOKUP($C125,구분표!$A$2:$C$300,2,FALSE),"")</f>
        <v>문화체육관광위원회</v>
      </c>
      <c r="B125" s="24" t="str">
        <f>IFERROR(VLOOKUP($C125,구분표!$A$2:$C$300,3,FALSE),"")</f>
        <v>문화체육관광국</v>
      </c>
      <c r="C125" s="208" t="s">
        <v>1193</v>
      </c>
      <c r="D125" s="137" t="s">
        <v>771</v>
      </c>
      <c r="E125" s="143" t="s">
        <v>832</v>
      </c>
      <c r="F125" s="138" t="s">
        <v>1191</v>
      </c>
      <c r="G125" s="44"/>
      <c r="H125" s="42"/>
      <c r="I125" s="54">
        <f t="shared" si="171"/>
        <v>0</v>
      </c>
      <c r="J125" s="42"/>
      <c r="K125" s="45">
        <v>100000</v>
      </c>
      <c r="L125" s="50">
        <f t="shared" si="172"/>
        <v>100000</v>
      </c>
      <c r="M125" s="42"/>
      <c r="N125" s="159">
        <v>100000</v>
      </c>
      <c r="O125" s="160">
        <f t="shared" si="173"/>
        <v>100000</v>
      </c>
      <c r="P125" s="27" t="str">
        <f t="shared" si="125"/>
        <v>X</v>
      </c>
      <c r="Q125" s="170" t="s">
        <v>1310</v>
      </c>
      <c r="S125" s="27" t="s">
        <v>1215</v>
      </c>
      <c r="U125" s="27" t="s">
        <v>1215</v>
      </c>
      <c r="V125" s="42">
        <f t="shared" si="8"/>
        <v>0</v>
      </c>
      <c r="W125" s="42">
        <f t="shared" si="9"/>
        <v>100000</v>
      </c>
      <c r="X125" s="27" t="str">
        <f t="shared" si="10"/>
        <v>OK</v>
      </c>
      <c r="Z125" s="27"/>
      <c r="AA125" s="42">
        <f t="shared" si="11"/>
        <v>0</v>
      </c>
      <c r="AB125" s="42">
        <f t="shared" ref="AB125" si="189">IF($U125="도비",SUM(M125:N125),IF($S125="국도비","직접입력",SUM(M125:N125)-AA125))</f>
        <v>100000</v>
      </c>
      <c r="AC125" s="27" t="str">
        <f t="shared" ref="AC125" si="190">IF(SUM(M125:N125)=SUM(AA125:AB125),"OK","검토")</f>
        <v>OK</v>
      </c>
      <c r="AE125" s="27" t="str">
        <f t="shared" si="176"/>
        <v>세입없음</v>
      </c>
      <c r="AG125" s="24">
        <f t="shared" si="73"/>
        <v>217</v>
      </c>
      <c r="AH125" s="65" t="str">
        <f t="shared" si="177"/>
        <v>OK</v>
      </c>
      <c r="AJ125" s="27" t="str">
        <f t="array" ref="AJ125">IF(C125="","",INDEX(구분표!$I$2:$I$300, MATCH(1,(구분표!$E$2:$E$300='2추일출'!B125)*(구분표!$F$2:$F$300='2추일출'!C125)*(구분표!$G$2:$G$300='2추일출'!A125),0)))</f>
        <v>0501</v>
      </c>
      <c r="AL125" s="27"/>
    </row>
    <row r="126" spans="1:38" ht="50.1" customHeight="1" x14ac:dyDescent="0.3">
      <c r="A126" s="57" t="s">
        <v>680</v>
      </c>
      <c r="B126" s="58"/>
      <c r="C126" s="59"/>
      <c r="D126" s="58"/>
      <c r="E126" s="59"/>
      <c r="F126" s="136"/>
      <c r="G126" s="60">
        <f t="shared" ref="G126:O126" si="191">SUM(G127:G162)</f>
        <v>13897143</v>
      </c>
      <c r="H126" s="60">
        <f t="shared" si="191"/>
        <v>9439685</v>
      </c>
      <c r="I126" s="60">
        <f t="shared" si="191"/>
        <v>4457458</v>
      </c>
      <c r="J126" s="60">
        <f t="shared" si="191"/>
        <v>-710219</v>
      </c>
      <c r="K126" s="60">
        <f t="shared" si="191"/>
        <v>10448310</v>
      </c>
      <c r="L126" s="60">
        <f t="shared" si="191"/>
        <v>23635234</v>
      </c>
      <c r="M126" s="60">
        <f t="shared" si="191"/>
        <v>-815219</v>
      </c>
      <c r="N126" s="60">
        <f t="shared" si="191"/>
        <v>10344710</v>
      </c>
      <c r="O126" s="60">
        <f t="shared" si="191"/>
        <v>23426634</v>
      </c>
      <c r="P126" s="61"/>
      <c r="Q126" s="224"/>
      <c r="S126" s="27"/>
      <c r="U126" s="27"/>
      <c r="V126" s="42"/>
      <c r="W126" s="42"/>
      <c r="X126" s="27"/>
      <c r="Z126" s="27"/>
      <c r="AA126" s="42"/>
      <c r="AB126" s="42"/>
      <c r="AC126" s="27"/>
      <c r="AE126" s="27" t="str">
        <f t="shared" si="14"/>
        <v/>
      </c>
      <c r="AG126" s="24" t="str">
        <f t="shared" si="73"/>
        <v/>
      </c>
      <c r="AH126" s="65" t="str">
        <f t="shared" si="15"/>
        <v/>
      </c>
      <c r="AJ126" s="27" t="str">
        <f t="array" ref="AJ126">IF(C126="","",INDEX(구분표!$I$2:$I$300, MATCH(1,(구분표!$E$2:$E$300='2추일출'!B126)*(구분표!$F$2:$F$300='2추일출'!C126)*(구분표!$G$2:$G$300='2추일출'!A126),0)))</f>
        <v/>
      </c>
      <c r="AL126" s="27"/>
    </row>
    <row r="127" spans="1:38" ht="50.1" customHeight="1" x14ac:dyDescent="0.3">
      <c r="A127" s="33" t="str">
        <f>IFERROR(VLOOKUP($C127,구분표!$A$2:$C$300,2,FALSE),"")</f>
        <v>농정해양위원회</v>
      </c>
      <c r="B127" s="24" t="str">
        <f>IFERROR(VLOOKUP($C127,구분표!$A$2:$C$300,3,FALSE),"")</f>
        <v>농정해양국</v>
      </c>
      <c r="C127" s="31" t="s">
        <v>376</v>
      </c>
      <c r="D127" s="35" t="s">
        <v>779</v>
      </c>
      <c r="E127" s="145"/>
      <c r="F127" s="134" t="s">
        <v>1033</v>
      </c>
      <c r="G127" s="44">
        <v>240000</v>
      </c>
      <c r="H127" s="42">
        <v>240000</v>
      </c>
      <c r="I127" s="54">
        <f t="shared" si="5"/>
        <v>0</v>
      </c>
      <c r="J127" s="42"/>
      <c r="K127" s="45">
        <v>5752000</v>
      </c>
      <c r="L127" s="50">
        <f t="shared" si="6"/>
        <v>5992000</v>
      </c>
      <c r="M127" s="158">
        <v>0</v>
      </c>
      <c r="N127" s="159">
        <v>5752000</v>
      </c>
      <c r="O127" s="160">
        <f t="shared" si="7"/>
        <v>5992000</v>
      </c>
      <c r="P127" s="27" t="str">
        <f t="shared" ref="P127:P161" si="192">IF(AND((L127=0),(O127&gt;0)),"O",IF(AND((J127&lt;0),(L127-O127&lt;0)),"O","X"))</f>
        <v>X</v>
      </c>
      <c r="Q127" s="170" t="s">
        <v>808</v>
      </c>
      <c r="S127" s="27" t="s">
        <v>985</v>
      </c>
      <c r="U127" s="27" t="s">
        <v>850</v>
      </c>
      <c r="V127" s="42">
        <v>5752000</v>
      </c>
      <c r="W127" s="42"/>
      <c r="X127" s="27" t="str">
        <f t="shared" si="10"/>
        <v>OK</v>
      </c>
      <c r="Z127" s="27" t="s">
        <v>850</v>
      </c>
      <c r="AA127" s="42">
        <v>5752000</v>
      </c>
      <c r="AB127" s="42"/>
      <c r="AC127" s="27" t="str">
        <f t="shared" si="13"/>
        <v>OK</v>
      </c>
      <c r="AE127" s="27" t="s">
        <v>1034</v>
      </c>
      <c r="AG127" s="24">
        <f t="shared" si="73"/>
        <v>1</v>
      </c>
      <c r="AH127" s="65" t="str">
        <f t="shared" si="15"/>
        <v>OK</v>
      </c>
      <c r="AJ127" s="27" t="str">
        <f t="array" ref="AJ127">IF(C127="","",INDEX(구분표!$I$2:$I$300, MATCH(1,(구분표!$E$2:$E$300='2추일출'!B127)*(구분표!$F$2:$F$300='2추일출'!C127)*(구분표!$G$2:$G$300='2추일출'!A127),0)))</f>
        <v>0604</v>
      </c>
      <c r="AL127" s="27"/>
    </row>
    <row r="128" spans="1:38" ht="50.1" customHeight="1" x14ac:dyDescent="0.3">
      <c r="A128" s="33" t="str">
        <f>IFERROR(VLOOKUP($C128,구분표!$A$2:$C$300,2,FALSE),"")</f>
        <v>농정해양위원회</v>
      </c>
      <c r="B128" s="24" t="str">
        <f>IFERROR(VLOOKUP($C128,구분표!$A$2:$C$300,3,FALSE),"")</f>
        <v>농정해양국</v>
      </c>
      <c r="C128" s="31" t="s">
        <v>379</v>
      </c>
      <c r="D128" s="35" t="s">
        <v>771</v>
      </c>
      <c r="E128" s="145"/>
      <c r="F128" s="134" t="s">
        <v>1307</v>
      </c>
      <c r="G128" s="44"/>
      <c r="H128" s="42"/>
      <c r="I128" s="54">
        <f t="shared" si="5"/>
        <v>0</v>
      </c>
      <c r="J128" s="42"/>
      <c r="K128" s="45">
        <v>6000</v>
      </c>
      <c r="L128" s="50">
        <f t="shared" si="6"/>
        <v>6000</v>
      </c>
      <c r="M128" s="158">
        <v>0</v>
      </c>
      <c r="N128" s="159">
        <v>6000</v>
      </c>
      <c r="O128" s="160">
        <f t="shared" si="7"/>
        <v>6000</v>
      </c>
      <c r="P128" s="27" t="str">
        <f t="shared" si="192"/>
        <v>X</v>
      </c>
      <c r="Q128" s="170" t="s">
        <v>809</v>
      </c>
      <c r="S128" s="27" t="s">
        <v>985</v>
      </c>
      <c r="U128" s="27" t="s">
        <v>1017</v>
      </c>
      <c r="V128" s="42">
        <v>6000</v>
      </c>
      <c r="W128" s="42"/>
      <c r="X128" s="27" t="str">
        <f t="shared" si="10"/>
        <v>OK</v>
      </c>
      <c r="Z128" s="27" t="s">
        <v>1017</v>
      </c>
      <c r="AA128" s="42">
        <v>6000</v>
      </c>
      <c r="AB128" s="42"/>
      <c r="AC128" s="27" t="str">
        <f t="shared" si="13"/>
        <v>OK</v>
      </c>
      <c r="AE128" s="27" t="s">
        <v>1035</v>
      </c>
      <c r="AG128" s="24">
        <f t="shared" si="73"/>
        <v>1</v>
      </c>
      <c r="AH128" s="65" t="str">
        <f t="shared" si="15"/>
        <v>OK</v>
      </c>
      <c r="AJ128" s="27" t="str">
        <f t="array" ref="AJ128">IF(C128="","",INDEX(구분표!$I$2:$I$300, MATCH(1,(구분표!$E$2:$E$300='2추일출'!B128)*(구분표!$F$2:$F$300='2추일출'!C128)*(구분표!$G$2:$G$300='2추일출'!A128),0)))</f>
        <v>0605</v>
      </c>
      <c r="AL128" s="27"/>
    </row>
    <row r="129" spans="1:38" ht="50.1" customHeight="1" x14ac:dyDescent="0.3">
      <c r="A129" s="33" t="str">
        <f>IFERROR(VLOOKUP($C129,구분표!$A$2:$C$300,2,FALSE),"")</f>
        <v>농정해양위원회</v>
      </c>
      <c r="B129" s="24" t="str">
        <f>IFERROR(VLOOKUP($C129,구분표!$A$2:$C$300,3,FALSE),"")</f>
        <v>농정해양국</v>
      </c>
      <c r="C129" s="31" t="s">
        <v>373</v>
      </c>
      <c r="D129" s="139" t="s">
        <v>776</v>
      </c>
      <c r="E129" s="144">
        <v>484</v>
      </c>
      <c r="F129" s="140" t="s">
        <v>1036</v>
      </c>
      <c r="G129" s="44">
        <v>4826000</v>
      </c>
      <c r="H129" s="42">
        <v>4126000</v>
      </c>
      <c r="I129" s="54">
        <f t="shared" si="5"/>
        <v>700000</v>
      </c>
      <c r="J129" s="42">
        <v>-100000</v>
      </c>
      <c r="K129" s="45"/>
      <c r="L129" s="50">
        <f t="shared" si="6"/>
        <v>4726000</v>
      </c>
      <c r="M129" s="158">
        <v>-100000</v>
      </c>
      <c r="N129" s="159">
        <v>0</v>
      </c>
      <c r="O129" s="160">
        <f t="shared" si="7"/>
        <v>4726000</v>
      </c>
      <c r="P129" s="27" t="str">
        <f t="shared" si="192"/>
        <v>X</v>
      </c>
      <c r="Q129" s="170"/>
      <c r="S129" s="27" t="s">
        <v>975</v>
      </c>
      <c r="U129" s="27" t="s">
        <v>975</v>
      </c>
      <c r="V129" s="42">
        <f t="shared" si="8"/>
        <v>0</v>
      </c>
      <c r="W129" s="42">
        <f t="shared" si="9"/>
        <v>-100000</v>
      </c>
      <c r="X129" s="27" t="str">
        <f t="shared" si="10"/>
        <v>OK</v>
      </c>
      <c r="Z129" s="27"/>
      <c r="AA129" s="42">
        <f t="shared" si="11"/>
        <v>0</v>
      </c>
      <c r="AB129" s="42">
        <f t="shared" si="12"/>
        <v>-100000</v>
      </c>
      <c r="AC129" s="27" t="str">
        <f t="shared" si="13"/>
        <v>OK</v>
      </c>
      <c r="AE129" s="27" t="str">
        <f t="shared" si="14"/>
        <v>세입없음</v>
      </c>
      <c r="AG129" s="24">
        <f t="shared" si="73"/>
        <v>217</v>
      </c>
      <c r="AH129" s="65" t="str">
        <f t="shared" si="15"/>
        <v>OK</v>
      </c>
      <c r="AJ129" s="27" t="str">
        <f t="array" ref="AJ129">IF(C129="","",INDEX(구분표!$I$2:$I$300, MATCH(1,(구분표!$E$2:$E$300='2추일출'!B129)*(구분표!$F$2:$F$300='2추일출'!C129)*(구분표!$G$2:$G$300='2추일출'!A129),0)))</f>
        <v>0603</v>
      </c>
      <c r="AL129" s="27"/>
    </row>
    <row r="130" spans="1:38" ht="50.1" customHeight="1" x14ac:dyDescent="0.3">
      <c r="A130" s="33" t="str">
        <f>IFERROR(VLOOKUP($C130,구분표!$A$2:$C$300,2,FALSE),"")</f>
        <v>농정해양위원회</v>
      </c>
      <c r="B130" s="24" t="str">
        <f>IFERROR(VLOOKUP($C130,구분표!$A$2:$C$300,3,FALSE),"")</f>
        <v>농정해양국</v>
      </c>
      <c r="C130" s="31" t="s">
        <v>373</v>
      </c>
      <c r="D130" s="35" t="s">
        <v>776</v>
      </c>
      <c r="E130" s="145">
        <v>485</v>
      </c>
      <c r="F130" s="134" t="s">
        <v>1037</v>
      </c>
      <c r="G130" s="44">
        <v>300000</v>
      </c>
      <c r="H130" s="42">
        <v>200000</v>
      </c>
      <c r="I130" s="54">
        <f t="shared" si="5"/>
        <v>100000</v>
      </c>
      <c r="J130" s="42"/>
      <c r="K130" s="45">
        <v>60000</v>
      </c>
      <c r="L130" s="50">
        <f t="shared" si="6"/>
        <v>360000</v>
      </c>
      <c r="M130" s="158">
        <v>0</v>
      </c>
      <c r="N130" s="159">
        <v>60000</v>
      </c>
      <c r="O130" s="160">
        <f t="shared" si="7"/>
        <v>360000</v>
      </c>
      <c r="P130" s="27" t="str">
        <f t="shared" si="192"/>
        <v>X</v>
      </c>
      <c r="Q130" s="170"/>
      <c r="S130" s="27" t="s">
        <v>975</v>
      </c>
      <c r="U130" s="27" t="s">
        <v>975</v>
      </c>
      <c r="V130" s="42">
        <f t="shared" si="8"/>
        <v>0</v>
      </c>
      <c r="W130" s="42">
        <f t="shared" si="9"/>
        <v>60000</v>
      </c>
      <c r="X130" s="27" t="str">
        <f t="shared" si="10"/>
        <v>OK</v>
      </c>
      <c r="Z130" s="27"/>
      <c r="AA130" s="42">
        <f t="shared" si="11"/>
        <v>0</v>
      </c>
      <c r="AB130" s="42">
        <f t="shared" si="12"/>
        <v>60000</v>
      </c>
      <c r="AC130" s="27" t="str">
        <f t="shared" si="13"/>
        <v>OK</v>
      </c>
      <c r="AE130" s="27" t="str">
        <f t="shared" si="14"/>
        <v>세입없음</v>
      </c>
      <c r="AG130" s="24">
        <f t="shared" si="73"/>
        <v>217</v>
      </c>
      <c r="AH130" s="65" t="str">
        <f t="shared" si="15"/>
        <v>OK</v>
      </c>
      <c r="AJ130" s="27" t="str">
        <f t="array" ref="AJ130">IF(C130="","",INDEX(구분표!$I$2:$I$300, MATCH(1,(구분표!$E$2:$E$300='2추일출'!B130)*(구분표!$F$2:$F$300='2추일출'!C130)*(구분표!$G$2:$G$300='2추일출'!A130),0)))</f>
        <v>0603</v>
      </c>
      <c r="AL130" s="27"/>
    </row>
    <row r="131" spans="1:38" ht="50.1" customHeight="1" x14ac:dyDescent="0.3">
      <c r="A131" s="33" t="str">
        <f>IFERROR(VLOOKUP($C131,구분표!$A$2:$C$300,2,FALSE),"")</f>
        <v>농정해양위원회</v>
      </c>
      <c r="B131" s="24" t="str">
        <f>IFERROR(VLOOKUP($C131,구분표!$A$2:$C$300,3,FALSE),"")</f>
        <v>농정해양국</v>
      </c>
      <c r="C131" s="31" t="s">
        <v>373</v>
      </c>
      <c r="D131" s="137" t="s">
        <v>771</v>
      </c>
      <c r="E131" s="143" t="s">
        <v>832</v>
      </c>
      <c r="F131" s="138" t="s">
        <v>1038</v>
      </c>
      <c r="G131" s="44"/>
      <c r="H131" s="42"/>
      <c r="I131" s="54">
        <f t="shared" si="5"/>
        <v>0</v>
      </c>
      <c r="J131" s="42"/>
      <c r="K131" s="45">
        <v>360000</v>
      </c>
      <c r="L131" s="50">
        <f t="shared" si="6"/>
        <v>360000</v>
      </c>
      <c r="M131" s="42"/>
      <c r="N131" s="159">
        <v>360000</v>
      </c>
      <c r="O131" s="160">
        <f t="shared" si="7"/>
        <v>360000</v>
      </c>
      <c r="P131" s="27" t="str">
        <f t="shared" si="192"/>
        <v>X</v>
      </c>
      <c r="Q131" s="170"/>
      <c r="S131" s="27" t="s">
        <v>975</v>
      </c>
      <c r="U131" s="27" t="s">
        <v>975</v>
      </c>
      <c r="V131" s="42">
        <f t="shared" si="8"/>
        <v>0</v>
      </c>
      <c r="W131" s="42">
        <f t="shared" si="9"/>
        <v>360000</v>
      </c>
      <c r="X131" s="27" t="str">
        <f t="shared" si="10"/>
        <v>OK</v>
      </c>
      <c r="Z131" s="27"/>
      <c r="AA131" s="42">
        <f t="shared" si="11"/>
        <v>0</v>
      </c>
      <c r="AB131" s="42">
        <f t="shared" si="12"/>
        <v>360000</v>
      </c>
      <c r="AC131" s="27" t="str">
        <f t="shared" si="13"/>
        <v>OK</v>
      </c>
      <c r="AE131" s="27" t="str">
        <f t="shared" si="14"/>
        <v>세입없음</v>
      </c>
      <c r="AG131" s="24">
        <f t="shared" si="73"/>
        <v>217</v>
      </c>
      <c r="AH131" s="65" t="str">
        <f t="shared" si="15"/>
        <v>OK</v>
      </c>
      <c r="AJ131" s="27" t="str">
        <f t="array" ref="AJ131">IF(C131="","",INDEX(구분표!$I$2:$I$300, MATCH(1,(구분표!$E$2:$E$300='2추일출'!B131)*(구분표!$F$2:$F$300='2추일출'!C131)*(구분표!$G$2:$G$300='2추일출'!A131),0)))</f>
        <v>0603</v>
      </c>
      <c r="AL131" s="27"/>
    </row>
    <row r="132" spans="1:38" ht="50.1" customHeight="1" x14ac:dyDescent="0.3">
      <c r="A132" s="33" t="str">
        <f>IFERROR(VLOOKUP($C132,구분표!$A$2:$C$300,2,FALSE),"")</f>
        <v>농정해양위원회</v>
      </c>
      <c r="B132" s="24" t="str">
        <f>IFERROR(VLOOKUP($C132,구분표!$A$2:$C$300,3,FALSE),"")</f>
        <v>농정해양국</v>
      </c>
      <c r="C132" s="31" t="s">
        <v>365</v>
      </c>
      <c r="D132" s="137" t="s">
        <v>771</v>
      </c>
      <c r="E132" s="143" t="s">
        <v>832</v>
      </c>
      <c r="F132" s="138" t="s">
        <v>1039</v>
      </c>
      <c r="G132" s="44"/>
      <c r="H132" s="42"/>
      <c r="I132" s="54">
        <f t="shared" si="5"/>
        <v>0</v>
      </c>
      <c r="J132" s="42"/>
      <c r="K132" s="45">
        <v>50000</v>
      </c>
      <c r="L132" s="50">
        <f t="shared" si="6"/>
        <v>50000</v>
      </c>
      <c r="M132" s="42"/>
      <c r="N132" s="159">
        <v>50000</v>
      </c>
      <c r="O132" s="160">
        <f t="shared" si="7"/>
        <v>50000</v>
      </c>
      <c r="P132" s="27" t="str">
        <f t="shared" si="192"/>
        <v>X</v>
      </c>
      <c r="Q132" s="170"/>
      <c r="S132" s="27" t="s">
        <v>975</v>
      </c>
      <c r="U132" s="27" t="s">
        <v>975</v>
      </c>
      <c r="V132" s="42">
        <f t="shared" si="8"/>
        <v>0</v>
      </c>
      <c r="W132" s="42">
        <f t="shared" si="9"/>
        <v>50000</v>
      </c>
      <c r="X132" s="27" t="str">
        <f t="shared" si="10"/>
        <v>OK</v>
      </c>
      <c r="Z132" s="27"/>
      <c r="AA132" s="42">
        <f t="shared" si="11"/>
        <v>0</v>
      </c>
      <c r="AB132" s="42">
        <f t="shared" si="12"/>
        <v>50000</v>
      </c>
      <c r="AC132" s="27" t="str">
        <f t="shared" si="13"/>
        <v>OK</v>
      </c>
      <c r="AE132" s="27" t="str">
        <f t="shared" si="14"/>
        <v>세입없음</v>
      </c>
      <c r="AG132" s="24">
        <f t="shared" si="73"/>
        <v>217</v>
      </c>
      <c r="AH132" s="65" t="str">
        <f t="shared" si="15"/>
        <v>OK</v>
      </c>
      <c r="AJ132" s="27" t="str">
        <f t="array" ref="AJ132">IF(C132="","",INDEX(구분표!$I$2:$I$300, MATCH(1,(구분표!$E$2:$E$300='2추일출'!B132)*(구분표!$F$2:$F$300='2추일출'!C132)*(구분표!$G$2:$G$300='2추일출'!A132),0)))</f>
        <v>0601</v>
      </c>
      <c r="AL132" s="27"/>
    </row>
    <row r="133" spans="1:38" ht="50.1" customHeight="1" thickBot="1" x14ac:dyDescent="0.35">
      <c r="A133" s="33" t="s">
        <v>1229</v>
      </c>
      <c r="B133" s="24" t="str">
        <f>IFERROR(VLOOKUP($C133,구분표!$A$2:$C$300,3,FALSE),"")</f>
        <v>농정해양국</v>
      </c>
      <c r="C133" s="31" t="s">
        <v>365</v>
      </c>
      <c r="D133" s="137" t="s">
        <v>779</v>
      </c>
      <c r="E133" s="143"/>
      <c r="F133" s="172" t="s">
        <v>1040</v>
      </c>
      <c r="G133" s="44">
        <v>244150</v>
      </c>
      <c r="H133" s="42">
        <v>244150</v>
      </c>
      <c r="I133" s="54">
        <f t="shared" ref="I133:I161" si="193">IF(D133="","",G133-H133)</f>
        <v>0</v>
      </c>
      <c r="J133" s="42"/>
      <c r="K133" s="45">
        <v>68000</v>
      </c>
      <c r="L133" s="50">
        <f t="shared" ref="L133:L161" si="194">IF(G133=0,H133+J133+K133,G133+J133+K133)</f>
        <v>312150</v>
      </c>
      <c r="M133" s="42"/>
      <c r="N133" s="159">
        <v>68000</v>
      </c>
      <c r="O133" s="160">
        <f t="shared" ref="O133:O161" si="195">IF(G133=0,H133+M133+N133,G133+M133+N133)</f>
        <v>312150</v>
      </c>
      <c r="P133" s="27" t="str">
        <f t="shared" si="192"/>
        <v>X</v>
      </c>
      <c r="Q133" s="228"/>
      <c r="S133" s="27" t="s">
        <v>975</v>
      </c>
      <c r="U133" s="27" t="s">
        <v>975</v>
      </c>
      <c r="V133" s="42">
        <f t="shared" si="8"/>
        <v>0</v>
      </c>
      <c r="W133" s="42">
        <f t="shared" si="9"/>
        <v>68000</v>
      </c>
      <c r="X133" s="27" t="str">
        <f t="shared" si="10"/>
        <v>OK</v>
      </c>
      <c r="Z133" s="27"/>
      <c r="AA133" s="42">
        <f t="shared" si="11"/>
        <v>0</v>
      </c>
      <c r="AB133" s="42">
        <f t="shared" ref="AB133:AB161" si="196">IF($U133="도비",SUM(M133:N133),IF($S133="국도비","직접입력",SUM(M133:N133)-AA133))</f>
        <v>68000</v>
      </c>
      <c r="AC133" s="27" t="str">
        <f t="shared" ref="AC133:AC161" si="197">IF(SUM(M133:N133)=SUM(AA133:AB133),"OK","검토")</f>
        <v>OK</v>
      </c>
      <c r="AE133" s="27" t="str">
        <f t="shared" ref="AE133:AE161" si="198">IF(U133="","",IF(U133="도비","세입없음","직접입력"))</f>
        <v>세입없음</v>
      </c>
      <c r="AG133" s="24">
        <f t="shared" si="73"/>
        <v>217</v>
      </c>
      <c r="AH133" s="65" t="str">
        <f t="shared" ref="AH133:AH161" si="199">IF(U133="","",IF(AND(U133="도비",AE133="세입없음"),"OK",IF(AND(U133&lt;&gt;"도비",AE133&lt;&gt;""),"OK","@@")))</f>
        <v>OK</v>
      </c>
      <c r="AJ133" s="27" t="str">
        <f t="array" ref="AJ133">IF(C133="","",INDEX(구분표!$I$2:$I$300, MATCH(1,(구분표!$E$2:$E$300='2추일출'!B133)*(구분표!$F$2:$F$300='2추일출'!C133)*(구분표!$G$2:$G$300='2추일출'!A133),0)))</f>
        <v>0601</v>
      </c>
      <c r="AL133" s="27"/>
    </row>
    <row r="134" spans="1:38" ht="50.1" customHeight="1" thickTop="1" x14ac:dyDescent="0.3">
      <c r="A134" s="33" t="s">
        <v>1229</v>
      </c>
      <c r="B134" s="24" t="s">
        <v>1230</v>
      </c>
      <c r="C134" s="31" t="s">
        <v>1231</v>
      </c>
      <c r="D134" s="137" t="s">
        <v>779</v>
      </c>
      <c r="E134" s="201"/>
      <c r="F134" s="202" t="s">
        <v>1041</v>
      </c>
      <c r="G134" s="44">
        <v>3000000</v>
      </c>
      <c r="H134" s="42">
        <v>3000000</v>
      </c>
      <c r="I134" s="54">
        <f t="shared" ref="I134" si="200">IF(D134="","",G134-H134)</f>
        <v>0</v>
      </c>
      <c r="J134" s="42"/>
      <c r="K134" s="45">
        <v>1025000</v>
      </c>
      <c r="L134" s="50">
        <f t="shared" si="194"/>
        <v>4025000</v>
      </c>
      <c r="M134" s="42"/>
      <c r="N134" s="159">
        <v>1025000</v>
      </c>
      <c r="O134" s="160">
        <f t="shared" si="195"/>
        <v>4025000</v>
      </c>
      <c r="P134" s="27" t="str">
        <f t="shared" si="192"/>
        <v>X</v>
      </c>
      <c r="Q134" s="228"/>
      <c r="S134" s="27" t="s">
        <v>1239</v>
      </c>
      <c r="U134" s="27" t="s">
        <v>1239</v>
      </c>
      <c r="V134" s="42">
        <f t="shared" si="8"/>
        <v>0</v>
      </c>
      <c r="W134" s="42">
        <f t="shared" si="9"/>
        <v>1025000</v>
      </c>
      <c r="X134" s="27" t="str">
        <f t="shared" si="10"/>
        <v>OK</v>
      </c>
      <c r="Z134" s="27"/>
      <c r="AA134" s="42">
        <f t="shared" si="11"/>
        <v>0</v>
      </c>
      <c r="AB134" s="42">
        <f t="shared" si="196"/>
        <v>1025000</v>
      </c>
      <c r="AC134" s="27" t="str">
        <f t="shared" si="197"/>
        <v>OK</v>
      </c>
      <c r="AE134" s="27" t="str">
        <f t="shared" si="198"/>
        <v>세입없음</v>
      </c>
      <c r="AG134" s="24">
        <f t="shared" si="73"/>
        <v>217</v>
      </c>
      <c r="AH134" s="65" t="str">
        <f t="shared" si="199"/>
        <v>OK</v>
      </c>
      <c r="AJ134" s="27" t="str">
        <f t="array" ref="AJ134">IF(C134="","",INDEX(구분표!$I$2:$I$300, MATCH(1,(구분표!$E$2:$E$300='2추일출'!B134)*(구분표!$F$2:$F$300='2추일출'!C134)*(구분표!$G$2:$G$300='2추일출'!A134),0)))</f>
        <v>0604</v>
      </c>
      <c r="AL134" s="27"/>
    </row>
    <row r="135" spans="1:38" ht="50.1" customHeight="1" x14ac:dyDescent="0.3">
      <c r="A135" s="33" t="str">
        <f>IFERROR(VLOOKUP($C135,구분표!$A$2:$C$300,2,FALSE),"")</f>
        <v>농정해양위원회</v>
      </c>
      <c r="B135" s="24" t="str">
        <f>IFERROR(VLOOKUP($C135,구분표!$A$2:$C$300,3,FALSE),"")</f>
        <v>농정해양국</v>
      </c>
      <c r="C135" s="31" t="s">
        <v>376</v>
      </c>
      <c r="D135" s="137" t="s">
        <v>771</v>
      </c>
      <c r="E135" s="143" t="s">
        <v>832</v>
      </c>
      <c r="F135" s="203" t="s">
        <v>1041</v>
      </c>
      <c r="G135" s="44"/>
      <c r="H135" s="42"/>
      <c r="I135" s="54">
        <f t="shared" si="193"/>
        <v>0</v>
      </c>
      <c r="J135" s="42"/>
      <c r="K135" s="45">
        <v>147000</v>
      </c>
      <c r="L135" s="50">
        <f t="shared" si="194"/>
        <v>147000</v>
      </c>
      <c r="M135" s="42"/>
      <c r="N135" s="159">
        <v>147000</v>
      </c>
      <c r="O135" s="160">
        <f t="shared" si="195"/>
        <v>147000</v>
      </c>
      <c r="P135" s="27" t="str">
        <f t="shared" si="192"/>
        <v>X</v>
      </c>
      <c r="Q135" s="217"/>
      <c r="S135" s="27" t="s">
        <v>975</v>
      </c>
      <c r="U135" s="27" t="s">
        <v>975</v>
      </c>
      <c r="V135" s="42">
        <f t="shared" si="8"/>
        <v>0</v>
      </c>
      <c r="W135" s="42">
        <f t="shared" si="9"/>
        <v>147000</v>
      </c>
      <c r="X135" s="27" t="str">
        <f t="shared" si="10"/>
        <v>OK</v>
      </c>
      <c r="Z135" s="27"/>
      <c r="AA135" s="42">
        <f t="shared" si="11"/>
        <v>0</v>
      </c>
      <c r="AB135" s="42">
        <f t="shared" si="196"/>
        <v>147000</v>
      </c>
      <c r="AC135" s="27" t="str">
        <f t="shared" si="197"/>
        <v>OK</v>
      </c>
      <c r="AE135" s="27" t="str">
        <f t="shared" si="198"/>
        <v>세입없음</v>
      </c>
      <c r="AG135" s="24">
        <f t="shared" ref="AG135:AG198" si="201">IF(AE135="","",COUNTIF($AE$7:$AE$294,AE135))</f>
        <v>217</v>
      </c>
      <c r="AH135" s="65" t="str">
        <f t="shared" si="199"/>
        <v>OK</v>
      </c>
      <c r="AJ135" s="27" t="str">
        <f t="array" ref="AJ135">IF(C135="","",INDEX(구분표!$I$2:$I$300, MATCH(1,(구분표!$E$2:$E$300='2추일출'!B135)*(구분표!$F$2:$F$300='2추일출'!C135)*(구분표!$G$2:$G$300='2추일출'!A135),0)))</f>
        <v>0604</v>
      </c>
      <c r="AL135" s="27"/>
    </row>
    <row r="136" spans="1:38" ht="50.1" customHeight="1" thickBot="1" x14ac:dyDescent="0.35">
      <c r="A136" s="33" t="str">
        <f>IFERROR(VLOOKUP($C136,구분표!$A$2:$C$300,2,FALSE),"")</f>
        <v>농정해양위원회</v>
      </c>
      <c r="B136" s="24" t="str">
        <f>IFERROR(VLOOKUP($C136,구분표!$A$2:$C$300,3,FALSE),"")</f>
        <v>농정해양국</v>
      </c>
      <c r="C136" s="31" t="s">
        <v>376</v>
      </c>
      <c r="D136" s="137" t="s">
        <v>771</v>
      </c>
      <c r="E136" s="143" t="s">
        <v>832</v>
      </c>
      <c r="F136" s="166" t="s">
        <v>1041</v>
      </c>
      <c r="G136" s="44"/>
      <c r="H136" s="42"/>
      <c r="I136" s="54">
        <f t="shared" ref="I136" si="202">IF(D136="","",G136-H136)</f>
        <v>0</v>
      </c>
      <c r="J136" s="42"/>
      <c r="K136" s="45">
        <v>350000</v>
      </c>
      <c r="L136" s="50">
        <f t="shared" ref="L136" si="203">IF(G136=0,H136+J136+K136,G136+J136+K136)</f>
        <v>350000</v>
      </c>
      <c r="M136" s="42"/>
      <c r="N136" s="159">
        <v>350000</v>
      </c>
      <c r="O136" s="160">
        <f t="shared" ref="O136" si="204">IF(G136=0,H136+M136+N136,G136+M136+N136)</f>
        <v>350000</v>
      </c>
      <c r="P136" s="27" t="str">
        <f t="shared" si="192"/>
        <v>X</v>
      </c>
      <c r="Q136" s="217"/>
      <c r="S136" s="27" t="s">
        <v>975</v>
      </c>
      <c r="U136" s="27" t="s">
        <v>975</v>
      </c>
      <c r="V136" s="42">
        <f t="shared" si="8"/>
        <v>0</v>
      </c>
      <c r="W136" s="42">
        <f t="shared" si="9"/>
        <v>350000</v>
      </c>
      <c r="X136" s="27" t="str">
        <f t="shared" si="10"/>
        <v>OK</v>
      </c>
      <c r="Z136" s="27"/>
      <c r="AA136" s="42">
        <f t="shared" si="11"/>
        <v>0</v>
      </c>
      <c r="AB136" s="42">
        <f t="shared" ref="AB136" si="205">IF($U136="도비",SUM(M136:N136),IF($S136="국도비","직접입력",SUM(M136:N136)-AA136))</f>
        <v>350000</v>
      </c>
      <c r="AC136" s="27" t="str">
        <f t="shared" ref="AC136" si="206">IF(SUM(M136:N136)=SUM(AA136:AB136),"OK","검토")</f>
        <v>OK</v>
      </c>
      <c r="AE136" s="27" t="str">
        <f t="shared" ref="AE136" si="207">IF(U136="","",IF(U136="도비","세입없음","직접입력"))</f>
        <v>세입없음</v>
      </c>
      <c r="AG136" s="24">
        <f t="shared" si="201"/>
        <v>217</v>
      </c>
      <c r="AH136" s="65" t="str">
        <f t="shared" ref="AH136" si="208">IF(U136="","",IF(AND(U136="도비",AE136="세입없음"),"OK",IF(AND(U136&lt;&gt;"도비",AE136&lt;&gt;""),"OK","@@")))</f>
        <v>OK</v>
      </c>
      <c r="AJ136" s="27" t="str">
        <f t="array" ref="AJ136">IF(C136="","",INDEX(구분표!$I$2:$I$300, MATCH(1,(구분표!$E$2:$E$300='2추일출'!B136)*(구분표!$F$2:$F$300='2추일출'!C136)*(구분표!$G$2:$G$300='2추일출'!A136),0)))</f>
        <v>0604</v>
      </c>
      <c r="AL136" s="27"/>
    </row>
    <row r="137" spans="1:38" ht="50.1" customHeight="1" thickTop="1" x14ac:dyDescent="0.3">
      <c r="A137" s="33" t="str">
        <f>IFERROR(VLOOKUP($C137,구분표!$A$2:$C$300,2,FALSE),"")</f>
        <v>농정해양위원회</v>
      </c>
      <c r="B137" s="24" t="str">
        <f>IFERROR(VLOOKUP($C137,구분표!$A$2:$C$300,3,FALSE),"")</f>
        <v>농정해양국</v>
      </c>
      <c r="C137" s="31" t="s">
        <v>379</v>
      </c>
      <c r="D137" s="137" t="s">
        <v>771</v>
      </c>
      <c r="E137" s="143" t="s">
        <v>832</v>
      </c>
      <c r="F137" s="173" t="s">
        <v>1042</v>
      </c>
      <c r="G137" s="44"/>
      <c r="H137" s="42"/>
      <c r="I137" s="54">
        <f t="shared" si="193"/>
        <v>0</v>
      </c>
      <c r="J137" s="42"/>
      <c r="K137" s="45">
        <v>100000</v>
      </c>
      <c r="L137" s="50">
        <f t="shared" si="194"/>
        <v>100000</v>
      </c>
      <c r="M137" s="42"/>
      <c r="N137" s="159">
        <v>100000</v>
      </c>
      <c r="O137" s="160">
        <f t="shared" si="195"/>
        <v>100000</v>
      </c>
      <c r="P137" s="27" t="str">
        <f t="shared" si="192"/>
        <v>X</v>
      </c>
      <c r="Q137" s="170"/>
      <c r="S137" s="27" t="s">
        <v>975</v>
      </c>
      <c r="U137" s="27" t="s">
        <v>975</v>
      </c>
      <c r="V137" s="42">
        <f t="shared" si="8"/>
        <v>0</v>
      </c>
      <c r="W137" s="42">
        <f t="shared" si="9"/>
        <v>100000</v>
      </c>
      <c r="X137" s="27" t="str">
        <f t="shared" si="10"/>
        <v>OK</v>
      </c>
      <c r="Z137" s="27"/>
      <c r="AA137" s="42">
        <f t="shared" si="11"/>
        <v>0</v>
      </c>
      <c r="AB137" s="42">
        <f t="shared" si="196"/>
        <v>100000</v>
      </c>
      <c r="AC137" s="27" t="str">
        <f t="shared" si="197"/>
        <v>OK</v>
      </c>
      <c r="AE137" s="27" t="str">
        <f t="shared" si="198"/>
        <v>세입없음</v>
      </c>
      <c r="AG137" s="24">
        <f t="shared" si="201"/>
        <v>217</v>
      </c>
      <c r="AH137" s="65" t="str">
        <f t="shared" si="199"/>
        <v>OK</v>
      </c>
      <c r="AJ137" s="27" t="str">
        <f t="array" ref="AJ137">IF(C137="","",INDEX(구분표!$I$2:$I$300, MATCH(1,(구분표!$E$2:$E$300='2추일출'!B137)*(구분표!$F$2:$F$300='2추일출'!C137)*(구분표!$G$2:$G$300='2추일출'!A137),0)))</f>
        <v>0605</v>
      </c>
      <c r="AL137" s="27"/>
    </row>
    <row r="138" spans="1:38" ht="50.1" customHeight="1" x14ac:dyDescent="0.3">
      <c r="A138" s="33" t="str">
        <f>IFERROR(VLOOKUP($C138,구분표!$A$2:$C$300,2,FALSE),"")</f>
        <v>농정해양위원회</v>
      </c>
      <c r="B138" s="24" t="str">
        <f>IFERROR(VLOOKUP($C138,구분표!$A$2:$C$300,3,FALSE),"")</f>
        <v>축산산림국</v>
      </c>
      <c r="C138" s="31" t="s">
        <v>388</v>
      </c>
      <c r="D138" s="35" t="s">
        <v>771</v>
      </c>
      <c r="E138" s="145"/>
      <c r="F138" s="134" t="s">
        <v>1043</v>
      </c>
      <c r="G138" s="44"/>
      <c r="H138" s="42"/>
      <c r="I138" s="54">
        <f t="shared" si="193"/>
        <v>0</v>
      </c>
      <c r="J138" s="42"/>
      <c r="K138" s="45">
        <v>70000</v>
      </c>
      <c r="L138" s="50">
        <f t="shared" si="194"/>
        <v>70000</v>
      </c>
      <c r="M138" s="158">
        <v>0</v>
      </c>
      <c r="N138" s="159">
        <v>70000</v>
      </c>
      <c r="O138" s="160">
        <f t="shared" si="195"/>
        <v>70000</v>
      </c>
      <c r="P138" s="27" t="str">
        <f t="shared" si="192"/>
        <v>X</v>
      </c>
      <c r="Q138" s="170" t="s">
        <v>810</v>
      </c>
      <c r="S138" s="27" t="s">
        <v>985</v>
      </c>
      <c r="U138" s="27" t="s">
        <v>1017</v>
      </c>
      <c r="V138" s="42">
        <v>70000</v>
      </c>
      <c r="W138" s="42">
        <v>0</v>
      </c>
      <c r="X138" s="27" t="str">
        <f t="shared" si="10"/>
        <v>OK</v>
      </c>
      <c r="Z138" s="27" t="s">
        <v>1017</v>
      </c>
      <c r="AA138" s="42">
        <v>70000</v>
      </c>
      <c r="AB138" s="42">
        <v>0</v>
      </c>
      <c r="AC138" s="27" t="str">
        <f t="shared" si="197"/>
        <v>OK</v>
      </c>
      <c r="AE138" s="27" t="s">
        <v>1047</v>
      </c>
      <c r="AG138" s="24">
        <f t="shared" si="201"/>
        <v>1</v>
      </c>
      <c r="AH138" s="65" t="str">
        <f t="shared" si="199"/>
        <v>OK</v>
      </c>
      <c r="AJ138" s="27" t="str">
        <f t="array" ref="AJ138">IF(C138="","",INDEX(구분표!$I$2:$I$300, MATCH(1,(구분표!$E$2:$E$300='2추일출'!B138)*(구분표!$F$2:$F$300='2추일출'!C138)*(구분표!$G$2:$G$300='2추일출'!A138),0)))</f>
        <v>0608</v>
      </c>
      <c r="AL138" s="27"/>
    </row>
    <row r="139" spans="1:38" ht="50.1" customHeight="1" x14ac:dyDescent="0.3">
      <c r="A139" s="33" t="str">
        <f>IFERROR(VLOOKUP($C139,구분표!$A$2:$C$300,2,FALSE),"")</f>
        <v>농정해양위원회</v>
      </c>
      <c r="B139" s="24" t="str">
        <f>IFERROR(VLOOKUP($C139,구분표!$A$2:$C$300,3,FALSE),"")</f>
        <v>축산산림국</v>
      </c>
      <c r="C139" s="31" t="s">
        <v>388</v>
      </c>
      <c r="D139" s="35" t="s">
        <v>776</v>
      </c>
      <c r="E139" s="145">
        <v>512</v>
      </c>
      <c r="F139" s="134" t="s">
        <v>1044</v>
      </c>
      <c r="G139" s="44">
        <v>674196</v>
      </c>
      <c r="H139" s="42"/>
      <c r="I139" s="54">
        <f t="shared" si="193"/>
        <v>674196</v>
      </c>
      <c r="J139" s="42"/>
      <c r="K139" s="45">
        <v>202259</v>
      </c>
      <c r="L139" s="50">
        <f t="shared" si="194"/>
        <v>876455</v>
      </c>
      <c r="M139" s="158">
        <v>0</v>
      </c>
      <c r="N139" s="159">
        <v>202259</v>
      </c>
      <c r="O139" s="160">
        <f t="shared" si="195"/>
        <v>876455</v>
      </c>
      <c r="P139" s="27" t="str">
        <f t="shared" si="192"/>
        <v>X</v>
      </c>
      <c r="Q139" s="170"/>
      <c r="S139" s="27" t="s">
        <v>975</v>
      </c>
      <c r="U139" s="27" t="s">
        <v>975</v>
      </c>
      <c r="V139" s="42">
        <f t="shared" si="8"/>
        <v>0</v>
      </c>
      <c r="W139" s="42">
        <f t="shared" si="9"/>
        <v>202259</v>
      </c>
      <c r="X139" s="27" t="str">
        <f t="shared" si="10"/>
        <v>OK</v>
      </c>
      <c r="Z139" s="27"/>
      <c r="AA139" s="42">
        <f t="shared" si="11"/>
        <v>0</v>
      </c>
      <c r="AB139" s="42">
        <f t="shared" si="196"/>
        <v>202259</v>
      </c>
      <c r="AC139" s="27" t="str">
        <f t="shared" si="197"/>
        <v>OK</v>
      </c>
      <c r="AE139" s="27" t="str">
        <f t="shared" si="198"/>
        <v>세입없음</v>
      </c>
      <c r="AG139" s="24">
        <f t="shared" si="201"/>
        <v>217</v>
      </c>
      <c r="AH139" s="65" t="str">
        <f t="shared" si="199"/>
        <v>OK</v>
      </c>
      <c r="AJ139" s="27" t="str">
        <f t="array" ref="AJ139">IF(C139="","",INDEX(구분표!$I$2:$I$300, MATCH(1,(구분표!$E$2:$E$300='2추일출'!B139)*(구분표!$F$2:$F$300='2추일출'!C139)*(구분표!$G$2:$G$300='2추일출'!A139),0)))</f>
        <v>0608</v>
      </c>
      <c r="AL139" s="27"/>
    </row>
    <row r="140" spans="1:38" ht="50.1" customHeight="1" x14ac:dyDescent="0.3">
      <c r="A140" s="33" t="str">
        <f>IFERROR(VLOOKUP($C140,구분표!$A$2:$C$300,2,FALSE),"")</f>
        <v>농정해양위원회</v>
      </c>
      <c r="B140" s="24" t="str">
        <f>IFERROR(VLOOKUP($C140,구분표!$A$2:$C$300,3,FALSE),"")</f>
        <v>축산산림국</v>
      </c>
      <c r="C140" s="31" t="s">
        <v>388</v>
      </c>
      <c r="D140" s="35" t="s">
        <v>776</v>
      </c>
      <c r="E140" s="145">
        <v>513</v>
      </c>
      <c r="F140" s="134" t="s">
        <v>1045</v>
      </c>
      <c r="G140" s="44">
        <v>60000</v>
      </c>
      <c r="H140" s="42"/>
      <c r="I140" s="54">
        <f t="shared" ref="I140:I159" si="209">IF(D140="","",G140-H140)</f>
        <v>60000</v>
      </c>
      <c r="J140" s="42"/>
      <c r="K140" s="45">
        <v>18000</v>
      </c>
      <c r="L140" s="50">
        <f t="shared" ref="L140:L159" si="210">IF(G140=0,H140+J140+K140,G140+J140+K140)</f>
        <v>78000</v>
      </c>
      <c r="M140" s="158">
        <v>0</v>
      </c>
      <c r="N140" s="159">
        <v>18000</v>
      </c>
      <c r="O140" s="160">
        <f t="shared" ref="O140:O159" si="211">IF(G140=0,H140+M140+N140,G140+M140+N140)</f>
        <v>78000</v>
      </c>
      <c r="P140" s="27" t="str">
        <f t="shared" si="192"/>
        <v>X</v>
      </c>
      <c r="Q140" s="170"/>
      <c r="S140" s="27" t="s">
        <v>975</v>
      </c>
      <c r="U140" s="27" t="s">
        <v>975</v>
      </c>
      <c r="V140" s="42">
        <f t="shared" si="8"/>
        <v>0</v>
      </c>
      <c r="W140" s="42">
        <f t="shared" si="9"/>
        <v>18000</v>
      </c>
      <c r="X140" s="27" t="str">
        <f t="shared" si="10"/>
        <v>OK</v>
      </c>
      <c r="Z140" s="27"/>
      <c r="AA140" s="42">
        <f t="shared" si="11"/>
        <v>0</v>
      </c>
      <c r="AB140" s="42">
        <f t="shared" ref="AB140:AB159" si="212">IF($U140="도비",SUM(M140:N140),IF($S140="국도비","직접입력",SUM(M140:N140)-AA140))</f>
        <v>18000</v>
      </c>
      <c r="AC140" s="27" t="str">
        <f t="shared" ref="AC140:AC159" si="213">IF(SUM(M140:N140)=SUM(AA140:AB140),"OK","검토")</f>
        <v>OK</v>
      </c>
      <c r="AE140" s="27" t="str">
        <f t="shared" ref="AE140:AE159" si="214">IF(U140="","",IF(U140="도비","세입없음","직접입력"))</f>
        <v>세입없음</v>
      </c>
      <c r="AG140" s="24">
        <f t="shared" si="201"/>
        <v>217</v>
      </c>
      <c r="AH140" s="65" t="str">
        <f t="shared" ref="AH140:AH159" si="215">IF(U140="","",IF(AND(U140="도비",AE140="세입없음"),"OK",IF(AND(U140&lt;&gt;"도비",AE140&lt;&gt;""),"OK","@@")))</f>
        <v>OK</v>
      </c>
      <c r="AJ140" s="27" t="str">
        <f t="array" ref="AJ140">IF(C140="","",INDEX(구분표!$I$2:$I$300, MATCH(1,(구분표!$E$2:$E$300='2추일출'!B140)*(구분표!$F$2:$F$300='2추일출'!C140)*(구분표!$G$2:$G$300='2추일출'!A140),0)))</f>
        <v>0608</v>
      </c>
      <c r="AL140" s="27"/>
    </row>
    <row r="141" spans="1:38" ht="50.1" customHeight="1" x14ac:dyDescent="0.3">
      <c r="A141" s="33" t="str">
        <f>IFERROR(VLOOKUP($C141,구분표!$A$2:$C$300,2,FALSE),"")</f>
        <v>농정해양위원회</v>
      </c>
      <c r="B141" s="24" t="str">
        <f>IFERROR(VLOOKUP($C141,구분표!$A$2:$C$300,3,FALSE),"")</f>
        <v>축산산림국</v>
      </c>
      <c r="C141" s="31" t="s">
        <v>388</v>
      </c>
      <c r="D141" s="35" t="s">
        <v>776</v>
      </c>
      <c r="E141" s="145">
        <v>512</v>
      </c>
      <c r="F141" s="134" t="s">
        <v>1046</v>
      </c>
      <c r="G141" s="44">
        <v>1500000</v>
      </c>
      <c r="H141" s="42"/>
      <c r="I141" s="54">
        <f t="shared" si="209"/>
        <v>1500000</v>
      </c>
      <c r="J141" s="42">
        <v>-500000</v>
      </c>
      <c r="K141" s="45"/>
      <c r="L141" s="50">
        <f t="shared" si="210"/>
        <v>1000000</v>
      </c>
      <c r="M141" s="158">
        <v>-500000</v>
      </c>
      <c r="N141" s="159">
        <v>0</v>
      </c>
      <c r="O141" s="160">
        <f t="shared" si="211"/>
        <v>1000000</v>
      </c>
      <c r="P141" s="27" t="str">
        <f t="shared" si="192"/>
        <v>X</v>
      </c>
      <c r="Q141" s="170"/>
      <c r="S141" s="27" t="s">
        <v>975</v>
      </c>
      <c r="U141" s="27" t="s">
        <v>975</v>
      </c>
      <c r="V141" s="42">
        <f t="shared" si="8"/>
        <v>0</v>
      </c>
      <c r="W141" s="42">
        <f t="shared" si="9"/>
        <v>-500000</v>
      </c>
      <c r="X141" s="27" t="str">
        <f t="shared" si="10"/>
        <v>OK</v>
      </c>
      <c r="Z141" s="27"/>
      <c r="AA141" s="42">
        <f t="shared" si="11"/>
        <v>0</v>
      </c>
      <c r="AB141" s="42">
        <f t="shared" si="212"/>
        <v>-500000</v>
      </c>
      <c r="AC141" s="27" t="str">
        <f t="shared" si="213"/>
        <v>OK</v>
      </c>
      <c r="AE141" s="27" t="str">
        <f t="shared" si="214"/>
        <v>세입없음</v>
      </c>
      <c r="AG141" s="24">
        <f t="shared" si="201"/>
        <v>217</v>
      </c>
      <c r="AH141" s="65" t="str">
        <f t="shared" si="215"/>
        <v>OK</v>
      </c>
      <c r="AJ141" s="27" t="str">
        <f t="array" ref="AJ141">IF(C141="","",INDEX(구분표!$I$2:$I$300, MATCH(1,(구분표!$E$2:$E$300='2추일출'!B141)*(구분표!$F$2:$F$300='2추일출'!C141)*(구분표!$G$2:$G$300='2추일출'!A141),0)))</f>
        <v>0608</v>
      </c>
      <c r="AL141" s="27"/>
    </row>
    <row r="142" spans="1:38" ht="50.1" customHeight="1" x14ac:dyDescent="0.3">
      <c r="A142" s="33" t="str">
        <f>IFERROR(VLOOKUP($C142,구분표!$A$2:$C$300,2,FALSE),"")</f>
        <v>농정해양위원회</v>
      </c>
      <c r="B142" s="24" t="str">
        <f>IFERROR(VLOOKUP($C142,구분표!$A$2:$C$300,3,FALSE),"")</f>
        <v>축산산림국</v>
      </c>
      <c r="C142" s="31" t="s">
        <v>395</v>
      </c>
      <c r="D142" s="139" t="s">
        <v>776</v>
      </c>
      <c r="E142" s="144">
        <v>521</v>
      </c>
      <c r="F142" s="140" t="s">
        <v>1048</v>
      </c>
      <c r="G142" s="44">
        <v>262642</v>
      </c>
      <c r="H142" s="42">
        <v>67642</v>
      </c>
      <c r="I142" s="54">
        <f t="shared" si="209"/>
        <v>195000</v>
      </c>
      <c r="J142" s="42">
        <v>-45000</v>
      </c>
      <c r="K142" s="45"/>
      <c r="L142" s="50">
        <f t="shared" si="210"/>
        <v>217642</v>
      </c>
      <c r="M142" s="158">
        <v>0</v>
      </c>
      <c r="N142" s="159">
        <v>0</v>
      </c>
      <c r="O142" s="160">
        <f t="shared" si="211"/>
        <v>262642</v>
      </c>
      <c r="P142" s="27" t="str">
        <f t="shared" si="192"/>
        <v>O</v>
      </c>
      <c r="Q142" s="229"/>
      <c r="S142" s="27" t="s">
        <v>975</v>
      </c>
      <c r="U142" s="27" t="s">
        <v>975</v>
      </c>
      <c r="V142" s="42">
        <f t="shared" si="8"/>
        <v>0</v>
      </c>
      <c r="W142" s="42">
        <f t="shared" si="9"/>
        <v>-45000</v>
      </c>
      <c r="X142" s="27" t="str">
        <f t="shared" si="10"/>
        <v>OK</v>
      </c>
      <c r="Z142" s="27"/>
      <c r="AA142" s="42">
        <f t="shared" si="11"/>
        <v>0</v>
      </c>
      <c r="AB142" s="42">
        <f t="shared" si="212"/>
        <v>0</v>
      </c>
      <c r="AC142" s="27" t="str">
        <f t="shared" si="213"/>
        <v>OK</v>
      </c>
      <c r="AE142" s="27" t="str">
        <f t="shared" si="214"/>
        <v>세입없음</v>
      </c>
      <c r="AG142" s="24">
        <f t="shared" si="201"/>
        <v>217</v>
      </c>
      <c r="AH142" s="65" t="str">
        <f t="shared" si="215"/>
        <v>OK</v>
      </c>
      <c r="AJ142" s="27" t="str">
        <f t="array" ref="AJ142">IF(C142="","",INDEX(구분표!$I$2:$I$300, MATCH(1,(구분표!$E$2:$E$300='2추일출'!B142)*(구분표!$F$2:$F$300='2추일출'!C142)*(구분표!$G$2:$G$300='2추일출'!A142),0)))</f>
        <v>0610</v>
      </c>
      <c r="AL142" s="27"/>
    </row>
    <row r="143" spans="1:38" ht="50.1" customHeight="1" x14ac:dyDescent="0.3">
      <c r="A143" s="33" t="str">
        <f>IFERROR(VLOOKUP($C143,구분표!$A$2:$C$300,2,FALSE),"")</f>
        <v>농정해양위원회</v>
      </c>
      <c r="B143" s="24" t="str">
        <f>IFERROR(VLOOKUP($C143,구분표!$A$2:$C$300,3,FALSE),"")</f>
        <v>축산산림국</v>
      </c>
      <c r="C143" s="31" t="s">
        <v>388</v>
      </c>
      <c r="D143" s="35" t="s">
        <v>776</v>
      </c>
      <c r="E143" s="145">
        <v>514</v>
      </c>
      <c r="F143" s="134" t="s">
        <v>1050</v>
      </c>
      <c r="G143" s="44">
        <v>93906</v>
      </c>
      <c r="H143" s="42"/>
      <c r="I143" s="54">
        <f t="shared" si="209"/>
        <v>93906</v>
      </c>
      <c r="J143" s="42">
        <v>-7016</v>
      </c>
      <c r="K143" s="45"/>
      <c r="L143" s="50">
        <f t="shared" si="210"/>
        <v>86890</v>
      </c>
      <c r="M143" s="158">
        <v>-7016</v>
      </c>
      <c r="N143" s="159">
        <v>0</v>
      </c>
      <c r="O143" s="160">
        <f t="shared" si="211"/>
        <v>86890</v>
      </c>
      <c r="P143" s="27" t="str">
        <f t="shared" si="192"/>
        <v>X</v>
      </c>
      <c r="Q143" s="170"/>
      <c r="S143" s="27" t="s">
        <v>975</v>
      </c>
      <c r="U143" s="27" t="s">
        <v>975</v>
      </c>
      <c r="V143" s="42">
        <f t="shared" si="8"/>
        <v>0</v>
      </c>
      <c r="W143" s="42">
        <f t="shared" si="9"/>
        <v>-7016</v>
      </c>
      <c r="X143" s="27" t="str">
        <f t="shared" si="10"/>
        <v>OK</v>
      </c>
      <c r="Z143" s="27"/>
      <c r="AA143" s="42">
        <f t="shared" si="11"/>
        <v>0</v>
      </c>
      <c r="AB143" s="42">
        <f t="shared" si="212"/>
        <v>-7016</v>
      </c>
      <c r="AC143" s="27" t="str">
        <f t="shared" si="213"/>
        <v>OK</v>
      </c>
      <c r="AE143" s="27" t="str">
        <f t="shared" si="214"/>
        <v>세입없음</v>
      </c>
      <c r="AG143" s="24">
        <f t="shared" si="201"/>
        <v>217</v>
      </c>
      <c r="AH143" s="65" t="str">
        <f t="shared" si="215"/>
        <v>OK</v>
      </c>
      <c r="AJ143" s="27" t="str">
        <f t="array" ref="AJ143">IF(C143="","",INDEX(구분표!$I$2:$I$300, MATCH(1,(구분표!$E$2:$E$300='2추일출'!B143)*(구분표!$F$2:$F$300='2추일출'!C143)*(구분표!$G$2:$G$300='2추일출'!A143),0)))</f>
        <v>0608</v>
      </c>
      <c r="AL143" s="27"/>
    </row>
    <row r="144" spans="1:38" ht="50.1" customHeight="1" x14ac:dyDescent="0.3">
      <c r="A144" s="33" t="str">
        <f>IFERROR(VLOOKUP($C144,구분표!$A$2:$C$300,2,FALSE),"")</f>
        <v>농정해양위원회</v>
      </c>
      <c r="B144" s="24" t="str">
        <f>IFERROR(VLOOKUP($C144,구분표!$A$2:$C$300,3,FALSE),"")</f>
        <v>축산산림국</v>
      </c>
      <c r="C144" s="31" t="s">
        <v>398</v>
      </c>
      <c r="D144" s="35" t="s">
        <v>776</v>
      </c>
      <c r="E144" s="145">
        <v>526</v>
      </c>
      <c r="F144" s="134" t="s">
        <v>1049</v>
      </c>
      <c r="G144" s="44">
        <v>11385</v>
      </c>
      <c r="H144" s="42"/>
      <c r="I144" s="54">
        <f t="shared" si="209"/>
        <v>11385</v>
      </c>
      <c r="J144" s="42">
        <v>-3152</v>
      </c>
      <c r="K144" s="45"/>
      <c r="L144" s="50">
        <f t="shared" si="210"/>
        <v>8233</v>
      </c>
      <c r="M144" s="158">
        <v>-3152</v>
      </c>
      <c r="N144" s="159">
        <v>0</v>
      </c>
      <c r="O144" s="160">
        <f t="shared" si="211"/>
        <v>8233</v>
      </c>
      <c r="P144" s="27" t="str">
        <f t="shared" si="192"/>
        <v>X</v>
      </c>
      <c r="Q144" s="170"/>
      <c r="S144" s="27" t="s">
        <v>975</v>
      </c>
      <c r="U144" s="27" t="s">
        <v>975</v>
      </c>
      <c r="V144" s="42">
        <f t="shared" si="8"/>
        <v>0</v>
      </c>
      <c r="W144" s="42">
        <f t="shared" si="9"/>
        <v>-3152</v>
      </c>
      <c r="X144" s="27" t="str">
        <f t="shared" si="10"/>
        <v>OK</v>
      </c>
      <c r="Z144" s="27" t="s">
        <v>975</v>
      </c>
      <c r="AA144" s="42">
        <f t="shared" ref="AA144" si="216">IF($U144&lt;&gt;"도비",IF($S144="국도비","직접입력",SUM($J144:$K144)),)</f>
        <v>0</v>
      </c>
      <c r="AB144" s="42">
        <f t="shared" ref="AB144" si="217">IF($U144="도비",SUM($J144:$K144),IF($S144="국도비","직접입력",SUM($J144:$K144)-$V144))</f>
        <v>-3152</v>
      </c>
      <c r="AC144" s="27" t="str">
        <f t="shared" si="213"/>
        <v>OK</v>
      </c>
      <c r="AE144" s="27" t="s">
        <v>1063</v>
      </c>
      <c r="AG144" s="24">
        <f t="shared" si="201"/>
        <v>1</v>
      </c>
      <c r="AH144" s="65" t="str">
        <f t="shared" si="215"/>
        <v>@@</v>
      </c>
      <c r="AJ144" s="27" t="str">
        <f t="array" ref="AJ144">IF(C144="","",INDEX(구분표!$I$2:$I$300, MATCH(1,(구분표!$E$2:$E$300='2추일출'!B144)*(구분표!$F$2:$F$300='2추일출'!C144)*(구분표!$G$2:$G$300='2추일출'!A144),0)))</f>
        <v>0611</v>
      </c>
      <c r="AL144" s="27"/>
    </row>
    <row r="145" spans="1:38" ht="50.1" customHeight="1" x14ac:dyDescent="0.3">
      <c r="A145" s="33" t="str">
        <f>IFERROR(VLOOKUP($C145,구분표!$A$2:$C$300,2,FALSE),"")</f>
        <v>농정해양위원회</v>
      </c>
      <c r="B145" s="24" t="str">
        <f>IFERROR(VLOOKUP($C145,구분표!$A$2:$C$300,3,FALSE),"")</f>
        <v>축산산림국</v>
      </c>
      <c r="C145" s="31" t="s">
        <v>388</v>
      </c>
      <c r="D145" s="137" t="s">
        <v>779</v>
      </c>
      <c r="E145" s="143" t="s">
        <v>832</v>
      </c>
      <c r="F145" s="138" t="s">
        <v>869</v>
      </c>
      <c r="G145" s="44">
        <v>40500</v>
      </c>
      <c r="H145" s="42">
        <v>40500</v>
      </c>
      <c r="I145" s="54">
        <f t="shared" si="209"/>
        <v>0</v>
      </c>
      <c r="J145" s="42"/>
      <c r="K145" s="45">
        <v>200000</v>
      </c>
      <c r="L145" s="50">
        <f t="shared" si="210"/>
        <v>240500</v>
      </c>
      <c r="M145" s="42"/>
      <c r="N145" s="159">
        <v>200000</v>
      </c>
      <c r="O145" s="160">
        <f t="shared" si="211"/>
        <v>240500</v>
      </c>
      <c r="P145" s="27" t="str">
        <f t="shared" si="192"/>
        <v>X</v>
      </c>
      <c r="Q145" s="170"/>
      <c r="S145" s="27" t="s">
        <v>975</v>
      </c>
      <c r="U145" s="27" t="s">
        <v>975</v>
      </c>
      <c r="V145" s="42">
        <f t="shared" si="8"/>
        <v>0</v>
      </c>
      <c r="W145" s="42">
        <f t="shared" si="9"/>
        <v>200000</v>
      </c>
      <c r="X145" s="27" t="str">
        <f t="shared" si="10"/>
        <v>OK</v>
      </c>
      <c r="Z145" s="27"/>
      <c r="AA145" s="42">
        <f t="shared" si="11"/>
        <v>0</v>
      </c>
      <c r="AB145" s="42">
        <f t="shared" si="212"/>
        <v>200000</v>
      </c>
      <c r="AC145" s="27" t="str">
        <f t="shared" si="213"/>
        <v>OK</v>
      </c>
      <c r="AE145" s="27" t="str">
        <f t="shared" si="214"/>
        <v>세입없음</v>
      </c>
      <c r="AG145" s="24">
        <f t="shared" si="201"/>
        <v>217</v>
      </c>
      <c r="AH145" s="65" t="str">
        <f t="shared" si="215"/>
        <v>OK</v>
      </c>
      <c r="AJ145" s="27" t="str">
        <f t="array" ref="AJ145">IF(C145="","",INDEX(구분표!$I$2:$I$300, MATCH(1,(구분표!$E$2:$E$300='2추일출'!B145)*(구분표!$F$2:$F$300='2추일출'!C145)*(구분표!$G$2:$G$300='2추일출'!A145),0)))</f>
        <v>0608</v>
      </c>
      <c r="AL145" s="27"/>
    </row>
    <row r="146" spans="1:38" ht="50.1" customHeight="1" x14ac:dyDescent="0.3">
      <c r="A146" s="33" t="str">
        <f>IFERROR(VLOOKUP($C146,구분표!$A$2:$C$300,2,FALSE),"")</f>
        <v>농정해양위원회</v>
      </c>
      <c r="B146" s="24" t="str">
        <f>IFERROR(VLOOKUP($C146,구분표!$A$2:$C$300,3,FALSE),"")</f>
        <v>축산산림국</v>
      </c>
      <c r="C146" s="31" t="s">
        <v>392</v>
      </c>
      <c r="D146" s="137" t="s">
        <v>779</v>
      </c>
      <c r="E146" s="143" t="s">
        <v>832</v>
      </c>
      <c r="F146" s="138" t="s">
        <v>1051</v>
      </c>
      <c r="G146" s="44">
        <v>100000</v>
      </c>
      <c r="H146" s="42">
        <v>100000</v>
      </c>
      <c r="I146" s="54">
        <f t="shared" si="209"/>
        <v>0</v>
      </c>
      <c r="J146" s="42"/>
      <c r="K146" s="45">
        <v>300000</v>
      </c>
      <c r="L146" s="50">
        <f t="shared" si="210"/>
        <v>400000</v>
      </c>
      <c r="M146" s="42"/>
      <c r="N146" s="159">
        <v>300000</v>
      </c>
      <c r="O146" s="160">
        <f t="shared" si="211"/>
        <v>400000</v>
      </c>
      <c r="P146" s="27" t="str">
        <f t="shared" si="192"/>
        <v>X</v>
      </c>
      <c r="Q146" s="170"/>
      <c r="S146" s="27" t="s">
        <v>975</v>
      </c>
      <c r="U146" s="27" t="s">
        <v>975</v>
      </c>
      <c r="V146" s="42">
        <f t="shared" si="8"/>
        <v>0</v>
      </c>
      <c r="W146" s="42">
        <f t="shared" si="9"/>
        <v>300000</v>
      </c>
      <c r="X146" s="27" t="str">
        <f t="shared" si="10"/>
        <v>OK</v>
      </c>
      <c r="Z146" s="27"/>
      <c r="AA146" s="42">
        <f t="shared" si="11"/>
        <v>0</v>
      </c>
      <c r="AB146" s="42">
        <f t="shared" si="212"/>
        <v>300000</v>
      </c>
      <c r="AC146" s="27" t="str">
        <f t="shared" si="213"/>
        <v>OK</v>
      </c>
      <c r="AE146" s="27" t="str">
        <f t="shared" si="214"/>
        <v>세입없음</v>
      </c>
      <c r="AG146" s="24">
        <f t="shared" si="201"/>
        <v>217</v>
      </c>
      <c r="AH146" s="65" t="str">
        <f t="shared" si="215"/>
        <v>OK</v>
      </c>
      <c r="AJ146" s="27" t="str">
        <f t="array" ref="AJ146">IF(C146="","",INDEX(구분표!$I$2:$I$300, MATCH(1,(구분표!$E$2:$E$300='2추일출'!B146)*(구분표!$F$2:$F$300='2추일출'!C146)*(구분표!$G$2:$G$300='2추일출'!A146),0)))</f>
        <v>0609</v>
      </c>
      <c r="AL146" s="27"/>
    </row>
    <row r="147" spans="1:38" ht="50.1" customHeight="1" thickBot="1" x14ac:dyDescent="0.35">
      <c r="A147" s="33" t="str">
        <f>IFERROR(VLOOKUP($C147,구분표!$A$2:$C$300,2,FALSE),"")</f>
        <v>농정해양위원회</v>
      </c>
      <c r="B147" s="24" t="str">
        <f>IFERROR(VLOOKUP($C147,구분표!$A$2:$C$300,3,FALSE),"")</f>
        <v>축산산림국</v>
      </c>
      <c r="C147" s="31" t="s">
        <v>392</v>
      </c>
      <c r="D147" s="137" t="s">
        <v>771</v>
      </c>
      <c r="E147" s="143" t="s">
        <v>832</v>
      </c>
      <c r="F147" s="172" t="s">
        <v>1233</v>
      </c>
      <c r="G147" s="44"/>
      <c r="H147" s="42"/>
      <c r="I147" s="54">
        <f t="shared" si="209"/>
        <v>0</v>
      </c>
      <c r="J147" s="42"/>
      <c r="K147" s="45">
        <v>50000</v>
      </c>
      <c r="L147" s="50">
        <f t="shared" si="210"/>
        <v>50000</v>
      </c>
      <c r="M147" s="42"/>
      <c r="N147" s="159">
        <v>50000</v>
      </c>
      <c r="O147" s="160">
        <f t="shared" si="211"/>
        <v>50000</v>
      </c>
      <c r="P147" s="27" t="str">
        <f t="shared" si="192"/>
        <v>X</v>
      </c>
      <c r="Q147" s="217" t="s">
        <v>1232</v>
      </c>
      <c r="S147" s="27" t="s">
        <v>975</v>
      </c>
      <c r="U147" s="27" t="s">
        <v>975</v>
      </c>
      <c r="V147" s="42">
        <f t="shared" si="8"/>
        <v>0</v>
      </c>
      <c r="W147" s="42">
        <f t="shared" si="9"/>
        <v>50000</v>
      </c>
      <c r="X147" s="27" t="str">
        <f t="shared" si="10"/>
        <v>OK</v>
      </c>
      <c r="Z147" s="27"/>
      <c r="AA147" s="42">
        <f t="shared" si="11"/>
        <v>0</v>
      </c>
      <c r="AB147" s="42">
        <f t="shared" si="212"/>
        <v>50000</v>
      </c>
      <c r="AC147" s="27" t="str">
        <f t="shared" si="213"/>
        <v>OK</v>
      </c>
      <c r="AE147" s="27" t="str">
        <f t="shared" si="214"/>
        <v>세입없음</v>
      </c>
      <c r="AG147" s="24">
        <f t="shared" si="201"/>
        <v>217</v>
      </c>
      <c r="AH147" s="65" t="str">
        <f t="shared" si="215"/>
        <v>OK</v>
      </c>
      <c r="AJ147" s="27" t="str">
        <f t="array" ref="AJ147">IF(C147="","",INDEX(구분표!$I$2:$I$300, MATCH(1,(구분표!$E$2:$E$300='2추일출'!B147)*(구분표!$F$2:$F$300='2추일출'!C147)*(구분표!$G$2:$G$300='2추일출'!A147),0)))</f>
        <v>0609</v>
      </c>
      <c r="AL147" s="27"/>
    </row>
    <row r="148" spans="1:38" ht="50.1" customHeight="1" thickTop="1" x14ac:dyDescent="0.3">
      <c r="A148" s="33" t="str">
        <f>IFERROR(VLOOKUP($C148,구분표!$A$2:$C$300,2,FALSE),"")</f>
        <v>농정해양위원회</v>
      </c>
      <c r="B148" s="24" t="str">
        <f>IFERROR(VLOOKUP($C148,구분표!$A$2:$C$300,3,FALSE),"")</f>
        <v>축산산림국</v>
      </c>
      <c r="C148" s="31" t="s">
        <v>388</v>
      </c>
      <c r="D148" s="35" t="s">
        <v>776</v>
      </c>
      <c r="E148" s="145">
        <v>510</v>
      </c>
      <c r="F148" s="174" t="s">
        <v>1173</v>
      </c>
      <c r="G148" s="44">
        <v>600000</v>
      </c>
      <c r="H148" s="42">
        <v>300000</v>
      </c>
      <c r="I148" s="54">
        <f t="shared" si="209"/>
        <v>300000</v>
      </c>
      <c r="J148" s="42"/>
      <c r="K148" s="45">
        <v>600000</v>
      </c>
      <c r="L148" s="50">
        <f t="shared" si="210"/>
        <v>1200000</v>
      </c>
      <c r="M148" s="158">
        <v>0</v>
      </c>
      <c r="N148" s="159">
        <v>360000</v>
      </c>
      <c r="O148" s="160">
        <f t="shared" si="211"/>
        <v>960000</v>
      </c>
      <c r="P148" s="27" t="str">
        <f t="shared" si="192"/>
        <v>X</v>
      </c>
      <c r="Q148" s="217"/>
      <c r="S148" s="27" t="s">
        <v>975</v>
      </c>
      <c r="U148" s="27" t="s">
        <v>975</v>
      </c>
      <c r="V148" s="42">
        <f t="shared" si="8"/>
        <v>0</v>
      </c>
      <c r="W148" s="42">
        <f t="shared" si="9"/>
        <v>600000</v>
      </c>
      <c r="X148" s="27" t="str">
        <f t="shared" si="10"/>
        <v>OK</v>
      </c>
      <c r="Z148" s="27"/>
      <c r="AA148" s="42">
        <f t="shared" si="11"/>
        <v>0</v>
      </c>
      <c r="AB148" s="42">
        <f t="shared" si="212"/>
        <v>360000</v>
      </c>
      <c r="AC148" s="27" t="str">
        <f t="shared" si="213"/>
        <v>OK</v>
      </c>
      <c r="AE148" s="27" t="str">
        <f t="shared" si="214"/>
        <v>세입없음</v>
      </c>
      <c r="AG148" s="24">
        <f t="shared" si="201"/>
        <v>217</v>
      </c>
      <c r="AH148" s="65" t="str">
        <f t="shared" si="215"/>
        <v>OK</v>
      </c>
      <c r="AJ148" s="27" t="str">
        <f t="array" ref="AJ148">IF(C148="","",INDEX(구분표!$I$2:$I$300, MATCH(1,(구분표!$E$2:$E$300='2추일출'!B148)*(구분표!$F$2:$F$300='2추일출'!C148)*(구분표!$G$2:$G$300='2추일출'!A148),0)))</f>
        <v>0608</v>
      </c>
      <c r="AL148" s="27"/>
    </row>
    <row r="149" spans="1:38" ht="50.1" customHeight="1" thickBot="1" x14ac:dyDescent="0.35">
      <c r="A149" s="33" t="str">
        <f>IFERROR(VLOOKUP($C149,구분표!$A$2:$C$300,2,FALSE),"")</f>
        <v>농정해양위원회</v>
      </c>
      <c r="B149" s="24" t="str">
        <f>IFERROR(VLOOKUP($C149,구분표!$A$2:$C$300,3,FALSE),"")</f>
        <v>축산산림국</v>
      </c>
      <c r="C149" s="31" t="s">
        <v>388</v>
      </c>
      <c r="D149" s="137" t="s">
        <v>776</v>
      </c>
      <c r="E149" s="147" t="s">
        <v>1186</v>
      </c>
      <c r="F149" s="166" t="s">
        <v>870</v>
      </c>
      <c r="G149" s="44"/>
      <c r="H149" s="42"/>
      <c r="I149" s="54">
        <f t="shared" ref="I149" si="218">IF(D149="","",G149-H149)</f>
        <v>0</v>
      </c>
      <c r="J149" s="42"/>
      <c r="K149" s="45">
        <v>600000</v>
      </c>
      <c r="L149" s="50">
        <f t="shared" ref="L149" si="219">IF(G149=0,H149+J149+K149,G149+J149+K149)</f>
        <v>600000</v>
      </c>
      <c r="M149" s="167"/>
      <c r="N149" s="159">
        <v>240000</v>
      </c>
      <c r="O149" s="160">
        <f t="shared" ref="O149" si="220">IF(G149=0,H149+M149+N149,G149+M149+N149)</f>
        <v>240000</v>
      </c>
      <c r="P149" s="27" t="str">
        <f t="shared" si="192"/>
        <v>X</v>
      </c>
      <c r="Q149" s="217"/>
      <c r="S149" s="27" t="s">
        <v>975</v>
      </c>
      <c r="U149" s="27" t="s">
        <v>975</v>
      </c>
      <c r="V149" s="42">
        <f t="shared" si="8"/>
        <v>0</v>
      </c>
      <c r="W149" s="42">
        <f t="shared" si="9"/>
        <v>600000</v>
      </c>
      <c r="X149" s="27" t="str">
        <f t="shared" si="10"/>
        <v>OK</v>
      </c>
      <c r="Z149" s="27"/>
      <c r="AA149" s="42">
        <f t="shared" si="11"/>
        <v>0</v>
      </c>
      <c r="AB149" s="42">
        <f t="shared" ref="AB149" si="221">IF($U149="도비",SUM(M149:N149),IF($S149="국도비","직접입력",SUM(M149:N149)-AA149))</f>
        <v>240000</v>
      </c>
      <c r="AC149" s="27" t="str">
        <f t="shared" ref="AC149" si="222">IF(SUM(M149:N149)=SUM(AA149:AB149),"OK","검토")</f>
        <v>OK</v>
      </c>
      <c r="AE149" s="27" t="str">
        <f t="shared" ref="AE149" si="223">IF(U149="","",IF(U149="도비","세입없음","직접입력"))</f>
        <v>세입없음</v>
      </c>
      <c r="AG149" s="24">
        <f t="shared" si="201"/>
        <v>217</v>
      </c>
      <c r="AH149" s="65" t="str">
        <f t="shared" ref="AH149" si="224">IF(U149="","",IF(AND(U149="도비",AE149="세입없음"),"OK",IF(AND(U149&lt;&gt;"도비",AE149&lt;&gt;""),"OK","@@")))</f>
        <v>OK</v>
      </c>
      <c r="AJ149" s="27" t="str">
        <f t="array" ref="AJ149">IF(C149="","",INDEX(구분표!$I$2:$I$300, MATCH(1,(구분표!$E$2:$E$300='2추일출'!B149)*(구분표!$F$2:$F$300='2추일출'!C149)*(구분표!$G$2:$G$300='2추일출'!A149),0)))</f>
        <v>0608</v>
      </c>
      <c r="AL149" s="27"/>
    </row>
    <row r="150" spans="1:38" ht="50.1" customHeight="1" thickTop="1" x14ac:dyDescent="0.3">
      <c r="A150" s="33" t="str">
        <f>IFERROR(VLOOKUP($C150,구분표!$A$2:$C$300,2,FALSE),"")</f>
        <v>농정해양위원회</v>
      </c>
      <c r="B150" s="24" t="str">
        <f>IFERROR(VLOOKUP($C150,구분표!$A$2:$C$300,3,FALSE),"")</f>
        <v>축산산림국</v>
      </c>
      <c r="C150" s="31" t="s">
        <v>388</v>
      </c>
      <c r="D150" s="137" t="s">
        <v>776</v>
      </c>
      <c r="E150" s="143" t="s">
        <v>832</v>
      </c>
      <c r="F150" s="173" t="s">
        <v>871</v>
      </c>
      <c r="G150" s="44">
        <v>180000</v>
      </c>
      <c r="H150" s="42">
        <v>150000</v>
      </c>
      <c r="I150" s="54">
        <f t="shared" si="209"/>
        <v>30000</v>
      </c>
      <c r="J150" s="42"/>
      <c r="K150" s="45">
        <v>70000</v>
      </c>
      <c r="L150" s="50">
        <f t="shared" si="210"/>
        <v>250000</v>
      </c>
      <c r="M150" s="42"/>
      <c r="N150" s="159">
        <v>70000</v>
      </c>
      <c r="O150" s="160">
        <f t="shared" si="211"/>
        <v>250000</v>
      </c>
      <c r="P150" s="27" t="str">
        <f t="shared" si="192"/>
        <v>X</v>
      </c>
      <c r="Q150" s="170"/>
      <c r="S150" s="27" t="s">
        <v>975</v>
      </c>
      <c r="U150" s="27" t="s">
        <v>975</v>
      </c>
      <c r="V150" s="42">
        <f t="shared" si="8"/>
        <v>0</v>
      </c>
      <c r="W150" s="42">
        <f t="shared" si="9"/>
        <v>70000</v>
      </c>
      <c r="X150" s="27" t="str">
        <f t="shared" si="10"/>
        <v>OK</v>
      </c>
      <c r="Z150" s="27"/>
      <c r="AA150" s="42">
        <f t="shared" si="11"/>
        <v>0</v>
      </c>
      <c r="AB150" s="42">
        <f t="shared" si="212"/>
        <v>70000</v>
      </c>
      <c r="AC150" s="27" t="str">
        <f t="shared" si="213"/>
        <v>OK</v>
      </c>
      <c r="AE150" s="27" t="str">
        <f t="shared" si="214"/>
        <v>세입없음</v>
      </c>
      <c r="AG150" s="24">
        <f t="shared" si="201"/>
        <v>217</v>
      </c>
      <c r="AH150" s="65" t="str">
        <f t="shared" si="215"/>
        <v>OK</v>
      </c>
      <c r="AJ150" s="27" t="str">
        <f t="array" ref="AJ150">IF(C150="","",INDEX(구분표!$I$2:$I$300, MATCH(1,(구분표!$E$2:$E$300='2추일출'!B150)*(구분표!$F$2:$F$300='2추일출'!C150)*(구분표!$G$2:$G$300='2추일출'!A150),0)))</f>
        <v>0608</v>
      </c>
      <c r="AL150" s="27"/>
    </row>
    <row r="151" spans="1:38" ht="50.1" customHeight="1" x14ac:dyDescent="0.3">
      <c r="A151" s="33" t="str">
        <f>IFERROR(VLOOKUP($C151,구분표!$A$2:$C$300,2,FALSE),"")</f>
        <v>농정해양위원회</v>
      </c>
      <c r="B151" s="24" t="str">
        <f>IFERROR(VLOOKUP($C151,구분표!$A$2:$C$300,3,FALSE),"")</f>
        <v>농업기술원</v>
      </c>
      <c r="C151" s="31" t="s">
        <v>417</v>
      </c>
      <c r="D151" s="35" t="s">
        <v>776</v>
      </c>
      <c r="E151" s="145">
        <v>547</v>
      </c>
      <c r="F151" s="134" t="s">
        <v>1052</v>
      </c>
      <c r="G151" s="44">
        <v>390004</v>
      </c>
      <c r="H151" s="42">
        <v>321033</v>
      </c>
      <c r="I151" s="54">
        <f t="shared" si="209"/>
        <v>68971</v>
      </c>
      <c r="J151" s="42">
        <v>-55051</v>
      </c>
      <c r="K151" s="45"/>
      <c r="L151" s="197">
        <f t="shared" si="210"/>
        <v>334953</v>
      </c>
      <c r="M151" s="159">
        <v>-55051</v>
      </c>
      <c r="N151" s="159">
        <v>0</v>
      </c>
      <c r="O151" s="160">
        <f t="shared" si="211"/>
        <v>334953</v>
      </c>
      <c r="P151" s="27" t="str">
        <f t="shared" si="192"/>
        <v>X</v>
      </c>
      <c r="Q151" s="170"/>
      <c r="S151" s="27" t="s">
        <v>975</v>
      </c>
      <c r="U151" s="27" t="s">
        <v>975</v>
      </c>
      <c r="V151" s="42">
        <f t="shared" si="8"/>
        <v>0</v>
      </c>
      <c r="W151" s="42">
        <f t="shared" si="9"/>
        <v>-55051</v>
      </c>
      <c r="X151" s="27" t="str">
        <f t="shared" si="10"/>
        <v>OK</v>
      </c>
      <c r="Z151" s="27"/>
      <c r="AA151" s="42">
        <f t="shared" si="11"/>
        <v>0</v>
      </c>
      <c r="AB151" s="42">
        <f t="shared" si="212"/>
        <v>-55051</v>
      </c>
      <c r="AC151" s="27" t="str">
        <f t="shared" si="213"/>
        <v>OK</v>
      </c>
      <c r="AE151" s="27" t="str">
        <f t="shared" si="214"/>
        <v>세입없음</v>
      </c>
      <c r="AG151" s="24">
        <f t="shared" si="201"/>
        <v>217</v>
      </c>
      <c r="AH151" s="65" t="str">
        <f t="shared" si="215"/>
        <v>OK</v>
      </c>
      <c r="AJ151" s="27" t="str">
        <f t="array" ref="AJ151">IF(C151="","",INDEX(구분표!$I$2:$I$300, MATCH(1,(구분표!$E$2:$E$300='2추일출'!B151)*(구분표!$F$2:$F$300='2추일출'!C151)*(구분표!$G$2:$G$300='2추일출'!A151),0)))</f>
        <v>0617</v>
      </c>
      <c r="AL151" s="27"/>
    </row>
    <row r="152" spans="1:38" ht="50.1" customHeight="1" x14ac:dyDescent="0.3">
      <c r="A152" s="33" t="str">
        <f>IFERROR(VLOOKUP($C152,구분표!$A$2:$C$300,2,FALSE),"")</f>
        <v>농정해양위원회</v>
      </c>
      <c r="B152" s="24" t="str">
        <f>IFERROR(VLOOKUP($C152,구분표!$A$2:$C$300,3,FALSE),"")</f>
        <v>농업기술원</v>
      </c>
      <c r="C152" s="31" t="s">
        <v>417</v>
      </c>
      <c r="D152" s="35" t="s">
        <v>776</v>
      </c>
      <c r="E152" s="145">
        <v>546</v>
      </c>
      <c r="F152" s="134" t="s">
        <v>1053</v>
      </c>
      <c r="G152" s="44">
        <v>20000</v>
      </c>
      <c r="H152" s="42">
        <v>6000</v>
      </c>
      <c r="I152" s="54">
        <f t="shared" si="209"/>
        <v>14000</v>
      </c>
      <c r="J152" s="42"/>
      <c r="K152" s="45">
        <v>55051</v>
      </c>
      <c r="L152" s="50">
        <f t="shared" si="210"/>
        <v>75051</v>
      </c>
      <c r="M152" s="158">
        <v>0</v>
      </c>
      <c r="N152" s="159">
        <v>55051</v>
      </c>
      <c r="O152" s="160">
        <f t="shared" si="211"/>
        <v>75051</v>
      </c>
      <c r="P152" s="27" t="str">
        <f t="shared" si="192"/>
        <v>X</v>
      </c>
      <c r="Q152" s="170"/>
      <c r="S152" s="27" t="s">
        <v>975</v>
      </c>
      <c r="U152" s="27" t="s">
        <v>975</v>
      </c>
      <c r="V152" s="42">
        <f t="shared" si="8"/>
        <v>0</v>
      </c>
      <c r="W152" s="42">
        <f t="shared" si="9"/>
        <v>55051</v>
      </c>
      <c r="X152" s="27" t="str">
        <f t="shared" si="10"/>
        <v>OK</v>
      </c>
      <c r="Z152" s="27"/>
      <c r="AA152" s="42">
        <f t="shared" si="11"/>
        <v>0</v>
      </c>
      <c r="AB152" s="42">
        <f t="shared" si="212"/>
        <v>55051</v>
      </c>
      <c r="AC152" s="27" t="str">
        <f t="shared" si="213"/>
        <v>OK</v>
      </c>
      <c r="AE152" s="27" t="str">
        <f t="shared" si="214"/>
        <v>세입없음</v>
      </c>
      <c r="AG152" s="24">
        <f t="shared" si="201"/>
        <v>217</v>
      </c>
      <c r="AH152" s="65" t="str">
        <f t="shared" si="215"/>
        <v>OK</v>
      </c>
      <c r="AJ152" s="27" t="str">
        <f t="array" ref="AJ152">IF(C152="","",INDEX(구분표!$I$2:$I$300, MATCH(1,(구분표!$E$2:$E$300='2추일출'!B152)*(구분표!$F$2:$F$300='2추일출'!C152)*(구분표!$G$2:$G$300='2추일출'!A152),0)))</f>
        <v>0617</v>
      </c>
      <c r="AL152" s="27"/>
    </row>
    <row r="153" spans="1:38" ht="50.1" customHeight="1" x14ac:dyDescent="0.3">
      <c r="A153" s="33" t="str">
        <f>IFERROR(VLOOKUP($C153,구분표!$A$2:$C$300,2,FALSE),"")</f>
        <v>농정해양위원회</v>
      </c>
      <c r="B153" s="24" t="str">
        <f>IFERROR(VLOOKUP($C153,구분표!$A$2:$C$300,3,FALSE),"")</f>
        <v>농업기술원</v>
      </c>
      <c r="C153" s="31" t="s">
        <v>414</v>
      </c>
      <c r="D153" s="137" t="s">
        <v>771</v>
      </c>
      <c r="E153" s="143" t="s">
        <v>832</v>
      </c>
      <c r="F153" s="138" t="s">
        <v>1054</v>
      </c>
      <c r="G153" s="44"/>
      <c r="H153" s="42"/>
      <c r="I153" s="54">
        <f t="shared" si="209"/>
        <v>0</v>
      </c>
      <c r="J153" s="42"/>
      <c r="K153" s="45">
        <v>50000</v>
      </c>
      <c r="L153" s="50">
        <f t="shared" si="210"/>
        <v>50000</v>
      </c>
      <c r="M153" s="42"/>
      <c r="N153" s="159">
        <v>50000</v>
      </c>
      <c r="O153" s="160">
        <f t="shared" si="211"/>
        <v>50000</v>
      </c>
      <c r="P153" s="27" t="str">
        <f t="shared" si="192"/>
        <v>X</v>
      </c>
      <c r="Q153" s="170"/>
      <c r="S153" s="27" t="s">
        <v>975</v>
      </c>
      <c r="U153" s="27" t="s">
        <v>975</v>
      </c>
      <c r="V153" s="42">
        <f t="shared" si="8"/>
        <v>0</v>
      </c>
      <c r="W153" s="42">
        <f t="shared" si="9"/>
        <v>50000</v>
      </c>
      <c r="X153" s="27" t="str">
        <f t="shared" si="10"/>
        <v>OK</v>
      </c>
      <c r="Z153" s="27"/>
      <c r="AA153" s="42">
        <f t="shared" si="11"/>
        <v>0</v>
      </c>
      <c r="AB153" s="42">
        <f t="shared" si="212"/>
        <v>50000</v>
      </c>
      <c r="AC153" s="27" t="str">
        <f t="shared" si="213"/>
        <v>OK</v>
      </c>
      <c r="AE153" s="27" t="str">
        <f t="shared" si="214"/>
        <v>세입없음</v>
      </c>
      <c r="AG153" s="24">
        <f t="shared" si="201"/>
        <v>217</v>
      </c>
      <c r="AH153" s="65" t="str">
        <f t="shared" si="215"/>
        <v>OK</v>
      </c>
      <c r="AJ153" s="27" t="str">
        <f t="array" ref="AJ153">IF(C153="","",INDEX(구분표!$I$2:$I$300, MATCH(1,(구분표!$E$2:$E$300='2추일출'!B153)*(구분표!$F$2:$F$300='2추일출'!C153)*(구분표!$G$2:$G$300='2추일출'!A153),0)))</f>
        <v>0616</v>
      </c>
      <c r="AL153" s="27"/>
    </row>
    <row r="154" spans="1:38" ht="50.1" customHeight="1" x14ac:dyDescent="0.3">
      <c r="A154" s="33" t="str">
        <f>IFERROR(VLOOKUP($C154,구분표!$A$2:$C$300,2,FALSE),"")</f>
        <v>농정해양위원회</v>
      </c>
      <c r="B154" s="24" t="str">
        <f>IFERROR(VLOOKUP($C154,구분표!$A$2:$C$300,3,FALSE),"")</f>
        <v>농업기술원</v>
      </c>
      <c r="C154" s="31" t="s">
        <v>420</v>
      </c>
      <c r="D154" s="137" t="s">
        <v>776</v>
      </c>
      <c r="E154" s="143" t="s">
        <v>832</v>
      </c>
      <c r="F154" s="138" t="s">
        <v>1055</v>
      </c>
      <c r="G154" s="44">
        <v>50000</v>
      </c>
      <c r="H154" s="42"/>
      <c r="I154" s="54">
        <f t="shared" si="209"/>
        <v>50000</v>
      </c>
      <c r="J154" s="42"/>
      <c r="K154" s="45">
        <v>50000</v>
      </c>
      <c r="L154" s="50">
        <f t="shared" si="210"/>
        <v>100000</v>
      </c>
      <c r="M154" s="42"/>
      <c r="N154" s="159">
        <v>50000</v>
      </c>
      <c r="O154" s="160">
        <f t="shared" si="211"/>
        <v>100000</v>
      </c>
      <c r="P154" s="27" t="str">
        <f t="shared" si="192"/>
        <v>X</v>
      </c>
      <c r="Q154" s="170"/>
      <c r="S154" s="27" t="s">
        <v>975</v>
      </c>
      <c r="U154" s="27" t="s">
        <v>975</v>
      </c>
      <c r="V154" s="42">
        <f t="shared" si="8"/>
        <v>0</v>
      </c>
      <c r="W154" s="42">
        <f t="shared" si="9"/>
        <v>50000</v>
      </c>
      <c r="X154" s="27" t="str">
        <f t="shared" si="10"/>
        <v>OK</v>
      </c>
      <c r="Z154" s="27"/>
      <c r="AA154" s="42">
        <f t="shared" si="11"/>
        <v>0</v>
      </c>
      <c r="AB154" s="42">
        <f t="shared" si="212"/>
        <v>50000</v>
      </c>
      <c r="AC154" s="27" t="str">
        <f t="shared" si="213"/>
        <v>OK</v>
      </c>
      <c r="AE154" s="27" t="str">
        <f t="shared" si="214"/>
        <v>세입없음</v>
      </c>
      <c r="AG154" s="24">
        <f t="shared" si="201"/>
        <v>217</v>
      </c>
      <c r="AH154" s="65" t="str">
        <f t="shared" si="215"/>
        <v>OK</v>
      </c>
      <c r="AJ154" s="27" t="str">
        <f t="array" ref="AJ154">IF(C154="","",INDEX(구분표!$I$2:$I$300, MATCH(1,(구분표!$E$2:$E$300='2추일출'!B154)*(구분표!$F$2:$F$300='2추일출'!C154)*(구분표!$G$2:$G$300='2추일출'!A154),0)))</f>
        <v>0618</v>
      </c>
      <c r="AL154" s="27"/>
    </row>
    <row r="155" spans="1:38" ht="50.1" customHeight="1" x14ac:dyDescent="0.3">
      <c r="A155" s="33" t="str">
        <f>IFERROR(VLOOKUP($C155,구분표!$A$2:$C$300,2,FALSE),"")</f>
        <v>농정해양위원회</v>
      </c>
      <c r="B155" s="24" t="str">
        <f>IFERROR(VLOOKUP($C155,구분표!$A$2:$C$300,3,FALSE),"")</f>
        <v>농업기술원</v>
      </c>
      <c r="C155" s="31" t="s">
        <v>420</v>
      </c>
      <c r="D155" s="137" t="s">
        <v>771</v>
      </c>
      <c r="E155" s="143" t="s">
        <v>832</v>
      </c>
      <c r="F155" s="138" t="s">
        <v>1056</v>
      </c>
      <c r="G155" s="44"/>
      <c r="H155" s="42"/>
      <c r="I155" s="54">
        <f t="shared" si="209"/>
        <v>0</v>
      </c>
      <c r="J155" s="42"/>
      <c r="K155" s="45">
        <v>90000</v>
      </c>
      <c r="L155" s="50">
        <f t="shared" si="210"/>
        <v>90000</v>
      </c>
      <c r="M155" s="42"/>
      <c r="N155" s="159">
        <v>50000</v>
      </c>
      <c r="O155" s="160">
        <f t="shared" si="211"/>
        <v>50000</v>
      </c>
      <c r="P155" s="27" t="str">
        <f t="shared" si="192"/>
        <v>X</v>
      </c>
      <c r="Q155" s="170"/>
      <c r="S155" s="27" t="s">
        <v>975</v>
      </c>
      <c r="U155" s="27" t="s">
        <v>975</v>
      </c>
      <c r="V155" s="42">
        <f t="shared" si="8"/>
        <v>0</v>
      </c>
      <c r="W155" s="42">
        <f t="shared" si="9"/>
        <v>90000</v>
      </c>
      <c r="X155" s="27" t="str">
        <f t="shared" si="10"/>
        <v>OK</v>
      </c>
      <c r="Z155" s="27"/>
      <c r="AA155" s="42">
        <f t="shared" si="11"/>
        <v>0</v>
      </c>
      <c r="AB155" s="42">
        <f t="shared" si="212"/>
        <v>50000</v>
      </c>
      <c r="AC155" s="27" t="str">
        <f t="shared" si="213"/>
        <v>OK</v>
      </c>
      <c r="AE155" s="27" t="str">
        <f t="shared" si="214"/>
        <v>세입없음</v>
      </c>
      <c r="AG155" s="24">
        <f t="shared" si="201"/>
        <v>217</v>
      </c>
      <c r="AH155" s="65" t="str">
        <f t="shared" si="215"/>
        <v>OK</v>
      </c>
      <c r="AJ155" s="27" t="str">
        <f t="array" ref="AJ155">IF(C155="","",INDEX(구분표!$I$2:$I$300, MATCH(1,(구분표!$E$2:$E$300='2추일출'!B155)*(구분표!$F$2:$F$300='2추일출'!C155)*(구분표!$G$2:$G$300='2추일출'!A155),0)))</f>
        <v>0618</v>
      </c>
      <c r="AL155" s="27"/>
    </row>
    <row r="156" spans="1:38" ht="50.1" customHeight="1" x14ac:dyDescent="0.3">
      <c r="A156" s="33" t="str">
        <f>IFERROR(VLOOKUP($C156,구분표!$A$2:$C$300,2,FALSE),"")</f>
        <v>농정해양위원회</v>
      </c>
      <c r="B156" s="24" t="str">
        <f>IFERROR(VLOOKUP($C156,구분표!$A$2:$C$300,3,FALSE),"")</f>
        <v>농업기술원</v>
      </c>
      <c r="C156" s="31" t="s">
        <v>407</v>
      </c>
      <c r="D156" s="137" t="s">
        <v>779</v>
      </c>
      <c r="E156" s="143" t="s">
        <v>832</v>
      </c>
      <c r="F156" s="138" t="s">
        <v>1057</v>
      </c>
      <c r="G156" s="44">
        <v>19960</v>
      </c>
      <c r="H156" s="42">
        <v>19960</v>
      </c>
      <c r="I156" s="54">
        <f t="shared" si="209"/>
        <v>0</v>
      </c>
      <c r="J156" s="42"/>
      <c r="K156" s="45">
        <v>10000</v>
      </c>
      <c r="L156" s="50">
        <f t="shared" si="210"/>
        <v>29960</v>
      </c>
      <c r="M156" s="42"/>
      <c r="N156" s="159">
        <v>10000</v>
      </c>
      <c r="O156" s="160">
        <f t="shared" si="211"/>
        <v>29960</v>
      </c>
      <c r="P156" s="27" t="str">
        <f t="shared" si="192"/>
        <v>X</v>
      </c>
      <c r="Q156" s="170"/>
      <c r="S156" s="27" t="s">
        <v>975</v>
      </c>
      <c r="U156" s="27" t="s">
        <v>975</v>
      </c>
      <c r="V156" s="42">
        <f t="shared" si="8"/>
        <v>0</v>
      </c>
      <c r="W156" s="42">
        <f t="shared" si="9"/>
        <v>10000</v>
      </c>
      <c r="X156" s="27" t="str">
        <f t="shared" si="10"/>
        <v>OK</v>
      </c>
      <c r="Z156" s="27"/>
      <c r="AA156" s="42">
        <f t="shared" si="11"/>
        <v>0</v>
      </c>
      <c r="AB156" s="42">
        <f t="shared" si="212"/>
        <v>10000</v>
      </c>
      <c r="AC156" s="27" t="str">
        <f t="shared" si="213"/>
        <v>OK</v>
      </c>
      <c r="AE156" s="27" t="str">
        <f t="shared" si="214"/>
        <v>세입없음</v>
      </c>
      <c r="AG156" s="24">
        <f t="shared" si="201"/>
        <v>217</v>
      </c>
      <c r="AH156" s="65" t="str">
        <f t="shared" si="215"/>
        <v>OK</v>
      </c>
      <c r="AJ156" s="27" t="str">
        <f t="array" ref="AJ156">IF(C156="","",INDEX(구분표!$I$2:$I$300, MATCH(1,(구분표!$E$2:$E$300='2추일출'!B156)*(구분표!$F$2:$F$300='2추일출'!C156)*(구분표!$G$2:$G$300='2추일출'!A156),0)))</f>
        <v>0614</v>
      </c>
      <c r="AL156" s="27"/>
    </row>
    <row r="157" spans="1:38" ht="50.1" customHeight="1" x14ac:dyDescent="0.3">
      <c r="A157" s="33" t="str">
        <f>IFERROR(VLOOKUP($C157,구분표!$A$2:$C$300,2,FALSE),"")</f>
        <v>농정해양위원회</v>
      </c>
      <c r="B157" s="24" t="str">
        <f>IFERROR(VLOOKUP($C157,구분표!$A$2:$C$300,3,FALSE),"")</f>
        <v>농업기술원</v>
      </c>
      <c r="C157" s="31" t="s">
        <v>426</v>
      </c>
      <c r="D157" s="137" t="s">
        <v>779</v>
      </c>
      <c r="E157" s="143" t="s">
        <v>832</v>
      </c>
      <c r="F157" s="138" t="s">
        <v>1058</v>
      </c>
      <c r="G157" s="44">
        <v>18000</v>
      </c>
      <c r="H157" s="42">
        <v>18000</v>
      </c>
      <c r="I157" s="54">
        <f t="shared" si="209"/>
        <v>0</v>
      </c>
      <c r="J157" s="42"/>
      <c r="K157" s="45">
        <v>10000</v>
      </c>
      <c r="L157" s="50">
        <f t="shared" si="210"/>
        <v>28000</v>
      </c>
      <c r="M157" s="42"/>
      <c r="N157" s="159">
        <v>10000</v>
      </c>
      <c r="O157" s="160">
        <f t="shared" si="211"/>
        <v>28000</v>
      </c>
      <c r="P157" s="27" t="str">
        <f t="shared" si="192"/>
        <v>X</v>
      </c>
      <c r="Q157" s="170"/>
      <c r="S157" s="27" t="s">
        <v>975</v>
      </c>
      <c r="U157" s="27" t="s">
        <v>975</v>
      </c>
      <c r="V157" s="42">
        <f t="shared" si="8"/>
        <v>0</v>
      </c>
      <c r="W157" s="42">
        <f t="shared" si="9"/>
        <v>10000</v>
      </c>
      <c r="X157" s="27" t="str">
        <f t="shared" si="10"/>
        <v>OK</v>
      </c>
      <c r="Z157" s="27"/>
      <c r="AA157" s="42">
        <f t="shared" si="11"/>
        <v>0</v>
      </c>
      <c r="AB157" s="42">
        <f t="shared" si="212"/>
        <v>10000</v>
      </c>
      <c r="AC157" s="27" t="str">
        <f t="shared" si="213"/>
        <v>OK</v>
      </c>
      <c r="AE157" s="27" t="str">
        <f t="shared" si="214"/>
        <v>세입없음</v>
      </c>
      <c r="AG157" s="24">
        <f t="shared" si="201"/>
        <v>217</v>
      </c>
      <c r="AH157" s="65" t="str">
        <f t="shared" si="215"/>
        <v>OK</v>
      </c>
      <c r="AJ157" s="27" t="str">
        <f t="array" ref="AJ157">IF(C157="","",INDEX(구분표!$I$2:$I$300, MATCH(1,(구분표!$E$2:$E$300='2추일출'!B157)*(구분표!$F$2:$F$300='2추일출'!C157)*(구분표!$G$2:$G$300='2추일출'!A157),0)))</f>
        <v>0620</v>
      </c>
      <c r="AL157" s="27"/>
    </row>
    <row r="158" spans="1:38" ht="50.1" customHeight="1" x14ac:dyDescent="0.3">
      <c r="A158" s="33" t="str">
        <f>IFERROR(VLOOKUP($C158,구분표!$A$2:$C$300,2,FALSE),"")</f>
        <v>농정해양위원회</v>
      </c>
      <c r="B158" s="24" t="str">
        <f>IFERROR(VLOOKUP($C158,구분표!$A$2:$C$300,3,FALSE),"")</f>
        <v>농업기술원</v>
      </c>
      <c r="C158" s="31" t="s">
        <v>426</v>
      </c>
      <c r="D158" s="137" t="s">
        <v>779</v>
      </c>
      <c r="E158" s="143" t="s">
        <v>832</v>
      </c>
      <c r="F158" s="138" t="s">
        <v>1059</v>
      </c>
      <c r="G158" s="44">
        <v>120000</v>
      </c>
      <c r="H158" s="42">
        <v>120000</v>
      </c>
      <c r="I158" s="54">
        <f t="shared" si="209"/>
        <v>0</v>
      </c>
      <c r="J158" s="42"/>
      <c r="K158" s="45">
        <v>105000</v>
      </c>
      <c r="L158" s="50">
        <f t="shared" si="210"/>
        <v>225000</v>
      </c>
      <c r="M158" s="42"/>
      <c r="N158" s="159">
        <v>105000</v>
      </c>
      <c r="O158" s="160">
        <f t="shared" si="211"/>
        <v>225000</v>
      </c>
      <c r="P158" s="27" t="str">
        <f t="shared" si="192"/>
        <v>X</v>
      </c>
      <c r="Q158" s="170"/>
      <c r="S158" s="27" t="s">
        <v>975</v>
      </c>
      <c r="U158" s="27" t="s">
        <v>975</v>
      </c>
      <c r="V158" s="42">
        <f t="shared" si="8"/>
        <v>0</v>
      </c>
      <c r="W158" s="42">
        <f t="shared" si="9"/>
        <v>105000</v>
      </c>
      <c r="X158" s="27" t="str">
        <f t="shared" si="10"/>
        <v>OK</v>
      </c>
      <c r="Z158" s="27"/>
      <c r="AA158" s="42">
        <f t="shared" si="11"/>
        <v>0</v>
      </c>
      <c r="AB158" s="42">
        <f t="shared" si="212"/>
        <v>105000</v>
      </c>
      <c r="AC158" s="27" t="str">
        <f t="shared" si="213"/>
        <v>OK</v>
      </c>
      <c r="AE158" s="27" t="str">
        <f t="shared" si="214"/>
        <v>세입없음</v>
      </c>
      <c r="AG158" s="24">
        <f t="shared" si="201"/>
        <v>217</v>
      </c>
      <c r="AH158" s="65" t="str">
        <f t="shared" si="215"/>
        <v>OK</v>
      </c>
      <c r="AJ158" s="27" t="str">
        <f t="array" ref="AJ158">IF(C158="","",INDEX(구분표!$I$2:$I$300, MATCH(1,(구분표!$E$2:$E$300='2추일출'!B158)*(구분표!$F$2:$F$300='2추일출'!C158)*(구분표!$G$2:$G$300='2추일출'!A158),0)))</f>
        <v>0620</v>
      </c>
      <c r="AL158" s="27"/>
    </row>
    <row r="159" spans="1:38" ht="50.1" customHeight="1" x14ac:dyDescent="0.3">
      <c r="A159" s="33" t="str">
        <f>IFERROR(VLOOKUP($C159,구분표!$A$2:$C$300,2,FALSE),"")</f>
        <v>농정해양위원회</v>
      </c>
      <c r="B159" s="24" t="str">
        <f>IFERROR(VLOOKUP($C159,구분표!$A$2:$C$300,3,FALSE),"")</f>
        <v>축산산림국</v>
      </c>
      <c r="C159" s="31" t="s">
        <v>392</v>
      </c>
      <c r="D159" s="139" t="s">
        <v>776</v>
      </c>
      <c r="E159" s="144">
        <v>515</v>
      </c>
      <c r="F159" s="140" t="s">
        <v>1060</v>
      </c>
      <c r="G159" s="44">
        <v>500000</v>
      </c>
      <c r="H159" s="42"/>
      <c r="I159" s="54">
        <f t="shared" si="209"/>
        <v>500000</v>
      </c>
      <c r="J159" s="42"/>
      <c r="K159" s="45"/>
      <c r="L159" s="50">
        <f t="shared" si="210"/>
        <v>500000</v>
      </c>
      <c r="M159" s="158">
        <v>-150000</v>
      </c>
      <c r="N159" s="159">
        <v>0</v>
      </c>
      <c r="O159" s="160">
        <f t="shared" si="211"/>
        <v>350000</v>
      </c>
      <c r="P159" s="27" t="str">
        <f t="shared" si="192"/>
        <v>X</v>
      </c>
      <c r="Q159" s="218"/>
      <c r="S159" s="27" t="s">
        <v>975</v>
      </c>
      <c r="U159" s="27" t="s">
        <v>975</v>
      </c>
      <c r="V159" s="42">
        <f t="shared" si="8"/>
        <v>0</v>
      </c>
      <c r="W159" s="42">
        <f t="shared" si="9"/>
        <v>0</v>
      </c>
      <c r="X159" s="27" t="str">
        <f t="shared" si="10"/>
        <v>OK</v>
      </c>
      <c r="Z159" s="27"/>
      <c r="AA159" s="42">
        <f t="shared" si="11"/>
        <v>0</v>
      </c>
      <c r="AB159" s="42">
        <f t="shared" si="212"/>
        <v>-150000</v>
      </c>
      <c r="AC159" s="27" t="str">
        <f t="shared" si="213"/>
        <v>OK</v>
      </c>
      <c r="AE159" s="27" t="str">
        <f t="shared" si="214"/>
        <v>세입없음</v>
      </c>
      <c r="AG159" s="24">
        <f t="shared" si="201"/>
        <v>217</v>
      </c>
      <c r="AH159" s="65" t="str">
        <f t="shared" si="215"/>
        <v>OK</v>
      </c>
      <c r="AJ159" s="27" t="str">
        <f t="array" ref="AJ159">IF(C159="","",INDEX(구분표!$I$2:$I$300, MATCH(1,(구분표!$E$2:$E$300='2추일출'!B159)*(구분표!$F$2:$F$300='2추일출'!C159)*(구분표!$G$2:$G$300='2추일출'!A159),0)))</f>
        <v>0609</v>
      </c>
      <c r="AL159" s="27"/>
    </row>
    <row r="160" spans="1:38" ht="50.1" customHeight="1" x14ac:dyDescent="0.3">
      <c r="A160" s="33" t="str">
        <f>IFERROR(VLOOKUP($C160,구분표!$A$2:$C$300,2,FALSE),"")</f>
        <v>농정해양위원회</v>
      </c>
      <c r="B160" s="24" t="str">
        <f>IFERROR(VLOOKUP($C160,구분표!$A$2:$C$300,3,FALSE),"")</f>
        <v>농정해양국</v>
      </c>
      <c r="C160" s="214" t="s">
        <v>1231</v>
      </c>
      <c r="D160" s="137" t="s">
        <v>771</v>
      </c>
      <c r="E160" s="143" t="s">
        <v>832</v>
      </c>
      <c r="F160" s="138" t="s">
        <v>1197</v>
      </c>
      <c r="G160" s="44"/>
      <c r="H160" s="42"/>
      <c r="I160" s="54">
        <f t="shared" ref="I160" si="225">IF(D160="","",G160-H160)</f>
        <v>0</v>
      </c>
      <c r="J160" s="42"/>
      <c r="K160" s="45">
        <v>50000</v>
      </c>
      <c r="L160" s="50">
        <f t="shared" ref="L160" si="226">IF(G160=0,H160+J160+K160,G160+J160+K160)</f>
        <v>50000</v>
      </c>
      <c r="M160" s="42"/>
      <c r="N160" s="159">
        <v>50000</v>
      </c>
      <c r="O160" s="160">
        <f t="shared" ref="O160" si="227">IF(G160=0,H160+M160+N160,G160+M160+N160)</f>
        <v>50000</v>
      </c>
      <c r="P160" s="27" t="str">
        <f t="shared" si="192"/>
        <v>X</v>
      </c>
      <c r="Q160" s="170"/>
      <c r="S160" s="27" t="s">
        <v>1215</v>
      </c>
      <c r="U160" s="27" t="s">
        <v>1215</v>
      </c>
      <c r="V160" s="42">
        <f t="shared" si="8"/>
        <v>0</v>
      </c>
      <c r="W160" s="42">
        <f t="shared" si="9"/>
        <v>50000</v>
      </c>
      <c r="X160" s="27" t="str">
        <f t="shared" si="10"/>
        <v>OK</v>
      </c>
      <c r="Z160" s="27"/>
      <c r="AA160" s="42">
        <f t="shared" si="11"/>
        <v>0</v>
      </c>
      <c r="AB160" s="42">
        <f t="shared" ref="AB160" si="228">IF($U160="도비",SUM(M160:N160),IF($S160="국도비","직접입력",SUM(M160:N160)-AA160))</f>
        <v>50000</v>
      </c>
      <c r="AC160" s="27" t="str">
        <f t="shared" ref="AC160" si="229">IF(SUM(M160:N160)=SUM(AA160:AB160),"OK","검토")</f>
        <v>OK</v>
      </c>
      <c r="AE160" s="27" t="str">
        <f t="shared" ref="AE160" si="230">IF(U160="","",IF(U160="도비","세입없음","직접입력"))</f>
        <v>세입없음</v>
      </c>
      <c r="AG160" s="24">
        <f t="shared" si="201"/>
        <v>217</v>
      </c>
      <c r="AH160" s="65" t="str">
        <f t="shared" ref="AH160" si="231">IF(U160="","",IF(AND(U160="도비",AE160="세입없음"),"OK",IF(AND(U160&lt;&gt;"도비",AE160&lt;&gt;""),"OK","@@")))</f>
        <v>OK</v>
      </c>
      <c r="AJ160" s="27" t="str">
        <f t="array" ref="AJ160">IF(C160="","",INDEX(구분표!$I$2:$I$300, MATCH(1,(구분표!$E$2:$E$300='2추일출'!B160)*(구분표!$F$2:$F$300='2추일출'!C160)*(구분표!$G$2:$G$300='2추일출'!A160),0)))</f>
        <v>0604</v>
      </c>
      <c r="AL160" s="27"/>
    </row>
    <row r="161" spans="1:38" ht="50.1" customHeight="1" x14ac:dyDescent="0.3">
      <c r="A161" s="33" t="str">
        <f>IFERROR(VLOOKUP($C161,구분표!$A$2:$C$300,2,FALSE),"")</f>
        <v>농정해양위원회</v>
      </c>
      <c r="B161" s="24" t="str">
        <f>IFERROR(VLOOKUP($C161,구분표!$A$2:$C$300,3,FALSE),"")</f>
        <v>축산산림국</v>
      </c>
      <c r="C161" s="31" t="s">
        <v>1268</v>
      </c>
      <c r="D161" s="35" t="s">
        <v>1269</v>
      </c>
      <c r="E161" s="145">
        <v>514</v>
      </c>
      <c r="F161" s="134" t="s">
        <v>1270</v>
      </c>
      <c r="G161" s="44">
        <v>160000</v>
      </c>
      <c r="H161" s="42"/>
      <c r="I161" s="54">
        <f t="shared" si="193"/>
        <v>160000</v>
      </c>
      <c r="J161" s="42"/>
      <c r="K161" s="45"/>
      <c r="L161" s="50">
        <f t="shared" si="194"/>
        <v>160000</v>
      </c>
      <c r="M161" s="42"/>
      <c r="N161" s="45">
        <v>50000</v>
      </c>
      <c r="O161" s="52">
        <f t="shared" si="195"/>
        <v>210000</v>
      </c>
      <c r="P161" s="27" t="str">
        <f t="shared" si="192"/>
        <v>X</v>
      </c>
      <c r="Q161" s="170"/>
      <c r="S161" s="27" t="s">
        <v>1271</v>
      </c>
      <c r="U161" s="27" t="s">
        <v>1272</v>
      </c>
      <c r="V161" s="42">
        <f t="shared" si="8"/>
        <v>0</v>
      </c>
      <c r="W161" s="42">
        <f t="shared" si="9"/>
        <v>0</v>
      </c>
      <c r="X161" s="27" t="str">
        <f t="shared" si="10"/>
        <v>OK</v>
      </c>
      <c r="Z161" s="27" t="s">
        <v>1320</v>
      </c>
      <c r="AA161" s="42">
        <f t="shared" si="11"/>
        <v>0</v>
      </c>
      <c r="AB161" s="42">
        <f t="shared" si="196"/>
        <v>50000</v>
      </c>
      <c r="AC161" s="27" t="str">
        <f t="shared" si="197"/>
        <v>OK</v>
      </c>
      <c r="AE161" s="27" t="str">
        <f t="shared" si="198"/>
        <v>세입없음</v>
      </c>
      <c r="AG161" s="24">
        <f t="shared" si="201"/>
        <v>217</v>
      </c>
      <c r="AH161" s="65" t="str">
        <f t="shared" si="199"/>
        <v>OK</v>
      </c>
      <c r="AJ161" s="27" t="str">
        <f t="array" ref="AJ161">IF(C161="","",INDEX(구분표!$I$2:$I$300, MATCH(1,(구분표!$E$2:$E$300='2추일출'!B161)*(구분표!$F$2:$F$300='2추일출'!C161)*(구분표!$G$2:$G$300='2추일출'!A161),0)))</f>
        <v>0608</v>
      </c>
      <c r="AL161" s="27"/>
    </row>
    <row r="162" spans="1:38" ht="50.1" customHeight="1" x14ac:dyDescent="0.3">
      <c r="A162" s="33" t="str">
        <f>IFERROR(VLOOKUP($C162,구분표!$A$2:$C$300,2,FALSE),"")</f>
        <v>농정해양위원회</v>
      </c>
      <c r="B162" s="24" t="str">
        <f>IFERROR(VLOOKUP($C162,구분표!$A$2:$C$300,3,FALSE),"")</f>
        <v>축산산림국</v>
      </c>
      <c r="C162" s="31" t="s">
        <v>1278</v>
      </c>
      <c r="D162" s="35" t="s">
        <v>1279</v>
      </c>
      <c r="E162" s="145">
        <v>649</v>
      </c>
      <c r="F162" s="134" t="s">
        <v>1280</v>
      </c>
      <c r="G162" s="44">
        <v>486400</v>
      </c>
      <c r="H162" s="42">
        <v>486400</v>
      </c>
      <c r="I162" s="54">
        <f t="shared" ref="I162" si="232">IF(D162="","",G162-H162)</f>
        <v>0</v>
      </c>
      <c r="J162" s="42"/>
      <c r="K162" s="45"/>
      <c r="L162" s="50">
        <f t="shared" ref="L162" si="233">IF(G162=0,H162+J162+K162,G162+J162+K162)</f>
        <v>486400</v>
      </c>
      <c r="M162" s="42"/>
      <c r="N162" s="45">
        <v>486400</v>
      </c>
      <c r="O162" s="52">
        <f t="shared" ref="O162" si="234">IF(G162=0,H162+M162+N162,G162+M162+N162)</f>
        <v>972800</v>
      </c>
      <c r="P162" s="27" t="str">
        <f t="shared" ref="P162" si="235">IF(AND((L162=0),(O162&gt;0)),"O",IF(AND((J162&lt;0),(L162-O162&lt;0)),"O","X"))</f>
        <v>X</v>
      </c>
      <c r="Q162" s="170" t="s">
        <v>1275</v>
      </c>
      <c r="R162" s="1" t="s">
        <v>1281</v>
      </c>
      <c r="S162" s="27" t="s">
        <v>1271</v>
      </c>
      <c r="U162" s="27"/>
      <c r="V162" s="42"/>
      <c r="W162" s="42"/>
      <c r="X162" s="27" t="str">
        <f t="shared" si="10"/>
        <v>OK</v>
      </c>
      <c r="Z162" s="27" t="s">
        <v>1321</v>
      </c>
      <c r="AA162" s="42">
        <v>486400</v>
      </c>
      <c r="AB162" s="42">
        <v>0</v>
      </c>
      <c r="AC162" s="27" t="str">
        <f t="shared" ref="AC162" si="236">IF(SUM(M162:N162)=SUM(AA162:AB162),"OK","검토")</f>
        <v>OK</v>
      </c>
      <c r="AE162" s="27" t="s">
        <v>1277</v>
      </c>
      <c r="AG162" s="24">
        <f t="shared" si="201"/>
        <v>1</v>
      </c>
      <c r="AH162" s="65" t="str">
        <f t="shared" ref="AH162" si="237">IF(U162="","",IF(AND(U162="도비",AE162="세입없음"),"OK",IF(AND(U162&lt;&gt;"도비",AE162&lt;&gt;""),"OK","@@")))</f>
        <v/>
      </c>
      <c r="AJ162" s="27" t="str">
        <f t="array" ref="AJ162">IF(C162="","",INDEX(구분표!$I$2:$I$300, MATCH(1,(구분표!$E$2:$E$300='2추일출'!B162)*(구분표!$F$2:$F$300='2추일출'!C162)*(구분표!$G$2:$G$300='2추일출'!A162),0)))</f>
        <v>0609</v>
      </c>
      <c r="AL162" s="27"/>
    </row>
    <row r="163" spans="1:38" ht="50.1" customHeight="1" x14ac:dyDescent="0.3">
      <c r="A163" s="57" t="s">
        <v>681</v>
      </c>
      <c r="B163" s="58"/>
      <c r="C163" s="59"/>
      <c r="D163" s="58"/>
      <c r="E163" s="59"/>
      <c r="F163" s="136"/>
      <c r="G163" s="60">
        <f t="shared" ref="G163:O163" si="238">SUM(G164:G210)</f>
        <v>260872840</v>
      </c>
      <c r="H163" s="60">
        <f t="shared" si="238"/>
        <v>159673493</v>
      </c>
      <c r="I163" s="60">
        <f t="shared" si="238"/>
        <v>101199347</v>
      </c>
      <c r="J163" s="60">
        <f t="shared" si="238"/>
        <v>-13449634</v>
      </c>
      <c r="K163" s="60">
        <f t="shared" si="238"/>
        <v>6789364</v>
      </c>
      <c r="L163" s="60">
        <f t="shared" si="238"/>
        <v>254212570</v>
      </c>
      <c r="M163" s="60">
        <f t="shared" si="238"/>
        <v>-7066850</v>
      </c>
      <c r="N163" s="60">
        <f t="shared" si="238"/>
        <v>7340592</v>
      </c>
      <c r="O163" s="60">
        <f t="shared" si="238"/>
        <v>261146582</v>
      </c>
      <c r="P163" s="61"/>
      <c r="Q163" s="224"/>
      <c r="S163" s="27"/>
      <c r="U163" s="27"/>
      <c r="V163" s="42"/>
      <c r="W163" s="42"/>
      <c r="X163" s="27"/>
      <c r="Z163" s="27"/>
      <c r="AA163" s="42"/>
      <c r="AB163" s="42"/>
      <c r="AC163" s="27"/>
      <c r="AE163" s="27" t="str">
        <f t="shared" si="14"/>
        <v/>
      </c>
      <c r="AG163" s="24" t="str">
        <f t="shared" si="201"/>
        <v/>
      </c>
      <c r="AH163" s="65" t="str">
        <f t="shared" si="15"/>
        <v/>
      </c>
      <c r="AJ163" s="27" t="str">
        <f t="array" ref="AJ163">IF(C163="","",INDEX(구분표!$I$2:$I$300, MATCH(1,(구분표!$E$2:$E$300='2추일출'!B163)*(구분표!$F$2:$F$300='2추일출'!C163)*(구분표!$G$2:$G$300='2추일출'!A163),0)))</f>
        <v/>
      </c>
      <c r="AL163" s="27"/>
    </row>
    <row r="164" spans="1:38" ht="50.1" customHeight="1" x14ac:dyDescent="0.3">
      <c r="A164" s="33" t="str">
        <f>IFERROR(VLOOKUP($C164,구분표!$A$2:$C$300,2,FALSE),"")</f>
        <v>보건복지위원회</v>
      </c>
      <c r="B164" s="24" t="str">
        <f>IFERROR(VLOOKUP($C164,구분표!$A$2:$C$300,3,FALSE),"")</f>
        <v>보건복지국</v>
      </c>
      <c r="C164" s="31" t="s">
        <v>438</v>
      </c>
      <c r="D164" s="35" t="s">
        <v>776</v>
      </c>
      <c r="E164" s="145">
        <v>576</v>
      </c>
      <c r="F164" s="134" t="s">
        <v>1062</v>
      </c>
      <c r="G164" s="44">
        <v>13778</v>
      </c>
      <c r="H164" s="42"/>
      <c r="I164" s="54">
        <f t="shared" si="5"/>
        <v>13778</v>
      </c>
      <c r="J164" s="42">
        <v>-12400</v>
      </c>
      <c r="K164" s="45"/>
      <c r="L164" s="50">
        <f t="shared" si="6"/>
        <v>1378</v>
      </c>
      <c r="M164" s="158">
        <v>-12400</v>
      </c>
      <c r="N164" s="159">
        <v>0</v>
      </c>
      <c r="O164" s="160">
        <f t="shared" si="7"/>
        <v>1378</v>
      </c>
      <c r="P164" s="27" t="str">
        <f t="shared" ref="P164:P210" si="239">IF(AND((L164=0),(O164&gt;0)),"O",IF(AND((J164&lt;0),(L164-O164&lt;0)),"O","X"))</f>
        <v>X</v>
      </c>
      <c r="Q164" s="170" t="s">
        <v>1253</v>
      </c>
      <c r="S164" s="27" t="s">
        <v>975</v>
      </c>
      <c r="U164" s="27" t="s">
        <v>975</v>
      </c>
      <c r="V164" s="42">
        <f t="shared" si="8"/>
        <v>0</v>
      </c>
      <c r="W164" s="42">
        <f t="shared" si="9"/>
        <v>-12400</v>
      </c>
      <c r="X164" s="27" t="str">
        <f t="shared" si="10"/>
        <v>OK</v>
      </c>
      <c r="Z164" s="27"/>
      <c r="AA164" s="42">
        <f t="shared" si="11"/>
        <v>0</v>
      </c>
      <c r="AB164" s="42">
        <f t="shared" si="12"/>
        <v>-12400</v>
      </c>
      <c r="AC164" s="27" t="str">
        <f t="shared" si="13"/>
        <v>OK</v>
      </c>
      <c r="AE164" s="27" t="str">
        <f t="shared" si="14"/>
        <v>세입없음</v>
      </c>
      <c r="AG164" s="24">
        <f t="shared" si="201"/>
        <v>217</v>
      </c>
      <c r="AH164" s="65" t="str">
        <f t="shared" si="15"/>
        <v>OK</v>
      </c>
      <c r="AJ164" s="27" t="str">
        <f t="array" ref="AJ164">IF(C164="","",INDEX(구분표!$I$2:$I$300, MATCH(1,(구분표!$E$2:$E$300='2추일출'!B164)*(구분표!$F$2:$F$300='2추일출'!C164)*(구분표!$G$2:$G$300='2추일출'!A164),0)))</f>
        <v>0701</v>
      </c>
      <c r="AL164" s="27"/>
    </row>
    <row r="165" spans="1:38" ht="50.1" customHeight="1" x14ac:dyDescent="0.3">
      <c r="A165" s="33" t="str">
        <f>IFERROR(VLOOKUP($C165,구분표!$A$2:$C$300,2,FALSE),"")</f>
        <v>보건복지위원회</v>
      </c>
      <c r="B165" s="24" t="str">
        <f>IFERROR(VLOOKUP($C165,구분표!$A$2:$C$300,3,FALSE),"")</f>
        <v>보건복지국</v>
      </c>
      <c r="C165" s="31" t="s">
        <v>446</v>
      </c>
      <c r="D165" s="35" t="s">
        <v>776</v>
      </c>
      <c r="E165" s="145">
        <v>583</v>
      </c>
      <c r="F165" s="134" t="s">
        <v>1065</v>
      </c>
      <c r="G165" s="44">
        <v>1953179</v>
      </c>
      <c r="H165" s="42">
        <v>1924024</v>
      </c>
      <c r="I165" s="54">
        <f t="shared" si="5"/>
        <v>29155</v>
      </c>
      <c r="J165" s="42"/>
      <c r="K165" s="45">
        <v>62715</v>
      </c>
      <c r="L165" s="50">
        <f t="shared" si="6"/>
        <v>2015894</v>
      </c>
      <c r="M165" s="158">
        <v>0</v>
      </c>
      <c r="N165" s="159">
        <v>62715</v>
      </c>
      <c r="O165" s="160">
        <f t="shared" si="7"/>
        <v>2015894</v>
      </c>
      <c r="P165" s="27" t="str">
        <f t="shared" si="239"/>
        <v>X</v>
      </c>
      <c r="Q165" s="170" t="s">
        <v>811</v>
      </c>
      <c r="S165" s="27" t="s">
        <v>985</v>
      </c>
      <c r="U165" s="27" t="s">
        <v>850</v>
      </c>
      <c r="V165" s="42">
        <v>62715</v>
      </c>
      <c r="W165" s="42">
        <v>0</v>
      </c>
      <c r="X165" s="27" t="str">
        <f t="shared" si="10"/>
        <v>OK</v>
      </c>
      <c r="Z165" s="27" t="s">
        <v>850</v>
      </c>
      <c r="AA165" s="42">
        <v>62715</v>
      </c>
      <c r="AB165" s="42">
        <v>0</v>
      </c>
      <c r="AC165" s="27" t="str">
        <f t="shared" si="13"/>
        <v>OK</v>
      </c>
      <c r="AE165" s="27" t="s">
        <v>1064</v>
      </c>
      <c r="AG165" s="24">
        <f t="shared" si="201"/>
        <v>2</v>
      </c>
      <c r="AH165" s="65" t="str">
        <f t="shared" si="15"/>
        <v>OK</v>
      </c>
      <c r="AJ165" s="27" t="str">
        <f t="array" ref="AJ165">IF(C165="","",INDEX(구분표!$I$2:$I$300, MATCH(1,(구분표!$E$2:$E$300='2추일출'!B165)*(구분표!$F$2:$F$300='2추일출'!C165)*(구분표!$G$2:$G$300='2추일출'!A165),0)))</f>
        <v>0703</v>
      </c>
      <c r="AL165" s="27"/>
    </row>
    <row r="166" spans="1:38" ht="50.1" customHeight="1" x14ac:dyDescent="0.3">
      <c r="A166" s="33" t="str">
        <f>IFERROR(VLOOKUP($C166,구분표!$A$2:$C$300,2,FALSE),"")</f>
        <v>보건복지위원회</v>
      </c>
      <c r="B166" s="24" t="str">
        <f>IFERROR(VLOOKUP($C166,구분표!$A$2:$C$300,3,FALSE),"")</f>
        <v>복지여성실</v>
      </c>
      <c r="C166" s="31" t="s">
        <v>461</v>
      </c>
      <c r="D166" s="35" t="s">
        <v>776</v>
      </c>
      <c r="E166" s="145">
        <v>617</v>
      </c>
      <c r="F166" s="134" t="s">
        <v>1065</v>
      </c>
      <c r="G166" s="44">
        <v>476062</v>
      </c>
      <c r="H166" s="42">
        <v>276222</v>
      </c>
      <c r="I166" s="54">
        <f t="shared" ref="I166:I179" si="240">IF(D166="","",G166-H166)</f>
        <v>199840</v>
      </c>
      <c r="J166" s="42"/>
      <c r="K166" s="45">
        <v>30000</v>
      </c>
      <c r="L166" s="50">
        <f>IF(G166=0,H166+J166+K166,G166+J166+K166)</f>
        <v>506062</v>
      </c>
      <c r="M166" s="158">
        <v>0</v>
      </c>
      <c r="N166" s="159">
        <v>30000</v>
      </c>
      <c r="O166" s="160">
        <f>IF(G166=0,H166+M166+N166,G166+M166+N166)</f>
        <v>506062</v>
      </c>
      <c r="P166" s="27" t="str">
        <f t="shared" si="239"/>
        <v>X</v>
      </c>
      <c r="Q166" s="170" t="s">
        <v>1258</v>
      </c>
      <c r="S166" s="27" t="s">
        <v>985</v>
      </c>
      <c r="U166" s="27" t="s">
        <v>850</v>
      </c>
      <c r="V166" s="42">
        <v>30000</v>
      </c>
      <c r="W166" s="42">
        <v>0</v>
      </c>
      <c r="X166" s="27" t="str">
        <f t="shared" si="10"/>
        <v>OK</v>
      </c>
      <c r="Z166" s="27" t="s">
        <v>850</v>
      </c>
      <c r="AA166" s="42">
        <v>30000</v>
      </c>
      <c r="AB166" s="42">
        <v>0</v>
      </c>
      <c r="AC166" s="27" t="str">
        <f t="shared" ref="AC166:AC179" si="241">IF(SUM(M166:N166)=SUM(AA166:AB166),"OK","검토")</f>
        <v>OK</v>
      </c>
      <c r="AE166" s="27" t="s">
        <v>1064</v>
      </c>
      <c r="AG166" s="24">
        <f t="shared" si="201"/>
        <v>2</v>
      </c>
      <c r="AH166" s="65" t="str">
        <f t="shared" ref="AH166:AH179" si="242">IF(U166="","",IF(AND(U166="도비",AE166="세입없음"),"OK",IF(AND(U166&lt;&gt;"도비",AE166&lt;&gt;""),"OK","@@")))</f>
        <v>OK</v>
      </c>
      <c r="AJ166" s="27" t="str">
        <f t="array" ref="AJ166">IF(C166="","",INDEX(구분표!$I$2:$I$300, MATCH(1,(구분표!$E$2:$E$300='2추일출'!B166)*(구분표!$F$2:$F$300='2추일출'!C166)*(구분표!$G$2:$G$300='2추일출'!A166),0)))</f>
        <v>0708</v>
      </c>
      <c r="AL166" s="27"/>
    </row>
    <row r="167" spans="1:38" ht="50.1" customHeight="1" x14ac:dyDescent="0.3">
      <c r="A167" s="33" t="str">
        <f>IFERROR(VLOOKUP($C167,구분표!$A$2:$C$300,2,FALSE),"")</f>
        <v>보건복지위원회</v>
      </c>
      <c r="B167" s="24" t="str">
        <f>IFERROR(VLOOKUP($C167,구분표!$A$2:$C$300,3,FALSE),"")</f>
        <v>보건복지국</v>
      </c>
      <c r="C167" s="31" t="s">
        <v>446</v>
      </c>
      <c r="D167" s="35" t="s">
        <v>779</v>
      </c>
      <c r="E167" s="145"/>
      <c r="F167" s="134" t="s">
        <v>1066</v>
      </c>
      <c r="G167" s="44">
        <v>4346772</v>
      </c>
      <c r="H167" s="42">
        <v>4346772</v>
      </c>
      <c r="I167" s="54">
        <f t="shared" si="240"/>
        <v>0</v>
      </c>
      <c r="J167" s="42">
        <v>-440784</v>
      </c>
      <c r="K167" s="45"/>
      <c r="L167" s="50">
        <f t="shared" ref="L167:L179" si="243">IF(G167=0,H167+J167+K167,G167+J167+K167)</f>
        <v>3905988</v>
      </c>
      <c r="M167" s="158">
        <v>-440784</v>
      </c>
      <c r="N167" s="159">
        <v>0</v>
      </c>
      <c r="O167" s="160">
        <f>IF(G167=0,H167+M167+N167,G167+M167+N167)</f>
        <v>3905988</v>
      </c>
      <c r="P167" s="27" t="str">
        <f t="shared" si="239"/>
        <v>X</v>
      </c>
      <c r="Q167" s="170" t="s">
        <v>1257</v>
      </c>
      <c r="S167" s="27" t="s">
        <v>985</v>
      </c>
      <c r="U167" s="27" t="s">
        <v>850</v>
      </c>
      <c r="V167" s="42">
        <v>-415109</v>
      </c>
      <c r="W167" s="42">
        <v>-25675</v>
      </c>
      <c r="X167" s="27" t="str">
        <f t="shared" si="10"/>
        <v>OK</v>
      </c>
      <c r="Z167" s="27" t="s">
        <v>1321</v>
      </c>
      <c r="AA167" s="42">
        <v>-415109</v>
      </c>
      <c r="AB167" s="42">
        <v>-25675</v>
      </c>
      <c r="AC167" s="27" t="str">
        <f t="shared" si="241"/>
        <v>OK</v>
      </c>
      <c r="AE167" s="27" t="s">
        <v>1083</v>
      </c>
      <c r="AG167" s="24">
        <f t="shared" si="201"/>
        <v>2</v>
      </c>
      <c r="AH167" s="65" t="str">
        <f t="shared" si="242"/>
        <v>OK</v>
      </c>
      <c r="AJ167" s="27" t="str">
        <f t="array" ref="AJ167">IF(C167="","",INDEX(구분표!$I$2:$I$300, MATCH(1,(구분표!$E$2:$E$300='2추일출'!B167)*(구분표!$F$2:$F$300='2추일출'!C167)*(구분표!$G$2:$G$300='2추일출'!A167),0)))</f>
        <v>0703</v>
      </c>
      <c r="AL167" s="27"/>
    </row>
    <row r="168" spans="1:38" ht="50.1" customHeight="1" x14ac:dyDescent="0.3">
      <c r="A168" s="33" t="str">
        <f>IFERROR(VLOOKUP($C168,구분표!$A$2:$C$300,2,FALSE),"")</f>
        <v>보건복지위원회</v>
      </c>
      <c r="B168" s="24" t="str">
        <f>IFERROR(VLOOKUP($C168,구분표!$A$2:$C$300,3,FALSE),"")</f>
        <v>복지여성실</v>
      </c>
      <c r="C168" s="31" t="s">
        <v>461</v>
      </c>
      <c r="D168" s="35" t="s">
        <v>779</v>
      </c>
      <c r="E168" s="145"/>
      <c r="F168" s="134" t="s">
        <v>1066</v>
      </c>
      <c r="G168" s="44">
        <v>1372307</v>
      </c>
      <c r="H168" s="42">
        <v>1372307</v>
      </c>
      <c r="I168" s="54">
        <f t="shared" si="240"/>
        <v>0</v>
      </c>
      <c r="J168" s="42"/>
      <c r="K168" s="45">
        <v>14898</v>
      </c>
      <c r="L168" s="50">
        <f t="shared" si="243"/>
        <v>1387205</v>
      </c>
      <c r="M168" s="158">
        <v>0</v>
      </c>
      <c r="N168" s="159">
        <v>14898</v>
      </c>
      <c r="O168" s="160">
        <f t="shared" ref="O168:O179" si="244">IF(G168=0,H168+M168+N168,G168+M168+N168)</f>
        <v>1387205</v>
      </c>
      <c r="P168" s="27" t="str">
        <f t="shared" si="239"/>
        <v>X</v>
      </c>
      <c r="Q168" s="170" t="s">
        <v>1259</v>
      </c>
      <c r="S168" s="27" t="s">
        <v>985</v>
      </c>
      <c r="U168" s="27" t="s">
        <v>850</v>
      </c>
      <c r="V168" s="42">
        <v>14000</v>
      </c>
      <c r="W168" s="42">
        <v>898</v>
      </c>
      <c r="X168" s="27" t="str">
        <f t="shared" si="10"/>
        <v>OK</v>
      </c>
      <c r="Z168" s="27" t="s">
        <v>1321</v>
      </c>
      <c r="AA168" s="42">
        <v>14000</v>
      </c>
      <c r="AB168" s="42">
        <v>898</v>
      </c>
      <c r="AC168" s="27" t="str">
        <f t="shared" si="241"/>
        <v>OK</v>
      </c>
      <c r="AE168" s="27" t="s">
        <v>1083</v>
      </c>
      <c r="AG168" s="24">
        <f t="shared" si="201"/>
        <v>2</v>
      </c>
      <c r="AH168" s="65" t="str">
        <f t="shared" si="242"/>
        <v>OK</v>
      </c>
      <c r="AJ168" s="27" t="str">
        <f t="array" ref="AJ168">IF(C168="","",INDEX(구분표!$I$2:$I$300, MATCH(1,(구분표!$E$2:$E$300='2추일출'!B168)*(구분표!$F$2:$F$300='2추일출'!C168)*(구분표!$G$2:$G$300='2추일출'!A168),0)))</f>
        <v>0708</v>
      </c>
      <c r="AL168" s="27"/>
    </row>
    <row r="169" spans="1:38" ht="50.1" customHeight="1" x14ac:dyDescent="0.3">
      <c r="A169" s="33" t="str">
        <f>IFERROR(VLOOKUP($C169,구분표!$A$2:$C$300,2,FALSE),"")</f>
        <v>보건복지위원회</v>
      </c>
      <c r="B169" s="24" t="str">
        <f>IFERROR(VLOOKUP($C169,구분표!$A$2:$C$300,3,FALSE),"")</f>
        <v>보건복지국</v>
      </c>
      <c r="C169" s="31" t="s">
        <v>446</v>
      </c>
      <c r="D169" s="35" t="s">
        <v>781</v>
      </c>
      <c r="E169" s="145"/>
      <c r="F169" s="134" t="s">
        <v>1067</v>
      </c>
      <c r="G169" s="44">
        <v>70947</v>
      </c>
      <c r="H169" s="42">
        <v>70947</v>
      </c>
      <c r="I169" s="54">
        <f t="shared" si="240"/>
        <v>0</v>
      </c>
      <c r="J169" s="42"/>
      <c r="K169" s="199">
        <v>25782</v>
      </c>
      <c r="L169" s="50">
        <f t="shared" si="243"/>
        <v>96729</v>
      </c>
      <c r="M169" s="158">
        <v>0</v>
      </c>
      <c r="N169" s="159">
        <v>25782</v>
      </c>
      <c r="O169" s="160">
        <f t="shared" si="244"/>
        <v>96729</v>
      </c>
      <c r="P169" s="27" t="str">
        <f t="shared" si="239"/>
        <v>X</v>
      </c>
      <c r="Q169" s="170" t="s">
        <v>813</v>
      </c>
      <c r="S169" s="27" t="s">
        <v>985</v>
      </c>
      <c r="U169" s="27" t="s">
        <v>850</v>
      </c>
      <c r="V169" s="42">
        <v>25782</v>
      </c>
      <c r="W169" s="42">
        <v>0</v>
      </c>
      <c r="X169" s="27" t="str">
        <f t="shared" si="10"/>
        <v>OK</v>
      </c>
      <c r="Z169" s="27" t="s">
        <v>1321</v>
      </c>
      <c r="AA169" s="42">
        <v>25782</v>
      </c>
      <c r="AB169" s="42">
        <v>0</v>
      </c>
      <c r="AC169" s="27" t="str">
        <f t="shared" si="241"/>
        <v>OK</v>
      </c>
      <c r="AE169" s="27" t="s">
        <v>1082</v>
      </c>
      <c r="AG169" s="24">
        <f t="shared" si="201"/>
        <v>1</v>
      </c>
      <c r="AH169" s="65" t="str">
        <f t="shared" si="242"/>
        <v>OK</v>
      </c>
      <c r="AJ169" s="27" t="str">
        <f t="array" ref="AJ169">IF(C169="","",INDEX(구분표!$I$2:$I$300, MATCH(1,(구분표!$E$2:$E$300='2추일출'!B169)*(구분표!$F$2:$F$300='2추일출'!C169)*(구분표!$G$2:$G$300='2추일출'!A169),0)))</f>
        <v>0703</v>
      </c>
      <c r="AL169" s="27"/>
    </row>
    <row r="170" spans="1:38" ht="50.1" customHeight="1" x14ac:dyDescent="0.3">
      <c r="A170" s="33" t="str">
        <f>IFERROR(VLOOKUP($C170,구분표!$A$2:$C$300,2,FALSE),"")</f>
        <v>보건복지위원회</v>
      </c>
      <c r="B170" s="24" t="str">
        <f>IFERROR(VLOOKUP($C170,구분표!$A$2:$C$300,3,FALSE),"")</f>
        <v>보건복지국</v>
      </c>
      <c r="C170" s="31" t="s">
        <v>449</v>
      </c>
      <c r="D170" s="35" t="s">
        <v>779</v>
      </c>
      <c r="E170" s="145"/>
      <c r="F170" s="134" t="s">
        <v>1068</v>
      </c>
      <c r="G170" s="44">
        <v>8004045</v>
      </c>
      <c r="H170" s="42">
        <v>8004045</v>
      </c>
      <c r="I170" s="54">
        <f t="shared" si="240"/>
        <v>0</v>
      </c>
      <c r="J170" s="42">
        <v>-79798</v>
      </c>
      <c r="K170" s="45"/>
      <c r="L170" s="50">
        <f t="shared" si="243"/>
        <v>7924247</v>
      </c>
      <c r="M170" s="158">
        <v>-79798</v>
      </c>
      <c r="N170" s="159">
        <v>0</v>
      </c>
      <c r="O170" s="160">
        <f t="shared" si="244"/>
        <v>7924247</v>
      </c>
      <c r="P170" s="27" t="str">
        <f t="shared" si="239"/>
        <v>X</v>
      </c>
      <c r="Q170" s="170" t="s">
        <v>815</v>
      </c>
      <c r="S170" s="27" t="s">
        <v>985</v>
      </c>
      <c r="U170" s="27" t="s">
        <v>850</v>
      </c>
      <c r="V170" s="42">
        <v>-74978</v>
      </c>
      <c r="W170" s="42">
        <v>-4820</v>
      </c>
      <c r="X170" s="27" t="str">
        <f t="shared" si="10"/>
        <v>OK</v>
      </c>
      <c r="Z170" s="27" t="s">
        <v>1321</v>
      </c>
      <c r="AA170" s="42">
        <v>-74978</v>
      </c>
      <c r="AB170" s="42">
        <v>-4820</v>
      </c>
      <c r="AC170" s="27" t="str">
        <f t="shared" si="241"/>
        <v>OK</v>
      </c>
      <c r="AE170" s="27" t="s">
        <v>1081</v>
      </c>
      <c r="AG170" s="24">
        <f t="shared" si="201"/>
        <v>2</v>
      </c>
      <c r="AH170" s="65" t="str">
        <f t="shared" si="242"/>
        <v>OK</v>
      </c>
      <c r="AJ170" s="27" t="str">
        <f t="array" ref="AJ170">IF(C170="","",INDEX(구분표!$I$2:$I$300, MATCH(1,(구분표!$E$2:$E$300='2추일출'!B170)*(구분표!$F$2:$F$300='2추일출'!C170)*(구분표!$G$2:$G$300='2추일출'!A170),0)))</f>
        <v>0704</v>
      </c>
      <c r="AL170" s="27"/>
    </row>
    <row r="171" spans="1:38" ht="50.1" customHeight="1" x14ac:dyDescent="0.3">
      <c r="A171" s="33" t="str">
        <f>IFERROR(VLOOKUP($C171,구분표!$A$2:$C$300,2,FALSE),"")</f>
        <v>보건복지위원회</v>
      </c>
      <c r="B171" s="24" t="str">
        <f>IFERROR(VLOOKUP($C171,구분표!$A$2:$C$300,3,FALSE),"")</f>
        <v>복지여성실</v>
      </c>
      <c r="C171" s="31" t="s">
        <v>461</v>
      </c>
      <c r="D171" s="35" t="s">
        <v>779</v>
      </c>
      <c r="E171" s="145"/>
      <c r="F171" s="134" t="s">
        <v>1068</v>
      </c>
      <c r="G171" s="44">
        <v>3430305</v>
      </c>
      <c r="H171" s="42">
        <v>3430305</v>
      </c>
      <c r="I171" s="54">
        <f t="shared" si="240"/>
        <v>0</v>
      </c>
      <c r="J171" s="42"/>
      <c r="K171" s="45">
        <v>384728</v>
      </c>
      <c r="L171" s="50">
        <f t="shared" si="243"/>
        <v>3815033</v>
      </c>
      <c r="M171" s="158">
        <v>0</v>
      </c>
      <c r="N171" s="159">
        <v>384728</v>
      </c>
      <c r="O171" s="160">
        <f t="shared" si="244"/>
        <v>3815033</v>
      </c>
      <c r="P171" s="27" t="str">
        <f t="shared" si="239"/>
        <v>X</v>
      </c>
      <c r="Q171" s="170" t="s">
        <v>1260</v>
      </c>
      <c r="S171" s="27" t="s">
        <v>985</v>
      </c>
      <c r="U171" s="27" t="s">
        <v>850</v>
      </c>
      <c r="V171" s="42">
        <v>361494</v>
      </c>
      <c r="W171" s="42">
        <v>23234</v>
      </c>
      <c r="X171" s="27" t="str">
        <f t="shared" si="10"/>
        <v>OK</v>
      </c>
      <c r="Z171" s="27" t="s">
        <v>1321</v>
      </c>
      <c r="AA171" s="42">
        <v>361494</v>
      </c>
      <c r="AB171" s="42">
        <v>23234</v>
      </c>
      <c r="AC171" s="27" t="str">
        <f t="shared" si="241"/>
        <v>OK</v>
      </c>
      <c r="AE171" s="27" t="s">
        <v>1081</v>
      </c>
      <c r="AG171" s="24">
        <f t="shared" si="201"/>
        <v>2</v>
      </c>
      <c r="AH171" s="65" t="str">
        <f t="shared" si="242"/>
        <v>OK</v>
      </c>
      <c r="AJ171" s="27" t="str">
        <f t="array" ref="AJ171">IF(C171="","",INDEX(구분표!$I$2:$I$300, MATCH(1,(구분표!$E$2:$E$300='2추일출'!B171)*(구분표!$F$2:$F$300='2추일출'!C171)*(구분표!$G$2:$G$300='2추일출'!A171),0)))</f>
        <v>0708</v>
      </c>
      <c r="AL171" s="27"/>
    </row>
    <row r="172" spans="1:38" ht="50.1" customHeight="1" x14ac:dyDescent="0.3">
      <c r="A172" s="33" t="str">
        <f>IFERROR(VLOOKUP($C172,구분표!$A$2:$C$300,2,FALSE),"")</f>
        <v>보건복지위원회</v>
      </c>
      <c r="B172" s="24" t="str">
        <f>IFERROR(VLOOKUP($C172,구분표!$A$2:$C$300,3,FALSE),"")</f>
        <v>보건복지국</v>
      </c>
      <c r="C172" s="31" t="s">
        <v>449</v>
      </c>
      <c r="D172" s="35" t="s">
        <v>779</v>
      </c>
      <c r="E172" s="145"/>
      <c r="F172" s="134" t="s">
        <v>1069</v>
      </c>
      <c r="G172" s="44">
        <v>7261237</v>
      </c>
      <c r="H172" s="42">
        <v>7261237</v>
      </c>
      <c r="I172" s="54">
        <f t="shared" si="240"/>
        <v>0</v>
      </c>
      <c r="J172" s="42">
        <v>-190588</v>
      </c>
      <c r="K172" s="45"/>
      <c r="L172" s="50">
        <f t="shared" si="243"/>
        <v>7070649</v>
      </c>
      <c r="M172" s="158">
        <v>-190588</v>
      </c>
      <c r="N172" s="159">
        <v>0</v>
      </c>
      <c r="O172" s="160">
        <f t="shared" si="244"/>
        <v>7070649</v>
      </c>
      <c r="P172" s="27" t="str">
        <f t="shared" si="239"/>
        <v>X</v>
      </c>
      <c r="Q172" s="170" t="s">
        <v>815</v>
      </c>
      <c r="S172" s="27" t="s">
        <v>985</v>
      </c>
      <c r="U172" s="27" t="s">
        <v>850</v>
      </c>
      <c r="V172" s="42">
        <v>-179080</v>
      </c>
      <c r="W172" s="42">
        <v>-11508</v>
      </c>
      <c r="X172" s="27" t="str">
        <f>IF(SUM($J172:$K172)=SUM($V172:$W172),"OK","검토")</f>
        <v>OK</v>
      </c>
      <c r="Z172" s="27" t="s">
        <v>1321</v>
      </c>
      <c r="AA172" s="42">
        <v>-179080</v>
      </c>
      <c r="AB172" s="42">
        <v>-11508</v>
      </c>
      <c r="AC172" s="27" t="str">
        <f t="shared" si="241"/>
        <v>OK</v>
      </c>
      <c r="AE172" s="27" t="s">
        <v>1080</v>
      </c>
      <c r="AG172" s="24">
        <f t="shared" si="201"/>
        <v>2</v>
      </c>
      <c r="AH172" s="65" t="str">
        <f t="shared" si="242"/>
        <v>OK</v>
      </c>
      <c r="AJ172" s="27" t="str">
        <f t="array" ref="AJ172">IF(C172="","",INDEX(구분표!$I$2:$I$300, MATCH(1,(구분표!$E$2:$E$300='2추일출'!B172)*(구분표!$F$2:$F$300='2추일출'!C172)*(구분표!$G$2:$G$300='2추일출'!A172),0)))</f>
        <v>0704</v>
      </c>
      <c r="AL172" s="27"/>
    </row>
    <row r="173" spans="1:38" ht="50.1" customHeight="1" x14ac:dyDescent="0.3">
      <c r="A173" s="33" t="str">
        <f>IFERROR(VLOOKUP($C173,구분표!$A$2:$C$300,2,FALSE),"")</f>
        <v>보건복지위원회</v>
      </c>
      <c r="B173" s="24" t="str">
        <f>IFERROR(VLOOKUP($C173,구분표!$A$2:$C$300,3,FALSE),"")</f>
        <v>복지여성실</v>
      </c>
      <c r="C173" s="31" t="s">
        <v>461</v>
      </c>
      <c r="D173" s="35" t="s">
        <v>779</v>
      </c>
      <c r="E173" s="145"/>
      <c r="F173" s="134" t="s">
        <v>1070</v>
      </c>
      <c r="G173" s="44">
        <v>3111958</v>
      </c>
      <c r="H173" s="42">
        <v>3111958</v>
      </c>
      <c r="I173" s="54">
        <f t="shared" si="240"/>
        <v>0</v>
      </c>
      <c r="J173" s="42"/>
      <c r="K173" s="45">
        <v>228235</v>
      </c>
      <c r="L173" s="50">
        <f t="shared" si="243"/>
        <v>3340193</v>
      </c>
      <c r="M173" s="158">
        <v>0</v>
      </c>
      <c r="N173" s="159">
        <v>228235</v>
      </c>
      <c r="O173" s="160">
        <f t="shared" si="244"/>
        <v>3340193</v>
      </c>
      <c r="P173" s="27" t="str">
        <f t="shared" si="239"/>
        <v>X</v>
      </c>
      <c r="Q173" s="170" t="s">
        <v>1260</v>
      </c>
      <c r="S173" s="27" t="s">
        <v>985</v>
      </c>
      <c r="U173" s="27" t="s">
        <v>850</v>
      </c>
      <c r="V173" s="42">
        <v>214453</v>
      </c>
      <c r="W173" s="42">
        <v>13782</v>
      </c>
      <c r="X173" s="27" t="str">
        <f t="shared" si="10"/>
        <v>OK</v>
      </c>
      <c r="Z173" s="27" t="s">
        <v>1321</v>
      </c>
      <c r="AA173" s="42">
        <v>214453</v>
      </c>
      <c r="AB173" s="42">
        <v>13782</v>
      </c>
      <c r="AC173" s="27" t="str">
        <f t="shared" si="241"/>
        <v>OK</v>
      </c>
      <c r="AE173" s="27" t="s">
        <v>1080</v>
      </c>
      <c r="AG173" s="24">
        <f t="shared" si="201"/>
        <v>2</v>
      </c>
      <c r="AH173" s="65" t="str">
        <f t="shared" si="242"/>
        <v>OK</v>
      </c>
      <c r="AJ173" s="27" t="str">
        <f t="array" ref="AJ173">IF(C173="","",INDEX(구분표!$I$2:$I$300, MATCH(1,(구분표!$E$2:$E$300='2추일출'!B173)*(구분표!$F$2:$F$300='2추일출'!C173)*(구분표!$G$2:$G$300='2추일출'!A173),0)))</f>
        <v>0708</v>
      </c>
      <c r="AL173" s="27"/>
    </row>
    <row r="174" spans="1:38" ht="50.1" customHeight="1" x14ac:dyDescent="0.3">
      <c r="A174" s="33" t="str">
        <f>IFERROR(VLOOKUP($C174,구분표!$A$2:$C$300,2,FALSE),"")</f>
        <v>보건복지위원회</v>
      </c>
      <c r="B174" s="24" t="str">
        <f>IFERROR(VLOOKUP($C174,구분표!$A$2:$C$300,3,FALSE),"")</f>
        <v>보건복지국</v>
      </c>
      <c r="C174" s="31" t="s">
        <v>449</v>
      </c>
      <c r="D174" s="35" t="s">
        <v>779</v>
      </c>
      <c r="E174" s="145"/>
      <c r="F174" s="134" t="s">
        <v>1071</v>
      </c>
      <c r="G174" s="44">
        <v>71399310</v>
      </c>
      <c r="H174" s="42">
        <v>71399310</v>
      </c>
      <c r="I174" s="54">
        <f t="shared" si="240"/>
        <v>0</v>
      </c>
      <c r="J174" s="42"/>
      <c r="K174" s="45">
        <v>697257</v>
      </c>
      <c r="L174" s="50">
        <f t="shared" si="243"/>
        <v>72096567</v>
      </c>
      <c r="M174" s="158">
        <v>0</v>
      </c>
      <c r="N174" s="159">
        <v>697257</v>
      </c>
      <c r="O174" s="160">
        <f t="shared" si="244"/>
        <v>72096567</v>
      </c>
      <c r="P174" s="27" t="str">
        <f t="shared" si="239"/>
        <v>X</v>
      </c>
      <c r="Q174" s="170" t="s">
        <v>816</v>
      </c>
      <c r="S174" s="27" t="s">
        <v>985</v>
      </c>
      <c r="U174" s="27" t="s">
        <v>850</v>
      </c>
      <c r="V174" s="42">
        <v>655142</v>
      </c>
      <c r="W174" s="42">
        <v>42115</v>
      </c>
      <c r="X174" s="27" t="str">
        <f t="shared" si="10"/>
        <v>OK</v>
      </c>
      <c r="Z174" s="27" t="s">
        <v>1321</v>
      </c>
      <c r="AA174" s="42">
        <v>655142</v>
      </c>
      <c r="AB174" s="42">
        <v>42115</v>
      </c>
      <c r="AC174" s="27" t="str">
        <f t="shared" si="241"/>
        <v>OK</v>
      </c>
      <c r="AE174" s="27" t="s">
        <v>1079</v>
      </c>
      <c r="AG174" s="24">
        <f t="shared" si="201"/>
        <v>2</v>
      </c>
      <c r="AH174" s="65" t="str">
        <f t="shared" si="242"/>
        <v>OK</v>
      </c>
      <c r="AJ174" s="27" t="str">
        <f t="array" ref="AJ174">IF(C174="","",INDEX(구분표!$I$2:$I$300, MATCH(1,(구분표!$E$2:$E$300='2추일출'!B174)*(구분표!$F$2:$F$300='2추일출'!C174)*(구분표!$G$2:$G$300='2추일출'!A174),0)))</f>
        <v>0704</v>
      </c>
      <c r="AL174" s="27"/>
    </row>
    <row r="175" spans="1:38" ht="50.1" customHeight="1" x14ac:dyDescent="0.3">
      <c r="A175" s="33" t="str">
        <f>IFERROR(VLOOKUP($C175,구분표!$A$2:$C$300,2,FALSE),"")</f>
        <v>보건복지위원회</v>
      </c>
      <c r="B175" s="24" t="str">
        <f>IFERROR(VLOOKUP($C175,구분표!$A$2:$C$300,3,FALSE),"")</f>
        <v>복지여성실</v>
      </c>
      <c r="C175" s="31" t="s">
        <v>461</v>
      </c>
      <c r="D175" s="35" t="s">
        <v>779</v>
      </c>
      <c r="E175" s="145"/>
      <c r="F175" s="134" t="s">
        <v>1071</v>
      </c>
      <c r="G175" s="44">
        <v>30599704</v>
      </c>
      <c r="H175" s="42">
        <v>30599704</v>
      </c>
      <c r="I175" s="54">
        <f t="shared" si="240"/>
        <v>0</v>
      </c>
      <c r="J175" s="42"/>
      <c r="K175" s="45">
        <v>1742477</v>
      </c>
      <c r="L175" s="50">
        <f t="shared" si="243"/>
        <v>32342181</v>
      </c>
      <c r="M175" s="158">
        <v>0</v>
      </c>
      <c r="N175" s="159">
        <v>1742477</v>
      </c>
      <c r="O175" s="160">
        <f t="shared" si="244"/>
        <v>32342181</v>
      </c>
      <c r="P175" s="27" t="str">
        <f t="shared" si="239"/>
        <v>X</v>
      </c>
      <c r="Q175" s="170" t="s">
        <v>1261</v>
      </c>
      <c r="S175" s="27" t="s">
        <v>985</v>
      </c>
      <c r="U175" s="27" t="s">
        <v>850</v>
      </c>
      <c r="V175" s="42">
        <v>1637230</v>
      </c>
      <c r="W175" s="42">
        <v>105247</v>
      </c>
      <c r="X175" s="27" t="str">
        <f t="shared" si="10"/>
        <v>OK</v>
      </c>
      <c r="Z175" s="27" t="s">
        <v>1321</v>
      </c>
      <c r="AA175" s="42">
        <v>1637230</v>
      </c>
      <c r="AB175" s="42">
        <v>105247</v>
      </c>
      <c r="AC175" s="27" t="str">
        <f t="shared" si="241"/>
        <v>OK</v>
      </c>
      <c r="AE175" s="27" t="s">
        <v>1079</v>
      </c>
      <c r="AG175" s="24">
        <f t="shared" si="201"/>
        <v>2</v>
      </c>
      <c r="AH175" s="65" t="str">
        <f t="shared" si="242"/>
        <v>OK</v>
      </c>
      <c r="AJ175" s="27" t="str">
        <f t="array" ref="AJ175">IF(C175="","",INDEX(구분표!$I$2:$I$300, MATCH(1,(구분표!$E$2:$E$300='2추일출'!B175)*(구분표!$F$2:$F$300='2추일출'!C175)*(구분표!$G$2:$G$300='2추일출'!A175),0)))</f>
        <v>0708</v>
      </c>
      <c r="AL175" s="27"/>
    </row>
    <row r="176" spans="1:38" ht="50.1" customHeight="1" x14ac:dyDescent="0.3">
      <c r="A176" s="33" t="str">
        <f>IFERROR(VLOOKUP($C176,구분표!$A$2:$C$300,2,FALSE),"")</f>
        <v>보건복지위원회</v>
      </c>
      <c r="B176" s="24" t="str">
        <f>IFERROR(VLOOKUP($C176,구분표!$A$2:$C$300,3,FALSE),"")</f>
        <v>보건복지국</v>
      </c>
      <c r="C176" s="31" t="s">
        <v>452</v>
      </c>
      <c r="D176" s="35" t="s">
        <v>781</v>
      </c>
      <c r="E176" s="145"/>
      <c r="F176" s="134" t="s">
        <v>1072</v>
      </c>
      <c r="G176" s="44">
        <v>740000</v>
      </c>
      <c r="H176" s="42">
        <v>740000</v>
      </c>
      <c r="I176" s="54">
        <f t="shared" si="240"/>
        <v>0</v>
      </c>
      <c r="J176" s="42"/>
      <c r="K176" s="45">
        <v>298800</v>
      </c>
      <c r="L176" s="50">
        <f t="shared" si="243"/>
        <v>1038800</v>
      </c>
      <c r="M176" s="158">
        <v>0</v>
      </c>
      <c r="N176" s="159">
        <v>298800</v>
      </c>
      <c r="O176" s="160">
        <f t="shared" si="244"/>
        <v>1038800</v>
      </c>
      <c r="P176" s="27" t="str">
        <f t="shared" si="239"/>
        <v>X</v>
      </c>
      <c r="Q176" s="170" t="s">
        <v>895</v>
      </c>
      <c r="S176" s="27" t="s">
        <v>985</v>
      </c>
      <c r="U176" s="27" t="s">
        <v>850</v>
      </c>
      <c r="V176" s="42">
        <v>149400</v>
      </c>
      <c r="W176" s="42">
        <v>149400</v>
      </c>
      <c r="X176" s="27" t="str">
        <f t="shared" si="10"/>
        <v>OK</v>
      </c>
      <c r="Z176" s="27" t="s">
        <v>1321</v>
      </c>
      <c r="AA176" s="42">
        <v>149400</v>
      </c>
      <c r="AB176" s="42">
        <v>149400</v>
      </c>
      <c r="AC176" s="27" t="str">
        <f t="shared" si="241"/>
        <v>OK</v>
      </c>
      <c r="AE176" s="27" t="s">
        <v>1078</v>
      </c>
      <c r="AG176" s="24">
        <f t="shared" si="201"/>
        <v>1</v>
      </c>
      <c r="AH176" s="65" t="str">
        <f t="shared" si="242"/>
        <v>OK</v>
      </c>
      <c r="AJ176" s="27" t="str">
        <f t="array" ref="AJ176">IF(C176="","",INDEX(구분표!$I$2:$I$300, MATCH(1,(구분표!$E$2:$E$300='2추일출'!B176)*(구분표!$F$2:$F$300='2추일출'!C176)*(구분표!$G$2:$G$300='2추일출'!A176),0)))</f>
        <v>0705</v>
      </c>
      <c r="AL176" s="27"/>
    </row>
    <row r="177" spans="1:38" ht="50.1" customHeight="1" x14ac:dyDescent="0.3">
      <c r="A177" s="33" t="str">
        <f>IFERROR(VLOOKUP($C177,구분표!$A$2:$C$300,2,FALSE),"")</f>
        <v>보건복지위원회</v>
      </c>
      <c r="B177" s="24" t="str">
        <f>IFERROR(VLOOKUP($C177,구분표!$A$2:$C$300,3,FALSE),"")</f>
        <v>보건복지국</v>
      </c>
      <c r="C177" s="31" t="s">
        <v>452</v>
      </c>
      <c r="D177" s="35" t="s">
        <v>776</v>
      </c>
      <c r="E177" s="145">
        <v>591</v>
      </c>
      <c r="F177" s="134" t="s">
        <v>872</v>
      </c>
      <c r="G177" s="44">
        <v>4034140</v>
      </c>
      <c r="H177" s="42"/>
      <c r="I177" s="54">
        <f t="shared" si="240"/>
        <v>4034140</v>
      </c>
      <c r="J177" s="42">
        <v>-1872042</v>
      </c>
      <c r="K177" s="45"/>
      <c r="L177" s="50">
        <f t="shared" si="243"/>
        <v>2162098</v>
      </c>
      <c r="M177" s="158">
        <v>-1872042</v>
      </c>
      <c r="N177" s="159">
        <v>0</v>
      </c>
      <c r="O177" s="160">
        <f t="shared" si="244"/>
        <v>2162098</v>
      </c>
      <c r="P177" s="27" t="str">
        <f t="shared" si="239"/>
        <v>X</v>
      </c>
      <c r="Q177" s="170" t="s">
        <v>896</v>
      </c>
      <c r="S177" s="27" t="s">
        <v>985</v>
      </c>
      <c r="U177" s="27" t="s">
        <v>850</v>
      </c>
      <c r="V177" s="42">
        <v>-1498082</v>
      </c>
      <c r="W177" s="42">
        <v>-373960</v>
      </c>
      <c r="X177" s="27" t="str">
        <f t="shared" si="10"/>
        <v>OK</v>
      </c>
      <c r="Z177" s="27" t="s">
        <v>1321</v>
      </c>
      <c r="AA177" s="42">
        <v>-1498082</v>
      </c>
      <c r="AB177" s="42">
        <v>-373960</v>
      </c>
      <c r="AC177" s="27" t="str">
        <f t="shared" si="241"/>
        <v>OK</v>
      </c>
      <c r="AE177" s="27" t="s">
        <v>1077</v>
      </c>
      <c r="AG177" s="24">
        <f t="shared" si="201"/>
        <v>2</v>
      </c>
      <c r="AH177" s="65" t="str">
        <f t="shared" si="242"/>
        <v>OK</v>
      </c>
      <c r="AJ177" s="27" t="str">
        <f t="array" ref="AJ177">IF(C177="","",INDEX(구분표!$I$2:$I$300, MATCH(1,(구분표!$E$2:$E$300='2추일출'!B177)*(구분표!$F$2:$F$300='2추일출'!C177)*(구분표!$G$2:$G$300='2추일출'!A177),0)))</f>
        <v>0705</v>
      </c>
      <c r="AL177" s="27"/>
    </row>
    <row r="178" spans="1:38" ht="60" customHeight="1" x14ac:dyDescent="0.3">
      <c r="A178" s="33" t="str">
        <f>IFERROR(VLOOKUP($C178,구분표!$A$2:$C$300,2,FALSE),"")</f>
        <v>보건복지위원회</v>
      </c>
      <c r="B178" s="24" t="str">
        <f>IFERROR(VLOOKUP($C178,구분표!$A$2:$C$300,3,FALSE),"")</f>
        <v>보건복지국</v>
      </c>
      <c r="C178" s="31" t="s">
        <v>452</v>
      </c>
      <c r="D178" s="35" t="s">
        <v>776</v>
      </c>
      <c r="E178" s="145">
        <v>591</v>
      </c>
      <c r="F178" s="134" t="s">
        <v>873</v>
      </c>
      <c r="G178" s="44">
        <v>1266000</v>
      </c>
      <c r="H178" s="42"/>
      <c r="I178" s="54">
        <f t="shared" si="240"/>
        <v>1266000</v>
      </c>
      <c r="J178" s="42">
        <v>-66000</v>
      </c>
      <c r="K178" s="45"/>
      <c r="L178" s="50">
        <f t="shared" si="243"/>
        <v>1200000</v>
      </c>
      <c r="M178" s="158">
        <v>-66000</v>
      </c>
      <c r="N178" s="159">
        <v>0</v>
      </c>
      <c r="O178" s="160">
        <f t="shared" si="244"/>
        <v>1200000</v>
      </c>
      <c r="P178" s="27" t="str">
        <f t="shared" si="239"/>
        <v>X</v>
      </c>
      <c r="Q178" s="170" t="s">
        <v>897</v>
      </c>
      <c r="S178" s="27" t="s">
        <v>985</v>
      </c>
      <c r="U178" s="27" t="s">
        <v>850</v>
      </c>
      <c r="V178" s="42">
        <v>-33000</v>
      </c>
      <c r="W178" s="42">
        <v>-33000</v>
      </c>
      <c r="X178" s="27" t="str">
        <f t="shared" si="10"/>
        <v>OK</v>
      </c>
      <c r="Z178" s="27" t="s">
        <v>1321</v>
      </c>
      <c r="AA178" s="42">
        <v>-33000</v>
      </c>
      <c r="AB178" s="42">
        <v>-33000</v>
      </c>
      <c r="AC178" s="27" t="str">
        <f t="shared" si="241"/>
        <v>OK</v>
      </c>
      <c r="AE178" s="27" t="s">
        <v>1077</v>
      </c>
      <c r="AG178" s="24">
        <f t="shared" si="201"/>
        <v>2</v>
      </c>
      <c r="AH178" s="65" t="str">
        <f t="shared" si="242"/>
        <v>OK</v>
      </c>
      <c r="AJ178" s="27" t="str">
        <f t="array" ref="AJ178">IF(C178="","",INDEX(구분표!$I$2:$I$300, MATCH(1,(구분표!$E$2:$E$300='2추일출'!B178)*(구분표!$F$2:$F$300='2추일출'!C178)*(구분표!$G$2:$G$300='2추일출'!A178),0)))</f>
        <v>0705</v>
      </c>
      <c r="AL178" s="27"/>
    </row>
    <row r="179" spans="1:38" ht="50.1" customHeight="1" x14ac:dyDescent="0.3">
      <c r="A179" s="33" t="str">
        <f>IFERROR(VLOOKUP($C179,구분표!$A$2:$C$300,2,FALSE),"")</f>
        <v>보건복지위원회</v>
      </c>
      <c r="B179" s="24" t="str">
        <f>IFERROR(VLOOKUP($C179,구분표!$A$2:$C$300,3,FALSE),"")</f>
        <v>보건복지국</v>
      </c>
      <c r="C179" s="31" t="s">
        <v>452</v>
      </c>
      <c r="D179" s="35" t="s">
        <v>779</v>
      </c>
      <c r="E179" s="145"/>
      <c r="F179" s="134" t="s">
        <v>874</v>
      </c>
      <c r="G179" s="44">
        <v>1930000</v>
      </c>
      <c r="H179" s="42">
        <v>1930000</v>
      </c>
      <c r="I179" s="54">
        <f t="shared" si="240"/>
        <v>0</v>
      </c>
      <c r="J179" s="42">
        <v>-1400000</v>
      </c>
      <c r="K179" s="45"/>
      <c r="L179" s="50">
        <f t="shared" si="243"/>
        <v>530000</v>
      </c>
      <c r="M179" s="158">
        <v>-1400000</v>
      </c>
      <c r="N179" s="159">
        <v>0</v>
      </c>
      <c r="O179" s="160">
        <f t="shared" si="244"/>
        <v>530000</v>
      </c>
      <c r="P179" s="27" t="str">
        <f t="shared" si="239"/>
        <v>X</v>
      </c>
      <c r="Q179" s="170" t="s">
        <v>898</v>
      </c>
      <c r="S179" s="27" t="s">
        <v>985</v>
      </c>
      <c r="U179" s="27" t="s">
        <v>1017</v>
      </c>
      <c r="V179" s="42">
        <v>-1400000</v>
      </c>
      <c r="W179" s="42">
        <v>0</v>
      </c>
      <c r="X179" s="27" t="str">
        <f t="shared" si="10"/>
        <v>OK</v>
      </c>
      <c r="Z179" s="27" t="s">
        <v>1320</v>
      </c>
      <c r="AA179" s="42">
        <v>-1400000</v>
      </c>
      <c r="AB179" s="42">
        <v>0</v>
      </c>
      <c r="AC179" s="27" t="str">
        <f t="shared" si="241"/>
        <v>OK</v>
      </c>
      <c r="AE179" s="27" t="s">
        <v>1076</v>
      </c>
      <c r="AG179" s="24">
        <f t="shared" si="201"/>
        <v>2</v>
      </c>
      <c r="AH179" s="65" t="str">
        <f t="shared" si="242"/>
        <v>OK</v>
      </c>
      <c r="AJ179" s="27" t="str">
        <f t="array" ref="AJ179">IF(C179="","",INDEX(구분표!$I$2:$I$300, MATCH(1,(구분표!$E$2:$E$300='2추일출'!B179)*(구분표!$F$2:$F$300='2추일출'!C179)*(구분표!$G$2:$G$300='2추일출'!A179),0)))</f>
        <v>0705</v>
      </c>
      <c r="AL179" s="27"/>
    </row>
    <row r="180" spans="1:38" ht="50.1" customHeight="1" x14ac:dyDescent="0.3">
      <c r="A180" s="33" t="str">
        <f>IFERROR(VLOOKUP($C180,구분표!$A$2:$C$300,2,FALSE),"")</f>
        <v>보건복지위원회</v>
      </c>
      <c r="B180" s="24" t="str">
        <f>IFERROR(VLOOKUP($C180,구분표!$A$2:$C$300,3,FALSE),"")</f>
        <v>보건복지국</v>
      </c>
      <c r="C180" s="31" t="s">
        <v>452</v>
      </c>
      <c r="D180" s="35" t="s">
        <v>779</v>
      </c>
      <c r="E180" s="145"/>
      <c r="F180" s="134" t="s">
        <v>875</v>
      </c>
      <c r="G180" s="44">
        <v>200000</v>
      </c>
      <c r="H180" s="42">
        <v>200000</v>
      </c>
      <c r="I180" s="54">
        <f t="shared" si="5"/>
        <v>0</v>
      </c>
      <c r="J180" s="42">
        <v>-40000</v>
      </c>
      <c r="K180" s="45"/>
      <c r="L180" s="50">
        <f t="shared" si="6"/>
        <v>160000</v>
      </c>
      <c r="M180" s="158">
        <v>-40000</v>
      </c>
      <c r="N180" s="159">
        <v>0</v>
      </c>
      <c r="O180" s="160">
        <f t="shared" si="7"/>
        <v>160000</v>
      </c>
      <c r="P180" s="27" t="str">
        <f t="shared" si="239"/>
        <v>X</v>
      </c>
      <c r="Q180" s="170" t="s">
        <v>898</v>
      </c>
      <c r="S180" s="27" t="s">
        <v>985</v>
      </c>
      <c r="U180" s="27" t="s">
        <v>1017</v>
      </c>
      <c r="V180" s="42">
        <v>-40000</v>
      </c>
      <c r="W180" s="42">
        <v>0</v>
      </c>
      <c r="X180" s="27" t="str">
        <f t="shared" si="10"/>
        <v>OK</v>
      </c>
      <c r="Z180" s="27" t="s">
        <v>1320</v>
      </c>
      <c r="AA180" s="42">
        <v>-40000</v>
      </c>
      <c r="AB180" s="42">
        <v>0</v>
      </c>
      <c r="AC180" s="27" t="str">
        <f t="shared" si="13"/>
        <v>OK</v>
      </c>
      <c r="AE180" s="27" t="s">
        <v>1076</v>
      </c>
      <c r="AG180" s="24">
        <f t="shared" si="201"/>
        <v>2</v>
      </c>
      <c r="AH180" s="65" t="str">
        <f t="shared" si="15"/>
        <v>OK</v>
      </c>
      <c r="AJ180" s="27" t="str">
        <f t="array" ref="AJ180">IF(C180="","",INDEX(구분표!$I$2:$I$300, MATCH(1,(구분표!$E$2:$E$300='2추일출'!B180)*(구분표!$F$2:$F$300='2추일출'!C180)*(구분표!$G$2:$G$300='2추일출'!A180),0)))</f>
        <v>0705</v>
      </c>
      <c r="AL180" s="27"/>
    </row>
    <row r="181" spans="1:38" ht="50.1" customHeight="1" x14ac:dyDescent="0.3">
      <c r="A181" s="33" t="str">
        <f>IFERROR(VLOOKUP($C181,구분표!$A$2:$C$300,2,FALSE),"")</f>
        <v>보건복지위원회</v>
      </c>
      <c r="B181" s="24" t="str">
        <f>IFERROR(VLOOKUP($C181,구분표!$A$2:$C$300,3,FALSE),"")</f>
        <v>보건복지국</v>
      </c>
      <c r="C181" s="31" t="s">
        <v>452</v>
      </c>
      <c r="D181" s="35" t="s">
        <v>776</v>
      </c>
      <c r="E181" s="145">
        <v>594</v>
      </c>
      <c r="F181" s="134" t="s">
        <v>876</v>
      </c>
      <c r="G181" s="44">
        <v>216000</v>
      </c>
      <c r="H181" s="42"/>
      <c r="I181" s="54">
        <f t="shared" si="5"/>
        <v>216000</v>
      </c>
      <c r="J181" s="42">
        <v>-168000</v>
      </c>
      <c r="K181" s="45"/>
      <c r="L181" s="50">
        <f t="shared" si="6"/>
        <v>48000</v>
      </c>
      <c r="M181" s="158">
        <v>-168000</v>
      </c>
      <c r="N181" s="159">
        <v>0</v>
      </c>
      <c r="O181" s="160">
        <f t="shared" si="7"/>
        <v>48000</v>
      </c>
      <c r="P181" s="27" t="str">
        <f t="shared" si="239"/>
        <v>X</v>
      </c>
      <c r="Q181" s="170" t="s">
        <v>899</v>
      </c>
      <c r="S181" s="27" t="s">
        <v>985</v>
      </c>
      <c r="U181" s="27" t="s">
        <v>1017</v>
      </c>
      <c r="V181" s="42">
        <v>-84000</v>
      </c>
      <c r="W181" s="42">
        <v>-84000</v>
      </c>
      <c r="X181" s="27" t="str">
        <f t="shared" si="10"/>
        <v>OK</v>
      </c>
      <c r="Z181" s="27" t="s">
        <v>1322</v>
      </c>
      <c r="AA181" s="42">
        <v>-84000</v>
      </c>
      <c r="AB181" s="42">
        <v>-84000</v>
      </c>
      <c r="AC181" s="27" t="str">
        <f t="shared" si="13"/>
        <v>OK</v>
      </c>
      <c r="AE181" s="27" t="s">
        <v>1075</v>
      </c>
      <c r="AG181" s="24">
        <f t="shared" si="201"/>
        <v>2</v>
      </c>
      <c r="AH181" s="65" t="str">
        <f t="shared" si="15"/>
        <v>OK</v>
      </c>
      <c r="AJ181" s="27" t="str">
        <f t="array" ref="AJ181">IF(C181="","",INDEX(구분표!$I$2:$I$300, MATCH(1,(구분표!$E$2:$E$300='2추일출'!B181)*(구분표!$F$2:$F$300='2추일출'!C181)*(구분표!$G$2:$G$300='2추일출'!A181),0)))</f>
        <v>0705</v>
      </c>
      <c r="AL181" s="27"/>
    </row>
    <row r="182" spans="1:38" ht="50.1" customHeight="1" thickBot="1" x14ac:dyDescent="0.35">
      <c r="A182" s="33" t="str">
        <f>IFERROR(VLOOKUP($C182,구분표!$A$2:$C$300,2,FALSE),"")</f>
        <v>보건복지위원회</v>
      </c>
      <c r="B182" s="24" t="str">
        <f>IFERROR(VLOOKUP($C182,구분표!$A$2:$C$300,3,FALSE),"")</f>
        <v>보건복지국</v>
      </c>
      <c r="C182" s="31" t="s">
        <v>452</v>
      </c>
      <c r="D182" s="35" t="s">
        <v>779</v>
      </c>
      <c r="E182" s="145"/>
      <c r="F182" s="180" t="s">
        <v>877</v>
      </c>
      <c r="G182" s="44">
        <v>230000</v>
      </c>
      <c r="H182" s="42">
        <v>230000</v>
      </c>
      <c r="I182" s="54">
        <f t="shared" si="5"/>
        <v>0</v>
      </c>
      <c r="J182" s="42"/>
      <c r="K182" s="45">
        <v>230000</v>
      </c>
      <c r="L182" s="50">
        <f t="shared" si="6"/>
        <v>460000</v>
      </c>
      <c r="M182" s="158">
        <v>0</v>
      </c>
      <c r="N182" s="159">
        <v>230000</v>
      </c>
      <c r="O182" s="160">
        <f t="shared" si="7"/>
        <v>460000</v>
      </c>
      <c r="P182" s="27" t="str">
        <f t="shared" si="239"/>
        <v>X</v>
      </c>
      <c r="Q182" s="170" t="s">
        <v>900</v>
      </c>
      <c r="S182" s="27" t="s">
        <v>985</v>
      </c>
      <c r="U182" s="27" t="s">
        <v>1017</v>
      </c>
      <c r="V182" s="42">
        <v>161000</v>
      </c>
      <c r="W182" s="42">
        <v>69000</v>
      </c>
      <c r="X182" s="27" t="str">
        <f t="shared" si="10"/>
        <v>OK</v>
      </c>
      <c r="Z182" s="27" t="s">
        <v>1320</v>
      </c>
      <c r="AA182" s="186">
        <v>161000</v>
      </c>
      <c r="AB182" s="186">
        <v>69000</v>
      </c>
      <c r="AC182" s="27" t="str">
        <f t="shared" si="13"/>
        <v>OK</v>
      </c>
      <c r="AE182" s="27" t="s">
        <v>1075</v>
      </c>
      <c r="AG182" s="24">
        <f t="shared" si="201"/>
        <v>2</v>
      </c>
      <c r="AH182" s="65" t="str">
        <f t="shared" si="15"/>
        <v>OK</v>
      </c>
      <c r="AJ182" s="27" t="str">
        <f t="array" ref="AJ182">IF(C182="","",INDEX(구분표!$I$2:$I$300, MATCH(1,(구분표!$E$2:$E$300='2추일출'!B182)*(구분표!$F$2:$F$300='2추일출'!C182)*(구분표!$G$2:$G$300='2추일출'!A182),0)))</f>
        <v>0705</v>
      </c>
      <c r="AL182" s="27"/>
    </row>
    <row r="183" spans="1:38" ht="50.1" customHeight="1" thickTop="1" x14ac:dyDescent="0.3">
      <c r="A183" s="33" t="str">
        <f>IFERROR(VLOOKUP($C183,구분표!$A$2:$C$300,2,FALSE),"")</f>
        <v>보건복지위원회</v>
      </c>
      <c r="B183" s="24" t="str">
        <f>IFERROR(VLOOKUP($C183,구분표!$A$2:$C$300,3,FALSE),"")</f>
        <v>보건복지국</v>
      </c>
      <c r="C183" s="31" t="s">
        <v>455</v>
      </c>
      <c r="D183" s="35" t="s">
        <v>776</v>
      </c>
      <c r="E183" s="145">
        <v>597</v>
      </c>
      <c r="F183" s="194" t="s">
        <v>878</v>
      </c>
      <c r="G183" s="44">
        <v>2625013</v>
      </c>
      <c r="H183" s="42">
        <v>1955447</v>
      </c>
      <c r="I183" s="54">
        <f t="shared" si="5"/>
        <v>669566</v>
      </c>
      <c r="J183" s="42"/>
      <c r="K183" s="45">
        <v>61498</v>
      </c>
      <c r="L183" s="50">
        <f t="shared" si="6"/>
        <v>2686511</v>
      </c>
      <c r="M183" s="158">
        <v>0</v>
      </c>
      <c r="N183" s="159">
        <v>61498</v>
      </c>
      <c r="O183" s="160">
        <f t="shared" si="7"/>
        <v>2686511</v>
      </c>
      <c r="P183" s="27" t="str">
        <f t="shared" si="239"/>
        <v>X</v>
      </c>
      <c r="Q183" s="170" t="s">
        <v>901</v>
      </c>
      <c r="S183" s="27" t="s">
        <v>985</v>
      </c>
      <c r="U183" s="27" t="s">
        <v>1017</v>
      </c>
      <c r="V183" s="42">
        <v>47306</v>
      </c>
      <c r="W183" s="42">
        <v>14192</v>
      </c>
      <c r="X183" s="27" t="str">
        <f t="shared" si="10"/>
        <v>OK</v>
      </c>
      <c r="Z183" s="185" t="s">
        <v>1320</v>
      </c>
      <c r="AA183" s="188">
        <v>47306</v>
      </c>
      <c r="AB183" s="189">
        <v>14192</v>
      </c>
      <c r="AC183" s="65" t="str">
        <f t="shared" si="13"/>
        <v>OK</v>
      </c>
      <c r="AE183" s="27" t="s">
        <v>1073</v>
      </c>
      <c r="AG183" s="24">
        <f t="shared" si="201"/>
        <v>217</v>
      </c>
      <c r="AH183" s="65" t="str">
        <f t="shared" si="15"/>
        <v>OK</v>
      </c>
      <c r="AJ183" s="27" t="str">
        <f t="array" ref="AJ183">IF(C183="","",INDEX(구분표!$I$2:$I$300, MATCH(1,(구분표!$E$2:$E$300='2추일출'!B183)*(구분표!$F$2:$F$300='2추일출'!C183)*(구분표!$G$2:$G$300='2추일출'!A183),0)))</f>
        <v>0706</v>
      </c>
      <c r="AL183" s="27"/>
    </row>
    <row r="184" spans="1:38" ht="50.1" customHeight="1" x14ac:dyDescent="0.3">
      <c r="A184" s="33" t="str">
        <f>IFERROR(VLOOKUP($C184,구분표!$A$2:$C$300,2,FALSE),"")</f>
        <v>보건복지위원회</v>
      </c>
      <c r="B184" s="24" t="str">
        <f>IFERROR(VLOOKUP($C184,구분표!$A$2:$C$300,3,FALSE),"")</f>
        <v>보건복지국</v>
      </c>
      <c r="C184" s="31" t="s">
        <v>455</v>
      </c>
      <c r="D184" s="35" t="s">
        <v>779</v>
      </c>
      <c r="E184" s="145"/>
      <c r="F184" s="195" t="s">
        <v>879</v>
      </c>
      <c r="G184" s="44">
        <v>1431300</v>
      </c>
      <c r="H184" s="42">
        <v>1431300</v>
      </c>
      <c r="I184" s="54">
        <f t="shared" si="5"/>
        <v>0</v>
      </c>
      <c r="J184" s="42">
        <v>-85022</v>
      </c>
      <c r="K184" s="45"/>
      <c r="L184" s="50">
        <f t="shared" si="6"/>
        <v>1346278</v>
      </c>
      <c r="M184" s="158">
        <v>-85022</v>
      </c>
      <c r="N184" s="159">
        <v>0</v>
      </c>
      <c r="O184" s="160">
        <f t="shared" si="7"/>
        <v>1346278</v>
      </c>
      <c r="P184" s="27" t="str">
        <f t="shared" si="239"/>
        <v>X</v>
      </c>
      <c r="Q184" s="170" t="s">
        <v>901</v>
      </c>
      <c r="S184" s="27" t="s">
        <v>985</v>
      </c>
      <c r="U184" s="27" t="s">
        <v>1017</v>
      </c>
      <c r="V184" s="42">
        <v>-65401</v>
      </c>
      <c r="W184" s="42">
        <v>-19621</v>
      </c>
      <c r="X184" s="27" t="str">
        <f t="shared" si="10"/>
        <v>OK</v>
      </c>
      <c r="Z184" s="185" t="s">
        <v>1320</v>
      </c>
      <c r="AA184" s="190">
        <v>-65401</v>
      </c>
      <c r="AB184" s="191">
        <v>-19621</v>
      </c>
      <c r="AC184" s="65" t="str">
        <f t="shared" si="13"/>
        <v>OK</v>
      </c>
      <c r="AE184" s="27" t="s">
        <v>1073</v>
      </c>
      <c r="AG184" s="24">
        <f t="shared" si="201"/>
        <v>217</v>
      </c>
      <c r="AH184" s="65" t="str">
        <f t="shared" si="15"/>
        <v>OK</v>
      </c>
      <c r="AJ184" s="27" t="str">
        <f t="array" ref="AJ184">IF(C184="","",INDEX(구분표!$I$2:$I$300, MATCH(1,(구분표!$E$2:$E$300='2추일출'!B184)*(구분표!$F$2:$F$300='2추일출'!C184)*(구분표!$G$2:$G$300='2추일출'!A184),0)))</f>
        <v>0706</v>
      </c>
      <c r="AL184" s="27"/>
    </row>
    <row r="185" spans="1:38" ht="50.1" customHeight="1" thickBot="1" x14ac:dyDescent="0.35">
      <c r="A185" s="33" t="str">
        <f>IFERROR(VLOOKUP($C185,구분표!$A$2:$C$300,2,FALSE),"")</f>
        <v>보건복지위원회</v>
      </c>
      <c r="B185" s="24" t="str">
        <f>IFERROR(VLOOKUP($C185,구분표!$A$2:$C$300,3,FALSE),"")</f>
        <v>보건복지국</v>
      </c>
      <c r="C185" s="31" t="s">
        <v>455</v>
      </c>
      <c r="D185" s="35" t="s">
        <v>779</v>
      </c>
      <c r="E185" s="145"/>
      <c r="F185" s="196" t="s">
        <v>880</v>
      </c>
      <c r="G185" s="44">
        <v>127166</v>
      </c>
      <c r="H185" s="42">
        <v>127166</v>
      </c>
      <c r="I185" s="54">
        <f t="shared" si="5"/>
        <v>0</v>
      </c>
      <c r="J185" s="42"/>
      <c r="K185" s="45">
        <v>23524</v>
      </c>
      <c r="L185" s="50">
        <f t="shared" si="6"/>
        <v>150690</v>
      </c>
      <c r="M185" s="158">
        <v>0</v>
      </c>
      <c r="N185" s="159">
        <v>23524</v>
      </c>
      <c r="O185" s="160">
        <f t="shared" si="7"/>
        <v>150690</v>
      </c>
      <c r="P185" s="27" t="str">
        <f t="shared" si="239"/>
        <v>X</v>
      </c>
      <c r="Q185" s="170" t="s">
        <v>901</v>
      </c>
      <c r="S185" s="27" t="s">
        <v>985</v>
      </c>
      <c r="U185" s="27" t="s">
        <v>1017</v>
      </c>
      <c r="V185" s="42">
        <v>18095</v>
      </c>
      <c r="W185" s="42">
        <v>5429</v>
      </c>
      <c r="X185" s="27" t="str">
        <f t="shared" si="10"/>
        <v>OK</v>
      </c>
      <c r="Z185" s="185" t="s">
        <v>1320</v>
      </c>
      <c r="AA185" s="192">
        <v>18095</v>
      </c>
      <c r="AB185" s="193">
        <v>5429</v>
      </c>
      <c r="AC185" s="65" t="str">
        <f t="shared" si="13"/>
        <v>OK</v>
      </c>
      <c r="AE185" s="27" t="s">
        <v>1073</v>
      </c>
      <c r="AG185" s="24">
        <f t="shared" si="201"/>
        <v>217</v>
      </c>
      <c r="AH185" s="65" t="str">
        <f t="shared" si="15"/>
        <v>OK</v>
      </c>
      <c r="AJ185" s="27" t="str">
        <f t="array" ref="AJ185">IF(C185="","",INDEX(구분표!$I$2:$I$300, MATCH(1,(구분표!$E$2:$E$300='2추일출'!B185)*(구분표!$F$2:$F$300='2추일출'!C185)*(구분표!$G$2:$G$300='2추일출'!A185),0)))</f>
        <v>0706</v>
      </c>
      <c r="AL185" s="27"/>
    </row>
    <row r="186" spans="1:38" ht="50.1" customHeight="1" thickTop="1" x14ac:dyDescent="0.3">
      <c r="A186" s="33" t="str">
        <f>IFERROR(VLOOKUP($C186,구분표!$A$2:$C$300,2,FALSE),"")</f>
        <v>보건복지위원회</v>
      </c>
      <c r="B186" s="24" t="str">
        <f>IFERROR(VLOOKUP($C186,구분표!$A$2:$C$300,3,FALSE),"")</f>
        <v>보건복지국</v>
      </c>
      <c r="C186" s="31" t="s">
        <v>455</v>
      </c>
      <c r="D186" s="35" t="s">
        <v>776</v>
      </c>
      <c r="E186" s="145">
        <v>599</v>
      </c>
      <c r="F186" s="164" t="s">
        <v>881</v>
      </c>
      <c r="G186" s="44">
        <v>4038721</v>
      </c>
      <c r="H186" s="42">
        <v>3617630</v>
      </c>
      <c r="I186" s="54">
        <f t="shared" si="5"/>
        <v>421091</v>
      </c>
      <c r="J186" s="42"/>
      <c r="K186" s="45">
        <v>57770</v>
      </c>
      <c r="L186" s="50">
        <f t="shared" si="6"/>
        <v>4096491</v>
      </c>
      <c r="M186" s="158">
        <v>0</v>
      </c>
      <c r="N186" s="159">
        <v>57770</v>
      </c>
      <c r="O186" s="160">
        <f t="shared" si="7"/>
        <v>4096491</v>
      </c>
      <c r="P186" s="27" t="str">
        <f t="shared" si="239"/>
        <v>X</v>
      </c>
      <c r="Q186" s="170" t="s">
        <v>821</v>
      </c>
      <c r="S186" s="27" t="s">
        <v>985</v>
      </c>
      <c r="U186" s="27" t="s">
        <v>1017</v>
      </c>
      <c r="V186" s="42">
        <v>44439</v>
      </c>
      <c r="W186" s="42">
        <v>13331</v>
      </c>
      <c r="X186" s="27" t="str">
        <f t="shared" si="10"/>
        <v>OK</v>
      </c>
      <c r="Z186" s="27" t="s">
        <v>1320</v>
      </c>
      <c r="AA186" s="187">
        <v>44439</v>
      </c>
      <c r="AB186" s="187">
        <v>13331</v>
      </c>
      <c r="AC186" s="27" t="str">
        <f t="shared" si="13"/>
        <v>OK</v>
      </c>
      <c r="AE186" s="27" t="s">
        <v>1074</v>
      </c>
      <c r="AG186" s="24">
        <f t="shared" si="201"/>
        <v>1</v>
      </c>
      <c r="AH186" s="65" t="str">
        <f t="shared" si="15"/>
        <v>OK</v>
      </c>
      <c r="AJ186" s="27" t="str">
        <f t="array" ref="AJ186">IF(C186="","",INDEX(구분표!$I$2:$I$300, MATCH(1,(구분표!$E$2:$E$300='2추일출'!B186)*(구분표!$F$2:$F$300='2추일출'!C186)*(구분표!$G$2:$G$300='2추일출'!A186),0)))</f>
        <v>0706</v>
      </c>
      <c r="AL186" s="27"/>
    </row>
    <row r="187" spans="1:38" ht="50.1" customHeight="1" x14ac:dyDescent="0.3">
      <c r="A187" s="33" t="str">
        <f>IFERROR(VLOOKUP($C187,구분표!$A$2:$C$300,2,FALSE),"")</f>
        <v>보건복지위원회</v>
      </c>
      <c r="B187" s="24" t="str">
        <f>IFERROR(VLOOKUP($C187,구분표!$A$2:$C$300,3,FALSE),"")</f>
        <v>보건복지국</v>
      </c>
      <c r="C187" s="31" t="s">
        <v>452</v>
      </c>
      <c r="D187" s="137" t="s">
        <v>771</v>
      </c>
      <c r="E187" s="143" t="s">
        <v>832</v>
      </c>
      <c r="F187" s="138" t="s">
        <v>882</v>
      </c>
      <c r="G187" s="44"/>
      <c r="H187" s="42"/>
      <c r="I187" s="54">
        <f t="shared" si="5"/>
        <v>0</v>
      </c>
      <c r="J187" s="42"/>
      <c r="K187" s="45">
        <v>452000</v>
      </c>
      <c r="L187" s="50">
        <f t="shared" si="6"/>
        <v>452000</v>
      </c>
      <c r="M187" s="42"/>
      <c r="N187" s="159">
        <v>452000</v>
      </c>
      <c r="O187" s="160">
        <f t="shared" si="7"/>
        <v>452000</v>
      </c>
      <c r="P187" s="27" t="str">
        <f t="shared" si="239"/>
        <v>X</v>
      </c>
      <c r="Q187" s="170" t="s">
        <v>902</v>
      </c>
      <c r="S187" s="27" t="s">
        <v>1084</v>
      </c>
      <c r="U187" s="27" t="s">
        <v>1084</v>
      </c>
      <c r="V187" s="42">
        <f t="shared" si="8"/>
        <v>0</v>
      </c>
      <c r="W187" s="42">
        <f t="shared" si="9"/>
        <v>452000</v>
      </c>
      <c r="X187" s="27" t="str">
        <f t="shared" si="10"/>
        <v>OK</v>
      </c>
      <c r="Z187" s="27"/>
      <c r="AA187" s="42">
        <f t="shared" si="11"/>
        <v>0</v>
      </c>
      <c r="AB187" s="42">
        <f t="shared" si="12"/>
        <v>452000</v>
      </c>
      <c r="AC187" s="27" t="str">
        <f t="shared" si="13"/>
        <v>OK</v>
      </c>
      <c r="AE187" s="27" t="str">
        <f t="shared" si="14"/>
        <v>세입없음</v>
      </c>
      <c r="AG187" s="24">
        <f t="shared" si="201"/>
        <v>217</v>
      </c>
      <c r="AH187" s="65" t="str">
        <f t="shared" si="15"/>
        <v>OK</v>
      </c>
      <c r="AJ187" s="27" t="str">
        <f t="array" ref="AJ187">IF(C187="","",INDEX(구분표!$I$2:$I$300, MATCH(1,(구분표!$E$2:$E$300='2추일출'!B187)*(구분표!$F$2:$F$300='2추일출'!C187)*(구분표!$G$2:$G$300='2추일출'!A187),0)))</f>
        <v>0705</v>
      </c>
      <c r="AL187" s="27"/>
    </row>
    <row r="188" spans="1:38" ht="50.1" customHeight="1" x14ac:dyDescent="0.3">
      <c r="A188" s="33" t="str">
        <f>IFERROR(VLOOKUP($C188,구분표!$A$2:$C$300,2,FALSE),"")</f>
        <v>보건복지위원회</v>
      </c>
      <c r="B188" s="24" t="str">
        <f>IFERROR(VLOOKUP($C188,구분표!$A$2:$C$300,3,FALSE),"")</f>
        <v>보건복지국</v>
      </c>
      <c r="C188" s="31" t="s">
        <v>438</v>
      </c>
      <c r="D188" s="137" t="s">
        <v>771</v>
      </c>
      <c r="E188" s="143" t="s">
        <v>832</v>
      </c>
      <c r="F188" s="138" t="s">
        <v>883</v>
      </c>
      <c r="G188" s="44"/>
      <c r="H188" s="42"/>
      <c r="I188" s="54">
        <f t="shared" si="5"/>
        <v>0</v>
      </c>
      <c r="J188" s="42"/>
      <c r="K188" s="45">
        <v>236000</v>
      </c>
      <c r="L188" s="50">
        <f t="shared" si="6"/>
        <v>236000</v>
      </c>
      <c r="M188" s="42"/>
      <c r="N188" s="159">
        <f>736000-250000</f>
        <v>486000</v>
      </c>
      <c r="O188" s="160">
        <f t="shared" si="7"/>
        <v>486000</v>
      </c>
      <c r="P188" s="27" t="str">
        <f t="shared" si="239"/>
        <v>X</v>
      </c>
      <c r="Q188" s="170" t="s">
        <v>1256</v>
      </c>
      <c r="S188" s="27" t="s">
        <v>1084</v>
      </c>
      <c r="U188" s="27" t="s">
        <v>1084</v>
      </c>
      <c r="V188" s="42">
        <f t="shared" si="8"/>
        <v>0</v>
      </c>
      <c r="W188" s="42">
        <f t="shared" si="9"/>
        <v>236000</v>
      </c>
      <c r="X188" s="27" t="str">
        <f t="shared" si="10"/>
        <v>OK</v>
      </c>
      <c r="Z188" s="27"/>
      <c r="AA188" s="42">
        <f t="shared" si="11"/>
        <v>0</v>
      </c>
      <c r="AB188" s="42">
        <f t="shared" si="12"/>
        <v>486000</v>
      </c>
      <c r="AC188" s="27" t="str">
        <f t="shared" si="13"/>
        <v>OK</v>
      </c>
      <c r="AE188" s="27" t="str">
        <f t="shared" si="14"/>
        <v>세입없음</v>
      </c>
      <c r="AG188" s="24">
        <f t="shared" si="201"/>
        <v>217</v>
      </c>
      <c r="AH188" s="65" t="str">
        <f t="shared" si="15"/>
        <v>OK</v>
      </c>
      <c r="AJ188" s="27" t="str">
        <f t="array" ref="AJ188">IF(C188="","",INDEX(구분표!$I$2:$I$300, MATCH(1,(구분표!$E$2:$E$300='2추일출'!B188)*(구분표!$F$2:$F$300='2추일출'!C188)*(구분표!$G$2:$G$300='2추일출'!A188),0)))</f>
        <v>0701</v>
      </c>
      <c r="AL188" s="27"/>
    </row>
    <row r="189" spans="1:38" ht="50.1" customHeight="1" x14ac:dyDescent="0.3">
      <c r="A189" s="33" t="str">
        <f>IFERROR(VLOOKUP($C189,구분표!$A$2:$C$300,2,FALSE),"")</f>
        <v>보건복지위원회</v>
      </c>
      <c r="B189" s="24" t="str">
        <f>IFERROR(VLOOKUP($C189,구분표!$A$2:$C$300,3,FALSE),"")</f>
        <v>보건복지국</v>
      </c>
      <c r="C189" s="31" t="s">
        <v>452</v>
      </c>
      <c r="D189" s="137" t="s">
        <v>771</v>
      </c>
      <c r="E189" s="143" t="s">
        <v>832</v>
      </c>
      <c r="F189" s="138" t="s">
        <v>884</v>
      </c>
      <c r="G189" s="44"/>
      <c r="H189" s="42"/>
      <c r="I189" s="54">
        <f t="shared" si="5"/>
        <v>0</v>
      </c>
      <c r="J189" s="42"/>
      <c r="K189" s="45">
        <v>64680</v>
      </c>
      <c r="L189" s="50">
        <f t="shared" si="6"/>
        <v>64680</v>
      </c>
      <c r="M189" s="42"/>
      <c r="N189" s="159">
        <v>64680</v>
      </c>
      <c r="O189" s="160">
        <f t="shared" si="7"/>
        <v>64680</v>
      </c>
      <c r="P189" s="27" t="str">
        <f t="shared" si="239"/>
        <v>X</v>
      </c>
      <c r="Q189" s="170" t="s">
        <v>903</v>
      </c>
      <c r="S189" s="27" t="s">
        <v>1084</v>
      </c>
      <c r="U189" s="27" t="s">
        <v>1084</v>
      </c>
      <c r="V189" s="42">
        <f t="shared" si="8"/>
        <v>0</v>
      </c>
      <c r="W189" s="42">
        <f t="shared" si="9"/>
        <v>64680</v>
      </c>
      <c r="X189" s="27" t="str">
        <f t="shared" si="10"/>
        <v>OK</v>
      </c>
      <c r="Z189" s="27"/>
      <c r="AA189" s="42">
        <f t="shared" si="11"/>
        <v>0</v>
      </c>
      <c r="AB189" s="42">
        <f t="shared" si="12"/>
        <v>64680</v>
      </c>
      <c r="AC189" s="27" t="str">
        <f t="shared" si="13"/>
        <v>OK</v>
      </c>
      <c r="AE189" s="27" t="str">
        <f t="shared" si="14"/>
        <v>세입없음</v>
      </c>
      <c r="AG189" s="24">
        <f t="shared" si="201"/>
        <v>217</v>
      </c>
      <c r="AH189" s="65" t="str">
        <f t="shared" si="15"/>
        <v>OK</v>
      </c>
      <c r="AJ189" s="27" t="str">
        <f t="array" ref="AJ189">IF(C189="","",INDEX(구분표!$I$2:$I$300, MATCH(1,(구분표!$E$2:$E$300='2추일출'!B189)*(구분표!$F$2:$F$300='2추일출'!C189)*(구분표!$G$2:$G$300='2추일출'!A189),0)))</f>
        <v>0705</v>
      </c>
      <c r="AL189" s="27"/>
    </row>
    <row r="190" spans="1:38" ht="50.1" customHeight="1" x14ac:dyDescent="0.3">
      <c r="A190" s="33" t="str">
        <f>IFERROR(VLOOKUP($C190,구분표!$A$2:$C$300,2,FALSE),"")</f>
        <v>보건복지위원회</v>
      </c>
      <c r="B190" s="24" t="str">
        <f>IFERROR(VLOOKUP($C190,구분표!$A$2:$C$300,3,FALSE),"")</f>
        <v>보건복지국</v>
      </c>
      <c r="C190" s="31" t="s">
        <v>458</v>
      </c>
      <c r="D190" s="137" t="s">
        <v>776</v>
      </c>
      <c r="E190" s="143" t="s">
        <v>832</v>
      </c>
      <c r="F190" s="138" t="s">
        <v>885</v>
      </c>
      <c r="G190" s="44">
        <v>5588333</v>
      </c>
      <c r="H190" s="42">
        <v>6898067</v>
      </c>
      <c r="I190" s="54">
        <f t="shared" si="5"/>
        <v>-1309734</v>
      </c>
      <c r="J190" s="42"/>
      <c r="K190" s="45">
        <v>436000</v>
      </c>
      <c r="L190" s="50">
        <f t="shared" si="6"/>
        <v>6024333</v>
      </c>
      <c r="M190" s="42"/>
      <c r="N190" s="159">
        <v>436000</v>
      </c>
      <c r="O190" s="160">
        <f t="shared" si="7"/>
        <v>6024333</v>
      </c>
      <c r="P190" s="27" t="str">
        <f t="shared" si="239"/>
        <v>X</v>
      </c>
      <c r="Q190" s="170" t="s">
        <v>945</v>
      </c>
      <c r="S190" s="27" t="s">
        <v>1084</v>
      </c>
      <c r="U190" s="27" t="s">
        <v>1084</v>
      </c>
      <c r="V190" s="42">
        <f t="shared" si="8"/>
        <v>0</v>
      </c>
      <c r="W190" s="42">
        <f t="shared" si="9"/>
        <v>436000</v>
      </c>
      <c r="X190" s="27" t="str">
        <f t="shared" si="10"/>
        <v>OK</v>
      </c>
      <c r="Z190" s="27"/>
      <c r="AA190" s="42">
        <f t="shared" si="11"/>
        <v>0</v>
      </c>
      <c r="AB190" s="42">
        <f t="shared" si="12"/>
        <v>436000</v>
      </c>
      <c r="AC190" s="27" t="str">
        <f t="shared" si="13"/>
        <v>OK</v>
      </c>
      <c r="AE190" s="27" t="str">
        <f t="shared" si="14"/>
        <v>세입없음</v>
      </c>
      <c r="AG190" s="24">
        <f t="shared" si="201"/>
        <v>217</v>
      </c>
      <c r="AH190" s="65" t="str">
        <f t="shared" si="15"/>
        <v>OK</v>
      </c>
      <c r="AJ190" s="27" t="str">
        <f t="array" ref="AJ190">IF(C190="","",INDEX(구분표!$I$2:$I$300, MATCH(1,(구분표!$E$2:$E$300='2추일출'!B190)*(구분표!$F$2:$F$300='2추일출'!C190)*(구분표!$G$2:$G$300='2추일출'!A190),0)))</f>
        <v>0707</v>
      </c>
      <c r="AL190" s="27"/>
    </row>
    <row r="191" spans="1:38" ht="50.1" customHeight="1" x14ac:dyDescent="0.3">
      <c r="A191" s="33" t="str">
        <f>IFERROR(VLOOKUP($C191,구분표!$A$2:$C$300,2,FALSE),"")</f>
        <v>보건복지위원회</v>
      </c>
      <c r="B191" s="24" t="str">
        <f>IFERROR(VLOOKUP($C191,구분표!$A$2:$C$300,3,FALSE),"")</f>
        <v>보건복지국</v>
      </c>
      <c r="C191" s="31" t="s">
        <v>449</v>
      </c>
      <c r="D191" s="137" t="s">
        <v>771</v>
      </c>
      <c r="E191" s="143" t="s">
        <v>832</v>
      </c>
      <c r="F191" s="138" t="s">
        <v>886</v>
      </c>
      <c r="G191" s="44"/>
      <c r="H191" s="42"/>
      <c r="I191" s="54">
        <f t="shared" ref="I191" si="245">IF(D191="","",G191-H191)</f>
        <v>0</v>
      </c>
      <c r="J191" s="42"/>
      <c r="K191" s="45">
        <v>60000</v>
      </c>
      <c r="L191" s="50">
        <f t="shared" ref="L191" si="246">IF(G191=0,H191+J191+K191,G191+J191+K191)</f>
        <v>60000</v>
      </c>
      <c r="M191" s="42"/>
      <c r="N191" s="159">
        <v>60000</v>
      </c>
      <c r="O191" s="160">
        <f t="shared" ref="O191" si="247">IF(G191=0,H191+M191+N191,G191+M191+N191)</f>
        <v>60000</v>
      </c>
      <c r="P191" s="27" t="str">
        <f t="shared" si="239"/>
        <v>X</v>
      </c>
      <c r="Q191" s="170" t="s">
        <v>1254</v>
      </c>
      <c r="S191" s="27" t="s">
        <v>1084</v>
      </c>
      <c r="U191" s="27" t="s">
        <v>1084</v>
      </c>
      <c r="V191" s="42">
        <f t="shared" si="8"/>
        <v>0</v>
      </c>
      <c r="W191" s="42">
        <f t="shared" si="9"/>
        <v>60000</v>
      </c>
      <c r="X191" s="27" t="str">
        <f t="shared" si="10"/>
        <v>OK</v>
      </c>
      <c r="Z191" s="27"/>
      <c r="AA191" s="42">
        <f t="shared" si="11"/>
        <v>0</v>
      </c>
      <c r="AB191" s="42">
        <f t="shared" ref="AB191" si="248">IF($U191="도비",SUM(M191:N191),IF($S191="국도비","직접입력",SUM(M191:N191)-AA191))</f>
        <v>60000</v>
      </c>
      <c r="AC191" s="27" t="str">
        <f t="shared" ref="AC191" si="249">IF(SUM(M191:N191)=SUM(AA191:AB191),"OK","검토")</f>
        <v>OK</v>
      </c>
      <c r="AE191" s="27" t="str">
        <f t="shared" ref="AE191" si="250">IF(U191="","",IF(U191="도비","세입없음","직접입력"))</f>
        <v>세입없음</v>
      </c>
      <c r="AG191" s="24">
        <f t="shared" si="201"/>
        <v>217</v>
      </c>
      <c r="AH191" s="65" t="str">
        <f t="shared" ref="AH191" si="251">IF(U191="","",IF(AND(U191="도비",AE191="세입없음"),"OK",IF(AND(U191&lt;&gt;"도비",AE191&lt;&gt;""),"OK","@@")))</f>
        <v>OK</v>
      </c>
      <c r="AJ191" s="27" t="str">
        <f t="array" ref="AJ191">IF(C191="","",INDEX(구분표!$I$2:$I$300, MATCH(1,(구분표!$E$2:$E$300='2추일출'!B191)*(구분표!$F$2:$F$300='2추일출'!C191)*(구분표!$G$2:$G$300='2추일출'!A191),0)))</f>
        <v>0704</v>
      </c>
      <c r="AL191" s="27"/>
    </row>
    <row r="192" spans="1:38" ht="50.1" customHeight="1" x14ac:dyDescent="0.3">
      <c r="A192" s="33" t="str">
        <f>IFERROR(VLOOKUP($C192,구분표!$A$2:$C$300,2,FALSE),"")</f>
        <v>보건복지위원회</v>
      </c>
      <c r="B192" s="24" t="str">
        <f>IFERROR(VLOOKUP($C192,구분표!$A$2:$C$300,3,FALSE),"")</f>
        <v>복지여성실</v>
      </c>
      <c r="C192" s="31" t="s">
        <v>461</v>
      </c>
      <c r="D192" s="137" t="s">
        <v>771</v>
      </c>
      <c r="E192" s="143" t="s">
        <v>832</v>
      </c>
      <c r="F192" s="138" t="s">
        <v>886</v>
      </c>
      <c r="G192" s="44"/>
      <c r="H192" s="42"/>
      <c r="I192" s="54">
        <f t="shared" si="5"/>
        <v>0</v>
      </c>
      <c r="J192" s="42"/>
      <c r="K192" s="45">
        <v>60000</v>
      </c>
      <c r="L192" s="50">
        <f t="shared" si="6"/>
        <v>60000</v>
      </c>
      <c r="M192" s="42"/>
      <c r="N192" s="159">
        <v>60000</v>
      </c>
      <c r="O192" s="160">
        <f t="shared" si="7"/>
        <v>60000</v>
      </c>
      <c r="P192" s="27" t="str">
        <f t="shared" si="239"/>
        <v>X</v>
      </c>
      <c r="Q192" s="170" t="s">
        <v>1254</v>
      </c>
      <c r="S192" s="27" t="s">
        <v>1084</v>
      </c>
      <c r="U192" s="27" t="s">
        <v>1084</v>
      </c>
      <c r="V192" s="42">
        <f t="shared" si="8"/>
        <v>0</v>
      </c>
      <c r="W192" s="42">
        <f t="shared" si="9"/>
        <v>60000</v>
      </c>
      <c r="X192" s="27" t="str">
        <f t="shared" si="10"/>
        <v>OK</v>
      </c>
      <c r="Z192" s="27"/>
      <c r="AA192" s="42">
        <f t="shared" si="11"/>
        <v>0</v>
      </c>
      <c r="AB192" s="42">
        <f t="shared" si="12"/>
        <v>60000</v>
      </c>
      <c r="AC192" s="27" t="str">
        <f t="shared" si="13"/>
        <v>OK</v>
      </c>
      <c r="AE192" s="27" t="str">
        <f t="shared" si="14"/>
        <v>세입없음</v>
      </c>
      <c r="AG192" s="24">
        <f t="shared" si="201"/>
        <v>217</v>
      </c>
      <c r="AH192" s="65" t="str">
        <f t="shared" si="15"/>
        <v>OK</v>
      </c>
      <c r="AJ192" s="27" t="str">
        <f t="array" ref="AJ192">IF(C192="","",INDEX(구분표!$I$2:$I$300, MATCH(1,(구분표!$E$2:$E$300='2추일출'!B192)*(구분표!$F$2:$F$300='2추일출'!C192)*(구분표!$G$2:$G$300='2추일출'!A192),0)))</f>
        <v>0708</v>
      </c>
      <c r="AL192" s="27"/>
    </row>
    <row r="193" spans="1:38" ht="50.1" customHeight="1" x14ac:dyDescent="0.3">
      <c r="A193" s="33" t="str">
        <f>IFERROR(VLOOKUP($C193,구분표!$A$2:$C$300,2,FALSE),"")</f>
        <v>보건복지위원회</v>
      </c>
      <c r="B193" s="24" t="str">
        <f>IFERROR(VLOOKUP($C193,구분표!$A$2:$C$300,3,FALSE),"")</f>
        <v>보건복지국</v>
      </c>
      <c r="C193" s="31" t="s">
        <v>449</v>
      </c>
      <c r="D193" s="137" t="s">
        <v>771</v>
      </c>
      <c r="E193" s="143" t="s">
        <v>832</v>
      </c>
      <c r="F193" s="138" t="s">
        <v>887</v>
      </c>
      <c r="G193" s="44"/>
      <c r="H193" s="42"/>
      <c r="I193" s="54">
        <f t="shared" si="5"/>
        <v>0</v>
      </c>
      <c r="J193" s="42"/>
      <c r="K193" s="45">
        <v>250000</v>
      </c>
      <c r="L193" s="50">
        <f t="shared" si="6"/>
        <v>250000</v>
      </c>
      <c r="M193" s="42"/>
      <c r="N193" s="159">
        <v>250000</v>
      </c>
      <c r="O193" s="160">
        <f t="shared" si="7"/>
        <v>250000</v>
      </c>
      <c r="P193" s="27" t="str">
        <f t="shared" si="239"/>
        <v>X</v>
      </c>
      <c r="Q193" s="218"/>
      <c r="S193" s="27" t="s">
        <v>1084</v>
      </c>
      <c r="U193" s="27" t="s">
        <v>1084</v>
      </c>
      <c r="V193" s="42">
        <f t="shared" si="8"/>
        <v>0</v>
      </c>
      <c r="W193" s="42">
        <f t="shared" si="9"/>
        <v>250000</v>
      </c>
      <c r="X193" s="27" t="str">
        <f t="shared" si="10"/>
        <v>OK</v>
      </c>
      <c r="Z193" s="27"/>
      <c r="AA193" s="42">
        <f t="shared" si="11"/>
        <v>0</v>
      </c>
      <c r="AB193" s="42">
        <f t="shared" si="12"/>
        <v>250000</v>
      </c>
      <c r="AC193" s="27" t="str">
        <f t="shared" si="13"/>
        <v>OK</v>
      </c>
      <c r="AE193" s="27" t="str">
        <f t="shared" si="14"/>
        <v>세입없음</v>
      </c>
      <c r="AG193" s="24">
        <f t="shared" si="201"/>
        <v>217</v>
      </c>
      <c r="AH193" s="65" t="str">
        <f t="shared" si="15"/>
        <v>OK</v>
      </c>
      <c r="AJ193" s="27" t="str">
        <f t="array" ref="AJ193">IF(C193="","",INDEX(구분표!$I$2:$I$300, MATCH(1,(구분표!$E$2:$E$300='2추일출'!B193)*(구분표!$F$2:$F$300='2추일출'!C193)*(구분표!$G$2:$G$300='2추일출'!A193),0)))</f>
        <v>0704</v>
      </c>
      <c r="AL193" s="27"/>
    </row>
    <row r="194" spans="1:38" ht="50.1" customHeight="1" thickBot="1" x14ac:dyDescent="0.35">
      <c r="A194" s="33" t="str">
        <f>IFERROR(VLOOKUP($C194,구분표!$A$2:$C$300,2,FALSE),"")</f>
        <v>보건복지위원회</v>
      </c>
      <c r="B194" s="24" t="str">
        <f>IFERROR(VLOOKUP($C194,구분표!$A$2:$C$300,3,FALSE),"")</f>
        <v>복지여성실</v>
      </c>
      <c r="C194" s="31" t="s">
        <v>461</v>
      </c>
      <c r="D194" s="137" t="s">
        <v>771</v>
      </c>
      <c r="E194" s="143" t="s">
        <v>832</v>
      </c>
      <c r="F194" s="172" t="s">
        <v>1250</v>
      </c>
      <c r="G194" s="44"/>
      <c r="H194" s="42"/>
      <c r="I194" s="54">
        <f t="shared" ref="I194:I201" si="252">IF(D194="","",G194-H194)</f>
        <v>0</v>
      </c>
      <c r="J194" s="42"/>
      <c r="K194" s="45">
        <v>300000</v>
      </c>
      <c r="L194" s="50">
        <f t="shared" ref="L194:L201" si="253">IF(G194=0,H194+J194+K194,G194+J194+K194)</f>
        <v>300000</v>
      </c>
      <c r="M194" s="42"/>
      <c r="N194" s="159">
        <v>300000</v>
      </c>
      <c r="O194" s="160">
        <f t="shared" ref="O194:O201" si="254">IF(G194=0,H194+M194+N194,G194+M194+N194)</f>
        <v>300000</v>
      </c>
      <c r="P194" s="27" t="str">
        <f t="shared" si="239"/>
        <v>X</v>
      </c>
      <c r="Q194" s="170" t="s">
        <v>904</v>
      </c>
      <c r="S194" s="27" t="s">
        <v>1084</v>
      </c>
      <c r="U194" s="27" t="s">
        <v>1084</v>
      </c>
      <c r="V194" s="42">
        <f t="shared" si="8"/>
        <v>0</v>
      </c>
      <c r="W194" s="42">
        <f t="shared" si="9"/>
        <v>300000</v>
      </c>
      <c r="X194" s="27" t="str">
        <f t="shared" si="10"/>
        <v>OK</v>
      </c>
      <c r="Z194" s="27"/>
      <c r="AA194" s="42">
        <f t="shared" si="11"/>
        <v>0</v>
      </c>
      <c r="AB194" s="42">
        <f t="shared" ref="AB194:AB201" si="255">IF($U194="도비",SUM(M194:N194),IF($S194="국도비","직접입력",SUM(M194:N194)-AA194))</f>
        <v>300000</v>
      </c>
      <c r="AC194" s="27" t="str">
        <f t="shared" ref="AC194:AC201" si="256">IF(SUM(M194:N194)=SUM(AA194:AB194),"OK","검토")</f>
        <v>OK</v>
      </c>
      <c r="AE194" s="27" t="str">
        <f t="shared" ref="AE194:AE201" si="257">IF(U194="","",IF(U194="도비","세입없음","직접입력"))</f>
        <v>세입없음</v>
      </c>
      <c r="AG194" s="24">
        <f t="shared" si="201"/>
        <v>217</v>
      </c>
      <c r="AH194" s="65" t="str">
        <f t="shared" ref="AH194:AH201" si="258">IF(U194="","",IF(AND(U194="도비",AE194="세입없음"),"OK",IF(AND(U194&lt;&gt;"도비",AE194&lt;&gt;""),"OK","@@")))</f>
        <v>OK</v>
      </c>
      <c r="AJ194" s="27" t="str">
        <f t="array" ref="AJ194">IF(C194="","",INDEX(구분표!$I$2:$I$300, MATCH(1,(구분표!$E$2:$E$300='2추일출'!B194)*(구분표!$F$2:$F$300='2추일출'!C194)*(구분표!$G$2:$G$300='2추일출'!A194),0)))</f>
        <v>0708</v>
      </c>
      <c r="AL194" s="27"/>
    </row>
    <row r="195" spans="1:38" ht="50.1" customHeight="1" x14ac:dyDescent="0.3">
      <c r="A195" s="33" t="str">
        <f>IFERROR(VLOOKUP($C195,구분표!$A$2:$C$300,2,FALSE),"")</f>
        <v>보건복지위원회</v>
      </c>
      <c r="B195" s="24" t="str">
        <f>IFERROR(VLOOKUP($C195,구분표!$A$2:$C$300,3,FALSE),"")</f>
        <v>보건복지국</v>
      </c>
      <c r="C195" s="31" t="s">
        <v>449</v>
      </c>
      <c r="D195" s="137" t="s">
        <v>779</v>
      </c>
      <c r="E195" s="143" t="s">
        <v>832</v>
      </c>
      <c r="F195" s="204" t="s">
        <v>888</v>
      </c>
      <c r="G195" s="44">
        <v>247683</v>
      </c>
      <c r="H195" s="42">
        <v>247683</v>
      </c>
      <c r="I195" s="54">
        <f t="shared" si="252"/>
        <v>0</v>
      </c>
      <c r="J195" s="42"/>
      <c r="K195" s="45">
        <v>116000</v>
      </c>
      <c r="L195" s="50">
        <f t="shared" si="253"/>
        <v>363683</v>
      </c>
      <c r="M195" s="42"/>
      <c r="N195" s="159">
        <v>116000</v>
      </c>
      <c r="O195" s="160">
        <f t="shared" si="254"/>
        <v>363683</v>
      </c>
      <c r="P195" s="27" t="str">
        <f t="shared" si="239"/>
        <v>X</v>
      </c>
      <c r="Q195" s="170" t="s">
        <v>905</v>
      </c>
      <c r="S195" s="27" t="s">
        <v>1084</v>
      </c>
      <c r="U195" s="27" t="s">
        <v>1084</v>
      </c>
      <c r="V195" s="42">
        <f t="shared" si="8"/>
        <v>0</v>
      </c>
      <c r="W195" s="42">
        <f t="shared" si="9"/>
        <v>116000</v>
      </c>
      <c r="X195" s="27" t="str">
        <f t="shared" si="10"/>
        <v>OK</v>
      </c>
      <c r="Z195" s="27"/>
      <c r="AA195" s="42">
        <f t="shared" si="11"/>
        <v>0</v>
      </c>
      <c r="AB195" s="42">
        <f t="shared" si="255"/>
        <v>116000</v>
      </c>
      <c r="AC195" s="27" t="str">
        <f t="shared" si="256"/>
        <v>OK</v>
      </c>
      <c r="AE195" s="27" t="str">
        <f t="shared" si="257"/>
        <v>세입없음</v>
      </c>
      <c r="AG195" s="24">
        <f t="shared" si="201"/>
        <v>217</v>
      </c>
      <c r="AH195" s="65" t="str">
        <f t="shared" si="258"/>
        <v>OK</v>
      </c>
      <c r="AJ195" s="27" t="str">
        <f t="array" ref="AJ195">IF(C195="","",INDEX(구분표!$I$2:$I$300, MATCH(1,(구분표!$E$2:$E$300='2추일출'!B195)*(구분표!$F$2:$F$300='2추일출'!C195)*(구분표!$G$2:$G$300='2추일출'!A195),0)))</f>
        <v>0704</v>
      </c>
      <c r="AL195" s="27"/>
    </row>
    <row r="196" spans="1:38" ht="50.1" customHeight="1" thickBot="1" x14ac:dyDescent="0.35">
      <c r="A196" s="33" t="str">
        <f>IFERROR(VLOOKUP($C196,구분표!$A$2:$C$300,2,FALSE),"")</f>
        <v>보건복지위원회</v>
      </c>
      <c r="B196" s="24" t="str">
        <f>IFERROR(VLOOKUP($C196,구분표!$A$2:$C$300,3,FALSE),"")</f>
        <v>보건복지국</v>
      </c>
      <c r="C196" s="31" t="s">
        <v>449</v>
      </c>
      <c r="D196" s="137" t="s">
        <v>1198</v>
      </c>
      <c r="E196" s="143" t="s">
        <v>1196</v>
      </c>
      <c r="F196" s="205" t="s">
        <v>1265</v>
      </c>
      <c r="G196" s="44"/>
      <c r="H196" s="42"/>
      <c r="I196" s="54">
        <f t="shared" ref="I196" si="259">IF(D196="","",G196-H196)</f>
        <v>0</v>
      </c>
      <c r="J196" s="42"/>
      <c r="K196" s="45">
        <v>297000</v>
      </c>
      <c r="L196" s="50">
        <f t="shared" ref="L196" si="260">IF(G196=0,H196+J196+K196,G196+J196+K196)</f>
        <v>297000</v>
      </c>
      <c r="M196" s="42"/>
      <c r="N196" s="182">
        <v>297000</v>
      </c>
      <c r="O196" s="160">
        <f t="shared" ref="O196" si="261">IF(G196=0,H196+M196+N196,G196+M196+N196)</f>
        <v>297000</v>
      </c>
      <c r="P196" s="27" t="str">
        <f t="shared" si="239"/>
        <v>X</v>
      </c>
      <c r="Q196" s="170"/>
      <c r="S196" s="27" t="s">
        <v>1215</v>
      </c>
      <c r="U196" s="27" t="s">
        <v>1215</v>
      </c>
      <c r="V196" s="42">
        <f>IF($U196&lt;&gt;"도비",IF($S196="국도비","직접입력",SUM($J196:$K196)),)</f>
        <v>0</v>
      </c>
      <c r="W196" s="42">
        <f>IF($U196="도비",SUM($J196:$K196),IF($S196="국도비","직접입력",SUM($J196:$K196)-$V196))</f>
        <v>297000</v>
      </c>
      <c r="X196" s="27" t="str">
        <f>IF(SUM($J196:$K196)=SUM($V196:$W196),"OK","검토")</f>
        <v>OK</v>
      </c>
      <c r="Z196" s="27"/>
      <c r="AA196" s="42">
        <f>IF($U196&lt;&gt;"도비",IF($S196="국도비","직접입력",SUM($M196:$N196)),)</f>
        <v>0</v>
      </c>
      <c r="AB196" s="42">
        <f>IF($U196="도비",SUM(M196:N196),IF($S196="국도비","직접입력",SUM(M196:N196)-AA196))</f>
        <v>297000</v>
      </c>
      <c r="AC196" s="27" t="str">
        <f t="shared" ref="AC196" si="262">IF(SUM(M196:N196)=SUM(AA196:AB196),"OK","검토")</f>
        <v>OK</v>
      </c>
      <c r="AE196" s="27" t="str">
        <f t="shared" ref="AE196" si="263">IF(U196="","",IF(U196="도비","세입없음","직접입력"))</f>
        <v>세입없음</v>
      </c>
      <c r="AG196" s="24">
        <f t="shared" si="201"/>
        <v>217</v>
      </c>
      <c r="AH196" s="65" t="str">
        <f t="shared" ref="AH196" si="264">IF(U196="","",IF(AND(U196="도비",AE196="세입없음"),"OK",IF(AND(U196&lt;&gt;"도비",AE196&lt;&gt;""),"OK","@@")))</f>
        <v>OK</v>
      </c>
      <c r="AJ196" s="27" t="str">
        <f t="array" ref="AJ196">IF(C196="","",INDEX(구분표!$I$2:$I$300, MATCH(1,(구분표!$E$2:$E$300='2추일출'!B196)*(구분표!$F$2:$F$300='2추일출'!C196)*(구분표!$G$2:$G$300='2추일출'!A196),0)))</f>
        <v>0704</v>
      </c>
      <c r="AL196" s="27"/>
    </row>
    <row r="197" spans="1:38" ht="50.1" customHeight="1" x14ac:dyDescent="0.3">
      <c r="A197" s="33" t="str">
        <f>IFERROR(VLOOKUP($C197,구분표!$A$2:$C$300,2,FALSE),"")</f>
        <v>보건복지위원회</v>
      </c>
      <c r="B197" s="24" t="str">
        <f>IFERROR(VLOOKUP($C197,구분표!$A$2:$C$300,3,FALSE),"")</f>
        <v>보건복지국</v>
      </c>
      <c r="C197" s="31" t="s">
        <v>438</v>
      </c>
      <c r="D197" s="35" t="s">
        <v>776</v>
      </c>
      <c r="E197" s="145">
        <v>575</v>
      </c>
      <c r="F197" s="164" t="s">
        <v>889</v>
      </c>
      <c r="G197" s="44">
        <v>30000</v>
      </c>
      <c r="H197" s="42"/>
      <c r="I197" s="54">
        <f t="shared" si="252"/>
        <v>30000</v>
      </c>
      <c r="J197" s="42">
        <v>-30000</v>
      </c>
      <c r="K197" s="45"/>
      <c r="L197" s="50">
        <f t="shared" si="253"/>
        <v>0</v>
      </c>
      <c r="M197" s="158">
        <v>-30000</v>
      </c>
      <c r="N197" s="159">
        <v>0</v>
      </c>
      <c r="O197" s="160">
        <f t="shared" si="254"/>
        <v>0</v>
      </c>
      <c r="P197" s="27" t="str">
        <f t="shared" si="239"/>
        <v>X</v>
      </c>
      <c r="Q197" s="170" t="s">
        <v>906</v>
      </c>
      <c r="S197" s="27" t="s">
        <v>1084</v>
      </c>
      <c r="U197" s="27" t="s">
        <v>1084</v>
      </c>
      <c r="V197" s="42">
        <f t="shared" si="8"/>
        <v>0</v>
      </c>
      <c r="W197" s="42">
        <f t="shared" si="9"/>
        <v>-30000</v>
      </c>
      <c r="X197" s="27" t="str">
        <f t="shared" si="10"/>
        <v>OK</v>
      </c>
      <c r="Z197" s="27"/>
      <c r="AA197" s="42">
        <f t="shared" si="11"/>
        <v>0</v>
      </c>
      <c r="AB197" s="42">
        <f t="shared" si="255"/>
        <v>-30000</v>
      </c>
      <c r="AC197" s="27" t="str">
        <f t="shared" si="256"/>
        <v>OK</v>
      </c>
      <c r="AE197" s="27" t="str">
        <f t="shared" si="257"/>
        <v>세입없음</v>
      </c>
      <c r="AG197" s="24">
        <f t="shared" si="201"/>
        <v>217</v>
      </c>
      <c r="AH197" s="65" t="str">
        <f t="shared" si="258"/>
        <v>OK</v>
      </c>
      <c r="AJ197" s="27" t="str">
        <f t="array" ref="AJ197">IF(C197="","",INDEX(구분표!$I$2:$I$300, MATCH(1,(구분표!$E$2:$E$300='2추일출'!B197)*(구분표!$F$2:$F$300='2추일출'!C197)*(구분표!$G$2:$G$300='2추일출'!A197),0)))</f>
        <v>0701</v>
      </c>
      <c r="AL197" s="27"/>
    </row>
    <row r="198" spans="1:38" ht="50.1" customHeight="1" x14ac:dyDescent="0.3">
      <c r="A198" s="33" t="str">
        <f>IFERROR(VLOOKUP($C198,구분표!$A$2:$C$300,2,FALSE),"")</f>
        <v>보건복지위원회</v>
      </c>
      <c r="B198" s="24" t="str">
        <f>IFERROR(VLOOKUP($C198,구분표!$A$2:$C$300,3,FALSE),"")</f>
        <v>보건복지국</v>
      </c>
      <c r="C198" s="31" t="s">
        <v>438</v>
      </c>
      <c r="D198" s="35" t="s">
        <v>776</v>
      </c>
      <c r="E198" s="145">
        <v>573</v>
      </c>
      <c r="F198" s="134" t="s">
        <v>890</v>
      </c>
      <c r="G198" s="44"/>
      <c r="H198" s="42"/>
      <c r="I198" s="54">
        <f t="shared" si="252"/>
        <v>0</v>
      </c>
      <c r="J198" s="42"/>
      <c r="K198" s="45">
        <v>30000</v>
      </c>
      <c r="L198" s="50">
        <f t="shared" si="253"/>
        <v>30000</v>
      </c>
      <c r="M198" s="158">
        <v>0</v>
      </c>
      <c r="N198" s="159">
        <v>30000</v>
      </c>
      <c r="O198" s="160">
        <f t="shared" si="254"/>
        <v>30000</v>
      </c>
      <c r="P198" s="27" t="str">
        <f t="shared" si="239"/>
        <v>X</v>
      </c>
      <c r="Q198" s="170" t="s">
        <v>906</v>
      </c>
      <c r="S198" s="27" t="s">
        <v>1084</v>
      </c>
      <c r="U198" s="27" t="s">
        <v>1084</v>
      </c>
      <c r="V198" s="42">
        <f t="shared" si="8"/>
        <v>0</v>
      </c>
      <c r="W198" s="42">
        <f t="shared" si="9"/>
        <v>30000</v>
      </c>
      <c r="X198" s="27" t="str">
        <f t="shared" si="10"/>
        <v>OK</v>
      </c>
      <c r="Z198" s="27"/>
      <c r="AA198" s="42">
        <f t="shared" si="11"/>
        <v>0</v>
      </c>
      <c r="AB198" s="42">
        <f t="shared" si="255"/>
        <v>30000</v>
      </c>
      <c r="AC198" s="27" t="str">
        <f t="shared" si="256"/>
        <v>OK</v>
      </c>
      <c r="AE198" s="27" t="str">
        <f t="shared" si="257"/>
        <v>세입없음</v>
      </c>
      <c r="AG198" s="24">
        <f t="shared" si="201"/>
        <v>217</v>
      </c>
      <c r="AH198" s="65" t="str">
        <f t="shared" si="258"/>
        <v>OK</v>
      </c>
      <c r="AJ198" s="27" t="str">
        <f t="array" ref="AJ198">IF(C198="","",INDEX(구분표!$I$2:$I$300, MATCH(1,(구분표!$E$2:$E$300='2추일출'!B198)*(구분표!$F$2:$F$300='2추일출'!C198)*(구분표!$G$2:$G$300='2추일출'!A198),0)))</f>
        <v>0701</v>
      </c>
      <c r="AL198" s="27"/>
    </row>
    <row r="199" spans="1:38" ht="50.1" customHeight="1" x14ac:dyDescent="0.3">
      <c r="A199" s="33" t="str">
        <f>IFERROR(VLOOKUP($C199,구분표!$A$2:$C$300,2,FALSE),"")</f>
        <v>보건복지위원회</v>
      </c>
      <c r="B199" s="24" t="str">
        <f>IFERROR(VLOOKUP($C199,구분표!$A$2:$C$300,3,FALSE),"")</f>
        <v>보건복지국</v>
      </c>
      <c r="C199" s="31" t="s">
        <v>452</v>
      </c>
      <c r="D199" s="139" t="s">
        <v>776</v>
      </c>
      <c r="E199" s="144">
        <v>594</v>
      </c>
      <c r="F199" s="140" t="s">
        <v>891</v>
      </c>
      <c r="G199" s="44">
        <v>11000000</v>
      </c>
      <c r="H199" s="42">
        <v>2000000</v>
      </c>
      <c r="I199" s="54">
        <f t="shared" si="252"/>
        <v>9000000</v>
      </c>
      <c r="J199" s="42">
        <v>-9000000</v>
      </c>
      <c r="K199" s="45"/>
      <c r="L199" s="50">
        <f t="shared" si="253"/>
        <v>2000000</v>
      </c>
      <c r="M199" s="158">
        <v>-1000000</v>
      </c>
      <c r="N199" s="159">
        <v>0</v>
      </c>
      <c r="O199" s="160">
        <f t="shared" si="254"/>
        <v>10000000</v>
      </c>
      <c r="P199" s="27" t="str">
        <f t="shared" si="239"/>
        <v>O</v>
      </c>
      <c r="Q199" s="218"/>
      <c r="S199" s="27" t="s">
        <v>1084</v>
      </c>
      <c r="U199" s="27" t="s">
        <v>1084</v>
      </c>
      <c r="V199" s="42">
        <f t="shared" si="8"/>
        <v>0</v>
      </c>
      <c r="W199" s="42">
        <f t="shared" si="9"/>
        <v>-9000000</v>
      </c>
      <c r="X199" s="27" t="str">
        <f t="shared" si="10"/>
        <v>OK</v>
      </c>
      <c r="Z199" s="27"/>
      <c r="AA199" s="42">
        <f t="shared" si="11"/>
        <v>0</v>
      </c>
      <c r="AB199" s="42">
        <f t="shared" si="255"/>
        <v>-1000000</v>
      </c>
      <c r="AC199" s="27" t="str">
        <f t="shared" si="256"/>
        <v>OK</v>
      </c>
      <c r="AE199" s="27" t="str">
        <f t="shared" si="257"/>
        <v>세입없음</v>
      </c>
      <c r="AG199" s="24">
        <f t="shared" ref="AG199:AG263" si="265">IF(AE199="","",COUNTIF($AE$7:$AE$294,AE199))</f>
        <v>217</v>
      </c>
      <c r="AH199" s="65" t="str">
        <f t="shared" si="258"/>
        <v>OK</v>
      </c>
      <c r="AJ199" s="27" t="str">
        <f t="array" ref="AJ199">IF(C199="","",INDEX(구분표!$I$2:$I$300, MATCH(1,(구분표!$E$2:$E$300='2추일출'!B199)*(구분표!$F$2:$F$300='2추일출'!C199)*(구분표!$G$2:$G$300='2추일출'!A199),0)))</f>
        <v>0705</v>
      </c>
      <c r="AL199" s="27"/>
    </row>
    <row r="200" spans="1:38" ht="50.1" customHeight="1" x14ac:dyDescent="0.3">
      <c r="A200" s="33" t="str">
        <f>IFERROR(VLOOKUP($C200,구분표!$A$2:$C$300,2,FALSE),"")</f>
        <v>보건복지위원회</v>
      </c>
      <c r="B200" s="24" t="str">
        <f>IFERROR(VLOOKUP($C200,구분표!$A$2:$C$300,3,FALSE),"")</f>
        <v>보건복지국</v>
      </c>
      <c r="C200" s="31" t="s">
        <v>438</v>
      </c>
      <c r="D200" s="35" t="s">
        <v>776</v>
      </c>
      <c r="E200" s="145">
        <v>573</v>
      </c>
      <c r="F200" s="134" t="s">
        <v>892</v>
      </c>
      <c r="G200" s="44">
        <v>50000</v>
      </c>
      <c r="H200" s="42"/>
      <c r="I200" s="54">
        <f t="shared" si="252"/>
        <v>50000</v>
      </c>
      <c r="J200" s="42">
        <v>-50000</v>
      </c>
      <c r="K200" s="45"/>
      <c r="L200" s="50">
        <f t="shared" si="253"/>
        <v>0</v>
      </c>
      <c r="M200" s="158">
        <v>-50000</v>
      </c>
      <c r="N200" s="159">
        <v>0</v>
      </c>
      <c r="O200" s="160">
        <f t="shared" si="254"/>
        <v>0</v>
      </c>
      <c r="P200" s="27" t="str">
        <f t="shared" si="239"/>
        <v>X</v>
      </c>
      <c r="Q200" s="170"/>
      <c r="S200" s="27" t="s">
        <v>1084</v>
      </c>
      <c r="U200" s="27" t="s">
        <v>1084</v>
      </c>
      <c r="V200" s="42">
        <f t="shared" si="8"/>
        <v>0</v>
      </c>
      <c r="W200" s="42">
        <f t="shared" si="9"/>
        <v>-50000</v>
      </c>
      <c r="X200" s="27" t="str">
        <f t="shared" si="10"/>
        <v>OK</v>
      </c>
      <c r="Z200" s="27"/>
      <c r="AA200" s="42">
        <f t="shared" si="11"/>
        <v>0</v>
      </c>
      <c r="AB200" s="42">
        <f t="shared" si="255"/>
        <v>-50000</v>
      </c>
      <c r="AC200" s="27" t="str">
        <f t="shared" si="256"/>
        <v>OK</v>
      </c>
      <c r="AE200" s="27" t="str">
        <f t="shared" si="257"/>
        <v>세입없음</v>
      </c>
      <c r="AG200" s="24">
        <f t="shared" si="265"/>
        <v>217</v>
      </c>
      <c r="AH200" s="65" t="str">
        <f t="shared" si="258"/>
        <v>OK</v>
      </c>
      <c r="AJ200" s="27" t="str">
        <f t="array" ref="AJ200">IF(C200="","",INDEX(구분표!$I$2:$I$300, MATCH(1,(구분표!$E$2:$E$300='2추일출'!B200)*(구분표!$F$2:$F$300='2추일출'!C200)*(구분표!$G$2:$G$300='2추일출'!A200),0)))</f>
        <v>0701</v>
      </c>
      <c r="AL200" s="27"/>
    </row>
    <row r="201" spans="1:38" ht="50.1" customHeight="1" x14ac:dyDescent="0.3">
      <c r="A201" s="33" t="str">
        <f>IFERROR(VLOOKUP($C201,구분표!$A$2:$C$300,2,FALSE),"")</f>
        <v>보건복지위원회</v>
      </c>
      <c r="B201" s="24" t="str">
        <f>IFERROR(VLOOKUP($C201,구분표!$A$2:$C$300,3,FALSE),"")</f>
        <v>보건복지국</v>
      </c>
      <c r="C201" s="31" t="s">
        <v>438</v>
      </c>
      <c r="D201" s="35" t="s">
        <v>776</v>
      </c>
      <c r="E201" s="145">
        <v>573</v>
      </c>
      <c r="F201" s="134" t="s">
        <v>893</v>
      </c>
      <c r="G201" s="44">
        <v>15000</v>
      </c>
      <c r="H201" s="42"/>
      <c r="I201" s="54">
        <f t="shared" si="252"/>
        <v>15000</v>
      </c>
      <c r="J201" s="42">
        <v>-15000</v>
      </c>
      <c r="K201" s="45"/>
      <c r="L201" s="50">
        <f t="shared" si="253"/>
        <v>0</v>
      </c>
      <c r="M201" s="158">
        <v>-15000</v>
      </c>
      <c r="N201" s="159">
        <v>0</v>
      </c>
      <c r="O201" s="160">
        <f t="shared" si="254"/>
        <v>0</v>
      </c>
      <c r="P201" s="27" t="str">
        <f t="shared" si="239"/>
        <v>X</v>
      </c>
      <c r="Q201" s="170"/>
      <c r="S201" s="27" t="s">
        <v>1084</v>
      </c>
      <c r="U201" s="27" t="s">
        <v>1084</v>
      </c>
      <c r="V201" s="42">
        <f t="shared" si="8"/>
        <v>0</v>
      </c>
      <c r="W201" s="42">
        <f t="shared" si="9"/>
        <v>-15000</v>
      </c>
      <c r="X201" s="27" t="str">
        <f t="shared" si="10"/>
        <v>OK</v>
      </c>
      <c r="Z201" s="27"/>
      <c r="AA201" s="42">
        <f t="shared" si="11"/>
        <v>0</v>
      </c>
      <c r="AB201" s="42">
        <f t="shared" si="255"/>
        <v>-15000</v>
      </c>
      <c r="AC201" s="27" t="str">
        <f t="shared" si="256"/>
        <v>OK</v>
      </c>
      <c r="AE201" s="27" t="str">
        <f t="shared" si="257"/>
        <v>세입없음</v>
      </c>
      <c r="AG201" s="24">
        <f t="shared" si="265"/>
        <v>217</v>
      </c>
      <c r="AH201" s="65" t="str">
        <f t="shared" si="258"/>
        <v>OK</v>
      </c>
      <c r="AJ201" s="27" t="str">
        <f t="array" ref="AJ201">IF(C201="","",INDEX(구분표!$I$2:$I$300, MATCH(1,(구분표!$E$2:$E$300='2추일출'!B201)*(구분표!$F$2:$F$300='2추일출'!C201)*(구분표!$G$2:$G$300='2추일출'!A201),0)))</f>
        <v>0701</v>
      </c>
      <c r="AL201" s="27"/>
    </row>
    <row r="202" spans="1:38" ht="50.1" customHeight="1" x14ac:dyDescent="0.3">
      <c r="A202" s="33" t="str">
        <f>IFERROR(VLOOKUP($C202,구분표!$A$2:$C$300,2,FALSE),"")</f>
        <v>보건복지위원회</v>
      </c>
      <c r="B202" s="24" t="str">
        <f>IFERROR(VLOOKUP($C202,구분표!$A$2:$C$300,3,FALSE),"")</f>
        <v>보건복지국</v>
      </c>
      <c r="C202" s="31" t="s">
        <v>438</v>
      </c>
      <c r="D202" s="139" t="s">
        <v>776</v>
      </c>
      <c r="E202" s="144">
        <v>573</v>
      </c>
      <c r="F202" s="140" t="s">
        <v>894</v>
      </c>
      <c r="G202" s="44">
        <v>103000</v>
      </c>
      <c r="H202" s="42">
        <v>73000</v>
      </c>
      <c r="I202" s="54">
        <f t="shared" ref="I202:I203" si="266">IF(D202="","",G202-H202)</f>
        <v>30000</v>
      </c>
      <c r="J202" s="42"/>
      <c r="K202" s="45">
        <v>30000</v>
      </c>
      <c r="L202" s="50">
        <f t="shared" ref="L202:L203" si="267">IF(G202=0,H202+J202+K202,G202+J202+K202)</f>
        <v>133000</v>
      </c>
      <c r="M202" s="158">
        <v>0</v>
      </c>
      <c r="N202" s="159">
        <v>30000</v>
      </c>
      <c r="O202" s="160">
        <f t="shared" ref="O202:O203" si="268">IF(G202=0,H202+M202+N202,G202+M202+N202)</f>
        <v>133000</v>
      </c>
      <c r="P202" s="27" t="str">
        <f t="shared" si="239"/>
        <v>X</v>
      </c>
      <c r="Q202" s="170"/>
      <c r="S202" s="27" t="s">
        <v>1084</v>
      </c>
      <c r="U202" s="27" t="s">
        <v>1084</v>
      </c>
      <c r="V202" s="42">
        <f t="shared" si="8"/>
        <v>0</v>
      </c>
      <c r="W202" s="42">
        <f t="shared" si="9"/>
        <v>30000</v>
      </c>
      <c r="X202" s="27" t="str">
        <f t="shared" si="10"/>
        <v>OK</v>
      </c>
      <c r="Z202" s="27"/>
      <c r="AA202" s="42">
        <f t="shared" si="11"/>
        <v>0</v>
      </c>
      <c r="AB202" s="42">
        <f t="shared" ref="AB202:AB203" si="269">IF($U202="도비",SUM(M202:N202),IF($S202="국도비","직접입력",SUM(M202:N202)-AA202))</f>
        <v>30000</v>
      </c>
      <c r="AC202" s="27" t="str">
        <f t="shared" ref="AC202:AC203" si="270">IF(SUM(M202:N202)=SUM(AA202:AB202),"OK","검토")</f>
        <v>OK</v>
      </c>
      <c r="AE202" s="27" t="str">
        <f t="shared" ref="AE202:AE203" si="271">IF(U202="","",IF(U202="도비","세입없음","직접입력"))</f>
        <v>세입없음</v>
      </c>
      <c r="AG202" s="24">
        <f t="shared" si="265"/>
        <v>217</v>
      </c>
      <c r="AH202" s="65" t="str">
        <f t="shared" ref="AH202:AH203" si="272">IF(U202="","",IF(AND(U202="도비",AE202="세입없음"),"OK",IF(AND(U202&lt;&gt;"도비",AE202&lt;&gt;""),"OK","@@")))</f>
        <v>OK</v>
      </c>
      <c r="AJ202" s="27" t="str">
        <f t="array" ref="AJ202">IF(C202="","",INDEX(구분표!$I$2:$I$300, MATCH(1,(구분표!$E$2:$E$300='2추일출'!B202)*(구분표!$F$2:$F$300='2추일출'!C202)*(구분표!$G$2:$G$300='2추일출'!A202),0)))</f>
        <v>0701</v>
      </c>
      <c r="AL202" s="27"/>
    </row>
    <row r="203" spans="1:38" ht="50.1" customHeight="1" x14ac:dyDescent="0.3">
      <c r="A203" s="33" t="str">
        <f>IFERROR(VLOOKUP($C203,구분표!$A$2:$C$300,2,FALSE),"")</f>
        <v>보건복지위원회</v>
      </c>
      <c r="B203" s="24" t="str">
        <f>IFERROR(VLOOKUP($C203,구분표!$A$2:$C$300,3,FALSE),"")</f>
        <v>보건복지국</v>
      </c>
      <c r="C203" s="31" t="s">
        <v>443</v>
      </c>
      <c r="D203" s="137" t="s">
        <v>771</v>
      </c>
      <c r="E203" s="143" t="s">
        <v>832</v>
      </c>
      <c r="F203" s="138" t="s">
        <v>962</v>
      </c>
      <c r="G203" s="44"/>
      <c r="H203" s="42"/>
      <c r="I203" s="54">
        <f t="shared" si="266"/>
        <v>0</v>
      </c>
      <c r="J203" s="42"/>
      <c r="K203" s="45">
        <v>600000</v>
      </c>
      <c r="L203" s="50">
        <f t="shared" si="267"/>
        <v>600000</v>
      </c>
      <c r="M203" s="42"/>
      <c r="N203" s="182">
        <v>600000</v>
      </c>
      <c r="O203" s="160">
        <f t="shared" si="268"/>
        <v>600000</v>
      </c>
      <c r="P203" s="27" t="str">
        <f t="shared" si="239"/>
        <v>X</v>
      </c>
      <c r="Q203" s="170"/>
      <c r="S203" s="27" t="s">
        <v>1084</v>
      </c>
      <c r="U203" s="27" t="s">
        <v>1084</v>
      </c>
      <c r="V203" s="42">
        <f t="shared" si="8"/>
        <v>0</v>
      </c>
      <c r="W203" s="42">
        <f t="shared" si="9"/>
        <v>600000</v>
      </c>
      <c r="X203" s="27" t="str">
        <f t="shared" si="10"/>
        <v>OK</v>
      </c>
      <c r="Z203" s="27"/>
      <c r="AA203" s="42">
        <f t="shared" si="11"/>
        <v>0</v>
      </c>
      <c r="AB203" s="42">
        <f t="shared" si="269"/>
        <v>600000</v>
      </c>
      <c r="AC203" s="27" t="str">
        <f t="shared" si="270"/>
        <v>OK</v>
      </c>
      <c r="AE203" s="27" t="str">
        <f t="shared" si="271"/>
        <v>세입없음</v>
      </c>
      <c r="AG203" s="24">
        <f t="shared" si="265"/>
        <v>217</v>
      </c>
      <c r="AH203" s="65" t="str">
        <f t="shared" si="272"/>
        <v>OK</v>
      </c>
      <c r="AJ203" s="27" t="str">
        <f t="array" ref="AJ203">IF(C203="","",INDEX(구분표!$I$2:$I$300, MATCH(1,(구분표!$E$2:$E$300='2추일출'!B203)*(구분표!$F$2:$F$300='2추일출'!C203)*(구분표!$G$2:$G$300='2추일출'!A203),0)))</f>
        <v>0702</v>
      </c>
      <c r="AL203" s="27"/>
    </row>
    <row r="204" spans="1:38" ht="50.1" customHeight="1" x14ac:dyDescent="0.3">
      <c r="A204" s="33" t="str">
        <f>IFERROR(VLOOKUP($C204,구분표!$A$2:$C$300,2,FALSE),"")</f>
        <v>보건복지위원회</v>
      </c>
      <c r="B204" s="24" t="str">
        <f>IFERROR(VLOOKUP($C204,구분표!$A$2:$C$300,3,FALSE),"")</f>
        <v>보건복지국</v>
      </c>
      <c r="C204" s="31" t="s">
        <v>452</v>
      </c>
      <c r="D204" s="35" t="s">
        <v>776</v>
      </c>
      <c r="E204" s="145">
        <v>589</v>
      </c>
      <c r="F204" s="134" t="s">
        <v>1154</v>
      </c>
      <c r="G204" s="44">
        <v>3890576</v>
      </c>
      <c r="H204" s="42"/>
      <c r="I204" s="54">
        <f t="shared" ref="I204:I206" si="273">IF(D204="","",G204-H204)</f>
        <v>3890576</v>
      </c>
      <c r="J204" s="42"/>
      <c r="K204" s="45"/>
      <c r="L204" s="50">
        <f t="shared" ref="L204:L206" si="274">IF(G204=0,H204+J204+K204,G204+J204+K204)</f>
        <v>3890576</v>
      </c>
      <c r="M204" s="42"/>
      <c r="N204" s="45">
        <v>49475</v>
      </c>
      <c r="O204" s="52">
        <f t="shared" ref="O204:O206" si="275">IF(G204=0,H204+M204+N204,G204+M204+N204)</f>
        <v>3940051</v>
      </c>
      <c r="P204" s="27" t="str">
        <f t="shared" si="239"/>
        <v>X</v>
      </c>
      <c r="Q204" s="170" t="s">
        <v>1158</v>
      </c>
      <c r="R204" s="1" t="s">
        <v>1180</v>
      </c>
      <c r="S204" s="27" t="s">
        <v>985</v>
      </c>
      <c r="U204" s="27"/>
      <c r="V204" s="42"/>
      <c r="W204" s="42"/>
      <c r="X204" s="27" t="str">
        <f t="shared" si="10"/>
        <v>OK</v>
      </c>
      <c r="Z204" s="27" t="s">
        <v>850</v>
      </c>
      <c r="AA204" s="42">
        <v>39580</v>
      </c>
      <c r="AB204" s="42">
        <v>9895</v>
      </c>
      <c r="AC204" s="27" t="str">
        <f t="shared" ref="AC204:AC206" si="276">IF(SUM(M204:N204)=SUM(AA204:AB204),"OK","검토")</f>
        <v>OK</v>
      </c>
      <c r="AE204" s="27" t="s">
        <v>1160</v>
      </c>
      <c r="AG204" s="24">
        <f t="shared" si="265"/>
        <v>1</v>
      </c>
      <c r="AH204" s="65" t="str">
        <f t="shared" ref="AH204:AH206" si="277">IF(U204="","",IF(AND(U204="도비",AE204="세입없음"),"OK",IF(AND(U204&lt;&gt;"도비",AE204&lt;&gt;""),"OK","@@")))</f>
        <v/>
      </c>
      <c r="AJ204" s="27" t="str">
        <f t="array" ref="AJ204">IF(C204="","",INDEX(구분표!$I$2:$I$300, MATCH(1,(구분표!$E$2:$E$300='2추일출'!B204)*(구분표!$F$2:$F$300='2추일출'!C204)*(구분표!$G$2:$G$300='2추일출'!A204),0)))</f>
        <v>0705</v>
      </c>
      <c r="AL204" s="27"/>
    </row>
    <row r="205" spans="1:38" ht="50.1" customHeight="1" x14ac:dyDescent="0.3">
      <c r="A205" s="33" t="str">
        <f>IFERROR(VLOOKUP($C205,구분표!$A$2:$C$300,2,FALSE),"")</f>
        <v>보건복지위원회</v>
      </c>
      <c r="B205" s="24" t="str">
        <f>IFERROR(VLOOKUP($C205,구분표!$A$2:$C$300,3,FALSE),"")</f>
        <v>보건복지국</v>
      </c>
      <c r="C205" s="31" t="s">
        <v>452</v>
      </c>
      <c r="D205" s="35" t="s">
        <v>776</v>
      </c>
      <c r="E205" s="145">
        <v>592</v>
      </c>
      <c r="F205" s="134" t="s">
        <v>1155</v>
      </c>
      <c r="G205" s="44">
        <v>60494721</v>
      </c>
      <c r="H205" s="42"/>
      <c r="I205" s="54">
        <f t="shared" si="273"/>
        <v>60494721</v>
      </c>
      <c r="J205" s="42"/>
      <c r="K205" s="45"/>
      <c r="L205" s="50">
        <f t="shared" si="274"/>
        <v>60494721</v>
      </c>
      <c r="M205" s="42">
        <v>-1288655</v>
      </c>
      <c r="N205" s="45"/>
      <c r="O205" s="52">
        <f t="shared" si="275"/>
        <v>59206066</v>
      </c>
      <c r="P205" s="27" t="str">
        <f t="shared" si="239"/>
        <v>X</v>
      </c>
      <c r="Q205" s="170" t="s">
        <v>1159</v>
      </c>
      <c r="R205" s="1" t="s">
        <v>1180</v>
      </c>
      <c r="S205" s="27" t="s">
        <v>985</v>
      </c>
      <c r="U205" s="27"/>
      <c r="V205" s="42"/>
      <c r="W205" s="42"/>
      <c r="X205" s="27" t="str">
        <f t="shared" si="10"/>
        <v>OK</v>
      </c>
      <c r="Z205" s="27" t="s">
        <v>1017</v>
      </c>
      <c r="AA205" s="42">
        <v>-1120569</v>
      </c>
      <c r="AB205" s="42">
        <v>-168086</v>
      </c>
      <c r="AC205" s="27" t="str">
        <f t="shared" si="276"/>
        <v>OK</v>
      </c>
      <c r="AE205" s="27" t="s">
        <v>1161</v>
      </c>
      <c r="AG205" s="24">
        <f t="shared" si="265"/>
        <v>2</v>
      </c>
      <c r="AH205" s="65" t="str">
        <f t="shared" si="277"/>
        <v/>
      </c>
      <c r="AJ205" s="27" t="str">
        <f t="array" ref="AJ205">IF(C205="","",INDEX(구분표!$I$2:$I$300, MATCH(1,(구분표!$E$2:$E$300='2추일출'!B205)*(구분표!$F$2:$F$300='2추일출'!C205)*(구분표!$G$2:$G$300='2추일출'!A205),0)))</f>
        <v>0705</v>
      </c>
      <c r="AL205" s="27"/>
    </row>
    <row r="206" spans="1:38" ht="50.1" customHeight="1" x14ac:dyDescent="0.3">
      <c r="A206" s="33" t="str">
        <f>IFERROR(VLOOKUP($C206,구분표!$A$2:$C$300,2,FALSE),"")</f>
        <v>보건복지위원회</v>
      </c>
      <c r="B206" s="24" t="str">
        <f>IFERROR(VLOOKUP($C206,구분표!$A$2:$C$300,3,FALSE),"")</f>
        <v>복지여성실</v>
      </c>
      <c r="C206" s="31" t="s">
        <v>465</v>
      </c>
      <c r="D206" s="35" t="s">
        <v>776</v>
      </c>
      <c r="E206" s="145">
        <v>628</v>
      </c>
      <c r="F206" s="134" t="s">
        <v>1155</v>
      </c>
      <c r="G206" s="44">
        <v>20502121</v>
      </c>
      <c r="H206" s="42"/>
      <c r="I206" s="54">
        <f t="shared" si="273"/>
        <v>20502121</v>
      </c>
      <c r="J206" s="42"/>
      <c r="K206" s="45"/>
      <c r="L206" s="50">
        <f t="shared" si="274"/>
        <v>20502121</v>
      </c>
      <c r="M206" s="42">
        <v>-129981</v>
      </c>
      <c r="N206" s="45"/>
      <c r="O206" s="52">
        <f t="shared" si="275"/>
        <v>20372140</v>
      </c>
      <c r="P206" s="27" t="str">
        <f t="shared" si="239"/>
        <v>X</v>
      </c>
      <c r="Q206" s="170" t="s">
        <v>1159</v>
      </c>
      <c r="R206" s="1" t="s">
        <v>1183</v>
      </c>
      <c r="S206" s="27" t="s">
        <v>985</v>
      </c>
      <c r="U206" s="27"/>
      <c r="V206" s="42"/>
      <c r="W206" s="42"/>
      <c r="X206" s="27" t="str">
        <f t="shared" si="10"/>
        <v>OK</v>
      </c>
      <c r="Z206" s="27" t="s">
        <v>1017</v>
      </c>
      <c r="AA206" s="42">
        <v>-113027</v>
      </c>
      <c r="AB206" s="42">
        <v>-16954</v>
      </c>
      <c r="AC206" s="27" t="str">
        <f t="shared" si="276"/>
        <v>OK</v>
      </c>
      <c r="AE206" s="27" t="s">
        <v>1161</v>
      </c>
      <c r="AG206" s="24">
        <f t="shared" si="265"/>
        <v>2</v>
      </c>
      <c r="AH206" s="65" t="str">
        <f t="shared" si="277"/>
        <v/>
      </c>
      <c r="AJ206" s="27" t="str">
        <f t="array" ref="AJ206">IF(C206="","",INDEX(구분표!$I$2:$I$300, MATCH(1,(구분표!$E$2:$E$300='2추일출'!B206)*(구분표!$F$2:$F$300='2추일출'!C206)*(구분표!$G$2:$G$300='2추일출'!A206),0)))</f>
        <v>0709</v>
      </c>
      <c r="AL206" s="27"/>
    </row>
    <row r="207" spans="1:38" ht="50.1" customHeight="1" x14ac:dyDescent="0.3">
      <c r="A207" s="33" t="str">
        <f>IFERROR(VLOOKUP($C207,구분표!$A$2:$C$300,2,FALSE),"")</f>
        <v>보건복지위원회</v>
      </c>
      <c r="B207" s="24" t="str">
        <f>IFERROR(VLOOKUP($C207,구분표!$A$2:$C$300,3,FALSE),"")</f>
        <v>보건복지국</v>
      </c>
      <c r="C207" s="31" t="s">
        <v>443</v>
      </c>
      <c r="D207" s="35" t="s">
        <v>776</v>
      </c>
      <c r="E207" s="145">
        <v>577</v>
      </c>
      <c r="F207" s="134" t="s">
        <v>1156</v>
      </c>
      <c r="G207" s="44">
        <v>3650099</v>
      </c>
      <c r="H207" s="42">
        <v>2989225</v>
      </c>
      <c r="I207" s="54">
        <f t="shared" ref="I207:I210" si="278">IF(D207="","",G207-H207)</f>
        <v>660874</v>
      </c>
      <c r="J207" s="42"/>
      <c r="K207" s="45"/>
      <c r="L207" s="50">
        <f t="shared" ref="L207:L210" si="279">IF(G207=0,H207+J207+K207,G207+J207+K207)</f>
        <v>3650099</v>
      </c>
      <c r="M207" s="42">
        <v>-43612</v>
      </c>
      <c r="N207" s="45"/>
      <c r="O207" s="52">
        <f t="shared" ref="O207:O210" si="280">IF(G207=0,H207+M207+N207,G207+M207+N207)</f>
        <v>3606487</v>
      </c>
      <c r="P207" s="27" t="str">
        <f t="shared" si="239"/>
        <v>X</v>
      </c>
      <c r="Q207" s="170" t="s">
        <v>1153</v>
      </c>
      <c r="R207" s="1" t="s">
        <v>1282</v>
      </c>
      <c r="S207" s="27" t="s">
        <v>985</v>
      </c>
      <c r="U207" s="27"/>
      <c r="V207" s="42"/>
      <c r="W207" s="42"/>
      <c r="X207" s="27" t="str">
        <f t="shared" si="10"/>
        <v>OK</v>
      </c>
      <c r="Z207" s="27" t="s">
        <v>850</v>
      </c>
      <c r="AA207" s="42">
        <v>-42036</v>
      </c>
      <c r="AB207" s="42">
        <v>-1576</v>
      </c>
      <c r="AC207" s="27" t="str">
        <f t="shared" ref="AC207:AC210" si="281">IF(SUM(M207:N207)=SUM(AA207:AB207),"OK","검토")</f>
        <v>OK</v>
      </c>
      <c r="AE207" s="27" t="s">
        <v>1162</v>
      </c>
      <c r="AG207" s="24">
        <f t="shared" si="265"/>
        <v>2</v>
      </c>
      <c r="AH207" s="65" t="str">
        <f t="shared" ref="AH207:AH210" si="282">IF(U207="","",IF(AND(U207="도비",AE207="세입없음"),"OK",IF(AND(U207&lt;&gt;"도비",AE207&lt;&gt;""),"OK","@@")))</f>
        <v/>
      </c>
      <c r="AJ207" s="27" t="str">
        <f t="array" ref="AJ207">IF(C207="","",INDEX(구분표!$I$2:$I$300, MATCH(1,(구분표!$E$2:$E$300='2추일출'!B207)*(구분표!$F$2:$F$300='2추일출'!C207)*(구분표!$G$2:$G$300='2추일출'!A207),0)))</f>
        <v>0702</v>
      </c>
      <c r="AL207" s="27"/>
    </row>
    <row r="208" spans="1:38" ht="50.1" customHeight="1" x14ac:dyDescent="0.3">
      <c r="A208" s="33" t="str">
        <f>IFERROR(VLOOKUP($C208,구분표!$A$2:$C$300,2,FALSE),"")</f>
        <v>보건복지위원회</v>
      </c>
      <c r="B208" s="24" t="str">
        <f>IFERROR(VLOOKUP($C208,구분표!$A$2:$C$300,3,FALSE),"")</f>
        <v>복지여성실</v>
      </c>
      <c r="C208" s="31" t="s">
        <v>461</v>
      </c>
      <c r="D208" s="35" t="s">
        <v>776</v>
      </c>
      <c r="E208" s="145">
        <v>616</v>
      </c>
      <c r="F208" s="134" t="s">
        <v>1156</v>
      </c>
      <c r="G208" s="44">
        <v>1787856</v>
      </c>
      <c r="H208" s="42">
        <v>1220950</v>
      </c>
      <c r="I208" s="54">
        <f t="shared" si="278"/>
        <v>566906</v>
      </c>
      <c r="J208" s="42"/>
      <c r="K208" s="45"/>
      <c r="L208" s="50">
        <f t="shared" si="279"/>
        <v>1787856</v>
      </c>
      <c r="M208" s="42">
        <v>-154968</v>
      </c>
      <c r="N208" s="45"/>
      <c r="O208" s="52">
        <f t="shared" si="280"/>
        <v>1632888</v>
      </c>
      <c r="P208" s="27" t="str">
        <f t="shared" si="239"/>
        <v>X</v>
      </c>
      <c r="Q208" s="170" t="s">
        <v>1153</v>
      </c>
      <c r="R208" s="1" t="s">
        <v>1282</v>
      </c>
      <c r="S208" s="27" t="s">
        <v>985</v>
      </c>
      <c r="U208" s="27"/>
      <c r="V208" s="42"/>
      <c r="W208" s="42"/>
      <c r="X208" s="27" t="str">
        <f t="shared" si="10"/>
        <v>OK</v>
      </c>
      <c r="Z208" s="27" t="s">
        <v>850</v>
      </c>
      <c r="AA208" s="42">
        <v>-149367</v>
      </c>
      <c r="AB208" s="42">
        <v>-5601</v>
      </c>
      <c r="AC208" s="27" t="str">
        <f t="shared" si="281"/>
        <v>OK</v>
      </c>
      <c r="AE208" s="27" t="s">
        <v>1162</v>
      </c>
      <c r="AG208" s="24">
        <f t="shared" si="265"/>
        <v>2</v>
      </c>
      <c r="AH208" s="65" t="str">
        <f t="shared" si="282"/>
        <v/>
      </c>
      <c r="AJ208" s="27" t="str">
        <f t="array" ref="AJ208">IF(C208="","",INDEX(구분표!$I$2:$I$300, MATCH(1,(구분표!$E$2:$E$300='2추일출'!B208)*(구분표!$F$2:$F$300='2추일출'!C208)*(구분표!$G$2:$G$300='2추일출'!A208),0)))</f>
        <v>0708</v>
      </c>
      <c r="AL208" s="27"/>
    </row>
    <row r="209" spans="1:38" ht="50.1" customHeight="1" x14ac:dyDescent="0.3">
      <c r="A209" s="33" t="str">
        <f>IFERROR(VLOOKUP($C209,구분표!$A$2:$C$300,2,FALSE),"")</f>
        <v>보건복지위원회</v>
      </c>
      <c r="B209" s="24" t="str">
        <f>IFERROR(VLOOKUP($C209,구분표!$A$2:$C$300,3,FALSE),"")</f>
        <v>보건복지국</v>
      </c>
      <c r="C209" s="31" t="s">
        <v>443</v>
      </c>
      <c r="D209" s="35" t="s">
        <v>776</v>
      </c>
      <c r="E209" s="145">
        <v>578</v>
      </c>
      <c r="F209" s="134" t="s">
        <v>1157</v>
      </c>
      <c r="G209" s="44">
        <v>4574478</v>
      </c>
      <c r="H209" s="42">
        <v>4155000</v>
      </c>
      <c r="I209" s="54">
        <f t="shared" si="278"/>
        <v>419478</v>
      </c>
      <c r="J209" s="42"/>
      <c r="K209" s="45"/>
      <c r="L209" s="50">
        <f t="shared" si="279"/>
        <v>4574478</v>
      </c>
      <c r="M209" s="42"/>
      <c r="N209" s="45">
        <v>239253</v>
      </c>
      <c r="O209" s="52">
        <f t="shared" si="280"/>
        <v>4813731</v>
      </c>
      <c r="P209" s="27" t="str">
        <f t="shared" si="239"/>
        <v>X</v>
      </c>
      <c r="Q209" s="170" t="s">
        <v>1153</v>
      </c>
      <c r="R209" s="1" t="s">
        <v>1282</v>
      </c>
      <c r="S209" s="27" t="s">
        <v>985</v>
      </c>
      <c r="U209" s="27"/>
      <c r="V209" s="42"/>
      <c r="W209" s="42"/>
      <c r="X209" s="27" t="str">
        <f t="shared" si="10"/>
        <v>OK</v>
      </c>
      <c r="Z209" s="27" t="s">
        <v>1017</v>
      </c>
      <c r="AA209" s="42">
        <v>191403</v>
      </c>
      <c r="AB209" s="42">
        <v>47850</v>
      </c>
      <c r="AC209" s="27" t="str">
        <f t="shared" si="281"/>
        <v>OK</v>
      </c>
      <c r="AE209" s="27" t="s">
        <v>1163</v>
      </c>
      <c r="AG209" s="24">
        <f t="shared" si="265"/>
        <v>1</v>
      </c>
      <c r="AH209" s="65" t="str">
        <f t="shared" si="282"/>
        <v/>
      </c>
      <c r="AJ209" s="27" t="str">
        <f t="array" ref="AJ209">IF(C209="","",INDEX(구분표!$I$2:$I$300, MATCH(1,(구분표!$E$2:$E$300='2추일출'!B209)*(구분표!$F$2:$F$300='2추일출'!C209)*(구분표!$G$2:$G$300='2추일출'!A209),0)))</f>
        <v>0702</v>
      </c>
      <c r="AL209" s="27"/>
    </row>
    <row r="210" spans="1:38" ht="50.1" customHeight="1" x14ac:dyDescent="0.3">
      <c r="A210" s="33" t="str">
        <f>IFERROR(VLOOKUP($C210,구분표!$A$2:$C$300,2,FALSE),"")</f>
        <v>보건복지위원회</v>
      </c>
      <c r="B210" s="24" t="str">
        <f>IFERROR(VLOOKUP($C210,구분표!$A$2:$C$300,3,FALSE),"")</f>
        <v>복지여성실</v>
      </c>
      <c r="C210" s="31" t="s">
        <v>465</v>
      </c>
      <c r="D210" s="35" t="s">
        <v>776</v>
      </c>
      <c r="E210" s="145">
        <v>628</v>
      </c>
      <c r="F210" s="134" t="s">
        <v>1220</v>
      </c>
      <c r="G210" s="44">
        <v>61029</v>
      </c>
      <c r="H210" s="42">
        <v>61194</v>
      </c>
      <c r="I210" s="54">
        <f t="shared" si="278"/>
        <v>-165</v>
      </c>
      <c r="J210" s="42"/>
      <c r="K210" s="45"/>
      <c r="L210" s="50">
        <f t="shared" si="279"/>
        <v>61029</v>
      </c>
      <c r="M210" s="42"/>
      <c r="N210" s="45">
        <v>12500</v>
      </c>
      <c r="O210" s="52">
        <f t="shared" si="280"/>
        <v>73529</v>
      </c>
      <c r="P210" s="27" t="str">
        <f t="shared" si="239"/>
        <v>X</v>
      </c>
      <c r="Q210" s="170" t="s">
        <v>1255</v>
      </c>
      <c r="S210" s="27" t="s">
        <v>1221</v>
      </c>
      <c r="U210" s="27"/>
      <c r="V210" s="42"/>
      <c r="W210" s="42"/>
      <c r="X210" s="27" t="str">
        <f t="shared" si="10"/>
        <v>OK</v>
      </c>
      <c r="Z210" s="27" t="s">
        <v>1222</v>
      </c>
      <c r="AA210" s="42">
        <v>12500</v>
      </c>
      <c r="AB210" s="42">
        <v>0</v>
      </c>
      <c r="AC210" s="27" t="str">
        <f t="shared" si="281"/>
        <v>OK</v>
      </c>
      <c r="AE210" s="27" t="s">
        <v>1300</v>
      </c>
      <c r="AG210" s="24">
        <f t="shared" si="265"/>
        <v>1</v>
      </c>
      <c r="AH210" s="65" t="str">
        <f t="shared" si="282"/>
        <v/>
      </c>
      <c r="AJ210" s="27" t="str">
        <f t="array" ref="AJ210">IF(C210="","",INDEX(구분표!$I$2:$I$300, MATCH(1,(구분표!$E$2:$E$300='2추일출'!B210)*(구분표!$F$2:$F$300='2추일출'!C210)*(구분표!$G$2:$G$300='2추일출'!A210),0)))</f>
        <v>0709</v>
      </c>
      <c r="AL210" s="27"/>
    </row>
    <row r="211" spans="1:38" ht="50.1" customHeight="1" x14ac:dyDescent="0.3">
      <c r="A211" s="57" t="s">
        <v>682</v>
      </c>
      <c r="B211" s="58"/>
      <c r="C211" s="59"/>
      <c r="D211" s="58"/>
      <c r="E211" s="59"/>
      <c r="F211" s="136"/>
      <c r="G211" s="60">
        <f t="shared" ref="G211:O211" si="283">SUM(G212:G230)</f>
        <v>105394401</v>
      </c>
      <c r="H211" s="60">
        <f t="shared" si="283"/>
        <v>47440000</v>
      </c>
      <c r="I211" s="60">
        <f t="shared" si="283"/>
        <v>57954401</v>
      </c>
      <c r="J211" s="60">
        <f t="shared" si="283"/>
        <v>-7000000</v>
      </c>
      <c r="K211" s="60">
        <f t="shared" si="283"/>
        <v>13490000</v>
      </c>
      <c r="L211" s="60">
        <f t="shared" si="283"/>
        <v>111884401</v>
      </c>
      <c r="M211" s="60">
        <f t="shared" si="283"/>
        <v>-17900000</v>
      </c>
      <c r="N211" s="60">
        <f t="shared" si="283"/>
        <v>13490000</v>
      </c>
      <c r="O211" s="60">
        <f t="shared" si="283"/>
        <v>100984401</v>
      </c>
      <c r="P211" s="61"/>
      <c r="Q211" s="224"/>
      <c r="S211" s="27"/>
      <c r="U211" s="27"/>
      <c r="V211" s="42"/>
      <c r="W211" s="42"/>
      <c r="X211" s="27"/>
      <c r="Z211" s="27"/>
      <c r="AA211" s="42"/>
      <c r="AB211" s="42"/>
      <c r="AC211" s="27"/>
      <c r="AE211" s="27" t="str">
        <f t="shared" si="14"/>
        <v/>
      </c>
      <c r="AG211" s="24" t="str">
        <f t="shared" si="265"/>
        <v/>
      </c>
      <c r="AH211" s="65" t="str">
        <f t="shared" si="15"/>
        <v/>
      </c>
      <c r="AJ211" s="27" t="str">
        <f t="array" ref="AJ211">IF(C211="","",INDEX(구분표!$I$2:$I$300, MATCH(1,(구분표!$E$2:$E$300='2추일출'!B211)*(구분표!$F$2:$F$300='2추일출'!C211)*(구분표!$G$2:$G$300='2추일출'!A211),0)))</f>
        <v/>
      </c>
      <c r="AL211" s="27"/>
    </row>
    <row r="212" spans="1:38" ht="50.1" customHeight="1" x14ac:dyDescent="0.3">
      <c r="A212" s="33" t="str">
        <f>IFERROR(VLOOKUP($C212,구분표!$A$2:$C$300,2,FALSE),"")</f>
        <v>건설교통위원회</v>
      </c>
      <c r="B212" s="24" t="str">
        <f>IFERROR(VLOOKUP($C212,구분표!$A$2:$C$300,3,FALSE),"")</f>
        <v>철도국</v>
      </c>
      <c r="C212" s="31" t="s">
        <v>486</v>
      </c>
      <c r="D212" s="139" t="s">
        <v>779</v>
      </c>
      <c r="E212" s="144"/>
      <c r="F212" s="140" t="s">
        <v>1085</v>
      </c>
      <c r="G212" s="44">
        <v>1890000</v>
      </c>
      <c r="H212" s="42">
        <v>1890000</v>
      </c>
      <c r="I212" s="54">
        <f t="shared" si="5"/>
        <v>0</v>
      </c>
      <c r="J212" s="42">
        <v>0</v>
      </c>
      <c r="K212" s="45">
        <v>490000</v>
      </c>
      <c r="L212" s="50">
        <f t="shared" si="6"/>
        <v>2380000</v>
      </c>
      <c r="M212" s="158">
        <v>0</v>
      </c>
      <c r="N212" s="159">
        <v>490000</v>
      </c>
      <c r="O212" s="160">
        <f t="shared" si="7"/>
        <v>2380000</v>
      </c>
      <c r="P212" s="27" t="str">
        <f t="shared" ref="P212:P228" si="284">IF(AND((L212=0),(O212&gt;0)),"O",IF(AND((J212&lt;0),(L212-O212&lt;0)),"O","X"))</f>
        <v>X</v>
      </c>
      <c r="Q212" s="218"/>
      <c r="S212" s="27" t="s">
        <v>985</v>
      </c>
      <c r="U212" s="27" t="s">
        <v>975</v>
      </c>
      <c r="V212" s="42">
        <f t="shared" si="8"/>
        <v>0</v>
      </c>
      <c r="W212" s="42">
        <f t="shared" si="9"/>
        <v>490000</v>
      </c>
      <c r="X212" s="27" t="str">
        <f t="shared" si="10"/>
        <v>OK</v>
      </c>
      <c r="Z212" s="27" t="s">
        <v>1324</v>
      </c>
      <c r="AA212" s="42">
        <f t="shared" si="11"/>
        <v>0</v>
      </c>
      <c r="AB212" s="42">
        <f t="shared" si="12"/>
        <v>490000</v>
      </c>
      <c r="AC212" s="27" t="str">
        <f t="shared" si="13"/>
        <v>OK</v>
      </c>
      <c r="AE212" s="27" t="str">
        <f t="shared" si="14"/>
        <v>세입없음</v>
      </c>
      <c r="AG212" s="24">
        <f t="shared" si="265"/>
        <v>217</v>
      </c>
      <c r="AH212" s="65" t="str">
        <f t="shared" si="15"/>
        <v>OK</v>
      </c>
      <c r="AJ212" s="27" t="str">
        <f t="array" ref="AJ212">IF(C212="","",INDEX(구분표!$I$2:$I$300, MATCH(1,(구분표!$E$2:$E$300='2추일출'!B212)*(구분표!$F$2:$F$300='2추일출'!C212)*(구분표!$G$2:$G$300='2추일출'!A212),0)))</f>
        <v>0802</v>
      </c>
      <c r="AL212" s="27"/>
    </row>
    <row r="213" spans="1:38" ht="50.1" customHeight="1" x14ac:dyDescent="0.3">
      <c r="A213" s="33" t="str">
        <f>IFERROR(VLOOKUP($C213,구분표!$A$2:$C$300,2,FALSE),"")</f>
        <v>건설교통위원회</v>
      </c>
      <c r="B213" s="24" t="str">
        <f>IFERROR(VLOOKUP($C213,구분표!$A$2:$C$300,3,FALSE),"")</f>
        <v>교통국</v>
      </c>
      <c r="C213" s="31" t="s">
        <v>492</v>
      </c>
      <c r="D213" s="139" t="s">
        <v>776</v>
      </c>
      <c r="E213" s="144">
        <v>666</v>
      </c>
      <c r="F213" s="140" t="s">
        <v>1086</v>
      </c>
      <c r="G213" s="44">
        <v>354401</v>
      </c>
      <c r="H213" s="42">
        <v>0</v>
      </c>
      <c r="I213" s="54">
        <f t="shared" si="5"/>
        <v>354401</v>
      </c>
      <c r="J213" s="42">
        <v>0</v>
      </c>
      <c r="K213" s="45">
        <v>0</v>
      </c>
      <c r="L213" s="50">
        <f t="shared" si="6"/>
        <v>354401</v>
      </c>
      <c r="M213" s="158">
        <v>-200000</v>
      </c>
      <c r="N213" s="159">
        <v>0</v>
      </c>
      <c r="O213" s="160">
        <f t="shared" si="7"/>
        <v>154401</v>
      </c>
      <c r="P213" s="27" t="str">
        <f t="shared" si="284"/>
        <v>X</v>
      </c>
      <c r="Q213" s="170"/>
      <c r="S213" s="27" t="s">
        <v>1084</v>
      </c>
      <c r="U213" s="27" t="s">
        <v>1084</v>
      </c>
      <c r="V213" s="42">
        <f t="shared" si="8"/>
        <v>0</v>
      </c>
      <c r="W213" s="42">
        <f t="shared" si="9"/>
        <v>0</v>
      </c>
      <c r="X213" s="27" t="str">
        <f t="shared" si="10"/>
        <v>OK</v>
      </c>
      <c r="Z213" s="27"/>
      <c r="AA213" s="42">
        <f t="shared" si="11"/>
        <v>0</v>
      </c>
      <c r="AB213" s="42">
        <f t="shared" si="12"/>
        <v>-200000</v>
      </c>
      <c r="AC213" s="27" t="str">
        <f t="shared" si="13"/>
        <v>OK</v>
      </c>
      <c r="AE213" s="27" t="str">
        <f t="shared" si="14"/>
        <v>세입없음</v>
      </c>
      <c r="AG213" s="24">
        <f t="shared" si="265"/>
        <v>217</v>
      </c>
      <c r="AH213" s="65" t="str">
        <f t="shared" si="15"/>
        <v>OK</v>
      </c>
      <c r="AJ213" s="27" t="str">
        <f t="array" ref="AJ213">IF(C213="","",INDEX(구분표!$I$2:$I$300, MATCH(1,(구분표!$E$2:$E$300='2추일출'!B213)*(구분표!$F$2:$F$300='2추일출'!C213)*(구분표!$G$2:$G$300='2추일출'!A213),0)))</f>
        <v>0804</v>
      </c>
      <c r="AL213" s="27"/>
    </row>
    <row r="214" spans="1:38" ht="50.1" customHeight="1" x14ac:dyDescent="0.3">
      <c r="A214" s="33" t="str">
        <f>IFERROR(VLOOKUP($C214,구분표!$A$2:$C$300,2,FALSE),"")</f>
        <v>건설교통위원회</v>
      </c>
      <c r="B214" s="24" t="str">
        <f>IFERROR(VLOOKUP($C214,구분표!$A$2:$C$300,3,FALSE),"")</f>
        <v>교통국</v>
      </c>
      <c r="C214" s="31" t="s">
        <v>499</v>
      </c>
      <c r="D214" s="139" t="s">
        <v>779</v>
      </c>
      <c r="E214" s="144"/>
      <c r="F214" s="140" t="s">
        <v>966</v>
      </c>
      <c r="G214" s="44">
        <v>3750000</v>
      </c>
      <c r="H214" s="42">
        <v>1350000</v>
      </c>
      <c r="I214" s="54">
        <f t="shared" si="5"/>
        <v>2400000</v>
      </c>
      <c r="J214" s="42">
        <v>0</v>
      </c>
      <c r="K214" s="45">
        <v>0</v>
      </c>
      <c r="L214" s="50">
        <f t="shared" si="6"/>
        <v>3750000</v>
      </c>
      <c r="M214" s="158">
        <v>-900000</v>
      </c>
      <c r="N214" s="159">
        <v>0</v>
      </c>
      <c r="O214" s="160">
        <f t="shared" si="7"/>
        <v>2850000</v>
      </c>
      <c r="P214" s="27" t="str">
        <f t="shared" si="284"/>
        <v>X</v>
      </c>
      <c r="Q214" s="222" t="s">
        <v>1174</v>
      </c>
      <c r="S214" s="27" t="s">
        <v>1084</v>
      </c>
      <c r="U214" s="27" t="s">
        <v>1084</v>
      </c>
      <c r="V214" s="42">
        <f t="shared" si="8"/>
        <v>0</v>
      </c>
      <c r="W214" s="42">
        <f t="shared" si="9"/>
        <v>0</v>
      </c>
      <c r="X214" s="27" t="str">
        <f t="shared" si="10"/>
        <v>OK</v>
      </c>
      <c r="Z214" s="27"/>
      <c r="AA214" s="42">
        <f t="shared" si="11"/>
        <v>0</v>
      </c>
      <c r="AB214" s="42">
        <f t="shared" si="12"/>
        <v>-900000</v>
      </c>
      <c r="AC214" s="27" t="str">
        <f t="shared" si="13"/>
        <v>OK</v>
      </c>
      <c r="AE214" s="27" t="str">
        <f t="shared" si="14"/>
        <v>세입없음</v>
      </c>
      <c r="AG214" s="24">
        <f t="shared" si="265"/>
        <v>217</v>
      </c>
      <c r="AH214" s="65" t="str">
        <f t="shared" si="15"/>
        <v>OK</v>
      </c>
      <c r="AJ214" s="27" t="str">
        <f t="array" ref="AJ214">IF(C214="","",INDEX(구분표!$I$2:$I$300, MATCH(1,(구분표!$E$2:$E$300='2추일출'!B214)*(구분표!$F$2:$F$300='2추일출'!C214)*(구분표!$G$2:$G$300='2추일출'!A214),0)))</f>
        <v>0806</v>
      </c>
      <c r="AL214" s="27"/>
    </row>
    <row r="215" spans="1:38" ht="50.1" customHeight="1" x14ac:dyDescent="0.3">
      <c r="A215" s="33" t="str">
        <f>IFERROR(VLOOKUP($C215,구분표!$A$2:$C$300,2,FALSE),"")</f>
        <v>건설교통위원회</v>
      </c>
      <c r="B215" s="24" t="str">
        <f>IFERROR(VLOOKUP($C215,구분표!$A$2:$C$300,3,FALSE),"")</f>
        <v>건설국</v>
      </c>
      <c r="C215" s="31" t="s">
        <v>508</v>
      </c>
      <c r="D215" s="137" t="s">
        <v>771</v>
      </c>
      <c r="E215" s="143" t="s">
        <v>832</v>
      </c>
      <c r="F215" s="138" t="s">
        <v>1087</v>
      </c>
      <c r="G215" s="44">
        <v>0</v>
      </c>
      <c r="H215" s="42">
        <v>0</v>
      </c>
      <c r="I215" s="54">
        <f t="shared" si="5"/>
        <v>0</v>
      </c>
      <c r="J215" s="42">
        <v>0</v>
      </c>
      <c r="K215" s="45">
        <v>300000</v>
      </c>
      <c r="L215" s="50">
        <f t="shared" si="6"/>
        <v>300000</v>
      </c>
      <c r="M215" s="42"/>
      <c r="N215" s="159">
        <v>300000</v>
      </c>
      <c r="O215" s="160">
        <f t="shared" si="7"/>
        <v>300000</v>
      </c>
      <c r="P215" s="27" t="str">
        <f t="shared" si="284"/>
        <v>X</v>
      </c>
      <c r="Q215" s="170"/>
      <c r="S215" s="27" t="s">
        <v>1084</v>
      </c>
      <c r="U215" s="27" t="s">
        <v>1084</v>
      </c>
      <c r="V215" s="42">
        <f t="shared" si="8"/>
        <v>0</v>
      </c>
      <c r="W215" s="42">
        <f t="shared" si="9"/>
        <v>300000</v>
      </c>
      <c r="X215" s="27" t="str">
        <f t="shared" si="10"/>
        <v>OK</v>
      </c>
      <c r="Z215" s="27"/>
      <c r="AA215" s="42">
        <f t="shared" si="11"/>
        <v>0</v>
      </c>
      <c r="AB215" s="42">
        <f t="shared" si="12"/>
        <v>300000</v>
      </c>
      <c r="AC215" s="27" t="str">
        <f t="shared" si="13"/>
        <v>OK</v>
      </c>
      <c r="AE215" s="27" t="str">
        <f t="shared" si="14"/>
        <v>세입없음</v>
      </c>
      <c r="AG215" s="24">
        <f t="shared" si="265"/>
        <v>217</v>
      </c>
      <c r="AH215" s="65" t="str">
        <f t="shared" si="15"/>
        <v>OK</v>
      </c>
      <c r="AJ215" s="27" t="str">
        <f t="array" ref="AJ215">IF(C215="","",INDEX(구분표!$I$2:$I$300, MATCH(1,(구분표!$E$2:$E$300='2추일출'!B215)*(구분표!$F$2:$F$300='2추일출'!C215)*(구분표!$G$2:$G$300='2추일출'!A215),0)))</f>
        <v>0809</v>
      </c>
      <c r="AL215" s="27"/>
    </row>
    <row r="216" spans="1:38" ht="90" customHeight="1" x14ac:dyDescent="0.3">
      <c r="A216" s="33" t="str">
        <f>IFERROR(VLOOKUP($C216,구분표!$A$2:$C$300,2,FALSE),"")</f>
        <v>건설교통위원회</v>
      </c>
      <c r="B216" s="24" t="str">
        <f>IFERROR(VLOOKUP($C216,구분표!$A$2:$C$300,3,FALSE),"")</f>
        <v>건설국</v>
      </c>
      <c r="C216" s="31" t="s">
        <v>512</v>
      </c>
      <c r="D216" s="35" t="s">
        <v>776</v>
      </c>
      <c r="E216" s="145">
        <v>689</v>
      </c>
      <c r="F216" s="134" t="s">
        <v>1089</v>
      </c>
      <c r="G216" s="44">
        <v>2500000</v>
      </c>
      <c r="H216" s="42">
        <v>0</v>
      </c>
      <c r="I216" s="54">
        <f t="shared" si="5"/>
        <v>2500000</v>
      </c>
      <c r="J216" s="42">
        <v>0</v>
      </c>
      <c r="K216" s="45">
        <v>0</v>
      </c>
      <c r="L216" s="50">
        <f t="shared" si="6"/>
        <v>2500000</v>
      </c>
      <c r="M216" s="158">
        <v>0</v>
      </c>
      <c r="N216" s="159">
        <v>0</v>
      </c>
      <c r="O216" s="160">
        <f t="shared" si="7"/>
        <v>2500000</v>
      </c>
      <c r="P216" s="27" t="str">
        <f t="shared" si="284"/>
        <v>X</v>
      </c>
      <c r="Q216" s="170" t="s">
        <v>907</v>
      </c>
      <c r="S216" s="27" t="s">
        <v>1084</v>
      </c>
      <c r="U216" s="27" t="s">
        <v>1084</v>
      </c>
      <c r="V216" s="42">
        <f t="shared" si="8"/>
        <v>0</v>
      </c>
      <c r="W216" s="42">
        <f t="shared" si="9"/>
        <v>0</v>
      </c>
      <c r="X216" s="27" t="str">
        <f t="shared" si="10"/>
        <v>OK</v>
      </c>
      <c r="Z216" s="27"/>
      <c r="AA216" s="42">
        <f t="shared" si="11"/>
        <v>0</v>
      </c>
      <c r="AB216" s="42">
        <f t="shared" si="12"/>
        <v>0</v>
      </c>
      <c r="AC216" s="27" t="str">
        <f t="shared" si="13"/>
        <v>OK</v>
      </c>
      <c r="AE216" s="27" t="str">
        <f t="shared" si="14"/>
        <v>세입없음</v>
      </c>
      <c r="AG216" s="24">
        <f t="shared" si="265"/>
        <v>217</v>
      </c>
      <c r="AH216" s="65" t="str">
        <f t="shared" si="15"/>
        <v>OK</v>
      </c>
      <c r="AJ216" s="27" t="str">
        <f t="array" ref="AJ216">IF(C216="","",INDEX(구분표!$I$2:$I$300, MATCH(1,(구분표!$E$2:$E$300='2추일출'!B216)*(구분표!$F$2:$F$300='2추일출'!C216)*(구분표!$G$2:$G$300='2추일출'!A216),0)))</f>
        <v>0810</v>
      </c>
      <c r="AL216" s="27"/>
    </row>
    <row r="217" spans="1:38" ht="50.1" customHeight="1" x14ac:dyDescent="0.3">
      <c r="A217" s="33" t="str">
        <f>IFERROR(VLOOKUP($C217,구분표!$A$2:$C$300,2,FALSE),"")</f>
        <v>건설교통위원회</v>
      </c>
      <c r="B217" s="24" t="str">
        <f>IFERROR(VLOOKUP($C217,구분표!$A$2:$C$300,3,FALSE),"")</f>
        <v>건설국</v>
      </c>
      <c r="C217" s="31" t="s">
        <v>512</v>
      </c>
      <c r="D217" s="139" t="s">
        <v>779</v>
      </c>
      <c r="E217" s="144"/>
      <c r="F217" s="140" t="s">
        <v>908</v>
      </c>
      <c r="G217" s="44">
        <v>3000000</v>
      </c>
      <c r="H217" s="42">
        <v>3000000</v>
      </c>
      <c r="I217" s="54">
        <f t="shared" si="5"/>
        <v>0</v>
      </c>
      <c r="J217" s="42">
        <v>0</v>
      </c>
      <c r="K217" s="45">
        <v>4900000</v>
      </c>
      <c r="L217" s="50">
        <f t="shared" si="6"/>
        <v>7900000</v>
      </c>
      <c r="M217" s="158">
        <v>0</v>
      </c>
      <c r="N217" s="159">
        <v>4900000</v>
      </c>
      <c r="O217" s="160">
        <f t="shared" si="7"/>
        <v>7900000</v>
      </c>
      <c r="P217" s="27" t="str">
        <f t="shared" si="284"/>
        <v>X</v>
      </c>
      <c r="Q217" s="218"/>
      <c r="S217" s="27" t="s">
        <v>1084</v>
      </c>
      <c r="U217" s="27" t="s">
        <v>1084</v>
      </c>
      <c r="V217" s="42">
        <f t="shared" si="8"/>
        <v>0</v>
      </c>
      <c r="W217" s="42">
        <f t="shared" si="9"/>
        <v>4900000</v>
      </c>
      <c r="X217" s="27" t="str">
        <f t="shared" si="10"/>
        <v>OK</v>
      </c>
      <c r="Z217" s="27"/>
      <c r="AA217" s="42">
        <f t="shared" si="11"/>
        <v>0</v>
      </c>
      <c r="AB217" s="42">
        <f t="shared" si="12"/>
        <v>4900000</v>
      </c>
      <c r="AC217" s="27" t="str">
        <f t="shared" si="13"/>
        <v>OK</v>
      </c>
      <c r="AE217" s="27" t="str">
        <f t="shared" si="14"/>
        <v>세입없음</v>
      </c>
      <c r="AG217" s="24">
        <f t="shared" si="265"/>
        <v>217</v>
      </c>
      <c r="AH217" s="65" t="str">
        <f t="shared" si="15"/>
        <v>OK</v>
      </c>
      <c r="AJ217" s="27" t="str">
        <f t="array" ref="AJ217">IF(C217="","",INDEX(구분표!$I$2:$I$300, MATCH(1,(구분표!$E$2:$E$300='2추일출'!B217)*(구분표!$F$2:$F$300='2추일출'!C217)*(구분표!$G$2:$G$300='2추일출'!A217),0)))</f>
        <v>0810</v>
      </c>
      <c r="AL217" s="27"/>
    </row>
    <row r="218" spans="1:38" ht="50.1" customHeight="1" x14ac:dyDescent="0.3">
      <c r="A218" s="33" t="str">
        <f>IFERROR(VLOOKUP($C218,구분표!$A$2:$C$300,2,FALSE),"")</f>
        <v>건설교통위원회</v>
      </c>
      <c r="B218" s="24" t="str">
        <f>IFERROR(VLOOKUP($C218,구분표!$A$2:$C$300,3,FALSE),"")</f>
        <v>건설국</v>
      </c>
      <c r="C218" s="31" t="s">
        <v>512</v>
      </c>
      <c r="D218" s="139" t="s">
        <v>776</v>
      </c>
      <c r="E218" s="144">
        <v>690</v>
      </c>
      <c r="F218" s="140" t="s">
        <v>909</v>
      </c>
      <c r="G218" s="44">
        <v>7000000</v>
      </c>
      <c r="H218" s="42">
        <v>0</v>
      </c>
      <c r="I218" s="54">
        <f t="shared" ref="I218:I225" si="285">IF(D218="","",G218-H218)</f>
        <v>7000000</v>
      </c>
      <c r="J218" s="42">
        <v>-7000000</v>
      </c>
      <c r="K218" s="45">
        <v>0</v>
      </c>
      <c r="L218" s="50">
        <f t="shared" ref="L218:L225" si="286">IF(G218=0,H218+J218+K218,G218+J218+K218)</f>
        <v>0</v>
      </c>
      <c r="M218" s="42">
        <v>-7000000</v>
      </c>
      <c r="N218" s="45">
        <v>0</v>
      </c>
      <c r="O218" s="160">
        <f t="shared" ref="O218:O225" si="287">IF(G218=0,H218+M218+N218,G218+M218+N218)</f>
        <v>0</v>
      </c>
      <c r="P218" s="27" t="str">
        <f t="shared" si="284"/>
        <v>X</v>
      </c>
      <c r="Q218" s="222"/>
      <c r="S218" s="27" t="s">
        <v>1084</v>
      </c>
      <c r="U218" s="27" t="s">
        <v>1084</v>
      </c>
      <c r="V218" s="42">
        <f t="shared" si="8"/>
        <v>0</v>
      </c>
      <c r="W218" s="42">
        <f t="shared" si="9"/>
        <v>-7000000</v>
      </c>
      <c r="X218" s="27" t="str">
        <f t="shared" si="10"/>
        <v>OK</v>
      </c>
      <c r="Z218" s="27"/>
      <c r="AA218" s="42">
        <f t="shared" si="11"/>
        <v>0</v>
      </c>
      <c r="AB218" s="42">
        <f t="shared" ref="AB218:AB225" si="288">IF($U218="도비",SUM(M218:N218),IF($S218="국도비","직접입력",SUM(M218:N218)-AA218))</f>
        <v>-7000000</v>
      </c>
      <c r="AC218" s="27" t="str">
        <f t="shared" ref="AC218:AC225" si="289">IF(SUM(M218:N218)=SUM(AA218:AB218),"OK","검토")</f>
        <v>OK</v>
      </c>
      <c r="AE218" s="27" t="str">
        <f t="shared" ref="AE218:AE225" si="290">IF(U218="","",IF(U218="도비","세입없음","직접입력"))</f>
        <v>세입없음</v>
      </c>
      <c r="AG218" s="24">
        <f t="shared" si="265"/>
        <v>217</v>
      </c>
      <c r="AH218" s="65" t="str">
        <f t="shared" ref="AH218:AH225" si="291">IF(U218="","",IF(AND(U218="도비",AE218="세입없음"),"OK",IF(AND(U218&lt;&gt;"도비",AE218&lt;&gt;""),"OK","@@")))</f>
        <v>OK</v>
      </c>
      <c r="AJ218" s="27" t="str">
        <f t="array" ref="AJ218">IF(C218="","",INDEX(구분표!$I$2:$I$300, MATCH(1,(구분표!$E$2:$E$300='2추일출'!B218)*(구분표!$F$2:$F$300='2추일출'!C218)*(구분표!$G$2:$G$300='2추일출'!A218),0)))</f>
        <v>0810</v>
      </c>
      <c r="AL218" s="27"/>
    </row>
    <row r="219" spans="1:38" ht="50.1" customHeight="1" thickBot="1" x14ac:dyDescent="0.35">
      <c r="A219" s="33" t="str">
        <f>IFERROR(VLOOKUP($C219,구분표!$A$2:$C$300,2,FALSE),"")</f>
        <v>건설교통위원회</v>
      </c>
      <c r="B219" s="24" t="str">
        <f>IFERROR(VLOOKUP($C219,구분표!$A$2:$C$300,3,FALSE),"")</f>
        <v>건설국</v>
      </c>
      <c r="C219" s="31" t="s">
        <v>515</v>
      </c>
      <c r="D219" s="139" t="s">
        <v>779</v>
      </c>
      <c r="E219" s="144"/>
      <c r="F219" s="177" t="s">
        <v>910</v>
      </c>
      <c r="G219" s="44">
        <v>20860000</v>
      </c>
      <c r="H219" s="42">
        <v>16460000</v>
      </c>
      <c r="I219" s="54">
        <f t="shared" si="285"/>
        <v>4400000</v>
      </c>
      <c r="J219" s="42">
        <v>0</v>
      </c>
      <c r="K219" s="45">
        <v>4000000</v>
      </c>
      <c r="L219" s="50">
        <f t="shared" si="286"/>
        <v>24860000</v>
      </c>
      <c r="M219" s="158">
        <v>0</v>
      </c>
      <c r="N219" s="159">
        <v>4000000</v>
      </c>
      <c r="O219" s="160">
        <f t="shared" si="287"/>
        <v>24860000</v>
      </c>
      <c r="P219" s="27" t="str">
        <f t="shared" si="284"/>
        <v>X</v>
      </c>
      <c r="Q219" s="170" t="s">
        <v>1224</v>
      </c>
      <c r="S219" s="27" t="s">
        <v>1084</v>
      </c>
      <c r="U219" s="27" t="s">
        <v>1084</v>
      </c>
      <c r="V219" s="42">
        <f t="shared" si="8"/>
        <v>0</v>
      </c>
      <c r="W219" s="42">
        <f t="shared" si="9"/>
        <v>4000000</v>
      </c>
      <c r="X219" s="27" t="str">
        <f t="shared" si="10"/>
        <v>OK</v>
      </c>
      <c r="Z219" s="27"/>
      <c r="AA219" s="42">
        <f t="shared" si="11"/>
        <v>0</v>
      </c>
      <c r="AB219" s="42">
        <f t="shared" si="288"/>
        <v>4000000</v>
      </c>
      <c r="AC219" s="27" t="str">
        <f t="shared" si="289"/>
        <v>OK</v>
      </c>
      <c r="AE219" s="27" t="str">
        <f t="shared" si="290"/>
        <v>세입없음</v>
      </c>
      <c r="AG219" s="24">
        <f t="shared" si="265"/>
        <v>217</v>
      </c>
      <c r="AH219" s="65" t="str">
        <f t="shared" si="291"/>
        <v>OK</v>
      </c>
      <c r="AJ219" s="27" t="str">
        <f t="array" ref="AJ219">IF(C219="","",INDEX(구분표!$I$2:$I$300, MATCH(1,(구분표!$E$2:$E$300='2추일출'!B219)*(구분표!$F$2:$F$300='2추일출'!C219)*(구분표!$G$2:$G$300='2추일출'!A219),0)))</f>
        <v>0811</v>
      </c>
      <c r="AL219" s="27"/>
    </row>
    <row r="220" spans="1:38" ht="50.1" customHeight="1" thickTop="1" x14ac:dyDescent="0.3">
      <c r="A220" s="33" t="str">
        <f>IFERROR(VLOOKUP($C220,구분표!$A$2:$C$300,2,FALSE),"")</f>
        <v>건설교통위원회</v>
      </c>
      <c r="B220" s="24" t="str">
        <f>IFERROR(VLOOKUP($C220,구분표!$A$2:$C$300,3,FALSE),"")</f>
        <v>건설국</v>
      </c>
      <c r="C220" s="31" t="s">
        <v>515</v>
      </c>
      <c r="D220" s="137" t="s">
        <v>771</v>
      </c>
      <c r="E220" s="143" t="s">
        <v>832</v>
      </c>
      <c r="F220" s="184" t="s">
        <v>911</v>
      </c>
      <c r="G220" s="44">
        <v>0</v>
      </c>
      <c r="H220" s="42">
        <v>0</v>
      </c>
      <c r="I220" s="54">
        <f t="shared" si="285"/>
        <v>0</v>
      </c>
      <c r="J220" s="42">
        <v>0</v>
      </c>
      <c r="K220" s="45">
        <v>800000</v>
      </c>
      <c r="L220" s="50">
        <f t="shared" si="286"/>
        <v>800000</v>
      </c>
      <c r="M220" s="42"/>
      <c r="N220" s="159">
        <v>800000</v>
      </c>
      <c r="O220" s="160">
        <f t="shared" si="287"/>
        <v>800000</v>
      </c>
      <c r="P220" s="27" t="str">
        <f t="shared" si="284"/>
        <v>X</v>
      </c>
      <c r="Q220" s="170" t="s">
        <v>1312</v>
      </c>
      <c r="S220" s="27" t="s">
        <v>1084</v>
      </c>
      <c r="U220" s="27" t="s">
        <v>1084</v>
      </c>
      <c r="V220" s="42">
        <f t="shared" si="8"/>
        <v>0</v>
      </c>
      <c r="W220" s="42">
        <f t="shared" si="9"/>
        <v>800000</v>
      </c>
      <c r="X220" s="27" t="str">
        <f t="shared" si="10"/>
        <v>OK</v>
      </c>
      <c r="Z220" s="27"/>
      <c r="AA220" s="42">
        <f t="shared" si="11"/>
        <v>0</v>
      </c>
      <c r="AB220" s="42">
        <f t="shared" si="288"/>
        <v>800000</v>
      </c>
      <c r="AC220" s="27" t="str">
        <f t="shared" si="289"/>
        <v>OK</v>
      </c>
      <c r="AE220" s="27" t="str">
        <f t="shared" si="290"/>
        <v>세입없음</v>
      </c>
      <c r="AG220" s="24">
        <f t="shared" si="265"/>
        <v>217</v>
      </c>
      <c r="AH220" s="65" t="str">
        <f t="shared" si="291"/>
        <v>OK</v>
      </c>
      <c r="AJ220" s="27" t="str">
        <f t="array" ref="AJ220">IF(C220="","",INDEX(구분표!$I$2:$I$300, MATCH(1,(구분표!$E$2:$E$300='2추일출'!B220)*(구분표!$F$2:$F$300='2추일출'!C220)*(구분표!$G$2:$G$300='2추일출'!A220),0)))</f>
        <v>0811</v>
      </c>
      <c r="AL220" s="27"/>
    </row>
    <row r="221" spans="1:38" ht="50.1" customHeight="1" thickBot="1" x14ac:dyDescent="0.35">
      <c r="A221" s="33" t="str">
        <f>IFERROR(VLOOKUP($C221,구분표!$A$2:$C$300,2,FALSE),"")</f>
        <v>건설교통위원회</v>
      </c>
      <c r="B221" s="24" t="str">
        <f>IFERROR(VLOOKUP($C221,구분표!$A$2:$C$300,3,FALSE),"")</f>
        <v>건설국</v>
      </c>
      <c r="C221" s="31" t="s">
        <v>515</v>
      </c>
      <c r="D221" s="137" t="s">
        <v>771</v>
      </c>
      <c r="E221" s="143" t="s">
        <v>832</v>
      </c>
      <c r="F221" s="166" t="s">
        <v>911</v>
      </c>
      <c r="G221" s="44">
        <v>0</v>
      </c>
      <c r="H221" s="42">
        <v>0</v>
      </c>
      <c r="I221" s="54">
        <f t="shared" ref="I221" si="292">IF(D221="","",G221-H221)</f>
        <v>0</v>
      </c>
      <c r="J221" s="42">
        <v>0</v>
      </c>
      <c r="K221" s="45">
        <v>200000</v>
      </c>
      <c r="L221" s="50">
        <f t="shared" ref="L221" si="293">IF(G221=0,H221+J221+K221,G221+J221+K221)</f>
        <v>200000</v>
      </c>
      <c r="M221" s="42"/>
      <c r="N221" s="159">
        <v>200000</v>
      </c>
      <c r="O221" s="160">
        <f t="shared" ref="O221" si="294">IF(G221=0,H221+M221+N221,G221+M221+N221)</f>
        <v>200000</v>
      </c>
      <c r="P221" s="27" t="str">
        <f t="shared" si="284"/>
        <v>X</v>
      </c>
      <c r="Q221" s="170"/>
      <c r="S221" s="27" t="s">
        <v>662</v>
      </c>
      <c r="U221" s="27" t="s">
        <v>662</v>
      </c>
      <c r="V221" s="42">
        <f t="shared" si="8"/>
        <v>0</v>
      </c>
      <c r="W221" s="42">
        <f t="shared" si="9"/>
        <v>200000</v>
      </c>
      <c r="X221" s="27" t="str">
        <f t="shared" si="10"/>
        <v>OK</v>
      </c>
      <c r="Z221" s="27"/>
      <c r="AA221" s="42">
        <f t="shared" si="11"/>
        <v>0</v>
      </c>
      <c r="AB221" s="42">
        <f t="shared" ref="AB221" si="295">IF($U221="도비",SUM(M221:N221),IF($S221="국도비","직접입력",SUM(M221:N221)-AA221))</f>
        <v>200000</v>
      </c>
      <c r="AC221" s="27" t="str">
        <f t="shared" ref="AC221" si="296">IF(SUM(M221:N221)=SUM(AA221:AB221),"OK","검토")</f>
        <v>OK</v>
      </c>
      <c r="AE221" s="27" t="str">
        <f t="shared" ref="AE221" si="297">IF(U221="","",IF(U221="도비","세입없음","직접입력"))</f>
        <v>세입없음</v>
      </c>
      <c r="AG221" s="24">
        <f t="shared" si="265"/>
        <v>217</v>
      </c>
      <c r="AH221" s="65" t="str">
        <f t="shared" ref="AH221" si="298">IF(U221="","",IF(AND(U221="도비",AE221="세입없음"),"OK",IF(AND(U221&lt;&gt;"도비",AE221&lt;&gt;""),"OK","@@")))</f>
        <v>OK</v>
      </c>
      <c r="AJ221" s="27" t="str">
        <f t="array" ref="AJ221">IF(C221="","",INDEX(구분표!$I$2:$I$300, MATCH(1,(구분표!$E$2:$E$300='2추일출'!B221)*(구분표!$F$2:$F$300='2추일출'!C221)*(구분표!$G$2:$G$300='2추일출'!A221),0)))</f>
        <v>0811</v>
      </c>
      <c r="AL221" s="27"/>
    </row>
    <row r="222" spans="1:38" ht="60" customHeight="1" thickTop="1" x14ac:dyDescent="0.3">
      <c r="A222" s="33" t="str">
        <f>IFERROR(VLOOKUP($C222,구분표!$A$2:$C$300,2,FALSE),"")</f>
        <v>건설교통위원회</v>
      </c>
      <c r="B222" s="24" t="str">
        <f>IFERROR(VLOOKUP($C222,구분표!$A$2:$C$300,3,FALSE),"")</f>
        <v>건설본부</v>
      </c>
      <c r="C222" s="31" t="s">
        <v>534</v>
      </c>
      <c r="D222" s="139" t="s">
        <v>776</v>
      </c>
      <c r="E222" s="144">
        <v>706</v>
      </c>
      <c r="F222" s="179" t="s">
        <v>912</v>
      </c>
      <c r="G222" s="44">
        <v>30000000</v>
      </c>
      <c r="H222" s="42">
        <v>0</v>
      </c>
      <c r="I222" s="54">
        <f t="shared" si="285"/>
        <v>30000000</v>
      </c>
      <c r="J222" s="42">
        <v>0</v>
      </c>
      <c r="K222" s="45">
        <v>0</v>
      </c>
      <c r="L222" s="50">
        <f t="shared" si="286"/>
        <v>30000000</v>
      </c>
      <c r="M222" s="158">
        <v>0</v>
      </c>
      <c r="N222" s="159">
        <v>0</v>
      </c>
      <c r="O222" s="160">
        <f t="shared" si="287"/>
        <v>30000000</v>
      </c>
      <c r="P222" s="27" t="str">
        <f t="shared" si="284"/>
        <v>X</v>
      </c>
      <c r="Q222" s="170" t="s">
        <v>1311</v>
      </c>
      <c r="S222" s="27" t="s">
        <v>1084</v>
      </c>
      <c r="U222" s="27" t="s">
        <v>1084</v>
      </c>
      <c r="V222" s="42">
        <f t="shared" si="8"/>
        <v>0</v>
      </c>
      <c r="W222" s="42">
        <f t="shared" si="9"/>
        <v>0</v>
      </c>
      <c r="X222" s="27" t="str">
        <f t="shared" si="10"/>
        <v>OK</v>
      </c>
      <c r="Z222" s="27"/>
      <c r="AA222" s="42">
        <f t="shared" si="11"/>
        <v>0</v>
      </c>
      <c r="AB222" s="42">
        <f t="shared" si="288"/>
        <v>0</v>
      </c>
      <c r="AC222" s="27" t="str">
        <f t="shared" si="289"/>
        <v>OK</v>
      </c>
      <c r="AE222" s="27" t="str">
        <f t="shared" si="290"/>
        <v>세입없음</v>
      </c>
      <c r="AG222" s="24">
        <f t="shared" si="265"/>
        <v>217</v>
      </c>
      <c r="AH222" s="65" t="str">
        <f t="shared" si="291"/>
        <v>OK</v>
      </c>
      <c r="AJ222" s="27" t="str">
        <f t="array" ref="AJ222">IF(C222="","",INDEX(구분표!$I$2:$I$300, MATCH(1,(구분표!$E$2:$E$300='2추일출'!B222)*(구분표!$F$2:$F$300='2추일출'!C222)*(구분표!$G$2:$G$300='2추일출'!A222),0)))</f>
        <v>0817</v>
      </c>
      <c r="AL222" s="27"/>
    </row>
    <row r="223" spans="1:38" ht="50.1" customHeight="1" x14ac:dyDescent="0.3">
      <c r="A223" s="33" t="str">
        <f>IFERROR(VLOOKUP($C223,구분표!$A$2:$C$300,2,FALSE),"")</f>
        <v>건설교통위원회</v>
      </c>
      <c r="B223" s="24" t="str">
        <f>IFERROR(VLOOKUP($C223,구분표!$A$2:$C$300,3,FALSE),"")</f>
        <v>건설본부</v>
      </c>
      <c r="C223" s="31" t="s">
        <v>525</v>
      </c>
      <c r="D223" s="137" t="s">
        <v>779</v>
      </c>
      <c r="E223" s="143" t="s">
        <v>832</v>
      </c>
      <c r="F223" s="138" t="s">
        <v>913</v>
      </c>
      <c r="G223" s="44">
        <v>8796422</v>
      </c>
      <c r="H223" s="42">
        <v>8796422</v>
      </c>
      <c r="I223" s="54">
        <f t="shared" si="285"/>
        <v>0</v>
      </c>
      <c r="J223" s="42">
        <v>0</v>
      </c>
      <c r="K223" s="45">
        <v>500000</v>
      </c>
      <c r="L223" s="50">
        <f t="shared" si="286"/>
        <v>9296422</v>
      </c>
      <c r="M223" s="42"/>
      <c r="N223" s="159">
        <v>500000</v>
      </c>
      <c r="O223" s="160">
        <f t="shared" si="287"/>
        <v>9296422</v>
      </c>
      <c r="P223" s="27" t="str">
        <f t="shared" si="284"/>
        <v>X</v>
      </c>
      <c r="Q223" s="170"/>
      <c r="S223" s="27" t="s">
        <v>1084</v>
      </c>
      <c r="U223" s="27" t="s">
        <v>1084</v>
      </c>
      <c r="V223" s="42">
        <f t="shared" si="8"/>
        <v>0</v>
      </c>
      <c r="W223" s="42">
        <f t="shared" si="9"/>
        <v>500000</v>
      </c>
      <c r="X223" s="27" t="str">
        <f t="shared" si="10"/>
        <v>OK</v>
      </c>
      <c r="Z223" s="27"/>
      <c r="AA223" s="42">
        <f t="shared" si="11"/>
        <v>0</v>
      </c>
      <c r="AB223" s="42">
        <f t="shared" si="288"/>
        <v>500000</v>
      </c>
      <c r="AC223" s="27" t="str">
        <f t="shared" si="289"/>
        <v>OK</v>
      </c>
      <c r="AE223" s="27" t="str">
        <f t="shared" si="290"/>
        <v>세입없음</v>
      </c>
      <c r="AG223" s="24">
        <f t="shared" si="265"/>
        <v>217</v>
      </c>
      <c r="AH223" s="65" t="str">
        <f t="shared" si="291"/>
        <v>OK</v>
      </c>
      <c r="AJ223" s="27" t="str">
        <f t="array" ref="AJ223">IF(C223="","",INDEX(구분표!$I$2:$I$300, MATCH(1,(구분표!$E$2:$E$300='2추일출'!B223)*(구분표!$F$2:$F$300='2추일출'!C223)*(구분표!$G$2:$G$300='2추일출'!A223),0)))</f>
        <v>0814</v>
      </c>
      <c r="AL223" s="27"/>
    </row>
    <row r="224" spans="1:38" ht="50.1" customHeight="1" x14ac:dyDescent="0.3">
      <c r="A224" s="33" t="str">
        <f>IFERROR(VLOOKUP($C224,구분표!$A$2:$C$300,2,FALSE),"")</f>
        <v>건설교통위원회</v>
      </c>
      <c r="B224" s="24" t="str">
        <f>IFERROR(VLOOKUP($C224,구분표!$A$2:$C$300,3,FALSE),"")</f>
        <v>건설본부</v>
      </c>
      <c r="C224" s="31" t="s">
        <v>528</v>
      </c>
      <c r="D224" s="137" t="s">
        <v>779</v>
      </c>
      <c r="E224" s="143" t="s">
        <v>832</v>
      </c>
      <c r="F224" s="138" t="s">
        <v>914</v>
      </c>
      <c r="G224" s="44">
        <v>4943578</v>
      </c>
      <c r="H224" s="42">
        <v>4943578</v>
      </c>
      <c r="I224" s="54">
        <f t="shared" si="285"/>
        <v>0</v>
      </c>
      <c r="J224" s="42">
        <v>0</v>
      </c>
      <c r="K224" s="45">
        <v>300000</v>
      </c>
      <c r="L224" s="50">
        <f t="shared" si="286"/>
        <v>5243578</v>
      </c>
      <c r="M224" s="42"/>
      <c r="N224" s="159">
        <v>300000</v>
      </c>
      <c r="O224" s="160">
        <f t="shared" si="287"/>
        <v>5243578</v>
      </c>
      <c r="P224" s="27" t="str">
        <f t="shared" si="284"/>
        <v>X</v>
      </c>
      <c r="Q224" s="170"/>
      <c r="S224" s="27" t="s">
        <v>1084</v>
      </c>
      <c r="U224" s="27" t="s">
        <v>1084</v>
      </c>
      <c r="V224" s="42">
        <f t="shared" si="8"/>
        <v>0</v>
      </c>
      <c r="W224" s="42">
        <f t="shared" si="9"/>
        <v>300000</v>
      </c>
      <c r="X224" s="27" t="str">
        <f t="shared" si="10"/>
        <v>OK</v>
      </c>
      <c r="Z224" s="27"/>
      <c r="AA224" s="42">
        <f t="shared" si="11"/>
        <v>0</v>
      </c>
      <c r="AB224" s="42">
        <f t="shared" si="288"/>
        <v>300000</v>
      </c>
      <c r="AC224" s="27" t="str">
        <f t="shared" si="289"/>
        <v>OK</v>
      </c>
      <c r="AE224" s="27" t="str">
        <f t="shared" si="290"/>
        <v>세입없음</v>
      </c>
      <c r="AG224" s="24">
        <f t="shared" si="265"/>
        <v>217</v>
      </c>
      <c r="AH224" s="65" t="str">
        <f t="shared" si="291"/>
        <v>OK</v>
      </c>
      <c r="AJ224" s="27" t="str">
        <f t="array" ref="AJ224">IF(C224="","",INDEX(구분표!$I$2:$I$300, MATCH(1,(구분표!$E$2:$E$300='2추일출'!B224)*(구분표!$F$2:$F$300='2추일출'!C224)*(구분표!$G$2:$G$300='2추일출'!A224),0)))</f>
        <v>0815</v>
      </c>
      <c r="AL224" s="27"/>
    </row>
    <row r="225" spans="1:38" ht="50.1" customHeight="1" x14ac:dyDescent="0.3">
      <c r="A225" s="33" t="str">
        <f>IFERROR(VLOOKUP($C225,구분표!$A$2:$C$300,2,FALSE),"")</f>
        <v>건설교통위원회</v>
      </c>
      <c r="B225" s="24" t="s">
        <v>956</v>
      </c>
      <c r="C225" s="31" t="s">
        <v>508</v>
      </c>
      <c r="D225" s="137" t="s">
        <v>771</v>
      </c>
      <c r="E225" s="143" t="s">
        <v>832</v>
      </c>
      <c r="F225" s="138" t="s">
        <v>955</v>
      </c>
      <c r="G225" s="44"/>
      <c r="H225" s="42"/>
      <c r="I225" s="54">
        <f t="shared" si="285"/>
        <v>0</v>
      </c>
      <c r="J225" s="42"/>
      <c r="K225" s="45">
        <v>1600000</v>
      </c>
      <c r="L225" s="50">
        <f t="shared" si="286"/>
        <v>1600000</v>
      </c>
      <c r="M225" s="42"/>
      <c r="N225" s="159">
        <v>1600000</v>
      </c>
      <c r="O225" s="160">
        <f t="shared" si="287"/>
        <v>1600000</v>
      </c>
      <c r="P225" s="27" t="str">
        <f t="shared" si="284"/>
        <v>X</v>
      </c>
      <c r="Q225" s="170"/>
      <c r="S225" s="27" t="s">
        <v>1084</v>
      </c>
      <c r="U225" s="27" t="s">
        <v>1084</v>
      </c>
      <c r="V225" s="42">
        <f t="shared" ref="V225:V230" si="299">IF($U225&lt;&gt;"도비",IF($S225="국도비","직접입력",SUM($J225:$K225)),)</f>
        <v>0</v>
      </c>
      <c r="W225" s="42">
        <f t="shared" ref="W225:W230" si="300">IF($U225="도비",SUM($J225:$K225),IF($S225="국도비","직접입력",SUM($J225:$K225)-$V225))</f>
        <v>1600000</v>
      </c>
      <c r="X225" s="27" t="str">
        <f t="shared" ref="X225:X230" si="301">IF(SUM($J225:$K225)=SUM($V225:$W225),"OK","검토")</f>
        <v>OK</v>
      </c>
      <c r="Z225" s="27"/>
      <c r="AA225" s="42">
        <f t="shared" ref="AA225:AA230" si="302">IF($U225&lt;&gt;"도비",IF($S225="국도비","직접입력",SUM($M225:$N225)),)</f>
        <v>0</v>
      </c>
      <c r="AB225" s="42">
        <f t="shared" si="288"/>
        <v>1600000</v>
      </c>
      <c r="AC225" s="27" t="str">
        <f t="shared" si="289"/>
        <v>OK</v>
      </c>
      <c r="AE225" s="27" t="str">
        <f t="shared" si="290"/>
        <v>세입없음</v>
      </c>
      <c r="AG225" s="24">
        <f t="shared" si="265"/>
        <v>217</v>
      </c>
      <c r="AH225" s="65" t="str">
        <f t="shared" si="291"/>
        <v>OK</v>
      </c>
      <c r="AJ225" s="27" t="str">
        <f t="array" ref="AJ225">IF(C225="","",INDEX(구분표!$I$2:$I$300, MATCH(1,(구분표!$E$2:$E$300='2추일출'!B225)*(구분표!$F$2:$F$300='2추일출'!C225)*(구분표!$G$2:$G$300='2추일출'!A225),0)))</f>
        <v>0809</v>
      </c>
      <c r="AL225" s="27"/>
    </row>
    <row r="226" spans="1:38" ht="50.1" customHeight="1" x14ac:dyDescent="0.3">
      <c r="A226" s="33" t="str">
        <f>IFERROR(VLOOKUP($C226,구분표!$A$2:$C$300,2,FALSE),"")</f>
        <v>건설교통위원회</v>
      </c>
      <c r="B226" s="24" t="str">
        <f>IFERROR(VLOOKUP($C226,구분표!$A$2:$C$300,3,FALSE),"")</f>
        <v>교통국</v>
      </c>
      <c r="C226" s="31" t="s">
        <v>502</v>
      </c>
      <c r="D226" s="139" t="s">
        <v>776</v>
      </c>
      <c r="E226" s="144">
        <v>672</v>
      </c>
      <c r="F226" s="140" t="s">
        <v>1090</v>
      </c>
      <c r="G226" s="44">
        <v>300000</v>
      </c>
      <c r="H226" s="42"/>
      <c r="I226" s="54">
        <f t="shared" ref="I226:I228" si="303">IF(D226="","",G226-H226)</f>
        <v>300000</v>
      </c>
      <c r="J226" s="42"/>
      <c r="K226" s="45"/>
      <c r="L226" s="50">
        <f t="shared" ref="L226:L228" si="304">IF(G226=0,H226+J226+K226,G226+J226+K226)</f>
        <v>300000</v>
      </c>
      <c r="M226" s="158">
        <v>-300000</v>
      </c>
      <c r="N226" s="159">
        <v>0</v>
      </c>
      <c r="O226" s="160">
        <f t="shared" ref="O226:O228" si="305">IF(G226=0,H226+M226+N226,G226+M226+N226)</f>
        <v>0</v>
      </c>
      <c r="P226" s="27" t="str">
        <f t="shared" si="284"/>
        <v>X</v>
      </c>
      <c r="Q226" s="170"/>
      <c r="S226" s="27" t="s">
        <v>1084</v>
      </c>
      <c r="U226" s="27" t="s">
        <v>1084</v>
      </c>
      <c r="V226" s="42">
        <f t="shared" si="299"/>
        <v>0</v>
      </c>
      <c r="W226" s="42">
        <f t="shared" si="300"/>
        <v>0</v>
      </c>
      <c r="X226" s="27" t="str">
        <f t="shared" si="301"/>
        <v>OK</v>
      </c>
      <c r="Z226" s="27"/>
      <c r="AA226" s="42">
        <f t="shared" si="302"/>
        <v>0</v>
      </c>
      <c r="AB226" s="42">
        <f t="shared" ref="AB226:AB230" si="306">IF($U226="도비",SUM(M226:N226),IF($S226="국도비","직접입력",SUM(M226:N226)-AA226))</f>
        <v>-300000</v>
      </c>
      <c r="AC226" s="27" t="str">
        <f t="shared" ref="AC226:AC230" si="307">IF(SUM(M226:N226)=SUM(AA226:AB226),"OK","검토")</f>
        <v>OK</v>
      </c>
      <c r="AE226" s="27" t="str">
        <f t="shared" ref="AE226:AE230" si="308">IF(U226="","",IF(U226="도비","세입없음","직접입력"))</f>
        <v>세입없음</v>
      </c>
      <c r="AG226" s="24">
        <f t="shared" si="265"/>
        <v>217</v>
      </c>
      <c r="AH226" s="65" t="str">
        <f t="shared" ref="AH226:AH230" si="309">IF(U226="","",IF(AND(U226="도비",AE226="세입없음"),"OK",IF(AND(U226&lt;&gt;"도비",AE226&lt;&gt;""),"OK","@@")))</f>
        <v>OK</v>
      </c>
      <c r="AJ226" s="27" t="str">
        <f t="array" ref="AJ226">IF(C226="","",INDEX(구분표!$I$2:$I$300, MATCH(1,(구분표!$E$2:$E$300='2추일출'!B226)*(구분표!$F$2:$F$300='2추일출'!C226)*(구분표!$G$2:$G$300='2추일출'!A226),0)))</f>
        <v>0807</v>
      </c>
      <c r="AL226" s="27"/>
    </row>
    <row r="227" spans="1:38" ht="50.1" customHeight="1" x14ac:dyDescent="0.3">
      <c r="A227" s="33" t="str">
        <f>IFERROR(VLOOKUP($C227,구분표!$A$2:$C$300,2,FALSE),"")</f>
        <v>건설교통위원회</v>
      </c>
      <c r="B227" s="24" t="str">
        <f>IFERROR(VLOOKUP($C227,구분표!$A$2:$C$300,3,FALSE),"")</f>
        <v>건설국</v>
      </c>
      <c r="C227" s="31" t="s">
        <v>512</v>
      </c>
      <c r="D227" s="139" t="s">
        <v>776</v>
      </c>
      <c r="E227" s="144">
        <v>690</v>
      </c>
      <c r="F227" s="140" t="s">
        <v>1091</v>
      </c>
      <c r="G227" s="44">
        <v>3500000</v>
      </c>
      <c r="H227" s="42"/>
      <c r="I227" s="54">
        <f t="shared" si="303"/>
        <v>3500000</v>
      </c>
      <c r="J227" s="42"/>
      <c r="K227" s="45"/>
      <c r="L227" s="50">
        <f t="shared" si="304"/>
        <v>3500000</v>
      </c>
      <c r="M227" s="158">
        <v>-2000000</v>
      </c>
      <c r="N227" s="159">
        <v>0</v>
      </c>
      <c r="O227" s="160">
        <f t="shared" si="305"/>
        <v>1500000</v>
      </c>
      <c r="P227" s="27" t="str">
        <f t="shared" si="284"/>
        <v>X</v>
      </c>
      <c r="Q227" s="218"/>
      <c r="S227" s="27" t="s">
        <v>1084</v>
      </c>
      <c r="U227" s="27" t="s">
        <v>1084</v>
      </c>
      <c r="V227" s="42">
        <f t="shared" si="299"/>
        <v>0</v>
      </c>
      <c r="W227" s="42">
        <f t="shared" si="300"/>
        <v>0</v>
      </c>
      <c r="X227" s="27" t="str">
        <f t="shared" si="301"/>
        <v>OK</v>
      </c>
      <c r="Z227" s="27"/>
      <c r="AA227" s="42">
        <f t="shared" si="302"/>
        <v>0</v>
      </c>
      <c r="AB227" s="42">
        <f t="shared" si="306"/>
        <v>-2000000</v>
      </c>
      <c r="AC227" s="27" t="str">
        <f t="shared" si="307"/>
        <v>OK</v>
      </c>
      <c r="AE227" s="27" t="str">
        <f t="shared" si="308"/>
        <v>세입없음</v>
      </c>
      <c r="AG227" s="24">
        <f t="shared" si="265"/>
        <v>217</v>
      </c>
      <c r="AH227" s="65" t="str">
        <f t="shared" si="309"/>
        <v>OK</v>
      </c>
      <c r="AJ227" s="27" t="str">
        <f t="array" ref="AJ227">IF(C227="","",INDEX(구분표!$I$2:$I$300, MATCH(1,(구분표!$E$2:$E$300='2추일출'!B227)*(구분표!$F$2:$F$300='2추일출'!C227)*(구분표!$G$2:$G$300='2추일출'!A227),0)))</f>
        <v>0810</v>
      </c>
      <c r="AL227" s="27"/>
    </row>
    <row r="228" spans="1:38" ht="50.1" customHeight="1" x14ac:dyDescent="0.3">
      <c r="A228" s="33" t="str">
        <f>IFERROR(VLOOKUP($C228,구분표!$A$2:$C$300,2,FALSE),"")</f>
        <v>건설교통위원회</v>
      </c>
      <c r="B228" s="24" t="str">
        <f>IFERROR(VLOOKUP($C228,구분표!$A$2:$C$300,3,FALSE),"")</f>
        <v>건설국</v>
      </c>
      <c r="C228" s="31" t="s">
        <v>512</v>
      </c>
      <c r="D228" s="139" t="s">
        <v>776</v>
      </c>
      <c r="E228" s="144">
        <v>687</v>
      </c>
      <c r="F228" s="140" t="s">
        <v>1092</v>
      </c>
      <c r="G228" s="44">
        <v>14000000</v>
      </c>
      <c r="H228" s="42">
        <v>9000000</v>
      </c>
      <c r="I228" s="54">
        <f t="shared" si="303"/>
        <v>5000000</v>
      </c>
      <c r="J228" s="42"/>
      <c r="K228" s="45"/>
      <c r="L228" s="50">
        <f t="shared" si="304"/>
        <v>14000000</v>
      </c>
      <c r="M228" s="158">
        <v>-5000000</v>
      </c>
      <c r="N228" s="159">
        <v>0</v>
      </c>
      <c r="O228" s="160">
        <f t="shared" si="305"/>
        <v>9000000</v>
      </c>
      <c r="P228" s="27" t="str">
        <f t="shared" si="284"/>
        <v>X</v>
      </c>
      <c r="Q228" s="170"/>
      <c r="S228" s="27" t="s">
        <v>1084</v>
      </c>
      <c r="U228" s="27" t="s">
        <v>1084</v>
      </c>
      <c r="V228" s="42">
        <f t="shared" si="299"/>
        <v>0</v>
      </c>
      <c r="W228" s="42">
        <f t="shared" si="300"/>
        <v>0</v>
      </c>
      <c r="X228" s="27" t="str">
        <f t="shared" si="301"/>
        <v>OK</v>
      </c>
      <c r="Z228" s="27"/>
      <c r="AA228" s="42">
        <f t="shared" si="302"/>
        <v>0</v>
      </c>
      <c r="AB228" s="42">
        <f t="shared" si="306"/>
        <v>-5000000</v>
      </c>
      <c r="AC228" s="27" t="str">
        <f t="shared" si="307"/>
        <v>OK</v>
      </c>
      <c r="AE228" s="27" t="str">
        <f t="shared" si="308"/>
        <v>세입없음</v>
      </c>
      <c r="AG228" s="24">
        <f t="shared" si="265"/>
        <v>217</v>
      </c>
      <c r="AH228" s="65" t="str">
        <f t="shared" si="309"/>
        <v>OK</v>
      </c>
      <c r="AJ228" s="27" t="str">
        <f t="array" ref="AJ228">IF(C228="","",INDEX(구분표!$I$2:$I$300, MATCH(1,(구분표!$E$2:$E$300='2추일출'!B228)*(구분표!$F$2:$F$300='2추일출'!C228)*(구분표!$G$2:$G$300='2추일출'!A228),0)))</f>
        <v>0810</v>
      </c>
      <c r="AL228" s="27"/>
    </row>
    <row r="229" spans="1:38" ht="50.1" customHeight="1" x14ac:dyDescent="0.3">
      <c r="A229" s="33" t="str">
        <f>IFERROR(VLOOKUP($C229,구분표!$A$2:$C$300,2,FALSE),"")</f>
        <v>건설교통위원회</v>
      </c>
      <c r="B229" s="24" t="str">
        <f>IFERROR(VLOOKUP($C229,구분표!$A$2:$C$300,3,FALSE),"")</f>
        <v>건설국</v>
      </c>
      <c r="C229" s="31" t="s">
        <v>512</v>
      </c>
      <c r="D229" s="139" t="s">
        <v>776</v>
      </c>
      <c r="E229" s="144">
        <v>688</v>
      </c>
      <c r="F229" s="140" t="s">
        <v>1093</v>
      </c>
      <c r="G229" s="44">
        <v>4500000</v>
      </c>
      <c r="H229" s="42">
        <v>2000000</v>
      </c>
      <c r="I229" s="54">
        <f t="shared" ref="I229:I230" si="310">IF(D229="","",G229-H229)</f>
        <v>2500000</v>
      </c>
      <c r="J229" s="42"/>
      <c r="K229" s="45"/>
      <c r="L229" s="50">
        <f t="shared" ref="L229:L230" si="311">IF(G229=0,H229+J229+K229,G229+J229+K229)</f>
        <v>4500000</v>
      </c>
      <c r="M229" s="158">
        <v>-2500000</v>
      </c>
      <c r="N229" s="159">
        <v>0</v>
      </c>
      <c r="O229" s="160">
        <f t="shared" ref="O229:O230" si="312">IF(G229=0,H229+M229+N229,G229+M229+N229)</f>
        <v>2000000</v>
      </c>
      <c r="P229" s="27" t="str">
        <f t="shared" ref="P229:P230" si="313">IF(AND((L229=0),(O229&gt;0)),"O",IF(AND((J229&lt;0),(L229-O229&lt;0)),"O","X"))</f>
        <v>X</v>
      </c>
      <c r="Q229" s="170"/>
      <c r="S229" s="27" t="s">
        <v>662</v>
      </c>
      <c r="U229" s="27" t="s">
        <v>662</v>
      </c>
      <c r="V229" s="42">
        <f t="shared" si="299"/>
        <v>0</v>
      </c>
      <c r="W229" s="42">
        <f t="shared" si="300"/>
        <v>0</v>
      </c>
      <c r="X229" s="27" t="str">
        <f t="shared" si="301"/>
        <v>OK</v>
      </c>
      <c r="Z229" s="27"/>
      <c r="AA229" s="42">
        <f t="shared" si="302"/>
        <v>0</v>
      </c>
      <c r="AB229" s="42">
        <f t="shared" ref="AB229" si="314">IF($U229="도비",SUM(M229:N229),IF($S229="국도비","직접입력",SUM(M229:N229)-AA229))</f>
        <v>-2500000</v>
      </c>
      <c r="AC229" s="27" t="str">
        <f t="shared" ref="AC229" si="315">IF(SUM(M229:N229)=SUM(AA229:AB229),"OK","검토")</f>
        <v>OK</v>
      </c>
      <c r="AE229" s="27" t="str">
        <f t="shared" ref="AE229" si="316">IF(U229="","",IF(U229="도비","세입없음","직접입력"))</f>
        <v>세입없음</v>
      </c>
      <c r="AG229" s="24">
        <f t="shared" si="265"/>
        <v>217</v>
      </c>
      <c r="AH229" s="65" t="str">
        <f t="shared" ref="AH229" si="317">IF(U229="","",IF(AND(U229="도비",AE229="세입없음"),"OK",IF(AND(U229&lt;&gt;"도비",AE229&lt;&gt;""),"OK","@@")))</f>
        <v>OK</v>
      </c>
      <c r="AJ229" s="27" t="str">
        <f t="array" ref="AJ229">IF(C229="","",INDEX(구분표!$I$2:$I$300, MATCH(1,(구분표!$E$2:$E$300='2추일출'!B229)*(구분표!$F$2:$F$300='2추일출'!C229)*(구분표!$G$2:$G$300='2추일출'!A229),0)))</f>
        <v>0810</v>
      </c>
      <c r="AL229" s="27"/>
    </row>
    <row r="230" spans="1:38" ht="50.1" customHeight="1" x14ac:dyDescent="0.3">
      <c r="A230" s="33" t="str">
        <f>IFERROR(VLOOKUP($C230,구분표!$A$2:$C$300,2,FALSE),"")</f>
        <v>건설교통위원회</v>
      </c>
      <c r="B230" s="24" t="str">
        <f>IFERROR(VLOOKUP($C230,구분표!$A$2:$C$300,3,FALSE),"")</f>
        <v>건설국</v>
      </c>
      <c r="C230" s="31" t="s">
        <v>1216</v>
      </c>
      <c r="D230" s="137" t="s">
        <v>771</v>
      </c>
      <c r="E230" s="143" t="s">
        <v>832</v>
      </c>
      <c r="F230" s="138" t="s">
        <v>1292</v>
      </c>
      <c r="G230" s="44">
        <v>0</v>
      </c>
      <c r="H230" s="42">
        <v>0</v>
      </c>
      <c r="I230" s="54">
        <f t="shared" si="310"/>
        <v>0</v>
      </c>
      <c r="J230" s="42"/>
      <c r="K230" s="45">
        <v>400000</v>
      </c>
      <c r="L230" s="50">
        <f t="shared" si="311"/>
        <v>400000</v>
      </c>
      <c r="M230" s="42"/>
      <c r="N230" s="159">
        <v>400000</v>
      </c>
      <c r="O230" s="160">
        <f t="shared" si="312"/>
        <v>400000</v>
      </c>
      <c r="P230" s="27" t="str">
        <f t="shared" si="313"/>
        <v>X</v>
      </c>
      <c r="Q230" s="170"/>
      <c r="S230" s="27" t="s">
        <v>1084</v>
      </c>
      <c r="U230" s="27" t="s">
        <v>1084</v>
      </c>
      <c r="V230" s="42">
        <f t="shared" si="299"/>
        <v>0</v>
      </c>
      <c r="W230" s="42">
        <f t="shared" si="300"/>
        <v>400000</v>
      </c>
      <c r="X230" s="27" t="str">
        <f t="shared" si="301"/>
        <v>OK</v>
      </c>
      <c r="Z230" s="27"/>
      <c r="AA230" s="42">
        <f t="shared" si="302"/>
        <v>0</v>
      </c>
      <c r="AB230" s="42">
        <f t="shared" si="306"/>
        <v>400000</v>
      </c>
      <c r="AC230" s="27" t="str">
        <f t="shared" si="307"/>
        <v>OK</v>
      </c>
      <c r="AE230" s="27" t="str">
        <f t="shared" si="308"/>
        <v>세입없음</v>
      </c>
      <c r="AG230" s="24">
        <f t="shared" si="265"/>
        <v>217</v>
      </c>
      <c r="AH230" s="65" t="str">
        <f t="shared" si="309"/>
        <v>OK</v>
      </c>
      <c r="AJ230" s="27" t="str">
        <f t="array" ref="AJ230">IF(C230="","",INDEX(구분표!$I$2:$I$300, MATCH(1,(구분표!$E$2:$E$300='2추일출'!B230)*(구분표!$F$2:$F$300='2추일출'!C230)*(구분표!$G$2:$G$300='2추일출'!A230),0)))</f>
        <v>0811</v>
      </c>
      <c r="AL230" s="27"/>
    </row>
    <row r="231" spans="1:38" ht="50.1" customHeight="1" x14ac:dyDescent="0.3">
      <c r="A231" s="57" t="s">
        <v>683</v>
      </c>
      <c r="B231" s="58"/>
      <c r="C231" s="59"/>
      <c r="D231" s="58"/>
      <c r="E231" s="59"/>
      <c r="F231" s="136"/>
      <c r="G231" s="60">
        <f t="shared" ref="G231:O231" si="318">SUM(G232:G253)</f>
        <v>490909247</v>
      </c>
      <c r="H231" s="60">
        <f t="shared" si="318"/>
        <v>496309691</v>
      </c>
      <c r="I231" s="60">
        <f t="shared" si="318"/>
        <v>-5400444</v>
      </c>
      <c r="J231" s="60">
        <f t="shared" si="318"/>
        <v>-9805000</v>
      </c>
      <c r="K231" s="60">
        <f t="shared" si="318"/>
        <v>24295392</v>
      </c>
      <c r="L231" s="60">
        <f t="shared" si="318"/>
        <v>505399639</v>
      </c>
      <c r="M231" s="60">
        <f t="shared" si="318"/>
        <v>-9705000</v>
      </c>
      <c r="N231" s="60">
        <f t="shared" si="318"/>
        <v>24295392</v>
      </c>
      <c r="O231" s="60">
        <f t="shared" si="318"/>
        <v>505499639</v>
      </c>
      <c r="P231" s="61"/>
      <c r="Q231" s="224"/>
      <c r="S231" s="27"/>
      <c r="U231" s="27"/>
      <c r="V231" s="42"/>
      <c r="W231" s="42"/>
      <c r="X231" s="27"/>
      <c r="Z231" s="27"/>
      <c r="AA231" s="42"/>
      <c r="AB231" s="42"/>
      <c r="AC231" s="27"/>
      <c r="AE231" s="27" t="str">
        <f t="shared" si="14"/>
        <v/>
      </c>
      <c r="AG231" s="24" t="str">
        <f t="shared" si="265"/>
        <v/>
      </c>
      <c r="AH231" s="65" t="str">
        <f t="shared" si="15"/>
        <v/>
      </c>
      <c r="AJ231" s="27" t="str">
        <f t="array" ref="AJ231">IF(C231="","",INDEX(구분표!$I$2:$I$300, MATCH(1,(구분표!$E$2:$E$300='2추일출'!B231)*(구분표!$F$2:$F$300='2추일출'!C231)*(구분표!$G$2:$G$300='2추일출'!A231),0)))</f>
        <v/>
      </c>
      <c r="AL231" s="27"/>
    </row>
    <row r="232" spans="1:38" ht="50.1" customHeight="1" x14ac:dyDescent="0.3">
      <c r="A232" s="33" t="str">
        <f>IFERROR(VLOOKUP($C232,구분표!$A$2:$C$300,2,FALSE),"")</f>
        <v>도시환경위원회</v>
      </c>
      <c r="B232" s="24" t="str">
        <f>IFERROR(VLOOKUP($C232,구분표!$A$2:$C$300,3,FALSE),"")</f>
        <v>도시주택실</v>
      </c>
      <c r="C232" s="31" t="s">
        <v>563</v>
      </c>
      <c r="D232" s="137" t="s">
        <v>771</v>
      </c>
      <c r="E232" s="143" t="s">
        <v>832</v>
      </c>
      <c r="F232" s="138" t="s">
        <v>915</v>
      </c>
      <c r="G232" s="44">
        <v>0</v>
      </c>
      <c r="H232" s="42">
        <v>0</v>
      </c>
      <c r="I232" s="54">
        <f t="shared" ref="I232:I288" si="319">IF(D232="","",G232-H232)</f>
        <v>0</v>
      </c>
      <c r="J232" s="42"/>
      <c r="K232" s="45">
        <v>200000</v>
      </c>
      <c r="L232" s="50">
        <f t="shared" ref="L232:L288" si="320">IF(G232=0,H232+J232+K232,G232+J232+K232)</f>
        <v>200000</v>
      </c>
      <c r="M232" s="42"/>
      <c r="N232" s="159">
        <v>200000</v>
      </c>
      <c r="O232" s="160">
        <f t="shared" ref="O232:O288" si="321">IF(G232=0,H232+M232+N232,G232+M232+N232)</f>
        <v>200000</v>
      </c>
      <c r="P232" s="27" t="str">
        <f t="shared" ref="P232:P253" si="322">IF(AND((L232=0),(O232&gt;0)),"O",IF(AND((J232&lt;0),(L232-O232&lt;0)),"O","X"))</f>
        <v>X</v>
      </c>
      <c r="Q232" s="170"/>
      <c r="S232" s="27" t="s">
        <v>1084</v>
      </c>
      <c r="U232" s="27" t="s">
        <v>1084</v>
      </c>
      <c r="V232" s="42">
        <f t="shared" ref="V232:V292" si="323">IF($U232&lt;&gt;"도비",IF($S232="국도비","직접입력",SUM($J232:$K232)),)</f>
        <v>0</v>
      </c>
      <c r="W232" s="42">
        <f t="shared" ref="W232:W292" si="324">IF($U232="도비",SUM($J232:$K232),IF($S232="국도비","직접입력",SUM($J232:$K232)-$V232))</f>
        <v>200000</v>
      </c>
      <c r="X232" s="27" t="str">
        <f t="shared" ref="X232:X292" si="325">IF(SUM($J232:$K232)=SUM($V232:$W232),"OK","검토")</f>
        <v>OK</v>
      </c>
      <c r="Z232" s="27"/>
      <c r="AA232" s="42">
        <f t="shared" ref="AA232:AA292" si="326">IF($U232&lt;&gt;"도비",IF($S232="국도비","직접입력",SUM($M232:$N232)),)</f>
        <v>0</v>
      </c>
      <c r="AB232" s="42">
        <f t="shared" ref="AB232:AB280" si="327">IF($U232="도비",SUM(M232:N232),IF($S232="국도비","직접입력",SUM(M232:N232)-AA232))</f>
        <v>200000</v>
      </c>
      <c r="AC232" s="27" t="str">
        <f t="shared" ref="AC232:AC288" si="328">IF(SUM(M232:N232)=SUM(AA232:AB232),"OK","검토")</f>
        <v>OK</v>
      </c>
      <c r="AE232" s="27" t="str">
        <f t="shared" ref="AE232:AE280" si="329">IF(U232="","",IF(U232="도비","세입없음","직접입력"))</f>
        <v>세입없음</v>
      </c>
      <c r="AG232" s="24">
        <f t="shared" si="265"/>
        <v>217</v>
      </c>
      <c r="AH232" s="65" t="str">
        <f t="shared" ref="AH232:AH288" si="330">IF(U232="","",IF(AND(U232="도비",AE232="세입없음"),"OK",IF(AND(U232&lt;&gt;"도비",AE232&lt;&gt;""),"OK","@@")))</f>
        <v>OK</v>
      </c>
      <c r="AJ232" s="27" t="str">
        <f t="array" ref="AJ232">IF(C232="","",INDEX(구분표!$I$2:$I$300, MATCH(1,(구분표!$E$2:$E$300='2추일출'!B232)*(구분표!$F$2:$F$300='2추일출'!C232)*(구분표!$G$2:$G$300='2추일출'!A232),0)))</f>
        <v>0909</v>
      </c>
      <c r="AL232" s="27"/>
    </row>
    <row r="233" spans="1:38" ht="50.1" customHeight="1" x14ac:dyDescent="0.3">
      <c r="A233" s="33" t="str">
        <f>IFERROR(VLOOKUP($C233,구분표!$A$2:$C$300,2,FALSE),"")</f>
        <v>도시환경위원회</v>
      </c>
      <c r="B233" s="24" t="str">
        <f>IFERROR(VLOOKUP($C233,구분표!$A$2:$C$300,3,FALSE),"")</f>
        <v>축산산림국</v>
      </c>
      <c r="C233" s="31" t="s">
        <v>588</v>
      </c>
      <c r="D233" s="148" t="s">
        <v>776</v>
      </c>
      <c r="E233" s="149">
        <v>749</v>
      </c>
      <c r="F233" s="150" t="s">
        <v>1061</v>
      </c>
      <c r="G233" s="44">
        <v>50000</v>
      </c>
      <c r="H233" s="42">
        <v>0</v>
      </c>
      <c r="I233" s="54">
        <f t="shared" si="319"/>
        <v>50000</v>
      </c>
      <c r="J233" s="42">
        <v>-50000</v>
      </c>
      <c r="K233" s="45"/>
      <c r="L233" s="50">
        <f t="shared" si="320"/>
        <v>0</v>
      </c>
      <c r="M233" s="158">
        <v>-50000</v>
      </c>
      <c r="N233" s="159">
        <v>0</v>
      </c>
      <c r="O233" s="160">
        <f t="shared" si="321"/>
        <v>0</v>
      </c>
      <c r="P233" s="27" t="str">
        <f t="shared" si="322"/>
        <v>X</v>
      </c>
      <c r="Q233" s="170"/>
      <c r="S233" s="27" t="s">
        <v>1084</v>
      </c>
      <c r="U233" s="27" t="s">
        <v>1084</v>
      </c>
      <c r="V233" s="42">
        <f t="shared" si="323"/>
        <v>0</v>
      </c>
      <c r="W233" s="42">
        <f t="shared" si="324"/>
        <v>-50000</v>
      </c>
      <c r="X233" s="27" t="str">
        <f t="shared" si="325"/>
        <v>OK</v>
      </c>
      <c r="Z233" s="27"/>
      <c r="AA233" s="42">
        <f t="shared" si="326"/>
        <v>0</v>
      </c>
      <c r="AB233" s="42">
        <f t="shared" si="327"/>
        <v>-50000</v>
      </c>
      <c r="AC233" s="27" t="str">
        <f t="shared" si="328"/>
        <v>OK</v>
      </c>
      <c r="AE233" s="27" t="str">
        <f t="shared" si="329"/>
        <v>세입없음</v>
      </c>
      <c r="AG233" s="24">
        <f t="shared" si="265"/>
        <v>217</v>
      </c>
      <c r="AH233" s="65" t="str">
        <f t="shared" si="330"/>
        <v>OK</v>
      </c>
      <c r="AJ233" s="27" t="str">
        <f t="array" ref="AJ233">IF(C233="","",INDEX(구분표!$I$2:$I$300, MATCH(1,(구분표!$E$2:$E$300='2추일출'!B233)*(구분표!$F$2:$F$300='2추일출'!C233)*(구분표!$G$2:$G$300='2추일출'!A233),0)))</f>
        <v>0917</v>
      </c>
      <c r="AL233" s="27"/>
    </row>
    <row r="234" spans="1:38" ht="50.1" customHeight="1" x14ac:dyDescent="0.3">
      <c r="A234" s="33" t="str">
        <f>IFERROR(VLOOKUP($C234,구분표!$A$2:$C$300,2,FALSE),"")</f>
        <v>도시환경위원회</v>
      </c>
      <c r="B234" s="24" t="str">
        <f>IFERROR(VLOOKUP($C234,구분표!$A$2:$C$300,3,FALSE),"")</f>
        <v>축산산림국</v>
      </c>
      <c r="C234" s="31" t="s">
        <v>588</v>
      </c>
      <c r="D234" s="137" t="s">
        <v>771</v>
      </c>
      <c r="E234" s="143" t="s">
        <v>832</v>
      </c>
      <c r="F234" s="138" t="s">
        <v>916</v>
      </c>
      <c r="G234" s="44">
        <v>0</v>
      </c>
      <c r="H234" s="42">
        <v>0</v>
      </c>
      <c r="I234" s="54">
        <f t="shared" si="319"/>
        <v>0</v>
      </c>
      <c r="J234" s="42"/>
      <c r="K234" s="45">
        <v>200000</v>
      </c>
      <c r="L234" s="50">
        <f t="shared" si="320"/>
        <v>200000</v>
      </c>
      <c r="M234" s="42"/>
      <c r="N234" s="159">
        <v>200000</v>
      </c>
      <c r="O234" s="160">
        <f t="shared" si="321"/>
        <v>200000</v>
      </c>
      <c r="P234" s="27" t="str">
        <f t="shared" si="322"/>
        <v>X</v>
      </c>
      <c r="Q234" s="170"/>
      <c r="S234" s="27" t="s">
        <v>1084</v>
      </c>
      <c r="U234" s="27" t="s">
        <v>1084</v>
      </c>
      <c r="V234" s="42">
        <f t="shared" si="323"/>
        <v>0</v>
      </c>
      <c r="W234" s="42">
        <f t="shared" si="324"/>
        <v>200000</v>
      </c>
      <c r="X234" s="27" t="str">
        <f t="shared" si="325"/>
        <v>OK</v>
      </c>
      <c r="Z234" s="27"/>
      <c r="AA234" s="42">
        <f t="shared" si="326"/>
        <v>0</v>
      </c>
      <c r="AB234" s="42">
        <f t="shared" si="327"/>
        <v>200000</v>
      </c>
      <c r="AC234" s="27" t="str">
        <f t="shared" si="328"/>
        <v>OK</v>
      </c>
      <c r="AE234" s="27" t="str">
        <f t="shared" si="329"/>
        <v>세입없음</v>
      </c>
      <c r="AG234" s="24">
        <f t="shared" si="265"/>
        <v>217</v>
      </c>
      <c r="AH234" s="65" t="str">
        <f t="shared" si="330"/>
        <v>OK</v>
      </c>
      <c r="AJ234" s="27" t="str">
        <f t="array" ref="AJ234">IF(C234="","",INDEX(구분표!$I$2:$I$300, MATCH(1,(구분표!$E$2:$E$300='2추일출'!B234)*(구분표!$F$2:$F$300='2추일출'!C234)*(구분표!$G$2:$G$300='2추일출'!A234),0)))</f>
        <v>0917</v>
      </c>
      <c r="AL234" s="27"/>
    </row>
    <row r="235" spans="1:38" ht="50.1" customHeight="1" x14ac:dyDescent="0.3">
      <c r="A235" s="33" t="str">
        <f>IFERROR(VLOOKUP($C235,구분표!$A$2:$C$300,2,FALSE),"")</f>
        <v>도시환경위원회</v>
      </c>
      <c r="B235" s="24" t="str">
        <f>IFERROR(VLOOKUP($C235,구분표!$A$2:$C$300,3,FALSE),"")</f>
        <v>수자원본부</v>
      </c>
      <c r="C235" s="31" t="s">
        <v>946</v>
      </c>
      <c r="D235" s="139" t="s">
        <v>776</v>
      </c>
      <c r="E235" s="144">
        <v>763</v>
      </c>
      <c r="F235" s="140" t="s">
        <v>967</v>
      </c>
      <c r="G235" s="44">
        <v>150000</v>
      </c>
      <c r="H235" s="42">
        <v>50000</v>
      </c>
      <c r="I235" s="54">
        <f t="shared" si="319"/>
        <v>100000</v>
      </c>
      <c r="J235" s="42">
        <v>-100000</v>
      </c>
      <c r="K235" s="45"/>
      <c r="L235" s="50">
        <f t="shared" si="320"/>
        <v>50000</v>
      </c>
      <c r="M235" s="158">
        <v>0</v>
      </c>
      <c r="N235" s="159">
        <v>0</v>
      </c>
      <c r="O235" s="160">
        <f t="shared" si="321"/>
        <v>150000</v>
      </c>
      <c r="P235" s="27" t="str">
        <f t="shared" si="322"/>
        <v>O</v>
      </c>
      <c r="Q235" s="218"/>
      <c r="S235" s="27" t="s">
        <v>1094</v>
      </c>
      <c r="U235" s="27" t="s">
        <v>1084</v>
      </c>
      <c r="V235" s="42">
        <f t="shared" si="323"/>
        <v>0</v>
      </c>
      <c r="W235" s="42">
        <f t="shared" si="324"/>
        <v>-100000</v>
      </c>
      <c r="X235" s="27" t="str">
        <f t="shared" si="325"/>
        <v>OK</v>
      </c>
      <c r="Z235" s="27"/>
      <c r="AA235" s="42">
        <f t="shared" si="326"/>
        <v>0</v>
      </c>
      <c r="AB235" s="42">
        <f t="shared" si="327"/>
        <v>0</v>
      </c>
      <c r="AC235" s="27" t="str">
        <f t="shared" si="328"/>
        <v>OK</v>
      </c>
      <c r="AE235" s="27" t="str">
        <f t="shared" si="329"/>
        <v>세입없음</v>
      </c>
      <c r="AG235" s="24">
        <f t="shared" si="265"/>
        <v>217</v>
      </c>
      <c r="AH235" s="65" t="str">
        <f t="shared" si="330"/>
        <v>OK</v>
      </c>
      <c r="AJ235" s="27" t="str">
        <f t="array" ref="AJ235">IF(C235="","",INDEX(구분표!$I$2:$I$300, MATCH(1,(구분표!$E$2:$E$300='2추일출'!B235)*(구분표!$F$2:$F$300='2추일출'!C235)*(구분표!$G$2:$G$300='2추일출'!A235),0)))</f>
        <v>0921</v>
      </c>
      <c r="AL235" s="27"/>
    </row>
    <row r="236" spans="1:38" ht="50.1" customHeight="1" x14ac:dyDescent="0.3">
      <c r="A236" s="33" t="str">
        <f>IFERROR(VLOOKUP($C236,구분표!$A$2:$C$300,2,FALSE),"")</f>
        <v>도시환경위원회</v>
      </c>
      <c r="B236" s="24" t="str">
        <f>IFERROR(VLOOKUP($C236,구분표!$A$2:$C$300,3,FALSE),"")</f>
        <v>수자원본부</v>
      </c>
      <c r="C236" s="31" t="s">
        <v>946</v>
      </c>
      <c r="D236" s="139" t="s">
        <v>776</v>
      </c>
      <c r="E236" s="144">
        <v>764</v>
      </c>
      <c r="F236" s="140" t="s">
        <v>1095</v>
      </c>
      <c r="G236" s="44">
        <v>98611700</v>
      </c>
      <c r="H236" s="42">
        <v>95030700</v>
      </c>
      <c r="I236" s="54">
        <f t="shared" si="319"/>
        <v>3581000</v>
      </c>
      <c r="J236" s="42"/>
      <c r="K236" s="45">
        <v>2000000</v>
      </c>
      <c r="L236" s="50">
        <f t="shared" si="320"/>
        <v>100611700</v>
      </c>
      <c r="M236" s="158">
        <v>0</v>
      </c>
      <c r="N236" s="159">
        <v>2000000</v>
      </c>
      <c r="O236" s="160">
        <f t="shared" si="321"/>
        <v>100611700</v>
      </c>
      <c r="P236" s="27" t="str">
        <f t="shared" si="322"/>
        <v>X</v>
      </c>
      <c r="Q236" s="170" t="s">
        <v>923</v>
      </c>
      <c r="S236" s="27" t="s">
        <v>1096</v>
      </c>
      <c r="U236" s="27" t="s">
        <v>1084</v>
      </c>
      <c r="V236" s="42">
        <f t="shared" si="323"/>
        <v>0</v>
      </c>
      <c r="W236" s="42">
        <f t="shared" si="324"/>
        <v>2000000</v>
      </c>
      <c r="X236" s="27" t="str">
        <f t="shared" si="325"/>
        <v>OK</v>
      </c>
      <c r="Z236" s="27" t="s">
        <v>1324</v>
      </c>
      <c r="AA236" s="42">
        <f t="shared" si="326"/>
        <v>0</v>
      </c>
      <c r="AB236" s="42">
        <f t="shared" si="327"/>
        <v>2000000</v>
      </c>
      <c r="AC236" s="27" t="str">
        <f t="shared" si="328"/>
        <v>OK</v>
      </c>
      <c r="AE236" s="27" t="str">
        <f t="shared" si="329"/>
        <v>세입없음</v>
      </c>
      <c r="AG236" s="24">
        <f t="shared" si="265"/>
        <v>217</v>
      </c>
      <c r="AH236" s="65" t="str">
        <f t="shared" si="330"/>
        <v>OK</v>
      </c>
      <c r="AJ236" s="27" t="str">
        <f t="array" ref="AJ236">IF(C236="","",INDEX(구분표!$I$2:$I$300, MATCH(1,(구분표!$E$2:$E$300='2추일출'!B236)*(구분표!$F$2:$F$300='2추일출'!C236)*(구분표!$G$2:$G$300='2추일출'!A236),0)))</f>
        <v>0921</v>
      </c>
      <c r="AL236" s="27"/>
    </row>
    <row r="237" spans="1:38" ht="50.1" customHeight="1" x14ac:dyDescent="0.3">
      <c r="A237" s="33" t="str">
        <f>IFERROR(VLOOKUP($C237,구분표!$A$2:$C$300,2,FALSE),"")</f>
        <v>도시환경위원회</v>
      </c>
      <c r="B237" s="24" t="str">
        <f>IFERROR(VLOOKUP($C237,구분표!$A$2:$C$300,3,FALSE),"")</f>
        <v>수자원본부</v>
      </c>
      <c r="C237" s="31" t="s">
        <v>946</v>
      </c>
      <c r="D237" s="137" t="s">
        <v>771</v>
      </c>
      <c r="E237" s="143" t="s">
        <v>832</v>
      </c>
      <c r="F237" s="138" t="s">
        <v>917</v>
      </c>
      <c r="G237" s="44">
        <v>0</v>
      </c>
      <c r="H237" s="42">
        <v>0</v>
      </c>
      <c r="I237" s="54">
        <f t="shared" ref="I237:I239" si="331">IF(D237="","",G237-H237)</f>
        <v>0</v>
      </c>
      <c r="J237" s="42"/>
      <c r="K237" s="45">
        <v>600000</v>
      </c>
      <c r="L237" s="50">
        <f t="shared" ref="L237:L239" si="332">IF(G237=0,H237+J237+K237,G237+J237+K237)</f>
        <v>600000</v>
      </c>
      <c r="M237" s="42"/>
      <c r="N237" s="159">
        <v>600000</v>
      </c>
      <c r="O237" s="160">
        <f t="shared" ref="O237:O239" si="333">IF(G237=0,H237+M237+N237,G237+M237+N237)</f>
        <v>600000</v>
      </c>
      <c r="P237" s="27" t="str">
        <f t="shared" si="322"/>
        <v>X</v>
      </c>
      <c r="Q237" s="170"/>
      <c r="S237" s="27" t="s">
        <v>1084</v>
      </c>
      <c r="U237" s="27" t="s">
        <v>1084</v>
      </c>
      <c r="V237" s="42">
        <f t="shared" si="323"/>
        <v>0</v>
      </c>
      <c r="W237" s="42">
        <f t="shared" si="324"/>
        <v>600000</v>
      </c>
      <c r="X237" s="27" t="str">
        <f t="shared" si="325"/>
        <v>OK</v>
      </c>
      <c r="Z237" s="27"/>
      <c r="AA237" s="42">
        <f t="shared" si="326"/>
        <v>0</v>
      </c>
      <c r="AB237" s="42">
        <f t="shared" ref="AB237:AB238" si="334">IF($U237="도비",SUM(M237:N237),IF($S237="국도비","직접입력",SUM(M237:N237)-AA237))</f>
        <v>600000</v>
      </c>
      <c r="AC237" s="27" t="str">
        <f t="shared" ref="AC237:AC239" si="335">IF(SUM(M237:N237)=SUM(AA237:AB237),"OK","검토")</f>
        <v>OK</v>
      </c>
      <c r="AE237" s="27" t="str">
        <f t="shared" ref="AE237:AE238" si="336">IF(U237="","",IF(U237="도비","세입없음","직접입력"))</f>
        <v>세입없음</v>
      </c>
      <c r="AG237" s="24">
        <f t="shared" si="265"/>
        <v>217</v>
      </c>
      <c r="AH237" s="65" t="str">
        <f t="shared" ref="AH237:AH239" si="337">IF(U237="","",IF(AND(U237="도비",AE237="세입없음"),"OK",IF(AND(U237&lt;&gt;"도비",AE237&lt;&gt;""),"OK","@@")))</f>
        <v>OK</v>
      </c>
      <c r="AJ237" s="27" t="str">
        <f t="array" ref="AJ237">IF(C237="","",INDEX(구분표!$I$2:$I$300, MATCH(1,(구분표!$E$2:$E$300='2추일출'!B237)*(구분표!$F$2:$F$300='2추일출'!C237)*(구분표!$G$2:$G$300='2추일출'!A237),0)))</f>
        <v>0921</v>
      </c>
      <c r="AL237" s="27"/>
    </row>
    <row r="238" spans="1:38" ht="50.1" customHeight="1" x14ac:dyDescent="0.3">
      <c r="A238" s="33" t="str">
        <f>IFERROR(VLOOKUP($C238,구분표!$A$2:$C$300,2,FALSE),"")</f>
        <v>도시환경위원회</v>
      </c>
      <c r="B238" s="24" t="str">
        <f>IFERROR(VLOOKUP($C238,구분표!$A$2:$C$300,3,FALSE),"")</f>
        <v>수자원본부</v>
      </c>
      <c r="C238" s="31" t="s">
        <v>946</v>
      </c>
      <c r="D238" s="137" t="s">
        <v>771</v>
      </c>
      <c r="E238" s="143" t="s">
        <v>832</v>
      </c>
      <c r="F238" s="138" t="s">
        <v>918</v>
      </c>
      <c r="G238" s="44">
        <v>0</v>
      </c>
      <c r="H238" s="42">
        <v>0</v>
      </c>
      <c r="I238" s="54">
        <f t="shared" si="331"/>
        <v>0</v>
      </c>
      <c r="J238" s="42"/>
      <c r="K238" s="45">
        <v>290000</v>
      </c>
      <c r="L238" s="50">
        <f t="shared" si="332"/>
        <v>290000</v>
      </c>
      <c r="M238" s="42"/>
      <c r="N238" s="159">
        <v>290000</v>
      </c>
      <c r="O238" s="160">
        <f t="shared" si="333"/>
        <v>290000</v>
      </c>
      <c r="P238" s="27" t="str">
        <f t="shared" si="322"/>
        <v>X</v>
      </c>
      <c r="Q238" s="170"/>
      <c r="S238" s="27" t="s">
        <v>1084</v>
      </c>
      <c r="U238" s="27" t="s">
        <v>1084</v>
      </c>
      <c r="V238" s="42">
        <f t="shared" si="323"/>
        <v>0</v>
      </c>
      <c r="W238" s="42">
        <f t="shared" si="324"/>
        <v>290000</v>
      </c>
      <c r="X238" s="27" t="str">
        <f t="shared" si="325"/>
        <v>OK</v>
      </c>
      <c r="Z238" s="27"/>
      <c r="AA238" s="42">
        <f t="shared" si="326"/>
        <v>0</v>
      </c>
      <c r="AB238" s="42">
        <f t="shared" si="334"/>
        <v>290000</v>
      </c>
      <c r="AC238" s="27" t="str">
        <f t="shared" si="335"/>
        <v>OK</v>
      </c>
      <c r="AE238" s="27" t="str">
        <f t="shared" si="336"/>
        <v>세입없음</v>
      </c>
      <c r="AG238" s="24">
        <f t="shared" si="265"/>
        <v>217</v>
      </c>
      <c r="AH238" s="65" t="str">
        <f t="shared" si="337"/>
        <v>OK</v>
      </c>
      <c r="AJ238" s="27" t="str">
        <f t="array" ref="AJ238">IF(C238="","",INDEX(구분표!$I$2:$I$300, MATCH(1,(구분표!$E$2:$E$300='2추일출'!B238)*(구분표!$F$2:$F$300='2추일출'!C238)*(구분표!$G$2:$G$300='2추일출'!A238),0)))</f>
        <v>0921</v>
      </c>
      <c r="AL238" s="27"/>
    </row>
    <row r="239" spans="1:38" ht="50.1" customHeight="1" x14ac:dyDescent="0.3">
      <c r="A239" s="33" t="str">
        <f>IFERROR(VLOOKUP($C239,구분표!$A$2:$C$300,2,FALSE),"")</f>
        <v>도시환경위원회</v>
      </c>
      <c r="B239" s="24" t="str">
        <f>IFERROR(VLOOKUP($C239,구분표!$A$2:$C$300,3,FALSE),"")</f>
        <v>수자원본부</v>
      </c>
      <c r="C239" s="31" t="s">
        <v>946</v>
      </c>
      <c r="D239" s="35" t="s">
        <v>776</v>
      </c>
      <c r="E239" s="145">
        <v>764</v>
      </c>
      <c r="F239" s="134" t="s">
        <v>1097</v>
      </c>
      <c r="G239" s="44">
        <v>145112300</v>
      </c>
      <c r="H239" s="42">
        <v>148312600</v>
      </c>
      <c r="I239" s="54">
        <f t="shared" si="331"/>
        <v>-3200300</v>
      </c>
      <c r="J239" s="42">
        <v>-9655000</v>
      </c>
      <c r="K239" s="45"/>
      <c r="L239" s="50">
        <f t="shared" si="332"/>
        <v>135457300</v>
      </c>
      <c r="M239" s="158">
        <v>-9655000</v>
      </c>
      <c r="N239" s="159">
        <v>0</v>
      </c>
      <c r="O239" s="160">
        <f t="shared" si="333"/>
        <v>135457300</v>
      </c>
      <c r="P239" s="27" t="str">
        <f t="shared" si="322"/>
        <v>X</v>
      </c>
      <c r="Q239" s="170" t="s">
        <v>823</v>
      </c>
      <c r="S239" s="27" t="s">
        <v>985</v>
      </c>
      <c r="U239" s="27" t="s">
        <v>850</v>
      </c>
      <c r="V239" s="42">
        <v>-6902000</v>
      </c>
      <c r="W239" s="42">
        <v>-2753000</v>
      </c>
      <c r="X239" s="27" t="str">
        <f t="shared" si="325"/>
        <v>OK</v>
      </c>
      <c r="Z239" s="27" t="s">
        <v>1321</v>
      </c>
      <c r="AA239" s="42">
        <v>-6902000</v>
      </c>
      <c r="AB239" s="42">
        <v>-2753000</v>
      </c>
      <c r="AC239" s="27" t="str">
        <f t="shared" si="335"/>
        <v>OK</v>
      </c>
      <c r="AE239" s="27" t="s">
        <v>1098</v>
      </c>
      <c r="AG239" s="24">
        <f t="shared" si="265"/>
        <v>1</v>
      </c>
      <c r="AH239" s="65" t="str">
        <f t="shared" si="337"/>
        <v>OK</v>
      </c>
      <c r="AJ239" s="27" t="str">
        <f t="array" ref="AJ239">IF(C239="","",INDEX(구분표!$I$2:$I$300, MATCH(1,(구분표!$E$2:$E$300='2추일출'!B239)*(구분표!$F$2:$F$300='2추일출'!C239)*(구분표!$G$2:$G$300='2추일출'!A239),0)))</f>
        <v>0921</v>
      </c>
      <c r="AL239" s="27"/>
    </row>
    <row r="240" spans="1:38" ht="50.1" customHeight="1" x14ac:dyDescent="0.3">
      <c r="A240" s="33" t="str">
        <f>IFERROR(VLOOKUP($C240,구분표!$A$2:$C$300,2,FALSE),"")</f>
        <v>도시환경위원회</v>
      </c>
      <c r="B240" s="24" t="str">
        <f>IFERROR(VLOOKUP($C240,구분표!$A$2:$C$300,3,FALSE),"")</f>
        <v>수자원본부</v>
      </c>
      <c r="C240" s="31" t="s">
        <v>946</v>
      </c>
      <c r="D240" s="35" t="s">
        <v>776</v>
      </c>
      <c r="E240" s="145">
        <v>765</v>
      </c>
      <c r="F240" s="134" t="s">
        <v>1099</v>
      </c>
      <c r="G240" s="44">
        <v>23264955</v>
      </c>
      <c r="H240" s="42">
        <v>24022955</v>
      </c>
      <c r="I240" s="54">
        <f t="shared" ref="I240:I253" si="338">IF(D240="","",G240-H240)</f>
        <v>-758000</v>
      </c>
      <c r="J240" s="42"/>
      <c r="K240" s="45">
        <v>2111778</v>
      </c>
      <c r="L240" s="50">
        <f t="shared" ref="L240:L253" si="339">IF(G240=0,H240+J240+K240,G240+J240+K240)</f>
        <v>25376733</v>
      </c>
      <c r="M240" s="158">
        <v>0</v>
      </c>
      <c r="N240" s="159">
        <v>2111778</v>
      </c>
      <c r="O240" s="160">
        <f t="shared" ref="O240:O253" si="340">IF(G240=0,H240+M240+N240,G240+M240+N240)</f>
        <v>25376733</v>
      </c>
      <c r="P240" s="27" t="str">
        <f t="shared" si="322"/>
        <v>X</v>
      </c>
      <c r="Q240" s="170" t="s">
        <v>1102</v>
      </c>
      <c r="S240" s="27" t="s">
        <v>1096</v>
      </c>
      <c r="U240" s="27" t="s">
        <v>1100</v>
      </c>
      <c r="V240" s="42">
        <v>564000</v>
      </c>
      <c r="W240" s="42">
        <v>1547778</v>
      </c>
      <c r="X240" s="27" t="str">
        <f t="shared" si="325"/>
        <v>OK</v>
      </c>
      <c r="Z240" s="27" t="s">
        <v>1321</v>
      </c>
      <c r="AA240" s="42">
        <v>564000</v>
      </c>
      <c r="AB240" s="42">
        <v>1547778</v>
      </c>
      <c r="AC240" s="27" t="str">
        <f t="shared" ref="AC240:AC253" si="341">IF(SUM(M240:N240)=SUM(AA240:AB240),"OK","검토")</f>
        <v>OK</v>
      </c>
      <c r="AE240" s="27" t="s">
        <v>1101</v>
      </c>
      <c r="AG240" s="24">
        <f t="shared" si="265"/>
        <v>1</v>
      </c>
      <c r="AH240" s="65" t="str">
        <f t="shared" ref="AH240:AH253" si="342">IF(U240="","",IF(AND(U240="도비",AE240="세입없음"),"OK",IF(AND(U240&lt;&gt;"도비",AE240&lt;&gt;""),"OK","@@")))</f>
        <v>OK</v>
      </c>
      <c r="AJ240" s="27" t="str">
        <f t="array" ref="AJ240">IF(C240="","",INDEX(구분표!$I$2:$I$300, MATCH(1,(구분표!$E$2:$E$300='2추일출'!B240)*(구분표!$F$2:$F$300='2추일출'!C240)*(구분표!$G$2:$G$300='2추일출'!A240),0)))</f>
        <v>0921</v>
      </c>
      <c r="AL240" s="27"/>
    </row>
    <row r="241" spans="1:38" ht="50.1" customHeight="1" x14ac:dyDescent="0.3">
      <c r="A241" s="33" t="str">
        <f>IFERROR(VLOOKUP($C241,구분표!$A$2:$C$300,2,FALSE),"")</f>
        <v>도시환경위원회</v>
      </c>
      <c r="B241" s="24" t="str">
        <f>IFERROR(VLOOKUP($C241,구분표!$A$2:$C$300,3,FALSE),"")</f>
        <v>수자원본부</v>
      </c>
      <c r="C241" s="31" t="s">
        <v>946</v>
      </c>
      <c r="D241" s="35" t="s">
        <v>776</v>
      </c>
      <c r="E241" s="145">
        <v>765</v>
      </c>
      <c r="F241" s="134" t="s">
        <v>1103</v>
      </c>
      <c r="G241" s="44">
        <v>184848000</v>
      </c>
      <c r="H241" s="42">
        <v>190237000</v>
      </c>
      <c r="I241" s="54">
        <f t="shared" si="338"/>
        <v>-5389000</v>
      </c>
      <c r="J241" s="42"/>
      <c r="K241" s="45">
        <v>11189000</v>
      </c>
      <c r="L241" s="50">
        <f t="shared" si="339"/>
        <v>196037000</v>
      </c>
      <c r="M241" s="158">
        <v>0</v>
      </c>
      <c r="N241" s="159">
        <v>11189000</v>
      </c>
      <c r="O241" s="160">
        <f t="shared" si="340"/>
        <v>196037000</v>
      </c>
      <c r="P241" s="27" t="str">
        <f t="shared" si="322"/>
        <v>X</v>
      </c>
      <c r="Q241" s="170" t="s">
        <v>824</v>
      </c>
      <c r="S241" s="27" t="s">
        <v>985</v>
      </c>
      <c r="U241" s="27" t="s">
        <v>850</v>
      </c>
      <c r="V241" s="42">
        <v>11189000</v>
      </c>
      <c r="W241" s="42">
        <v>0</v>
      </c>
      <c r="X241" s="27" t="str">
        <f t="shared" si="325"/>
        <v>OK</v>
      </c>
      <c r="Z241" s="27" t="s">
        <v>1321</v>
      </c>
      <c r="AA241" s="42">
        <v>11189000</v>
      </c>
      <c r="AB241" s="42">
        <v>0</v>
      </c>
      <c r="AC241" s="27" t="str">
        <f t="shared" si="341"/>
        <v>OK</v>
      </c>
      <c r="AE241" s="27" t="s">
        <v>1104</v>
      </c>
      <c r="AG241" s="24">
        <f t="shared" si="265"/>
        <v>1</v>
      </c>
      <c r="AH241" s="65" t="str">
        <f t="shared" si="342"/>
        <v>OK</v>
      </c>
      <c r="AJ241" s="27" t="str">
        <f t="array" ref="AJ241">IF(C241="","",INDEX(구분표!$I$2:$I$300, MATCH(1,(구분표!$E$2:$E$300='2추일출'!B241)*(구분표!$F$2:$F$300='2추일출'!C241)*(구분표!$G$2:$G$300='2추일출'!A241),0)))</f>
        <v>0921</v>
      </c>
      <c r="AL241" s="27"/>
    </row>
    <row r="242" spans="1:38" ht="50.1" customHeight="1" x14ac:dyDescent="0.3">
      <c r="A242" s="33" t="str">
        <f>IFERROR(VLOOKUP($C242,구분표!$A$2:$C$300,2,FALSE),"")</f>
        <v>도시환경위원회</v>
      </c>
      <c r="B242" s="24" t="str">
        <f>IFERROR(VLOOKUP($C242,구분표!$A$2:$C$300,3,FALSE),"")</f>
        <v>수자원본부</v>
      </c>
      <c r="C242" s="31" t="s">
        <v>946</v>
      </c>
      <c r="D242" s="35" t="s">
        <v>776</v>
      </c>
      <c r="E242" s="145">
        <v>765</v>
      </c>
      <c r="F242" s="134" t="s">
        <v>1105</v>
      </c>
      <c r="G242" s="44">
        <v>38242000</v>
      </c>
      <c r="H242" s="42">
        <v>38431000</v>
      </c>
      <c r="I242" s="54">
        <f t="shared" si="338"/>
        <v>-189000</v>
      </c>
      <c r="J242" s="42"/>
      <c r="K242" s="45">
        <v>3310000</v>
      </c>
      <c r="L242" s="50">
        <f t="shared" si="339"/>
        <v>41552000</v>
      </c>
      <c r="M242" s="158">
        <v>0</v>
      </c>
      <c r="N242" s="159">
        <v>3310000</v>
      </c>
      <c r="O242" s="160">
        <f t="shared" si="340"/>
        <v>41552000</v>
      </c>
      <c r="P242" s="27" t="str">
        <f t="shared" si="322"/>
        <v>X</v>
      </c>
      <c r="Q242" s="170" t="s">
        <v>824</v>
      </c>
      <c r="S242" s="27" t="s">
        <v>985</v>
      </c>
      <c r="U242" s="27" t="s">
        <v>850</v>
      </c>
      <c r="V242" s="42">
        <v>3310000</v>
      </c>
      <c r="W242" s="42">
        <v>0</v>
      </c>
      <c r="X242" s="27" t="str">
        <f t="shared" si="325"/>
        <v>OK</v>
      </c>
      <c r="Z242" s="27" t="s">
        <v>1321</v>
      </c>
      <c r="AA242" s="42">
        <v>3310000</v>
      </c>
      <c r="AB242" s="42">
        <v>0</v>
      </c>
      <c r="AC242" s="27" t="str">
        <f t="shared" si="341"/>
        <v>OK</v>
      </c>
      <c r="AE242" s="27" t="s">
        <v>1106</v>
      </c>
      <c r="AG242" s="24">
        <f t="shared" si="265"/>
        <v>1</v>
      </c>
      <c r="AH242" s="65" t="str">
        <f t="shared" si="342"/>
        <v>OK</v>
      </c>
      <c r="AJ242" s="27" t="str">
        <f t="array" ref="AJ242">IF(C242="","",INDEX(구분표!$I$2:$I$300, MATCH(1,(구분표!$E$2:$E$300='2추일출'!B242)*(구분표!$F$2:$F$300='2추일출'!C242)*(구분표!$G$2:$G$300='2추일출'!A242),0)))</f>
        <v>0921</v>
      </c>
      <c r="AL242" s="27"/>
    </row>
    <row r="243" spans="1:38" ht="50.1" customHeight="1" x14ac:dyDescent="0.3">
      <c r="A243" s="33" t="str">
        <f>IFERROR(VLOOKUP($C243,구분표!$A$2:$C$300,2,FALSE),"")</f>
        <v>도시환경위원회</v>
      </c>
      <c r="B243" s="24" t="str">
        <f>IFERROR(VLOOKUP($C243,구분표!$A$2:$C$300,3,FALSE),"")</f>
        <v>수자원본부</v>
      </c>
      <c r="C243" s="31" t="s">
        <v>946</v>
      </c>
      <c r="D243" s="35" t="s">
        <v>779</v>
      </c>
      <c r="E243" s="145"/>
      <c r="F243" s="134" t="s">
        <v>1175</v>
      </c>
      <c r="G243" s="44">
        <v>83786</v>
      </c>
      <c r="H243" s="42">
        <v>83786</v>
      </c>
      <c r="I243" s="54">
        <f t="shared" si="338"/>
        <v>0</v>
      </c>
      <c r="J243" s="42"/>
      <c r="K243" s="45">
        <v>1754014</v>
      </c>
      <c r="L243" s="50">
        <f t="shared" si="339"/>
        <v>1837800</v>
      </c>
      <c r="M243" s="158">
        <v>0</v>
      </c>
      <c r="N243" s="159">
        <v>1754014</v>
      </c>
      <c r="O243" s="160">
        <f t="shared" si="340"/>
        <v>1837800</v>
      </c>
      <c r="P243" s="27" t="str">
        <f t="shared" si="322"/>
        <v>X</v>
      </c>
      <c r="Q243" s="170" t="s">
        <v>924</v>
      </c>
      <c r="S243" s="27" t="s">
        <v>1096</v>
      </c>
      <c r="U243" s="27" t="s">
        <v>850</v>
      </c>
      <c r="V243" s="42">
        <v>1500000</v>
      </c>
      <c r="W243" s="42">
        <v>254014</v>
      </c>
      <c r="X243" s="27" t="str">
        <f t="shared" si="325"/>
        <v>OK</v>
      </c>
      <c r="Z243" s="27" t="s">
        <v>1321</v>
      </c>
      <c r="AA243" s="42">
        <v>1500000</v>
      </c>
      <c r="AB243" s="42">
        <v>254014</v>
      </c>
      <c r="AC243" s="27" t="str">
        <f t="shared" si="341"/>
        <v>OK</v>
      </c>
      <c r="AE243" s="27" t="s">
        <v>1107</v>
      </c>
      <c r="AG243" s="24">
        <f t="shared" si="265"/>
        <v>1</v>
      </c>
      <c r="AH243" s="65" t="str">
        <f t="shared" si="342"/>
        <v>OK</v>
      </c>
      <c r="AJ243" s="27" t="str">
        <f t="array" ref="AJ243">IF(C243="","",INDEX(구분표!$I$2:$I$300, MATCH(1,(구분표!$E$2:$E$300='2추일출'!B243)*(구분표!$F$2:$F$300='2추일출'!C243)*(구분표!$G$2:$G$300='2추일출'!A243),0)))</f>
        <v>0921</v>
      </c>
      <c r="AL243" s="27"/>
    </row>
    <row r="244" spans="1:38" ht="65.099999999999994" customHeight="1" x14ac:dyDescent="0.3">
      <c r="A244" s="33" t="str">
        <f>IFERROR(VLOOKUP($C244,구분표!$A$2:$C$300,2,FALSE),"")</f>
        <v>도시환경위원회</v>
      </c>
      <c r="B244" s="24" t="str">
        <f>IFERROR(VLOOKUP($C244,구분표!$A$2:$C$300,3,FALSE),"")</f>
        <v>환경국</v>
      </c>
      <c r="C244" s="31" t="s">
        <v>569</v>
      </c>
      <c r="D244" s="35" t="s">
        <v>776</v>
      </c>
      <c r="E244" s="145">
        <v>738</v>
      </c>
      <c r="F244" s="216" t="s">
        <v>1289</v>
      </c>
      <c r="G244" s="44">
        <v>300000</v>
      </c>
      <c r="H244" s="42"/>
      <c r="I244" s="54">
        <f t="shared" si="338"/>
        <v>300000</v>
      </c>
      <c r="J244" s="42"/>
      <c r="K244" s="45"/>
      <c r="L244" s="50">
        <f t="shared" si="339"/>
        <v>300000</v>
      </c>
      <c r="M244" s="158"/>
      <c r="N244" s="159">
        <v>0</v>
      </c>
      <c r="O244" s="160">
        <f t="shared" si="340"/>
        <v>300000</v>
      </c>
      <c r="P244" s="27" t="str">
        <f t="shared" si="322"/>
        <v>X</v>
      </c>
      <c r="Q244" s="170" t="s">
        <v>1288</v>
      </c>
      <c r="S244" s="27" t="s">
        <v>1084</v>
      </c>
      <c r="U244" s="27" t="s">
        <v>1084</v>
      </c>
      <c r="V244" s="42">
        <f t="shared" si="323"/>
        <v>0</v>
      </c>
      <c r="W244" s="42">
        <f t="shared" si="324"/>
        <v>0</v>
      </c>
      <c r="X244" s="27" t="str">
        <f t="shared" si="325"/>
        <v>OK</v>
      </c>
      <c r="Z244" s="27"/>
      <c r="AA244" s="42">
        <f t="shared" si="326"/>
        <v>0</v>
      </c>
      <c r="AB244" s="42">
        <f t="shared" ref="AB244:AB253" si="343">IF($U244="도비",SUM(M244:N244),IF($S244="국도비","직접입력",SUM(M244:N244)-AA244))</f>
        <v>0</v>
      </c>
      <c r="AC244" s="27" t="str">
        <f t="shared" si="341"/>
        <v>OK</v>
      </c>
      <c r="AE244" s="27" t="str">
        <f t="shared" ref="AE244:AE253" si="344">IF(U244="","",IF(U244="도비","세입없음","직접입력"))</f>
        <v>세입없음</v>
      </c>
      <c r="AG244" s="24">
        <f t="shared" si="265"/>
        <v>217</v>
      </c>
      <c r="AH244" s="65" t="str">
        <f t="shared" si="342"/>
        <v>OK</v>
      </c>
      <c r="AJ244" s="27" t="str">
        <f t="array" ref="AJ244">IF(C244="","",INDEX(구분표!$I$2:$I$300, MATCH(1,(구분표!$E$2:$E$300='2추일출'!B244)*(구분표!$F$2:$F$300='2추일출'!C244)*(구분표!$G$2:$G$300='2추일출'!A244),0)))</f>
        <v>0911</v>
      </c>
      <c r="AL244" s="27"/>
    </row>
    <row r="245" spans="1:38" ht="65.099999999999994" customHeight="1" x14ac:dyDescent="0.3">
      <c r="A245" s="33" t="str">
        <f>IFERROR(VLOOKUP($C245,구분표!$A$2:$C$300,2,FALSE),"")</f>
        <v>도시환경위원회</v>
      </c>
      <c r="B245" s="24" t="str">
        <f>IFERROR(VLOOKUP($C245,구분표!$A$2:$C$300,3,FALSE),"")</f>
        <v>환경국</v>
      </c>
      <c r="C245" s="31" t="s">
        <v>1329</v>
      </c>
      <c r="D245" s="35" t="s">
        <v>776</v>
      </c>
      <c r="E245" s="145">
        <v>741</v>
      </c>
      <c r="F245" s="134" t="s">
        <v>1287</v>
      </c>
      <c r="G245" s="44">
        <v>125506</v>
      </c>
      <c r="H245" s="42">
        <v>20650</v>
      </c>
      <c r="I245" s="54">
        <f t="shared" si="338"/>
        <v>104856</v>
      </c>
      <c r="J245" s="42"/>
      <c r="K245" s="45"/>
      <c r="L245" s="50">
        <f t="shared" si="339"/>
        <v>125506</v>
      </c>
      <c r="M245" s="158">
        <v>0</v>
      </c>
      <c r="N245" s="159">
        <v>0</v>
      </c>
      <c r="O245" s="160">
        <f t="shared" si="340"/>
        <v>125506</v>
      </c>
      <c r="P245" s="27" t="str">
        <f t="shared" si="322"/>
        <v>X</v>
      </c>
      <c r="Q245" s="170" t="s">
        <v>925</v>
      </c>
      <c r="S245" s="27" t="s">
        <v>1084</v>
      </c>
      <c r="U245" s="27" t="s">
        <v>1084</v>
      </c>
      <c r="V245" s="42">
        <f t="shared" si="323"/>
        <v>0</v>
      </c>
      <c r="W245" s="42">
        <f t="shared" si="324"/>
        <v>0</v>
      </c>
      <c r="X245" s="27" t="str">
        <f t="shared" si="325"/>
        <v>OK</v>
      </c>
      <c r="Z245" s="27"/>
      <c r="AA245" s="42">
        <f t="shared" si="326"/>
        <v>0</v>
      </c>
      <c r="AB245" s="42">
        <f t="shared" si="343"/>
        <v>0</v>
      </c>
      <c r="AC245" s="27" t="str">
        <f t="shared" si="341"/>
        <v>OK</v>
      </c>
      <c r="AE245" s="27" t="str">
        <f t="shared" si="344"/>
        <v>세입없음</v>
      </c>
      <c r="AG245" s="24">
        <f t="shared" si="265"/>
        <v>217</v>
      </c>
      <c r="AH245" s="65" t="str">
        <f t="shared" si="342"/>
        <v>OK</v>
      </c>
      <c r="AJ245" s="27" t="str">
        <f t="array" ref="AJ245">IF(C245="","",INDEX(구분표!$I$2:$I$300, MATCH(1,(구분표!$E$2:$E$300='2추일출'!B245)*(구분표!$F$2:$F$300='2추일출'!C245)*(구분표!$G$2:$G$300='2추일출'!A245),0)))</f>
        <v>0914</v>
      </c>
      <c r="AL245" s="27"/>
    </row>
    <row r="246" spans="1:38" ht="50.1" customHeight="1" x14ac:dyDescent="0.3">
      <c r="A246" s="33" t="str">
        <f>IFERROR(VLOOKUP($C246,구분표!$A$2:$C$300,2,FALSE),"")</f>
        <v>도시환경위원회</v>
      </c>
      <c r="B246" s="24" t="str">
        <f>IFERROR(VLOOKUP($C246,구분표!$A$2:$C$300,3,FALSE),"")</f>
        <v>환경국</v>
      </c>
      <c r="C246" s="31" t="s">
        <v>569</v>
      </c>
      <c r="D246" s="35" t="s">
        <v>779</v>
      </c>
      <c r="E246" s="145"/>
      <c r="F246" s="134" t="s">
        <v>1176</v>
      </c>
      <c r="G246" s="44">
        <v>100000</v>
      </c>
      <c r="H246" s="42">
        <v>100000</v>
      </c>
      <c r="I246" s="54">
        <f t="shared" ref="I246:I252" si="345">IF(D246="","",G246-H246)</f>
        <v>0</v>
      </c>
      <c r="J246" s="42"/>
      <c r="K246" s="45">
        <v>30000</v>
      </c>
      <c r="L246" s="50">
        <f t="shared" ref="L246:L252" si="346">IF(G246=0,H246+J246+K246,G246+J246+K246)</f>
        <v>130000</v>
      </c>
      <c r="M246" s="158">
        <v>0</v>
      </c>
      <c r="N246" s="159">
        <v>30000</v>
      </c>
      <c r="O246" s="160">
        <f t="shared" ref="O246:O252" si="347">IF(G246=0,H246+M246+N246,G246+M246+N246)</f>
        <v>130000</v>
      </c>
      <c r="P246" s="27" t="str">
        <f t="shared" si="322"/>
        <v>X</v>
      </c>
      <c r="Q246" s="170"/>
      <c r="S246" s="27" t="s">
        <v>1084</v>
      </c>
      <c r="U246" s="27" t="s">
        <v>1084</v>
      </c>
      <c r="V246" s="42">
        <f t="shared" si="323"/>
        <v>0</v>
      </c>
      <c r="W246" s="42">
        <f t="shared" si="324"/>
        <v>30000</v>
      </c>
      <c r="X246" s="27" t="str">
        <f t="shared" si="325"/>
        <v>OK</v>
      </c>
      <c r="Z246" s="27"/>
      <c r="AA246" s="42">
        <f t="shared" si="326"/>
        <v>0</v>
      </c>
      <c r="AB246" s="42">
        <f t="shared" ref="AB246:AB252" si="348">IF($U246="도비",SUM(M246:N246),IF($S246="국도비","직접입력",SUM(M246:N246)-AA246))</f>
        <v>30000</v>
      </c>
      <c r="AC246" s="27" t="str">
        <f t="shared" ref="AC246:AC252" si="349">IF(SUM(M246:N246)=SUM(AA246:AB246),"OK","검토")</f>
        <v>OK</v>
      </c>
      <c r="AE246" s="27" t="str">
        <f t="shared" ref="AE246:AE252" si="350">IF(U246="","",IF(U246="도비","세입없음","직접입력"))</f>
        <v>세입없음</v>
      </c>
      <c r="AG246" s="24">
        <f t="shared" si="265"/>
        <v>217</v>
      </c>
      <c r="AH246" s="65" t="str">
        <f t="shared" ref="AH246:AH252" si="351">IF(U246="","",IF(AND(U246="도비",AE246="세입없음"),"OK",IF(AND(U246&lt;&gt;"도비",AE246&lt;&gt;""),"OK","@@")))</f>
        <v>OK</v>
      </c>
      <c r="AJ246" s="27" t="str">
        <f t="array" ref="AJ246">IF(C246="","",INDEX(구분표!$I$2:$I$300, MATCH(1,(구분표!$E$2:$E$300='2추일출'!B246)*(구분표!$F$2:$F$300='2추일출'!C246)*(구분표!$G$2:$G$300='2추일출'!A246),0)))</f>
        <v>0911</v>
      </c>
      <c r="AL246" s="27"/>
    </row>
    <row r="247" spans="1:38" ht="50.1" customHeight="1" x14ac:dyDescent="0.3">
      <c r="A247" s="33" t="str">
        <f>IFERROR(VLOOKUP($C247,구분표!$A$2:$C$300,2,FALSE),"")</f>
        <v>도시환경위원회</v>
      </c>
      <c r="B247" s="24" t="str">
        <f>IFERROR(VLOOKUP($C247,구분표!$A$2:$C$300,3,FALSE),"")</f>
        <v>환경국</v>
      </c>
      <c r="C247" s="31" t="s">
        <v>569</v>
      </c>
      <c r="D247" s="35" t="s">
        <v>771</v>
      </c>
      <c r="E247" s="145"/>
      <c r="F247" s="134" t="s">
        <v>919</v>
      </c>
      <c r="G247" s="44">
        <v>0</v>
      </c>
      <c r="H247" s="42">
        <v>0</v>
      </c>
      <c r="I247" s="54">
        <f t="shared" si="345"/>
        <v>0</v>
      </c>
      <c r="J247" s="42"/>
      <c r="K247" s="45">
        <v>110000</v>
      </c>
      <c r="L247" s="50">
        <f t="shared" si="346"/>
        <v>110000</v>
      </c>
      <c r="M247" s="158">
        <v>0</v>
      </c>
      <c r="N247" s="159">
        <v>110000</v>
      </c>
      <c r="O247" s="160">
        <f t="shared" si="347"/>
        <v>110000</v>
      </c>
      <c r="P247" s="27" t="str">
        <f t="shared" si="322"/>
        <v>X</v>
      </c>
      <c r="Q247" s="170" t="s">
        <v>926</v>
      </c>
      <c r="S247" s="27" t="s">
        <v>1096</v>
      </c>
      <c r="U247" s="27" t="s">
        <v>1007</v>
      </c>
      <c r="V247" s="42">
        <v>110000</v>
      </c>
      <c r="W247" s="42">
        <v>0</v>
      </c>
      <c r="X247" s="27" t="str">
        <f t="shared" si="325"/>
        <v>OK</v>
      </c>
      <c r="Z247" s="27" t="s">
        <v>1321</v>
      </c>
      <c r="AA247" s="42">
        <v>110000</v>
      </c>
      <c r="AB247" s="42">
        <v>0</v>
      </c>
      <c r="AC247" s="27" t="str">
        <f t="shared" si="349"/>
        <v>OK</v>
      </c>
      <c r="AE247" s="27" t="s">
        <v>1108</v>
      </c>
      <c r="AG247" s="24">
        <f t="shared" si="265"/>
        <v>1</v>
      </c>
      <c r="AH247" s="65" t="str">
        <f t="shared" si="351"/>
        <v>OK</v>
      </c>
      <c r="AJ247" s="27" t="str">
        <f t="array" ref="AJ247">IF(C247="","",INDEX(구분표!$I$2:$I$300, MATCH(1,(구분표!$E$2:$E$300='2추일출'!B247)*(구분표!$F$2:$F$300='2추일출'!C247)*(구분표!$G$2:$G$300='2추일출'!A247),0)))</f>
        <v>0911</v>
      </c>
      <c r="AL247" s="27"/>
    </row>
    <row r="248" spans="1:38" ht="50.1" customHeight="1" x14ac:dyDescent="0.3">
      <c r="A248" s="33" t="str">
        <f>IFERROR(VLOOKUP($C248,구분표!$A$2:$C$300,2,FALSE),"")</f>
        <v>도시환경위원회</v>
      </c>
      <c r="B248" s="24" t="str">
        <f>IFERROR(VLOOKUP($C248,구분표!$A$2:$C$300,3,FALSE),"")</f>
        <v>환경국</v>
      </c>
      <c r="C248" s="31" t="s">
        <v>579</v>
      </c>
      <c r="D248" s="137" t="s">
        <v>779</v>
      </c>
      <c r="E248" s="143" t="s">
        <v>832</v>
      </c>
      <c r="F248" s="138" t="s">
        <v>920</v>
      </c>
      <c r="G248" s="44">
        <v>21000</v>
      </c>
      <c r="H248" s="42">
        <v>21000</v>
      </c>
      <c r="I248" s="54">
        <f t="shared" si="345"/>
        <v>0</v>
      </c>
      <c r="J248" s="42"/>
      <c r="K248" s="45">
        <v>42000</v>
      </c>
      <c r="L248" s="50">
        <f t="shared" si="346"/>
        <v>63000</v>
      </c>
      <c r="M248" s="42"/>
      <c r="N248" s="159">
        <v>42000</v>
      </c>
      <c r="O248" s="160">
        <f t="shared" si="347"/>
        <v>63000</v>
      </c>
      <c r="P248" s="27" t="str">
        <f t="shared" si="322"/>
        <v>X</v>
      </c>
      <c r="Q248" s="170"/>
      <c r="S248" s="27" t="s">
        <v>1084</v>
      </c>
      <c r="U248" s="27" t="s">
        <v>1084</v>
      </c>
      <c r="V248" s="42">
        <f t="shared" si="323"/>
        <v>0</v>
      </c>
      <c r="W248" s="42">
        <f t="shared" si="324"/>
        <v>42000</v>
      </c>
      <c r="X248" s="27" t="str">
        <f t="shared" si="325"/>
        <v>OK</v>
      </c>
      <c r="Z248" s="27"/>
      <c r="AA248" s="42">
        <f t="shared" si="326"/>
        <v>0</v>
      </c>
      <c r="AB248" s="42">
        <f t="shared" si="348"/>
        <v>42000</v>
      </c>
      <c r="AC248" s="27" t="str">
        <f t="shared" si="349"/>
        <v>OK</v>
      </c>
      <c r="AE248" s="27" t="str">
        <f t="shared" si="350"/>
        <v>세입없음</v>
      </c>
      <c r="AG248" s="24">
        <f t="shared" si="265"/>
        <v>217</v>
      </c>
      <c r="AH248" s="65" t="str">
        <f t="shared" si="351"/>
        <v>OK</v>
      </c>
      <c r="AJ248" s="27" t="str">
        <f t="array" ref="AJ248">IF(C248="","",INDEX(구분표!$I$2:$I$300, MATCH(1,(구분표!$E$2:$E$300='2추일출'!B248)*(구분표!$F$2:$F$300='2추일출'!C248)*(구분표!$G$2:$G$300='2추일출'!A248),0)))</f>
        <v>0914</v>
      </c>
      <c r="AL248" s="27"/>
    </row>
    <row r="249" spans="1:38" ht="50.1" customHeight="1" x14ac:dyDescent="0.3">
      <c r="A249" s="33" t="str">
        <f>IFERROR(VLOOKUP($C249,구분표!$A$2:$C$300,2,FALSE),"")</f>
        <v>도시환경위원회</v>
      </c>
      <c r="B249" s="24" t="str">
        <f>IFERROR(VLOOKUP($C249,구분표!$A$2:$C$300,3,FALSE),"")</f>
        <v>환경국</v>
      </c>
      <c r="C249" s="31" t="s">
        <v>579</v>
      </c>
      <c r="D249" s="137" t="s">
        <v>771</v>
      </c>
      <c r="E249" s="143" t="s">
        <v>832</v>
      </c>
      <c r="F249" s="138" t="s">
        <v>921</v>
      </c>
      <c r="G249" s="44">
        <v>0</v>
      </c>
      <c r="H249" s="42">
        <v>0</v>
      </c>
      <c r="I249" s="54">
        <f t="shared" si="345"/>
        <v>0</v>
      </c>
      <c r="J249" s="42"/>
      <c r="K249" s="45">
        <v>51600</v>
      </c>
      <c r="L249" s="50">
        <f t="shared" si="346"/>
        <v>51600</v>
      </c>
      <c r="M249" s="42"/>
      <c r="N249" s="159">
        <v>51600</v>
      </c>
      <c r="O249" s="160">
        <f t="shared" si="347"/>
        <v>51600</v>
      </c>
      <c r="P249" s="27" t="str">
        <f t="shared" si="322"/>
        <v>X</v>
      </c>
      <c r="Q249" s="170"/>
      <c r="S249" s="27" t="s">
        <v>1084</v>
      </c>
      <c r="U249" s="27" t="s">
        <v>1084</v>
      </c>
      <c r="V249" s="42">
        <f t="shared" si="323"/>
        <v>0</v>
      </c>
      <c r="W249" s="42">
        <f t="shared" si="324"/>
        <v>51600</v>
      </c>
      <c r="X249" s="27" t="str">
        <f t="shared" si="325"/>
        <v>OK</v>
      </c>
      <c r="Z249" s="27"/>
      <c r="AA249" s="42">
        <f t="shared" si="326"/>
        <v>0</v>
      </c>
      <c r="AB249" s="42">
        <f t="shared" si="348"/>
        <v>51600</v>
      </c>
      <c r="AC249" s="27" t="str">
        <f t="shared" si="349"/>
        <v>OK</v>
      </c>
      <c r="AE249" s="27" t="str">
        <f t="shared" si="350"/>
        <v>세입없음</v>
      </c>
      <c r="AG249" s="24">
        <f t="shared" si="265"/>
        <v>217</v>
      </c>
      <c r="AH249" s="65" t="str">
        <f t="shared" si="351"/>
        <v>OK</v>
      </c>
      <c r="AJ249" s="27" t="str">
        <f t="array" ref="AJ249">IF(C249="","",INDEX(구분표!$I$2:$I$300, MATCH(1,(구분표!$E$2:$E$300='2추일출'!B249)*(구분표!$F$2:$F$300='2추일출'!C249)*(구분표!$G$2:$G$300='2추일출'!A249),0)))</f>
        <v>0914</v>
      </c>
      <c r="AL249" s="27"/>
    </row>
    <row r="250" spans="1:38" ht="50.1" customHeight="1" x14ac:dyDescent="0.3">
      <c r="A250" s="33" t="str">
        <f>IFERROR(VLOOKUP($C250,구분표!$A$2:$C$300,2,FALSE),"")</f>
        <v>도시환경위원회</v>
      </c>
      <c r="B250" s="24" t="str">
        <f>IFERROR(VLOOKUP($C250,구분표!$A$2:$C$300,3,FALSE),"")</f>
        <v>환경국</v>
      </c>
      <c r="C250" s="31" t="s">
        <v>579</v>
      </c>
      <c r="D250" s="137" t="s">
        <v>771</v>
      </c>
      <c r="E250" s="143" t="s">
        <v>832</v>
      </c>
      <c r="F250" s="138" t="s">
        <v>922</v>
      </c>
      <c r="G250" s="44">
        <v>0</v>
      </c>
      <c r="H250" s="42">
        <v>0</v>
      </c>
      <c r="I250" s="54">
        <f t="shared" si="345"/>
        <v>0</v>
      </c>
      <c r="J250" s="42"/>
      <c r="K250" s="45">
        <v>33000</v>
      </c>
      <c r="L250" s="50">
        <f t="shared" si="346"/>
        <v>33000</v>
      </c>
      <c r="M250" s="42"/>
      <c r="N250" s="159">
        <v>33000</v>
      </c>
      <c r="O250" s="160">
        <f t="shared" si="347"/>
        <v>33000</v>
      </c>
      <c r="P250" s="27" t="str">
        <f t="shared" si="322"/>
        <v>X</v>
      </c>
      <c r="Q250" s="170"/>
      <c r="S250" s="27" t="s">
        <v>1084</v>
      </c>
      <c r="U250" s="27" t="s">
        <v>1084</v>
      </c>
      <c r="V250" s="42">
        <f t="shared" si="323"/>
        <v>0</v>
      </c>
      <c r="W250" s="42">
        <f t="shared" si="324"/>
        <v>33000</v>
      </c>
      <c r="X250" s="27" t="str">
        <f t="shared" si="325"/>
        <v>OK</v>
      </c>
      <c r="Z250" s="27"/>
      <c r="AA250" s="42">
        <f t="shared" si="326"/>
        <v>0</v>
      </c>
      <c r="AB250" s="42">
        <f t="shared" si="348"/>
        <v>33000</v>
      </c>
      <c r="AC250" s="27" t="str">
        <f t="shared" si="349"/>
        <v>OK</v>
      </c>
      <c r="AE250" s="27" t="str">
        <f t="shared" si="350"/>
        <v>세입없음</v>
      </c>
      <c r="AG250" s="24">
        <f t="shared" si="265"/>
        <v>217</v>
      </c>
      <c r="AH250" s="65" t="str">
        <f t="shared" si="351"/>
        <v>OK</v>
      </c>
      <c r="AJ250" s="27" t="str">
        <f t="array" ref="AJ250">IF(C250="","",INDEX(구분표!$I$2:$I$300, MATCH(1,(구분표!$E$2:$E$300='2추일출'!B250)*(구분표!$F$2:$F$300='2추일출'!C250)*(구분표!$G$2:$G$300='2추일출'!A250),0)))</f>
        <v>0914</v>
      </c>
      <c r="AL250" s="27"/>
    </row>
    <row r="251" spans="1:38" ht="50.1" customHeight="1" x14ac:dyDescent="0.3">
      <c r="A251" s="33" t="str">
        <f>IFERROR(VLOOKUP($C251,구분표!$A$2:$C$300,2,FALSE),"")</f>
        <v>도시환경위원회</v>
      </c>
      <c r="B251" s="24" t="str">
        <f>IFERROR(VLOOKUP($C251,구분표!$A$2:$C$300,3,FALSE),"")</f>
        <v>수자원본부</v>
      </c>
      <c r="C251" s="31" t="s">
        <v>946</v>
      </c>
      <c r="D251" s="137" t="s">
        <v>771</v>
      </c>
      <c r="E251" s="143" t="s">
        <v>832</v>
      </c>
      <c r="F251" s="138" t="s">
        <v>957</v>
      </c>
      <c r="G251" s="44"/>
      <c r="H251" s="42"/>
      <c r="I251" s="54">
        <f t="shared" si="345"/>
        <v>0</v>
      </c>
      <c r="J251" s="42"/>
      <c r="K251" s="45">
        <v>1000000</v>
      </c>
      <c r="L251" s="50">
        <f t="shared" si="346"/>
        <v>1000000</v>
      </c>
      <c r="M251" s="42"/>
      <c r="N251" s="159">
        <v>1000000</v>
      </c>
      <c r="O251" s="160">
        <f t="shared" si="347"/>
        <v>1000000</v>
      </c>
      <c r="P251" s="27" t="str">
        <f t="shared" si="322"/>
        <v>X</v>
      </c>
      <c r="Q251" s="170"/>
      <c r="S251" s="27" t="s">
        <v>1084</v>
      </c>
      <c r="U251" s="27" t="s">
        <v>1084</v>
      </c>
      <c r="V251" s="42">
        <f t="shared" si="323"/>
        <v>0</v>
      </c>
      <c r="W251" s="42">
        <f t="shared" si="324"/>
        <v>1000000</v>
      </c>
      <c r="X251" s="27" t="str">
        <f t="shared" si="325"/>
        <v>OK</v>
      </c>
      <c r="Z251" s="27"/>
      <c r="AA251" s="42">
        <f t="shared" si="326"/>
        <v>0</v>
      </c>
      <c r="AB251" s="42">
        <f t="shared" si="348"/>
        <v>1000000</v>
      </c>
      <c r="AC251" s="27" t="str">
        <f t="shared" si="349"/>
        <v>OK</v>
      </c>
      <c r="AE251" s="27" t="str">
        <f t="shared" si="350"/>
        <v>세입없음</v>
      </c>
      <c r="AG251" s="24">
        <f t="shared" si="265"/>
        <v>217</v>
      </c>
      <c r="AH251" s="65" t="str">
        <f t="shared" si="351"/>
        <v>OK</v>
      </c>
      <c r="AJ251" s="27" t="str">
        <f t="array" ref="AJ251">IF(C251="","",INDEX(구분표!$I$2:$I$300, MATCH(1,(구분표!$E$2:$E$300='2추일출'!B251)*(구분표!$F$2:$F$300='2추일출'!C251)*(구분표!$G$2:$G$300='2추일출'!A251),0)))</f>
        <v>0921</v>
      </c>
      <c r="AL251" s="27"/>
    </row>
    <row r="252" spans="1:38" ht="50.1" customHeight="1" x14ac:dyDescent="0.3">
      <c r="A252" s="33" t="str">
        <f>IFERROR(VLOOKUP($C252,구분표!$A$2:$C$300,2,FALSE),"")</f>
        <v>도시환경위원회</v>
      </c>
      <c r="B252" s="24" t="str">
        <f>IFERROR(VLOOKUP($C252,구분표!$A$2:$C$300,3,FALSE),"")</f>
        <v>축산산림국</v>
      </c>
      <c r="C252" s="31" t="s">
        <v>1242</v>
      </c>
      <c r="D252" s="137" t="s">
        <v>771</v>
      </c>
      <c r="E252" s="143" t="s">
        <v>832</v>
      </c>
      <c r="F252" s="138" t="s">
        <v>1199</v>
      </c>
      <c r="G252" s="44"/>
      <c r="H252" s="42"/>
      <c r="I252" s="54">
        <f t="shared" si="345"/>
        <v>0</v>
      </c>
      <c r="J252" s="42"/>
      <c r="K252" s="157">
        <v>224000</v>
      </c>
      <c r="L252" s="50">
        <f t="shared" si="346"/>
        <v>224000</v>
      </c>
      <c r="M252" s="42"/>
      <c r="N252" s="182">
        <v>224000</v>
      </c>
      <c r="O252" s="160">
        <f t="shared" si="347"/>
        <v>224000</v>
      </c>
      <c r="P252" s="27" t="str">
        <f t="shared" si="322"/>
        <v>X</v>
      </c>
      <c r="Q252" s="170"/>
      <c r="S252" s="27" t="s">
        <v>662</v>
      </c>
      <c r="U252" s="27" t="s">
        <v>662</v>
      </c>
      <c r="V252" s="42">
        <f t="shared" si="323"/>
        <v>0</v>
      </c>
      <c r="W252" s="42">
        <f t="shared" si="324"/>
        <v>224000</v>
      </c>
      <c r="X252" s="27" t="str">
        <f t="shared" si="325"/>
        <v>OK</v>
      </c>
      <c r="Z252" s="27"/>
      <c r="AA252" s="42">
        <f t="shared" si="326"/>
        <v>0</v>
      </c>
      <c r="AB252" s="42">
        <f t="shared" si="348"/>
        <v>224000</v>
      </c>
      <c r="AC252" s="27" t="str">
        <f t="shared" si="349"/>
        <v>OK</v>
      </c>
      <c r="AE252" s="27" t="str">
        <f t="shared" si="350"/>
        <v>세입없음</v>
      </c>
      <c r="AG252" s="24">
        <f t="shared" si="265"/>
        <v>217</v>
      </c>
      <c r="AH252" s="65" t="str">
        <f t="shared" si="351"/>
        <v>OK</v>
      </c>
      <c r="AJ252" s="27" t="str">
        <f t="array" ref="AJ252">IF(C252="","",INDEX(구분표!$I$2:$I$300, MATCH(1,(구분표!$E$2:$E$300='2추일출'!B252)*(구분표!$F$2:$F$300='2추일출'!C252)*(구분표!$G$2:$G$300='2추일출'!A252),0)))</f>
        <v>0917</v>
      </c>
      <c r="AL252" s="27"/>
    </row>
    <row r="253" spans="1:38" ht="50.1" customHeight="1" x14ac:dyDescent="0.3">
      <c r="A253" s="33" t="str">
        <f>IFERROR(VLOOKUP($C253,구분표!$A$2:$C$300,2,FALSE),"")</f>
        <v>도시환경위원회</v>
      </c>
      <c r="B253" s="24" t="str">
        <f>IFERROR(VLOOKUP($C253,구분표!$A$2:$C$300,3,FALSE),"")</f>
        <v>축산산림국</v>
      </c>
      <c r="C253" s="31" t="s">
        <v>1242</v>
      </c>
      <c r="D253" s="35" t="s">
        <v>1243</v>
      </c>
      <c r="E253" s="145" t="s">
        <v>1244</v>
      </c>
      <c r="F253" s="134" t="s">
        <v>1245</v>
      </c>
      <c r="G253" s="44"/>
      <c r="H253" s="42"/>
      <c r="I253" s="54">
        <f t="shared" si="338"/>
        <v>0</v>
      </c>
      <c r="J253" s="42"/>
      <c r="K253" s="45">
        <v>1150000</v>
      </c>
      <c r="L253" s="50">
        <f t="shared" si="339"/>
        <v>1150000</v>
      </c>
      <c r="M253" s="42"/>
      <c r="N253" s="45">
        <v>1150000</v>
      </c>
      <c r="O253" s="52">
        <f t="shared" si="340"/>
        <v>1150000</v>
      </c>
      <c r="P253" s="27" t="str">
        <f t="shared" si="322"/>
        <v>X</v>
      </c>
      <c r="Q253" s="170" t="s">
        <v>1246</v>
      </c>
      <c r="S253" s="27" t="s">
        <v>975</v>
      </c>
      <c r="U253" s="27" t="s">
        <v>975</v>
      </c>
      <c r="V253" s="42">
        <f t="shared" si="323"/>
        <v>0</v>
      </c>
      <c r="W253" s="42">
        <f t="shared" si="324"/>
        <v>1150000</v>
      </c>
      <c r="X253" s="27" t="str">
        <f t="shared" si="325"/>
        <v>OK</v>
      </c>
      <c r="Z253" s="27"/>
      <c r="AA253" s="42">
        <f t="shared" si="326"/>
        <v>0</v>
      </c>
      <c r="AB253" s="42">
        <f t="shared" si="343"/>
        <v>1150000</v>
      </c>
      <c r="AC253" s="27" t="str">
        <f t="shared" si="341"/>
        <v>OK</v>
      </c>
      <c r="AE253" s="27" t="str">
        <f t="shared" si="344"/>
        <v>세입없음</v>
      </c>
      <c r="AG253" s="24">
        <f t="shared" si="265"/>
        <v>217</v>
      </c>
      <c r="AH253" s="65" t="str">
        <f t="shared" si="342"/>
        <v>OK</v>
      </c>
      <c r="AJ253" s="27" t="str">
        <f t="array" ref="AJ253">IF(C253="","",INDEX(구분표!$I$2:$I$300, MATCH(1,(구분표!$E$2:$E$300='2추일출'!B253)*(구분표!$F$2:$F$300='2추일출'!C253)*(구분표!$G$2:$G$300='2추일출'!A253),0)))</f>
        <v>0917</v>
      </c>
      <c r="AL253" s="27"/>
    </row>
    <row r="254" spans="1:38" ht="50.1" customHeight="1" x14ac:dyDescent="0.3">
      <c r="A254" s="57" t="s">
        <v>684</v>
      </c>
      <c r="B254" s="58"/>
      <c r="C254" s="59"/>
      <c r="D254" s="58"/>
      <c r="E254" s="59"/>
      <c r="F254" s="136"/>
      <c r="G254" s="60">
        <f t="shared" ref="G254:O254" si="352">SUM(G255:G294)</f>
        <v>41378612</v>
      </c>
      <c r="H254" s="60">
        <f t="shared" si="352"/>
        <v>37579125</v>
      </c>
      <c r="I254" s="60">
        <f t="shared" si="352"/>
        <v>3799487</v>
      </c>
      <c r="J254" s="60">
        <f t="shared" si="352"/>
        <v>-1076065</v>
      </c>
      <c r="K254" s="60">
        <f t="shared" si="352"/>
        <v>7022892</v>
      </c>
      <c r="L254" s="60">
        <f t="shared" si="352"/>
        <v>47475439</v>
      </c>
      <c r="M254" s="60">
        <f t="shared" si="352"/>
        <v>-1205202</v>
      </c>
      <c r="N254" s="60">
        <f t="shared" si="352"/>
        <v>7422865</v>
      </c>
      <c r="O254" s="60">
        <f t="shared" si="352"/>
        <v>47446275</v>
      </c>
      <c r="P254" s="61"/>
      <c r="Q254" s="224"/>
      <c r="S254" s="27"/>
      <c r="U254" s="27"/>
      <c r="V254" s="42"/>
      <c r="W254" s="42"/>
      <c r="X254" s="27"/>
      <c r="Z254" s="27"/>
      <c r="AA254" s="42"/>
      <c r="AB254" s="42"/>
      <c r="AC254" s="27"/>
      <c r="AE254" s="27" t="str">
        <f t="shared" si="329"/>
        <v/>
      </c>
      <c r="AG254" s="24" t="str">
        <f t="shared" si="265"/>
        <v/>
      </c>
      <c r="AH254" s="65" t="str">
        <f t="shared" si="330"/>
        <v/>
      </c>
      <c r="AJ254" s="27" t="str">
        <f t="array" ref="AJ254">IF(C254="","",INDEX(구분표!$I$2:$I$300, MATCH(1,(구분표!$E$2:$E$300='2추일출'!B254)*(구분표!$F$2:$F$300='2추일출'!C254)*(구분표!$G$2:$G$300='2추일출'!A254),0)))</f>
        <v/>
      </c>
      <c r="AL254" s="27"/>
    </row>
    <row r="255" spans="1:38" ht="50.1" customHeight="1" x14ac:dyDescent="0.3">
      <c r="A255" s="33" t="str">
        <f>IFERROR(VLOOKUP($C255,구분표!$A$2:$C$300,2,FALSE),"")</f>
        <v>여성가족교육협력위원회</v>
      </c>
      <c r="B255" s="24" t="str">
        <f>IFERROR(VLOOKUP($C255,구분표!$A$2:$C$300,3,FALSE),"")</f>
        <v>여성가족국</v>
      </c>
      <c r="C255" s="31" t="s">
        <v>602</v>
      </c>
      <c r="D255" s="35" t="s">
        <v>776</v>
      </c>
      <c r="E255" s="145">
        <v>791</v>
      </c>
      <c r="F255" s="134" t="s">
        <v>1109</v>
      </c>
      <c r="G255" s="44">
        <v>790000</v>
      </c>
      <c r="H255" s="42">
        <v>0</v>
      </c>
      <c r="I255" s="54">
        <f t="shared" si="319"/>
        <v>790000</v>
      </c>
      <c r="J255" s="42">
        <v>-790000</v>
      </c>
      <c r="K255" s="45"/>
      <c r="L255" s="50">
        <f t="shared" si="320"/>
        <v>0</v>
      </c>
      <c r="M255" s="158">
        <v>-790000</v>
      </c>
      <c r="N255" s="159">
        <v>0</v>
      </c>
      <c r="O255" s="160">
        <f t="shared" si="321"/>
        <v>0</v>
      </c>
      <c r="P255" s="27" t="str">
        <f t="shared" ref="P255:P294" si="353">IF(AND((L255=0),(O255&gt;0)),"O",IF(AND((J255&lt;0),(L255-O255&lt;0)),"O","X"))</f>
        <v>X</v>
      </c>
      <c r="Q255" s="170" t="s">
        <v>927</v>
      </c>
      <c r="S255" s="27" t="s">
        <v>1084</v>
      </c>
      <c r="U255" s="27" t="s">
        <v>1084</v>
      </c>
      <c r="V255" s="42">
        <f t="shared" si="323"/>
        <v>0</v>
      </c>
      <c r="W255" s="42">
        <f t="shared" si="324"/>
        <v>-790000</v>
      </c>
      <c r="X255" s="27" t="str">
        <f t="shared" si="325"/>
        <v>OK</v>
      </c>
      <c r="Z255" s="27"/>
      <c r="AA255" s="42">
        <f t="shared" si="326"/>
        <v>0</v>
      </c>
      <c r="AB255" s="42">
        <f t="shared" si="327"/>
        <v>-790000</v>
      </c>
      <c r="AC255" s="27" t="str">
        <f t="shared" si="328"/>
        <v>OK</v>
      </c>
      <c r="AE255" s="27" t="str">
        <f t="shared" si="329"/>
        <v>세입없음</v>
      </c>
      <c r="AG255" s="24">
        <f t="shared" si="265"/>
        <v>217</v>
      </c>
      <c r="AH255" s="65" t="str">
        <f t="shared" si="330"/>
        <v>OK</v>
      </c>
      <c r="AJ255" s="27" t="str">
        <f t="array" ref="AJ255">IF(C255="","",INDEX(구분표!$I$2:$I$300, MATCH(1,(구분표!$E$2:$E$300='2추일출'!B255)*(구분표!$F$2:$F$300='2추일출'!C255)*(구분표!$G$2:$G$300='2추일출'!A255),0)))</f>
        <v>1001</v>
      </c>
      <c r="AL255" s="27"/>
    </row>
    <row r="256" spans="1:38" ht="50.1" customHeight="1" x14ac:dyDescent="0.3">
      <c r="A256" s="33" t="str">
        <f>IFERROR(VLOOKUP($C256,구분표!$A$2:$C$300,2,FALSE),"")</f>
        <v>여성가족교육협력위원회</v>
      </c>
      <c r="B256" s="24" t="str">
        <f>IFERROR(VLOOKUP($C256,구분표!$A$2:$C$300,3,FALSE),"")</f>
        <v>여성가족국</v>
      </c>
      <c r="C256" s="31" t="s">
        <v>602</v>
      </c>
      <c r="D256" s="35" t="s">
        <v>776</v>
      </c>
      <c r="E256" s="145">
        <v>791</v>
      </c>
      <c r="F256" s="134" t="s">
        <v>1110</v>
      </c>
      <c r="G256" s="44">
        <v>0</v>
      </c>
      <c r="H256" s="42">
        <v>0</v>
      </c>
      <c r="I256" s="54">
        <f t="shared" si="319"/>
        <v>0</v>
      </c>
      <c r="J256" s="42"/>
      <c r="K256" s="45">
        <v>790000</v>
      </c>
      <c r="L256" s="50">
        <f t="shared" si="320"/>
        <v>790000</v>
      </c>
      <c r="M256" s="158">
        <v>0</v>
      </c>
      <c r="N256" s="159">
        <v>790000</v>
      </c>
      <c r="O256" s="160">
        <f t="shared" si="321"/>
        <v>790000</v>
      </c>
      <c r="P256" s="27" t="str">
        <f t="shared" si="353"/>
        <v>X</v>
      </c>
      <c r="Q256" s="170" t="s">
        <v>928</v>
      </c>
      <c r="S256" s="27" t="s">
        <v>1084</v>
      </c>
      <c r="U256" s="27" t="s">
        <v>1084</v>
      </c>
      <c r="V256" s="42">
        <f t="shared" si="323"/>
        <v>0</v>
      </c>
      <c r="W256" s="42">
        <f t="shared" si="324"/>
        <v>790000</v>
      </c>
      <c r="X256" s="27" t="str">
        <f t="shared" si="325"/>
        <v>OK</v>
      </c>
      <c r="Z256" s="27"/>
      <c r="AA256" s="42">
        <f t="shared" si="326"/>
        <v>0</v>
      </c>
      <c r="AB256" s="42">
        <f t="shared" si="327"/>
        <v>790000</v>
      </c>
      <c r="AC256" s="27" t="str">
        <f t="shared" si="328"/>
        <v>OK</v>
      </c>
      <c r="AE256" s="27" t="str">
        <f t="shared" si="329"/>
        <v>세입없음</v>
      </c>
      <c r="AG256" s="24">
        <f t="shared" si="265"/>
        <v>217</v>
      </c>
      <c r="AH256" s="65" t="str">
        <f t="shared" si="330"/>
        <v>OK</v>
      </c>
      <c r="AJ256" s="27" t="str">
        <f t="array" ref="AJ256">IF(C256="","",INDEX(구분표!$I$2:$I$300, MATCH(1,(구분표!$E$2:$E$300='2추일출'!B256)*(구분표!$F$2:$F$300='2추일출'!C256)*(구분표!$G$2:$G$300='2추일출'!A256),0)))</f>
        <v>1001</v>
      </c>
      <c r="AL256" s="27"/>
    </row>
    <row r="257" spans="1:38" ht="50.1" customHeight="1" x14ac:dyDescent="0.3">
      <c r="A257" s="33" t="str">
        <f>IFERROR(VLOOKUP($C257,구분표!$A$2:$C$300,2,FALSE),"")</f>
        <v>여성가족교육협력위원회</v>
      </c>
      <c r="B257" s="24" t="str">
        <f>IFERROR(VLOOKUP($C257,구분표!$A$2:$C$300,3,FALSE),"")</f>
        <v>여성가족국</v>
      </c>
      <c r="C257" s="31" t="s">
        <v>602</v>
      </c>
      <c r="D257" s="35" t="s">
        <v>776</v>
      </c>
      <c r="E257" s="145">
        <v>794</v>
      </c>
      <c r="F257" s="134" t="s">
        <v>1111</v>
      </c>
      <c r="G257" s="44">
        <v>941</v>
      </c>
      <c r="H257" s="42">
        <v>0</v>
      </c>
      <c r="I257" s="54">
        <f t="shared" ref="I257:I270" si="354">IF(D257="","",G257-H257)</f>
        <v>941</v>
      </c>
      <c r="J257" s="42"/>
      <c r="K257" s="45">
        <v>72162</v>
      </c>
      <c r="L257" s="50">
        <f t="shared" ref="L257:L270" si="355">IF(G257=0,H257+J257+K257,G257+J257+K257)</f>
        <v>73103</v>
      </c>
      <c r="M257" s="158">
        <v>0</v>
      </c>
      <c r="N257" s="159">
        <v>72162</v>
      </c>
      <c r="O257" s="160">
        <f t="shared" ref="O257:O270" si="356">IF(G257=0,H257+M257+N257,G257+M257+N257)</f>
        <v>73103</v>
      </c>
      <c r="P257" s="27" t="str">
        <f t="shared" si="353"/>
        <v>X</v>
      </c>
      <c r="Q257" s="170" t="s">
        <v>929</v>
      </c>
      <c r="S257" s="27" t="s">
        <v>1084</v>
      </c>
      <c r="U257" s="27" t="s">
        <v>1084</v>
      </c>
      <c r="V257" s="42">
        <f t="shared" si="323"/>
        <v>0</v>
      </c>
      <c r="W257" s="42">
        <f t="shared" si="324"/>
        <v>72162</v>
      </c>
      <c r="X257" s="27" t="str">
        <f t="shared" si="325"/>
        <v>OK</v>
      </c>
      <c r="Z257" s="27"/>
      <c r="AA257" s="42">
        <f t="shared" si="326"/>
        <v>0</v>
      </c>
      <c r="AB257" s="42">
        <f t="shared" ref="AB257" si="357">IF($U257="도비",SUM(M257:N257),IF($S257="국도비","직접입력",SUM(M257:N257)-AA257))</f>
        <v>72162</v>
      </c>
      <c r="AC257" s="27" t="str">
        <f t="shared" ref="AC257:AC261" si="358">IF(SUM(M257:N257)=SUM(AA257:AB257),"OK","검토")</f>
        <v>OK</v>
      </c>
      <c r="AE257" s="27" t="str">
        <f t="shared" ref="AE257:AE267" si="359">IF(U257="","",IF(U257="도비","세입없음","직접입력"))</f>
        <v>세입없음</v>
      </c>
      <c r="AG257" s="24">
        <f t="shared" si="265"/>
        <v>217</v>
      </c>
      <c r="AH257" s="65" t="str">
        <f t="shared" ref="AH257:AH270" si="360">IF(U257="","",IF(AND(U257="도비",AE257="세입없음"),"OK",IF(AND(U257&lt;&gt;"도비",AE257&lt;&gt;""),"OK","@@")))</f>
        <v>OK</v>
      </c>
      <c r="AJ257" s="27" t="str">
        <f t="array" ref="AJ257">IF(C257="","",INDEX(구분표!$I$2:$I$300, MATCH(1,(구분표!$E$2:$E$300='2추일출'!B257)*(구분표!$F$2:$F$300='2추일출'!C257)*(구분표!$G$2:$G$300='2추일출'!A257),0)))</f>
        <v>1001</v>
      </c>
      <c r="AL257" s="27"/>
    </row>
    <row r="258" spans="1:38" ht="50.1" customHeight="1" x14ac:dyDescent="0.3">
      <c r="A258" s="33" t="str">
        <f>IFERROR(VLOOKUP($C258,구분표!$A$2:$C$300,2,FALSE),"")</f>
        <v>여성가족교육협력위원회</v>
      </c>
      <c r="B258" s="24" t="str">
        <f>IFERROR(VLOOKUP($C258,구분표!$A$2:$C$300,3,FALSE),"")</f>
        <v>여성가족국</v>
      </c>
      <c r="C258" s="31" t="s">
        <v>602</v>
      </c>
      <c r="D258" s="35" t="s">
        <v>776</v>
      </c>
      <c r="E258" s="145">
        <v>791</v>
      </c>
      <c r="F258" s="134" t="s">
        <v>1112</v>
      </c>
      <c r="G258" s="44">
        <v>503837</v>
      </c>
      <c r="H258" s="42">
        <v>503837</v>
      </c>
      <c r="I258" s="54">
        <f t="shared" si="354"/>
        <v>0</v>
      </c>
      <c r="J258" s="42"/>
      <c r="K258" s="45">
        <v>44031</v>
      </c>
      <c r="L258" s="50">
        <f t="shared" si="355"/>
        <v>547868</v>
      </c>
      <c r="M258" s="158">
        <v>0</v>
      </c>
      <c r="N258" s="159">
        <v>44031</v>
      </c>
      <c r="O258" s="160">
        <f t="shared" si="356"/>
        <v>547868</v>
      </c>
      <c r="P258" s="27" t="str">
        <f t="shared" si="353"/>
        <v>X</v>
      </c>
      <c r="Q258" s="170" t="s">
        <v>827</v>
      </c>
      <c r="S258" s="27" t="s">
        <v>985</v>
      </c>
      <c r="U258" s="27" t="s">
        <v>1017</v>
      </c>
      <c r="V258" s="42">
        <v>36260</v>
      </c>
      <c r="W258" s="42">
        <v>7771</v>
      </c>
      <c r="X258" s="27" t="str">
        <f>IF(SUM($J258:$K258)=SUM($V258:$W258),"OK","검토")</f>
        <v>OK</v>
      </c>
      <c r="Z258" s="27" t="s">
        <v>1323</v>
      </c>
      <c r="AA258" s="42">
        <v>36260</v>
      </c>
      <c r="AB258" s="42">
        <v>7771</v>
      </c>
      <c r="AC258" s="27" t="str">
        <f t="shared" si="358"/>
        <v>OK</v>
      </c>
      <c r="AE258" s="27" t="s">
        <v>1117</v>
      </c>
      <c r="AG258" s="24">
        <f t="shared" si="265"/>
        <v>6</v>
      </c>
      <c r="AH258" s="65" t="str">
        <f>IF(U258="","",IF(AND(U258="도비",AE258="세입없음"),"OK",IF(AND(U258&lt;&gt;"도비",AE258&lt;&gt;""),"OK","@@")))</f>
        <v>OK</v>
      </c>
      <c r="AJ258" s="27" t="str">
        <f t="array" ref="AJ258">IF(C258="","",INDEX(구분표!$I$2:$I$300, MATCH(1,(구분표!$E$2:$E$300='2추일출'!B258)*(구분표!$F$2:$F$300='2추일출'!C258)*(구분표!$G$2:$G$300='2추일출'!A258),0)))</f>
        <v>1001</v>
      </c>
      <c r="AL258" s="27"/>
    </row>
    <row r="259" spans="1:38" ht="50.1" customHeight="1" x14ac:dyDescent="0.3">
      <c r="A259" s="33" t="str">
        <f>IFERROR(VLOOKUP($C259,구분표!$A$2:$C$300,2,FALSE),"")</f>
        <v>여성가족교육협력위원회</v>
      </c>
      <c r="B259" s="24" t="str">
        <f>IFERROR(VLOOKUP($C259,구분표!$A$2:$C$300,3,FALSE),"")</f>
        <v>여성가족국</v>
      </c>
      <c r="C259" s="31" t="s">
        <v>602</v>
      </c>
      <c r="D259" s="35" t="s">
        <v>776</v>
      </c>
      <c r="E259" s="145">
        <v>791</v>
      </c>
      <c r="F259" s="134" t="s">
        <v>1113</v>
      </c>
      <c r="G259" s="44">
        <v>23224</v>
      </c>
      <c r="H259" s="42">
        <v>23224</v>
      </c>
      <c r="I259" s="54">
        <f t="shared" si="354"/>
        <v>0</v>
      </c>
      <c r="J259" s="42"/>
      <c r="K259" s="45">
        <v>1525</v>
      </c>
      <c r="L259" s="50">
        <f t="shared" si="355"/>
        <v>24749</v>
      </c>
      <c r="M259" s="158">
        <v>0</v>
      </c>
      <c r="N259" s="159">
        <v>1525</v>
      </c>
      <c r="O259" s="160">
        <f t="shared" si="356"/>
        <v>24749</v>
      </c>
      <c r="P259" s="27" t="str">
        <f t="shared" si="353"/>
        <v>X</v>
      </c>
      <c r="Q259" s="170" t="s">
        <v>827</v>
      </c>
      <c r="S259" s="27" t="s">
        <v>985</v>
      </c>
      <c r="U259" s="27" t="s">
        <v>1017</v>
      </c>
      <c r="V259" s="42">
        <v>1525</v>
      </c>
      <c r="W259" s="42">
        <v>0</v>
      </c>
      <c r="X259" s="27" t="str">
        <f>IF(SUM($J259:$K259)=SUM($V259:$W259),"OK","검토")</f>
        <v>OK</v>
      </c>
      <c r="Z259" s="27" t="s">
        <v>1323</v>
      </c>
      <c r="AA259" s="42">
        <v>1525</v>
      </c>
      <c r="AB259" s="42">
        <v>0</v>
      </c>
      <c r="AC259" s="27" t="str">
        <f t="shared" si="358"/>
        <v>OK</v>
      </c>
      <c r="AE259" s="27" t="s">
        <v>1117</v>
      </c>
      <c r="AG259" s="24">
        <f t="shared" si="265"/>
        <v>6</v>
      </c>
      <c r="AH259" s="65" t="str">
        <f>IF(U259="","",IF(AND(U259="도비",AE259="세입없음"),"OK",IF(AND(U259&lt;&gt;"도비",AE259&lt;&gt;""),"OK","@@")))</f>
        <v>OK</v>
      </c>
      <c r="AJ259" s="27" t="str">
        <f t="array" ref="AJ259">IF(C259="","",INDEX(구분표!$I$2:$I$300, MATCH(1,(구분표!$E$2:$E$300='2추일출'!B259)*(구분표!$F$2:$F$300='2추일출'!C259)*(구분표!$G$2:$G$300='2추일출'!A259),0)))</f>
        <v>1001</v>
      </c>
      <c r="AL259" s="27"/>
    </row>
    <row r="260" spans="1:38" ht="50.1" customHeight="1" x14ac:dyDescent="0.3">
      <c r="A260" s="33" t="str">
        <f>IFERROR(VLOOKUP($C260,구분표!$A$2:$C$300,2,FALSE),"")</f>
        <v>여성가족교육협력위원회</v>
      </c>
      <c r="B260" s="24" t="str">
        <f>IFERROR(VLOOKUP($C260,구분표!$A$2:$C$300,3,FALSE),"")</f>
        <v>여성가족국</v>
      </c>
      <c r="C260" s="31" t="s">
        <v>602</v>
      </c>
      <c r="D260" s="35" t="s">
        <v>776</v>
      </c>
      <c r="E260" s="145">
        <v>791</v>
      </c>
      <c r="F260" s="134" t="s">
        <v>1114</v>
      </c>
      <c r="G260" s="44">
        <v>22433</v>
      </c>
      <c r="H260" s="42">
        <v>3750</v>
      </c>
      <c r="I260" s="54">
        <f t="shared" si="354"/>
        <v>18683</v>
      </c>
      <c r="J260" s="42"/>
      <c r="K260" s="45">
        <v>3750</v>
      </c>
      <c r="L260" s="50">
        <f t="shared" si="355"/>
        <v>26183</v>
      </c>
      <c r="M260" s="158">
        <v>0</v>
      </c>
      <c r="N260" s="159">
        <v>3750</v>
      </c>
      <c r="O260" s="160">
        <f t="shared" si="356"/>
        <v>26183</v>
      </c>
      <c r="P260" s="27" t="str">
        <f t="shared" si="353"/>
        <v>X</v>
      </c>
      <c r="Q260" s="170" t="s">
        <v>827</v>
      </c>
      <c r="S260" s="27" t="s">
        <v>985</v>
      </c>
      <c r="U260" s="27" t="s">
        <v>1017</v>
      </c>
      <c r="V260" s="42">
        <v>2500</v>
      </c>
      <c r="W260" s="42">
        <v>1250</v>
      </c>
      <c r="X260" s="27" t="str">
        <f>IF(SUM($J260:$K260)=SUM($V260:$W260),"OK","검토")</f>
        <v>OK</v>
      </c>
      <c r="Z260" s="27" t="s">
        <v>1323</v>
      </c>
      <c r="AA260" s="42">
        <v>2500</v>
      </c>
      <c r="AB260" s="42">
        <v>1250</v>
      </c>
      <c r="AC260" s="27" t="str">
        <f t="shared" si="358"/>
        <v>OK</v>
      </c>
      <c r="AE260" s="27" t="s">
        <v>1117</v>
      </c>
      <c r="AG260" s="24">
        <f t="shared" si="265"/>
        <v>6</v>
      </c>
      <c r="AH260" s="65" t="str">
        <f>IF(U260="","",IF(AND(U260="도비",AE260="세입없음"),"OK",IF(AND(U260&lt;&gt;"도비",AE260&lt;&gt;""),"OK","@@")))</f>
        <v>OK</v>
      </c>
      <c r="AJ260" s="27" t="str">
        <f t="array" ref="AJ260">IF(C260="","",INDEX(구분표!$I$2:$I$300, MATCH(1,(구분표!$E$2:$E$300='2추일출'!B260)*(구분표!$F$2:$F$300='2추일출'!C260)*(구분표!$G$2:$G$300='2추일출'!A260),0)))</f>
        <v>1001</v>
      </c>
      <c r="AL260" s="27"/>
    </row>
    <row r="261" spans="1:38" ht="50.1" customHeight="1" x14ac:dyDescent="0.3">
      <c r="A261" s="33" t="str">
        <f>IFERROR(VLOOKUP($C261,구분표!$A$2:$C$300,2,FALSE),"")</f>
        <v>여성가족교육협력위원회</v>
      </c>
      <c r="B261" s="24" t="str">
        <f>IFERROR(VLOOKUP($C261,구분표!$A$2:$C$300,3,FALSE),"")</f>
        <v>여성가족국</v>
      </c>
      <c r="C261" s="31" t="s">
        <v>610</v>
      </c>
      <c r="D261" s="35" t="s">
        <v>776</v>
      </c>
      <c r="E261" s="145">
        <v>803</v>
      </c>
      <c r="F261" s="134" t="s">
        <v>930</v>
      </c>
      <c r="G261" s="44">
        <v>6190000</v>
      </c>
      <c r="H261" s="42">
        <v>6300000</v>
      </c>
      <c r="I261" s="54">
        <f t="shared" si="354"/>
        <v>-110000</v>
      </c>
      <c r="J261" s="42"/>
      <c r="K261" s="45">
        <v>224885</v>
      </c>
      <c r="L261" s="50">
        <f t="shared" si="355"/>
        <v>6414885</v>
      </c>
      <c r="M261" s="158">
        <v>0</v>
      </c>
      <c r="N261" s="159">
        <v>224885</v>
      </c>
      <c r="O261" s="160">
        <f t="shared" si="356"/>
        <v>6414885</v>
      </c>
      <c r="P261" s="27" t="str">
        <f t="shared" si="353"/>
        <v>X</v>
      </c>
      <c r="Q261" s="170" t="s">
        <v>828</v>
      </c>
      <c r="S261" s="27" t="s">
        <v>1096</v>
      </c>
      <c r="U261" s="27" t="s">
        <v>1100</v>
      </c>
      <c r="V261" s="42">
        <v>224885</v>
      </c>
      <c r="W261" s="42">
        <v>0</v>
      </c>
      <c r="X261" s="27" t="str">
        <f t="shared" si="325"/>
        <v>OK</v>
      </c>
      <c r="Z261" s="27" t="s">
        <v>1321</v>
      </c>
      <c r="AA261" s="42">
        <v>224885</v>
      </c>
      <c r="AB261" s="42">
        <v>0</v>
      </c>
      <c r="AC261" s="27" t="str">
        <f t="shared" si="358"/>
        <v>OK</v>
      </c>
      <c r="AE261" s="27" t="s">
        <v>1118</v>
      </c>
      <c r="AG261" s="24">
        <f t="shared" si="265"/>
        <v>2</v>
      </c>
      <c r="AH261" s="65" t="str">
        <f t="shared" si="360"/>
        <v>OK</v>
      </c>
      <c r="AJ261" s="27" t="str">
        <f t="array" ref="AJ261">IF(C261="","",INDEX(구분표!$I$2:$I$300, MATCH(1,(구분표!$E$2:$E$300='2추일출'!B261)*(구분표!$F$2:$F$300='2추일출'!C261)*(구분표!$G$2:$G$300='2추일출'!A261),0)))</f>
        <v>1003</v>
      </c>
      <c r="AL261" s="27"/>
    </row>
    <row r="262" spans="1:38" ht="50.1" customHeight="1" thickBot="1" x14ac:dyDescent="0.35">
      <c r="A262" s="33" t="str">
        <f>IFERROR(VLOOKUP($C262,구분표!$A$2:$C$300,2,FALSE),"")</f>
        <v>여성가족교육협력위원회</v>
      </c>
      <c r="B262" s="24" t="str">
        <f>IFERROR(VLOOKUP($C262,구분표!$A$2:$C$300,3,FALSE),"")</f>
        <v>여성가족국</v>
      </c>
      <c r="C262" s="31" t="s">
        <v>613</v>
      </c>
      <c r="D262" s="35" t="s">
        <v>776</v>
      </c>
      <c r="E262" s="145">
        <v>808</v>
      </c>
      <c r="F262" s="180" t="s">
        <v>1115</v>
      </c>
      <c r="G262" s="44">
        <v>4458082</v>
      </c>
      <c r="H262" s="42">
        <v>4664780</v>
      </c>
      <c r="I262" s="54">
        <f t="shared" si="354"/>
        <v>-206698</v>
      </c>
      <c r="J262" s="42"/>
      <c r="K262" s="45">
        <v>21456</v>
      </c>
      <c r="L262" s="50">
        <f t="shared" si="355"/>
        <v>4479538</v>
      </c>
      <c r="M262" s="158">
        <v>0</v>
      </c>
      <c r="N262" s="159">
        <v>21456</v>
      </c>
      <c r="O262" s="160">
        <f t="shared" si="356"/>
        <v>4479538</v>
      </c>
      <c r="P262" s="27" t="str">
        <f t="shared" si="353"/>
        <v>X</v>
      </c>
      <c r="Q262" s="170" t="s">
        <v>829</v>
      </c>
      <c r="S262" s="27" t="s">
        <v>1096</v>
      </c>
      <c r="U262" s="27" t="s">
        <v>1120</v>
      </c>
      <c r="V262" s="42">
        <v>20160</v>
      </c>
      <c r="W262" s="42">
        <v>1296</v>
      </c>
      <c r="X262" s="27" t="str">
        <f t="shared" si="325"/>
        <v>OK</v>
      </c>
      <c r="Z262" s="27" t="s">
        <v>1323</v>
      </c>
      <c r="AA262" s="42">
        <v>20160</v>
      </c>
      <c r="AB262" s="42">
        <v>1296</v>
      </c>
      <c r="AC262" s="27" t="str">
        <f t="shared" ref="AC262" si="361">IF(SUM(M262:N262)=SUM(AA262:AB262),"OK","검토")</f>
        <v>OK</v>
      </c>
      <c r="AE262" s="27" t="s">
        <v>1119</v>
      </c>
      <c r="AG262" s="24">
        <f t="shared" si="265"/>
        <v>1</v>
      </c>
      <c r="AH262" s="65" t="str">
        <f t="shared" si="360"/>
        <v>OK</v>
      </c>
      <c r="AJ262" s="27" t="str">
        <f t="array" ref="AJ262">IF(C262="","",INDEX(구분표!$I$2:$I$300, MATCH(1,(구분표!$E$2:$E$300='2추일출'!B262)*(구분표!$F$2:$F$300='2추일출'!C262)*(구분표!$G$2:$G$300='2추일출'!A262),0)))</f>
        <v>1004</v>
      </c>
      <c r="AL262" s="27"/>
    </row>
    <row r="263" spans="1:38" ht="50.1" customHeight="1" thickTop="1" x14ac:dyDescent="0.3">
      <c r="A263" s="33" t="str">
        <f>IFERROR(VLOOKUP($C263,구분표!$A$2:$C$300,2,FALSE),"")</f>
        <v>여성가족교육협력위원회</v>
      </c>
      <c r="B263" s="24" t="str">
        <f>IFERROR(VLOOKUP($C263,구분표!$A$2:$C$300,3,FALSE),"")</f>
        <v>여성가족국</v>
      </c>
      <c r="C263" s="31" t="s">
        <v>619</v>
      </c>
      <c r="D263" s="35" t="s">
        <v>771</v>
      </c>
      <c r="E263" s="145"/>
      <c r="F263" s="174" t="s">
        <v>931</v>
      </c>
      <c r="G263" s="44">
        <v>0</v>
      </c>
      <c r="H263" s="42">
        <v>0</v>
      </c>
      <c r="I263" s="54">
        <f t="shared" si="354"/>
        <v>0</v>
      </c>
      <c r="J263" s="42"/>
      <c r="K263" s="45">
        <v>150000</v>
      </c>
      <c r="L263" s="50">
        <f t="shared" si="355"/>
        <v>150000</v>
      </c>
      <c r="M263" s="158">
        <v>0</v>
      </c>
      <c r="N263" s="159">
        <v>150000</v>
      </c>
      <c r="O263" s="160">
        <f t="shared" si="356"/>
        <v>150000</v>
      </c>
      <c r="P263" s="27" t="str">
        <f t="shared" si="353"/>
        <v>X</v>
      </c>
      <c r="Q263" s="170" t="s">
        <v>1308</v>
      </c>
      <c r="S263" s="27" t="s">
        <v>1096</v>
      </c>
      <c r="U263" s="27" t="s">
        <v>1006</v>
      </c>
      <c r="V263" s="42">
        <v>150000</v>
      </c>
      <c r="W263" s="42">
        <v>0</v>
      </c>
      <c r="X263" s="27" t="str">
        <f t="shared" si="325"/>
        <v>OK</v>
      </c>
      <c r="Z263" s="27"/>
      <c r="AA263" s="42">
        <v>150000</v>
      </c>
      <c r="AB263" s="42">
        <v>0</v>
      </c>
      <c r="AC263" s="27" t="str">
        <f t="shared" ref="AC263:AC266" si="362">IF(SUM(M263:N263)=SUM(AA263:AB263),"OK","검토")</f>
        <v>OK</v>
      </c>
      <c r="AE263" s="27" t="s">
        <v>1121</v>
      </c>
      <c r="AG263" s="24">
        <f t="shared" si="265"/>
        <v>1</v>
      </c>
      <c r="AH263" s="65" t="str">
        <f t="shared" si="360"/>
        <v>OK</v>
      </c>
      <c r="AJ263" s="27" t="str">
        <f t="array" ref="AJ263">IF(C263="","",INDEX(구분표!$I$2:$I$300, MATCH(1,(구분표!$E$2:$E$300='2추일출'!B263)*(구분표!$F$2:$F$300='2추일출'!C263)*(구분표!$G$2:$G$300='2추일출'!A263),0)))</f>
        <v>1006</v>
      </c>
      <c r="AL263" s="27"/>
    </row>
    <row r="264" spans="1:38" ht="50.1" customHeight="1" thickBot="1" x14ac:dyDescent="0.35">
      <c r="A264" s="33" t="s">
        <v>603</v>
      </c>
      <c r="B264" s="24" t="s">
        <v>604</v>
      </c>
      <c r="C264" s="31" t="s">
        <v>619</v>
      </c>
      <c r="D264" s="137" t="s">
        <v>771</v>
      </c>
      <c r="E264" s="143" t="s">
        <v>832</v>
      </c>
      <c r="F264" s="166" t="s">
        <v>931</v>
      </c>
      <c r="G264" s="44">
        <v>0</v>
      </c>
      <c r="H264" s="42">
        <v>0</v>
      </c>
      <c r="I264" s="54">
        <v>0</v>
      </c>
      <c r="J264" s="42"/>
      <c r="K264" s="45">
        <v>150000</v>
      </c>
      <c r="L264" s="50">
        <v>300000</v>
      </c>
      <c r="M264" s="42"/>
      <c r="N264" s="159">
        <v>150000</v>
      </c>
      <c r="O264" s="160">
        <v>0</v>
      </c>
      <c r="P264" s="27" t="str">
        <f t="shared" si="353"/>
        <v>X</v>
      </c>
      <c r="Q264" s="170"/>
      <c r="S264" s="27" t="s">
        <v>1084</v>
      </c>
      <c r="U264" s="27" t="s">
        <v>1084</v>
      </c>
      <c r="V264" s="42">
        <v>0</v>
      </c>
      <c r="W264" s="42">
        <v>150000</v>
      </c>
      <c r="X264" s="27" t="s">
        <v>947</v>
      </c>
      <c r="Z264" s="27"/>
      <c r="AA264" s="42">
        <f t="shared" si="326"/>
        <v>0</v>
      </c>
      <c r="AB264" s="42">
        <f t="shared" ref="AB264" si="363">IF($U264="도비",SUM(M264:N264),IF($S264="국도비","직접입력",SUM(M264:N264)-AA264))</f>
        <v>150000</v>
      </c>
      <c r="AC264" s="27" t="s">
        <v>947</v>
      </c>
      <c r="AE264" s="27" t="str">
        <f t="shared" si="359"/>
        <v>세입없음</v>
      </c>
      <c r="AG264" s="24" t="s">
        <v>948</v>
      </c>
      <c r="AH264" s="65" t="s">
        <v>948</v>
      </c>
      <c r="AJ264" s="27" t="s">
        <v>621</v>
      </c>
      <c r="AL264" s="27"/>
    </row>
    <row r="265" spans="1:38" ht="50.1" customHeight="1" thickTop="1" x14ac:dyDescent="0.3">
      <c r="A265" s="33" t="str">
        <f>IFERROR(VLOOKUP($C265,구분표!$A$2:$C$300,2,FALSE),"")</f>
        <v>여성가족교육협력위원회</v>
      </c>
      <c r="B265" s="24" t="str">
        <f>IFERROR(VLOOKUP($C265,구분표!$A$2:$C$300,3,FALSE),"")</f>
        <v>여성가족국</v>
      </c>
      <c r="C265" s="31" t="s">
        <v>607</v>
      </c>
      <c r="D265" s="35" t="s">
        <v>776</v>
      </c>
      <c r="E265" s="145">
        <v>797</v>
      </c>
      <c r="F265" s="164" t="s">
        <v>1122</v>
      </c>
      <c r="G265" s="44">
        <v>36065</v>
      </c>
      <c r="H265" s="42"/>
      <c r="I265" s="54">
        <f t="shared" si="354"/>
        <v>36065</v>
      </c>
      <c r="J265" s="42">
        <v>-36065</v>
      </c>
      <c r="K265" s="45"/>
      <c r="L265" s="50">
        <f t="shared" si="355"/>
        <v>0</v>
      </c>
      <c r="M265" s="158">
        <v>-36065</v>
      </c>
      <c r="N265" s="159">
        <v>0</v>
      </c>
      <c r="O265" s="160">
        <f t="shared" si="356"/>
        <v>0</v>
      </c>
      <c r="P265" s="27" t="str">
        <f t="shared" si="353"/>
        <v>X</v>
      </c>
      <c r="Q265" s="170"/>
      <c r="S265" s="27" t="s">
        <v>1084</v>
      </c>
      <c r="U265" s="27" t="s">
        <v>1084</v>
      </c>
      <c r="V265" s="42">
        <f t="shared" si="323"/>
        <v>0</v>
      </c>
      <c r="W265" s="42">
        <f t="shared" si="324"/>
        <v>-36065</v>
      </c>
      <c r="X265" s="27" t="str">
        <f t="shared" si="325"/>
        <v>OK</v>
      </c>
      <c r="Z265" s="27"/>
      <c r="AA265" s="42">
        <f t="shared" si="326"/>
        <v>0</v>
      </c>
      <c r="AB265" s="42">
        <f t="shared" ref="AB265:AB266" si="364">IF($U265="도비",SUM(M265:N265),IF($S265="국도비","직접입력",SUM(M265:N265)-AA265))</f>
        <v>-36065</v>
      </c>
      <c r="AC265" s="27" t="str">
        <f t="shared" si="362"/>
        <v>OK</v>
      </c>
      <c r="AE265" s="27" t="str">
        <f t="shared" si="359"/>
        <v>세입없음</v>
      </c>
      <c r="AG265" s="24">
        <f t="shared" ref="AG265:AG294" si="365">IF(AE265="","",COUNTIF($AE$7:$AE$294,AE265))</f>
        <v>217</v>
      </c>
      <c r="AH265" s="65" t="str">
        <f t="shared" si="360"/>
        <v>OK</v>
      </c>
      <c r="AJ265" s="27" t="str">
        <f t="array" ref="AJ265">IF(C265="","",INDEX(구분표!$I$2:$I$300, MATCH(1,(구분표!$E$2:$E$300='2추일출'!B265)*(구분표!$F$2:$F$300='2추일출'!C265)*(구분표!$G$2:$G$300='2추일출'!A265),0)))</f>
        <v>1002</v>
      </c>
      <c r="AL265" s="27"/>
    </row>
    <row r="266" spans="1:38" ht="50.1" customHeight="1" x14ac:dyDescent="0.3">
      <c r="A266" s="33" t="str">
        <f>IFERROR(VLOOKUP($C266,구분표!$A$2:$C$300,2,FALSE),"")</f>
        <v>여성가족교육협력위원회</v>
      </c>
      <c r="B266" s="24" t="str">
        <f>IFERROR(VLOOKUP($C266,구분표!$A$2:$C$300,3,FALSE),"")</f>
        <v>여성가족국</v>
      </c>
      <c r="C266" s="31" t="s">
        <v>610</v>
      </c>
      <c r="D266" s="137" t="s">
        <v>771</v>
      </c>
      <c r="E266" s="143" t="s">
        <v>832</v>
      </c>
      <c r="F266" s="138" t="s">
        <v>932</v>
      </c>
      <c r="G266" s="44"/>
      <c r="H266" s="42"/>
      <c r="I266" s="54">
        <f t="shared" si="354"/>
        <v>0</v>
      </c>
      <c r="J266" s="42"/>
      <c r="K266" s="45">
        <v>1000000</v>
      </c>
      <c r="L266" s="50">
        <f t="shared" si="355"/>
        <v>1000000</v>
      </c>
      <c r="M266" s="42"/>
      <c r="N266" s="159">
        <v>1000000</v>
      </c>
      <c r="O266" s="160">
        <f t="shared" si="356"/>
        <v>1000000</v>
      </c>
      <c r="P266" s="27" t="str">
        <f t="shared" si="353"/>
        <v>X</v>
      </c>
      <c r="Q266" s="170"/>
      <c r="S266" s="27" t="s">
        <v>1084</v>
      </c>
      <c r="U266" s="27" t="s">
        <v>1084</v>
      </c>
      <c r="V266" s="42">
        <f t="shared" si="323"/>
        <v>0</v>
      </c>
      <c r="W266" s="42">
        <f t="shared" si="324"/>
        <v>1000000</v>
      </c>
      <c r="X266" s="27" t="str">
        <f t="shared" si="325"/>
        <v>OK</v>
      </c>
      <c r="Z266" s="27"/>
      <c r="AA266" s="42">
        <f t="shared" si="326"/>
        <v>0</v>
      </c>
      <c r="AB266" s="42">
        <f t="shared" si="364"/>
        <v>1000000</v>
      </c>
      <c r="AC266" s="27" t="str">
        <f t="shared" si="362"/>
        <v>OK</v>
      </c>
      <c r="AE266" s="27" t="str">
        <f t="shared" si="359"/>
        <v>세입없음</v>
      </c>
      <c r="AG266" s="24">
        <f t="shared" si="365"/>
        <v>217</v>
      </c>
      <c r="AH266" s="65" t="str">
        <f t="shared" si="360"/>
        <v>OK</v>
      </c>
      <c r="AJ266" s="27" t="str">
        <f t="array" ref="AJ266">IF(C266="","",INDEX(구분표!$I$2:$I$300, MATCH(1,(구분표!$E$2:$E$300='2추일출'!B266)*(구분표!$F$2:$F$300='2추일출'!C266)*(구분표!$G$2:$G$300='2추일출'!A266),0)))</f>
        <v>1003</v>
      </c>
      <c r="AL266" s="27"/>
    </row>
    <row r="267" spans="1:38" ht="50.1" customHeight="1" x14ac:dyDescent="0.3">
      <c r="A267" s="33" t="str">
        <f>IFERROR(VLOOKUP($C267,구분표!$A$2:$C$300,2,FALSE),"")</f>
        <v>여성가족교육협력위원회</v>
      </c>
      <c r="B267" s="24" t="str">
        <f>IFERROR(VLOOKUP($C267,구분표!$A$2:$C$300,3,FALSE),"")</f>
        <v>여성가족국</v>
      </c>
      <c r="C267" s="31" t="s">
        <v>610</v>
      </c>
      <c r="D267" s="137" t="s">
        <v>771</v>
      </c>
      <c r="E267" s="143" t="s">
        <v>832</v>
      </c>
      <c r="F267" s="138" t="s">
        <v>933</v>
      </c>
      <c r="G267" s="44"/>
      <c r="H267" s="42"/>
      <c r="I267" s="54">
        <f t="shared" si="354"/>
        <v>0</v>
      </c>
      <c r="J267" s="42"/>
      <c r="K267" s="45">
        <v>58000</v>
      </c>
      <c r="L267" s="50">
        <f t="shared" si="355"/>
        <v>58000</v>
      </c>
      <c r="M267" s="42"/>
      <c r="N267" s="159">
        <v>58000</v>
      </c>
      <c r="O267" s="160">
        <f t="shared" si="356"/>
        <v>58000</v>
      </c>
      <c r="P267" s="27" t="str">
        <f t="shared" si="353"/>
        <v>X</v>
      </c>
      <c r="Q267" s="170"/>
      <c r="S267" s="27" t="s">
        <v>1084</v>
      </c>
      <c r="U267" s="27" t="s">
        <v>1084</v>
      </c>
      <c r="V267" s="42">
        <f t="shared" si="323"/>
        <v>0</v>
      </c>
      <c r="W267" s="42">
        <f t="shared" si="324"/>
        <v>58000</v>
      </c>
      <c r="X267" s="27" t="str">
        <f t="shared" si="325"/>
        <v>OK</v>
      </c>
      <c r="Z267" s="27"/>
      <c r="AA267" s="42">
        <f t="shared" si="326"/>
        <v>0</v>
      </c>
      <c r="AB267" s="42">
        <f t="shared" ref="AB267" si="366">IF($U267="도비",SUM(M267:N267),IF($S267="국도비","직접입력",SUM(M267:N267)-AA267))</f>
        <v>58000</v>
      </c>
      <c r="AC267" s="27" t="str">
        <f t="shared" ref="AC267" si="367">IF(SUM(M267:N267)=SUM(AA267:AB267),"OK","검토")</f>
        <v>OK</v>
      </c>
      <c r="AE267" s="27" t="str">
        <f t="shared" si="359"/>
        <v>세입없음</v>
      </c>
      <c r="AG267" s="24">
        <f t="shared" si="365"/>
        <v>217</v>
      </c>
      <c r="AH267" s="65" t="str">
        <f t="shared" si="360"/>
        <v>OK</v>
      </c>
      <c r="AJ267" s="27" t="str">
        <f t="array" ref="AJ267">IF(C267="","",INDEX(구분표!$I$2:$I$300, MATCH(1,(구분표!$E$2:$E$300='2추일출'!B267)*(구분표!$F$2:$F$300='2추일출'!C267)*(구분표!$G$2:$G$300='2추일출'!A267),0)))</f>
        <v>1003</v>
      </c>
      <c r="AL267" s="27"/>
    </row>
    <row r="268" spans="1:38" ht="50.1" customHeight="1" x14ac:dyDescent="0.3">
      <c r="A268" s="33" t="str">
        <f>IFERROR(VLOOKUP($C268,구분표!$A$2:$C$300,2,FALSE),"")</f>
        <v>여성가족교육협력위원회</v>
      </c>
      <c r="B268" s="24" t="str">
        <f>IFERROR(VLOOKUP($C268,구분표!$A$2:$C$300,3,FALSE),"")</f>
        <v>복지여성실</v>
      </c>
      <c r="C268" s="31" t="s">
        <v>622</v>
      </c>
      <c r="D268" s="35" t="s">
        <v>779</v>
      </c>
      <c r="E268" s="145"/>
      <c r="F268" s="134" t="s">
        <v>1116</v>
      </c>
      <c r="G268" s="44">
        <v>136054</v>
      </c>
      <c r="H268" s="42">
        <v>136054</v>
      </c>
      <c r="I268" s="54">
        <f t="shared" si="354"/>
        <v>0</v>
      </c>
      <c r="J268" s="42"/>
      <c r="K268" s="45">
        <v>112321</v>
      </c>
      <c r="L268" s="50">
        <f t="shared" si="355"/>
        <v>248375</v>
      </c>
      <c r="M268" s="158">
        <v>0</v>
      </c>
      <c r="N268" s="159">
        <v>112321</v>
      </c>
      <c r="O268" s="160">
        <f t="shared" si="356"/>
        <v>248375</v>
      </c>
      <c r="P268" s="27" t="str">
        <f t="shared" si="353"/>
        <v>X</v>
      </c>
      <c r="Q268" s="170" t="s">
        <v>827</v>
      </c>
      <c r="S268" s="27" t="s">
        <v>985</v>
      </c>
      <c r="U268" s="27" t="s">
        <v>1017</v>
      </c>
      <c r="V268" s="42">
        <v>92500</v>
      </c>
      <c r="W268" s="42">
        <v>19821</v>
      </c>
      <c r="X268" s="27" t="s">
        <v>947</v>
      </c>
      <c r="Z268" s="27" t="s">
        <v>1323</v>
      </c>
      <c r="AA268" s="42">
        <v>92500</v>
      </c>
      <c r="AB268" s="42">
        <v>19821</v>
      </c>
      <c r="AC268" s="27" t="str">
        <f t="shared" ref="AC268:AC270" si="368">IF(SUM(M268:N268)=SUM(AA268:AB268),"OK","검토")</f>
        <v>OK</v>
      </c>
      <c r="AE268" s="27" t="s">
        <v>1117</v>
      </c>
      <c r="AG268" s="24">
        <f t="shared" si="365"/>
        <v>6</v>
      </c>
      <c r="AH268" s="65" t="str">
        <f t="shared" si="360"/>
        <v>OK</v>
      </c>
      <c r="AJ268" s="27" t="str">
        <f t="array" ref="AJ268">IF(C268="","",INDEX(구분표!$I$2:$I$300, MATCH(1,(구분표!$E$2:$E$300='2추일출'!B268)*(구분표!$F$2:$F$300='2추일출'!C268)*(구분표!$G$2:$G$300='2추일출'!A268),0)))</f>
        <v>1007</v>
      </c>
      <c r="AL268" s="27"/>
    </row>
    <row r="269" spans="1:38" ht="50.1" customHeight="1" x14ac:dyDescent="0.3">
      <c r="A269" s="33" t="str">
        <f>IFERROR(VLOOKUP($C269,구분표!$A$2:$C$300,2,FALSE),"")</f>
        <v>여성가족교육협력위원회</v>
      </c>
      <c r="B269" s="24" t="str">
        <f>IFERROR(VLOOKUP($C269,구분표!$A$2:$C$300,3,FALSE),"")</f>
        <v>복지여성실</v>
      </c>
      <c r="C269" s="31" t="s">
        <v>622</v>
      </c>
      <c r="D269" s="35" t="s">
        <v>779</v>
      </c>
      <c r="E269" s="145"/>
      <c r="F269" s="134" t="s">
        <v>1113</v>
      </c>
      <c r="G269" s="44">
        <v>24672</v>
      </c>
      <c r="H269" s="42">
        <v>24672</v>
      </c>
      <c r="I269" s="54">
        <f t="shared" si="354"/>
        <v>0</v>
      </c>
      <c r="J269" s="42"/>
      <c r="K269" s="45">
        <v>4575</v>
      </c>
      <c r="L269" s="50">
        <f t="shared" si="355"/>
        <v>29247</v>
      </c>
      <c r="M269" s="158">
        <v>0</v>
      </c>
      <c r="N269" s="159">
        <v>4575</v>
      </c>
      <c r="O269" s="160">
        <f t="shared" si="356"/>
        <v>29247</v>
      </c>
      <c r="P269" s="27" t="str">
        <f t="shared" si="353"/>
        <v>X</v>
      </c>
      <c r="Q269" s="170" t="s">
        <v>827</v>
      </c>
      <c r="S269" s="27" t="s">
        <v>985</v>
      </c>
      <c r="U269" s="27" t="s">
        <v>1017</v>
      </c>
      <c r="V269" s="42">
        <v>4575</v>
      </c>
      <c r="W269" s="42">
        <v>0</v>
      </c>
      <c r="X269" s="27" t="s">
        <v>947</v>
      </c>
      <c r="Z269" s="27" t="s">
        <v>1320</v>
      </c>
      <c r="AA269" s="42">
        <v>4575</v>
      </c>
      <c r="AB269" s="42">
        <v>0</v>
      </c>
      <c r="AC269" s="27" t="str">
        <f t="shared" si="368"/>
        <v>OK</v>
      </c>
      <c r="AE269" s="27" t="s">
        <v>1117</v>
      </c>
      <c r="AG269" s="24">
        <f t="shared" si="365"/>
        <v>6</v>
      </c>
      <c r="AH269" s="65" t="str">
        <f t="shared" si="360"/>
        <v>OK</v>
      </c>
      <c r="AJ269" s="27" t="str">
        <f t="array" ref="AJ269">IF(C269="","",INDEX(구분표!$I$2:$I$300, MATCH(1,(구분표!$E$2:$E$300='2추일출'!B269)*(구분표!$F$2:$F$300='2추일출'!C269)*(구분표!$G$2:$G$300='2추일출'!A269),0)))</f>
        <v>1007</v>
      </c>
      <c r="AL269" s="27"/>
    </row>
    <row r="270" spans="1:38" ht="50.1" customHeight="1" x14ac:dyDescent="0.3">
      <c r="A270" s="33" t="str">
        <f>IFERROR(VLOOKUP($C270,구분표!$A$2:$C$300,2,FALSE),"")</f>
        <v>여성가족교육협력위원회</v>
      </c>
      <c r="B270" s="24" t="str">
        <f>IFERROR(VLOOKUP($C270,구분표!$A$2:$C$300,3,FALSE),"")</f>
        <v>복지여성실</v>
      </c>
      <c r="C270" s="31" t="s">
        <v>622</v>
      </c>
      <c r="D270" s="35" t="s">
        <v>779</v>
      </c>
      <c r="E270" s="145"/>
      <c r="F270" s="134" t="s">
        <v>1114</v>
      </c>
      <c r="G270" s="44">
        <v>17261</v>
      </c>
      <c r="H270" s="42">
        <v>17261</v>
      </c>
      <c r="I270" s="54">
        <f t="shared" si="354"/>
        <v>0</v>
      </c>
      <c r="J270" s="42"/>
      <c r="K270" s="45">
        <v>14722</v>
      </c>
      <c r="L270" s="50">
        <f t="shared" si="355"/>
        <v>31983</v>
      </c>
      <c r="M270" s="158">
        <v>0</v>
      </c>
      <c r="N270" s="159">
        <v>14722</v>
      </c>
      <c r="O270" s="160">
        <f t="shared" si="356"/>
        <v>31983</v>
      </c>
      <c r="P270" s="27" t="str">
        <f t="shared" si="353"/>
        <v>X</v>
      </c>
      <c r="Q270" s="170" t="s">
        <v>827</v>
      </c>
      <c r="S270" s="27" t="s">
        <v>985</v>
      </c>
      <c r="U270" s="27" t="s">
        <v>1017</v>
      </c>
      <c r="V270" s="42">
        <v>9815</v>
      </c>
      <c r="W270" s="42">
        <v>4907</v>
      </c>
      <c r="X270" s="27" t="s">
        <v>947</v>
      </c>
      <c r="Z270" s="27" t="s">
        <v>1323</v>
      </c>
      <c r="AA270" s="42">
        <v>9815</v>
      </c>
      <c r="AB270" s="42">
        <v>4907</v>
      </c>
      <c r="AC270" s="27" t="str">
        <f t="shared" si="368"/>
        <v>OK</v>
      </c>
      <c r="AE270" s="27" t="s">
        <v>1117</v>
      </c>
      <c r="AG270" s="24">
        <f t="shared" si="365"/>
        <v>6</v>
      </c>
      <c r="AH270" s="65" t="str">
        <f t="shared" si="360"/>
        <v>OK</v>
      </c>
      <c r="AJ270" s="27" t="str">
        <f t="array" ref="AJ270">IF(C270="","",INDEX(구분표!$I$2:$I$300, MATCH(1,(구분표!$E$2:$E$300='2추일출'!B270)*(구분표!$F$2:$F$300='2추일출'!C270)*(구분표!$G$2:$G$300='2추일출'!A270),0)))</f>
        <v>1007</v>
      </c>
      <c r="AL270" s="27"/>
    </row>
    <row r="271" spans="1:38" ht="50.1" customHeight="1" x14ac:dyDescent="0.3">
      <c r="A271" s="33" t="str">
        <f>IFERROR(VLOOKUP($C271,구분표!$A$2:$C$300,2,FALSE),"")</f>
        <v>여성가족교육협력위원회</v>
      </c>
      <c r="B271" s="24" t="str">
        <f>IFERROR(VLOOKUP($C271,구분표!$A$2:$C$300,3,FALSE),"")</f>
        <v>복지여성실</v>
      </c>
      <c r="C271" s="31" t="s">
        <v>625</v>
      </c>
      <c r="D271" s="35" t="s">
        <v>779</v>
      </c>
      <c r="E271" s="145"/>
      <c r="F271" s="134" t="s">
        <v>930</v>
      </c>
      <c r="G271" s="44">
        <v>3110000</v>
      </c>
      <c r="H271" s="42">
        <v>3000000</v>
      </c>
      <c r="I271" s="54">
        <f t="shared" si="319"/>
        <v>110000</v>
      </c>
      <c r="J271" s="42"/>
      <c r="K271" s="45">
        <v>50465</v>
      </c>
      <c r="L271" s="50">
        <f t="shared" si="320"/>
        <v>3160465</v>
      </c>
      <c r="M271" s="158">
        <v>0</v>
      </c>
      <c r="N271" s="159">
        <v>50465</v>
      </c>
      <c r="O271" s="160">
        <f t="shared" si="321"/>
        <v>3160465</v>
      </c>
      <c r="P271" s="27" t="str">
        <f t="shared" si="353"/>
        <v>X</v>
      </c>
      <c r="Q271" s="170" t="s">
        <v>828</v>
      </c>
      <c r="S271" s="27" t="s">
        <v>1096</v>
      </c>
      <c r="U271" s="27" t="s">
        <v>1100</v>
      </c>
      <c r="V271" s="42">
        <v>50465</v>
      </c>
      <c r="W271" s="42">
        <v>0</v>
      </c>
      <c r="X271" s="27" t="str">
        <f t="shared" si="325"/>
        <v>OK</v>
      </c>
      <c r="Z271" s="27" t="s">
        <v>1321</v>
      </c>
      <c r="AA271" s="42">
        <v>50465</v>
      </c>
      <c r="AB271" s="42">
        <v>0</v>
      </c>
      <c r="AC271" s="27" t="str">
        <f t="shared" si="328"/>
        <v>OK</v>
      </c>
      <c r="AE271" s="27" t="s">
        <v>1118</v>
      </c>
      <c r="AG271" s="24">
        <f t="shared" si="365"/>
        <v>2</v>
      </c>
      <c r="AH271" s="65" t="str">
        <f t="shared" si="330"/>
        <v>OK</v>
      </c>
      <c r="AJ271" s="27" t="str">
        <f t="array" ref="AJ271">IF(C271="","",INDEX(구분표!$I$2:$I$300, MATCH(1,(구분표!$E$2:$E$300='2추일출'!B271)*(구분표!$F$2:$F$300='2추일출'!C271)*(구분표!$G$2:$G$300='2추일출'!A271),0)))</f>
        <v>1008</v>
      </c>
      <c r="AL271" s="27"/>
    </row>
    <row r="272" spans="1:38" ht="50.1" customHeight="1" x14ac:dyDescent="0.3">
      <c r="A272" s="33" t="str">
        <f>IFERROR(VLOOKUP($C272,구분표!$A$2:$C$300,2,FALSE),"")</f>
        <v>여성가족교육협력위원회</v>
      </c>
      <c r="B272" s="24" t="str">
        <f>IFERROR(VLOOKUP($C272,구분표!$A$2:$C$300,3,FALSE),"")</f>
        <v>교육협력국</v>
      </c>
      <c r="C272" s="31" t="s">
        <v>631</v>
      </c>
      <c r="D272" s="139" t="s">
        <v>776</v>
      </c>
      <c r="E272" s="144">
        <v>850</v>
      </c>
      <c r="F272" s="177" t="s">
        <v>1123</v>
      </c>
      <c r="G272" s="44">
        <v>3094000</v>
      </c>
      <c r="H272" s="42">
        <v>2594000</v>
      </c>
      <c r="I272" s="54">
        <f t="shared" si="319"/>
        <v>500000</v>
      </c>
      <c r="J272" s="42">
        <v>-250000</v>
      </c>
      <c r="K272" s="45"/>
      <c r="L272" s="50">
        <f t="shared" si="320"/>
        <v>2844000</v>
      </c>
      <c r="M272" s="158">
        <v>-250000</v>
      </c>
      <c r="N272" s="159"/>
      <c r="O272" s="160">
        <f t="shared" si="321"/>
        <v>2844000</v>
      </c>
      <c r="P272" s="27" t="str">
        <f t="shared" si="353"/>
        <v>X</v>
      </c>
      <c r="Q272" s="170" t="s">
        <v>1247</v>
      </c>
      <c r="S272" s="27" t="s">
        <v>1084</v>
      </c>
      <c r="U272" s="27" t="s">
        <v>1084</v>
      </c>
      <c r="V272" s="42">
        <f t="shared" si="323"/>
        <v>0</v>
      </c>
      <c r="W272" s="42">
        <f t="shared" si="324"/>
        <v>-250000</v>
      </c>
      <c r="X272" s="27" t="str">
        <f t="shared" si="325"/>
        <v>OK</v>
      </c>
      <c r="Z272" s="27"/>
      <c r="AA272" s="42">
        <f t="shared" si="326"/>
        <v>0</v>
      </c>
      <c r="AB272" s="42">
        <f t="shared" si="327"/>
        <v>-250000</v>
      </c>
      <c r="AC272" s="27" t="str">
        <f t="shared" si="328"/>
        <v>OK</v>
      </c>
      <c r="AE272" s="27" t="str">
        <f t="shared" si="329"/>
        <v>세입없음</v>
      </c>
      <c r="AG272" s="24">
        <f t="shared" si="365"/>
        <v>217</v>
      </c>
      <c r="AH272" s="65" t="str">
        <f t="shared" si="330"/>
        <v>OK</v>
      </c>
      <c r="AJ272" s="27" t="str">
        <f t="array" ref="AJ272">IF(C272="","",INDEX(구분표!$I$2:$I$300, MATCH(1,(구분표!$E$2:$E$300='2추일출'!B272)*(구분표!$F$2:$F$300='2추일출'!C272)*(구분표!$G$2:$G$300='2추일출'!A272),0)))</f>
        <v>1010</v>
      </c>
      <c r="AL272" s="27"/>
    </row>
    <row r="273" spans="1:38" ht="50.1" customHeight="1" thickBot="1" x14ac:dyDescent="0.35">
      <c r="A273" s="33" t="str">
        <f>IFERROR(VLOOKUP($C273,구분표!$A$2:$C$300,2,FALSE),"")</f>
        <v>여성가족교육협력위원회</v>
      </c>
      <c r="B273" s="24" t="str">
        <f>IFERROR(VLOOKUP($C273,구분표!$A$2:$C$300,3,FALSE),"")</f>
        <v>교육협력국</v>
      </c>
      <c r="C273" s="31" t="s">
        <v>631</v>
      </c>
      <c r="D273" s="137" t="s">
        <v>771</v>
      </c>
      <c r="E273" s="143" t="s">
        <v>832</v>
      </c>
      <c r="F273" s="172" t="s">
        <v>934</v>
      </c>
      <c r="G273" s="44"/>
      <c r="H273" s="42"/>
      <c r="I273" s="54">
        <f t="shared" ref="I273" si="369">IF(D273="","",G273-H273)</f>
        <v>0</v>
      </c>
      <c r="J273" s="42"/>
      <c r="K273" s="45">
        <v>494000</v>
      </c>
      <c r="L273" s="50">
        <f t="shared" ref="L273" si="370">IF(G273=0,H273+J273+K273,G273+J273+K273)</f>
        <v>494000</v>
      </c>
      <c r="M273" s="42"/>
      <c r="N273" s="159">
        <v>431020</v>
      </c>
      <c r="O273" s="160">
        <f t="shared" ref="O273" si="371">IF(G273=0,H273+M273+N273,G273+M273+N273)</f>
        <v>431020</v>
      </c>
      <c r="P273" s="27" t="str">
        <f t="shared" ref="P273" si="372">IF(AND((L273=0),(O273&gt;0)),"O",IF(AND((J273&lt;0),(L273-O273&lt;0)),"O","X"))</f>
        <v>X</v>
      </c>
      <c r="Q273" s="222"/>
      <c r="S273" s="27" t="s">
        <v>1084</v>
      </c>
      <c r="U273" s="27" t="s">
        <v>1084</v>
      </c>
      <c r="V273" s="42">
        <f t="shared" si="323"/>
        <v>0</v>
      </c>
      <c r="W273" s="42">
        <f t="shared" si="324"/>
        <v>494000</v>
      </c>
      <c r="X273" s="27" t="str">
        <f t="shared" si="325"/>
        <v>OK</v>
      </c>
      <c r="Z273" s="27"/>
      <c r="AA273" s="42">
        <f t="shared" si="326"/>
        <v>0</v>
      </c>
      <c r="AB273" s="42">
        <f t="shared" ref="AB273" si="373">IF($U273="도비",SUM(M273:N273),IF($S273="국도비","직접입력",SUM(M273:N273)-AA273))</f>
        <v>431020</v>
      </c>
      <c r="AC273" s="27" t="str">
        <f t="shared" ref="AC273" si="374">IF(SUM(M273:N273)=SUM(AA273:AB273),"OK","검토")</f>
        <v>OK</v>
      </c>
      <c r="AE273" s="27" t="str">
        <f t="shared" ref="AE273" si="375">IF(U273="","",IF(U273="도비","세입없음","직접입력"))</f>
        <v>세입없음</v>
      </c>
      <c r="AG273" s="24">
        <f t="shared" si="365"/>
        <v>217</v>
      </c>
      <c r="AH273" s="65" t="str">
        <f t="shared" ref="AH273" si="376">IF(U273="","",IF(AND(U273="도비",AE273="세입없음"),"OK",IF(AND(U273&lt;&gt;"도비",AE273&lt;&gt;""),"OK","@@")))</f>
        <v>OK</v>
      </c>
      <c r="AJ273" s="27" t="str">
        <f t="array" ref="AJ273">IF(C273="","",INDEX(구분표!$I$2:$I$300, MATCH(1,(구분표!$E$2:$E$300='2추일출'!B273)*(구분표!$F$2:$F$300='2추일출'!C273)*(구분표!$G$2:$G$300='2추일출'!A273),0)))</f>
        <v>1010</v>
      </c>
      <c r="AL273" s="27"/>
    </row>
    <row r="274" spans="1:38" ht="50.1" customHeight="1" thickTop="1" x14ac:dyDescent="0.3">
      <c r="A274" s="33" t="str">
        <f>IFERROR(VLOOKUP($C274,구분표!$A$2:$C$300,2,FALSE),"")</f>
        <v>여성가족교육협력위원회</v>
      </c>
      <c r="B274" s="24" t="str">
        <f>IFERROR(VLOOKUP($C274,구분표!$A$2:$C$300,3,FALSE),"")</f>
        <v>교육협력국</v>
      </c>
      <c r="C274" s="31" t="s">
        <v>638</v>
      </c>
      <c r="D274" s="35" t="s">
        <v>771</v>
      </c>
      <c r="E274" s="145"/>
      <c r="F274" s="174" t="s">
        <v>1217</v>
      </c>
      <c r="G274" s="44"/>
      <c r="H274" s="42"/>
      <c r="I274" s="54">
        <f t="shared" si="319"/>
        <v>0</v>
      </c>
      <c r="J274" s="42"/>
      <c r="K274" s="45">
        <v>250000</v>
      </c>
      <c r="L274" s="50">
        <f t="shared" si="320"/>
        <v>250000</v>
      </c>
      <c r="M274" s="158">
        <v>0</v>
      </c>
      <c r="N274" s="159">
        <v>250000</v>
      </c>
      <c r="O274" s="160">
        <f t="shared" si="321"/>
        <v>250000</v>
      </c>
      <c r="P274" s="27" t="str">
        <f t="shared" si="353"/>
        <v>X</v>
      </c>
      <c r="Q274" s="170" t="s">
        <v>1218</v>
      </c>
      <c r="S274" s="27" t="s">
        <v>1084</v>
      </c>
      <c r="U274" s="27" t="s">
        <v>1084</v>
      </c>
      <c r="V274" s="42">
        <f t="shared" si="323"/>
        <v>0</v>
      </c>
      <c r="W274" s="42">
        <f t="shared" si="324"/>
        <v>250000</v>
      </c>
      <c r="X274" s="27" t="str">
        <f t="shared" si="325"/>
        <v>OK</v>
      </c>
      <c r="Z274" s="27"/>
      <c r="AA274" s="42">
        <f t="shared" si="326"/>
        <v>0</v>
      </c>
      <c r="AB274" s="42">
        <f t="shared" si="327"/>
        <v>250000</v>
      </c>
      <c r="AC274" s="27" t="str">
        <f t="shared" si="328"/>
        <v>OK</v>
      </c>
      <c r="AE274" s="27" t="str">
        <f t="shared" si="329"/>
        <v>세입없음</v>
      </c>
      <c r="AG274" s="24">
        <f t="shared" si="365"/>
        <v>217</v>
      </c>
      <c r="AH274" s="65" t="str">
        <f t="shared" si="330"/>
        <v>OK</v>
      </c>
      <c r="AJ274" s="27" t="str">
        <f t="array" ref="AJ274">IF(C274="","",INDEX(구분표!$I$2:$I$300, MATCH(1,(구분표!$E$2:$E$300='2추일출'!B274)*(구분표!$F$2:$F$300='2추일출'!C274)*(구분표!$G$2:$G$300='2추일출'!A274),0)))</f>
        <v>1012</v>
      </c>
      <c r="AL274" s="27"/>
    </row>
    <row r="275" spans="1:38" ht="50.1" customHeight="1" thickBot="1" x14ac:dyDescent="0.35">
      <c r="A275" s="33" t="str">
        <f>IFERROR(VLOOKUP($C275,구분표!$A$2:$C$300,2,FALSE),"")</f>
        <v>여성가족교육협력위원회</v>
      </c>
      <c r="B275" s="24" t="str">
        <f>IFERROR(VLOOKUP($C275,구분표!$A$2:$C$300,3,FALSE),"")</f>
        <v>교육협력국</v>
      </c>
      <c r="C275" s="31" t="s">
        <v>638</v>
      </c>
      <c r="D275" s="137" t="s">
        <v>771</v>
      </c>
      <c r="E275" s="143" t="s">
        <v>832</v>
      </c>
      <c r="F275" s="198" t="s">
        <v>1217</v>
      </c>
      <c r="G275" s="44"/>
      <c r="H275" s="42"/>
      <c r="I275" s="54">
        <f t="shared" ref="I275" si="377">IF(D275="","",G275-H275)</f>
        <v>0</v>
      </c>
      <c r="J275" s="42"/>
      <c r="K275" s="45">
        <v>40000</v>
      </c>
      <c r="L275" s="50">
        <f t="shared" ref="L275" si="378">IF(G275=0,H275+J275+K275,G275+J275+K275)</f>
        <v>40000</v>
      </c>
      <c r="M275" s="42"/>
      <c r="N275" s="159">
        <v>54000</v>
      </c>
      <c r="O275" s="160">
        <f t="shared" ref="O275" si="379">IF(G275=0,H275+M275+N275,G275+M275+N275)</f>
        <v>54000</v>
      </c>
      <c r="P275" s="27" t="str">
        <f t="shared" si="353"/>
        <v>X</v>
      </c>
      <c r="Q275" s="170"/>
      <c r="S275" s="27" t="s">
        <v>1215</v>
      </c>
      <c r="U275" s="27" t="s">
        <v>1215</v>
      </c>
      <c r="V275" s="42">
        <f>IF($U275&lt;&gt;"도비",IF($S275="국도비","직접입력",SUM($J275:$K275)),)</f>
        <v>0</v>
      </c>
      <c r="W275" s="42">
        <f>IF($U275="도비",SUM($J275:$K275),IF($S275="국도비","직접입력",SUM($J275:$K275)-$V275))</f>
        <v>40000</v>
      </c>
      <c r="X275" s="27" t="str">
        <f>IF(SUM($J275:$K275)=SUM($V275:$W275),"OK","검토")</f>
        <v>OK</v>
      </c>
      <c r="Z275" s="27"/>
      <c r="AA275" s="42">
        <f>IF($U275&lt;&gt;"도비",IF($S275="국도비","직접입력",SUM($M275:$N275)),)</f>
        <v>0</v>
      </c>
      <c r="AB275" s="42">
        <f>IF($U275="도비",SUM(M275:N275),IF($S275="국도비","직접입력",SUM(M275:N275)-AA275))</f>
        <v>54000</v>
      </c>
      <c r="AC275" s="27" t="str">
        <f t="shared" ref="AC275" si="380">IF(SUM(M275:N275)=SUM(AA275:AB275),"OK","검토")</f>
        <v>OK</v>
      </c>
      <c r="AE275" s="27" t="str">
        <f t="shared" ref="AE275" si="381">IF(U275="","",IF(U275="도비","세입없음","직접입력"))</f>
        <v>세입없음</v>
      </c>
      <c r="AG275" s="24">
        <f t="shared" si="365"/>
        <v>217</v>
      </c>
      <c r="AH275" s="65" t="str">
        <f t="shared" ref="AH275" si="382">IF(U275="","",IF(AND(U275="도비",AE275="세입없음"),"OK",IF(AND(U275&lt;&gt;"도비",AE275&lt;&gt;""),"OK","@@")))</f>
        <v>OK</v>
      </c>
      <c r="AJ275" s="27" t="str">
        <f t="array" ref="AJ275">IF(C275="","",INDEX(구분표!$I$2:$I$300, MATCH(1,(구분표!$E$2:$E$300='2추일출'!B275)*(구분표!$F$2:$F$300='2추일출'!C275)*(구분표!$G$2:$G$300='2추일출'!A275),0)))</f>
        <v>1012</v>
      </c>
      <c r="AL275" s="27"/>
    </row>
    <row r="276" spans="1:38" ht="50.1" customHeight="1" thickTop="1" x14ac:dyDescent="0.3">
      <c r="A276" s="33" t="str">
        <f>IFERROR(VLOOKUP($C276,구분표!$A$2:$C$300,2,FALSE),"")</f>
        <v>여성가족교육협력위원회</v>
      </c>
      <c r="B276" s="24" t="str">
        <f>IFERROR(VLOOKUP($C276,구분표!$A$2:$C$300,3,FALSE),"")</f>
        <v>교육협력국</v>
      </c>
      <c r="C276" s="31" t="s">
        <v>638</v>
      </c>
      <c r="D276" s="137" t="s">
        <v>771</v>
      </c>
      <c r="E276" s="143" t="s">
        <v>832</v>
      </c>
      <c r="F276" s="173" t="s">
        <v>935</v>
      </c>
      <c r="G276" s="44"/>
      <c r="H276" s="42"/>
      <c r="I276" s="54">
        <f t="shared" si="319"/>
        <v>0</v>
      </c>
      <c r="J276" s="42"/>
      <c r="K276" s="45">
        <v>198000</v>
      </c>
      <c r="L276" s="50">
        <f t="shared" si="320"/>
        <v>198000</v>
      </c>
      <c r="M276" s="42"/>
      <c r="N276" s="181">
        <v>198000</v>
      </c>
      <c r="O276" s="160">
        <f t="shared" si="321"/>
        <v>198000</v>
      </c>
      <c r="P276" s="27" t="str">
        <f t="shared" si="353"/>
        <v>X</v>
      </c>
      <c r="Q276" s="220" t="s">
        <v>1241</v>
      </c>
      <c r="S276" s="27" t="s">
        <v>1084</v>
      </c>
      <c r="U276" s="27" t="s">
        <v>1084</v>
      </c>
      <c r="V276" s="42">
        <f t="shared" si="323"/>
        <v>0</v>
      </c>
      <c r="W276" s="42">
        <f t="shared" si="324"/>
        <v>198000</v>
      </c>
      <c r="X276" s="27" t="str">
        <f t="shared" si="325"/>
        <v>OK</v>
      </c>
      <c r="Z276" s="27"/>
      <c r="AA276" s="42">
        <f t="shared" si="326"/>
        <v>0</v>
      </c>
      <c r="AB276" s="42">
        <f t="shared" si="327"/>
        <v>198000</v>
      </c>
      <c r="AC276" s="27" t="str">
        <f t="shared" si="328"/>
        <v>OK</v>
      </c>
      <c r="AE276" s="27" t="str">
        <f t="shared" si="329"/>
        <v>세입없음</v>
      </c>
      <c r="AG276" s="24">
        <f t="shared" si="365"/>
        <v>217</v>
      </c>
      <c r="AH276" s="65" t="str">
        <f t="shared" si="330"/>
        <v>OK</v>
      </c>
      <c r="AJ276" s="27" t="str">
        <f t="array" ref="AJ276">IF(C276="","",INDEX(구분표!$I$2:$I$300, MATCH(1,(구분표!$E$2:$E$300='2추일출'!B276)*(구분표!$F$2:$F$300='2추일출'!C276)*(구분표!$G$2:$G$300='2추일출'!A276),0)))</f>
        <v>1012</v>
      </c>
      <c r="AL276" s="27"/>
    </row>
    <row r="277" spans="1:38" ht="50.1" customHeight="1" x14ac:dyDescent="0.3">
      <c r="A277" s="33" t="str">
        <f>IFERROR(VLOOKUP($C277,구분표!$A$2:$C$300,2,FALSE),"")</f>
        <v>여성가족교육협력위원회</v>
      </c>
      <c r="B277" s="24" t="s">
        <v>961</v>
      </c>
      <c r="C277" s="31" t="s">
        <v>635</v>
      </c>
      <c r="D277" s="137" t="s">
        <v>771</v>
      </c>
      <c r="E277" s="143" t="s">
        <v>832</v>
      </c>
      <c r="F277" s="138" t="s">
        <v>958</v>
      </c>
      <c r="G277" s="44"/>
      <c r="H277" s="42"/>
      <c r="I277" s="54">
        <f t="shared" ref="I277:I278" si="383">IF(D277="","",G277-H277)</f>
        <v>0</v>
      </c>
      <c r="J277" s="42"/>
      <c r="K277" s="45">
        <v>1300000</v>
      </c>
      <c r="L277" s="50">
        <f t="shared" ref="L277:L278" si="384">IF(G277=0,H277+J277+K277,G277+J277+K277)</f>
        <v>1300000</v>
      </c>
      <c r="M277" s="42"/>
      <c r="N277" s="159">
        <v>1300000</v>
      </c>
      <c r="O277" s="160">
        <f t="shared" ref="O277:O278" si="385">IF(G277=0,H277+M277+N277,G277+M277+N277)</f>
        <v>1300000</v>
      </c>
      <c r="P277" s="27" t="str">
        <f t="shared" si="353"/>
        <v>X</v>
      </c>
      <c r="Q277" s="170"/>
      <c r="S277" s="27" t="s">
        <v>1084</v>
      </c>
      <c r="U277" s="27" t="s">
        <v>1084</v>
      </c>
      <c r="V277" s="42">
        <f t="shared" si="323"/>
        <v>0</v>
      </c>
      <c r="W277" s="42">
        <f t="shared" si="324"/>
        <v>1300000</v>
      </c>
      <c r="X277" s="27" t="str">
        <f t="shared" si="325"/>
        <v>OK</v>
      </c>
      <c r="Z277" s="27"/>
      <c r="AA277" s="42">
        <f t="shared" si="326"/>
        <v>0</v>
      </c>
      <c r="AB277" s="42">
        <f t="shared" ref="AB277" si="386">IF($U277="도비",SUM(M277:N277),IF($S277="국도비","직접입력",SUM(M277:N277)-AA277))</f>
        <v>1300000</v>
      </c>
      <c r="AC277" s="27" t="str">
        <f t="shared" ref="AC277" si="387">IF(SUM(M277:N277)=SUM(AA277:AB277),"OK","검토")</f>
        <v>OK</v>
      </c>
      <c r="AE277" s="27" t="str">
        <f t="shared" si="329"/>
        <v>세입없음</v>
      </c>
      <c r="AG277" s="24">
        <f t="shared" si="365"/>
        <v>217</v>
      </c>
      <c r="AH277" s="65" t="str">
        <f t="shared" si="330"/>
        <v>OK</v>
      </c>
      <c r="AJ277" s="27" t="str">
        <f t="array" ref="AJ277">IF(C277="","",INDEX(구분표!$I$2:$I$300, MATCH(1,(구분표!$E$2:$E$300='2추일출'!B277)*(구분표!$F$2:$F$300='2추일출'!C277)*(구분표!$G$2:$G$300='2추일출'!A277),0)))</f>
        <v>1011</v>
      </c>
      <c r="AL277" s="27"/>
    </row>
    <row r="278" spans="1:38" ht="50.1" customHeight="1" x14ac:dyDescent="0.3">
      <c r="A278" s="33" t="str">
        <f>IFERROR(VLOOKUP($C278,구분표!$A$2:$C$300,2,FALSE),"")</f>
        <v>여성가족교육협력위원회</v>
      </c>
      <c r="B278" s="24" t="s">
        <v>961</v>
      </c>
      <c r="C278" s="31" t="s">
        <v>635</v>
      </c>
      <c r="D278" s="137" t="s">
        <v>771</v>
      </c>
      <c r="E278" s="143" t="s">
        <v>832</v>
      </c>
      <c r="F278" s="138" t="s">
        <v>959</v>
      </c>
      <c r="G278" s="44"/>
      <c r="H278" s="42"/>
      <c r="I278" s="54">
        <f t="shared" si="383"/>
        <v>0</v>
      </c>
      <c r="J278" s="42"/>
      <c r="K278" s="45">
        <v>1500000</v>
      </c>
      <c r="L278" s="50">
        <f t="shared" si="384"/>
        <v>1500000</v>
      </c>
      <c r="M278" s="42"/>
      <c r="N278" s="159">
        <v>1500000</v>
      </c>
      <c r="O278" s="160">
        <f t="shared" si="385"/>
        <v>1500000</v>
      </c>
      <c r="P278" s="27" t="str">
        <f t="shared" si="353"/>
        <v>X</v>
      </c>
      <c r="Q278" s="170"/>
      <c r="S278" s="27" t="s">
        <v>1084</v>
      </c>
      <c r="U278" s="27" t="s">
        <v>1084</v>
      </c>
      <c r="V278" s="42">
        <f t="shared" si="323"/>
        <v>0</v>
      </c>
      <c r="W278" s="42">
        <f t="shared" si="324"/>
        <v>1500000</v>
      </c>
      <c r="X278" s="27" t="str">
        <f t="shared" si="325"/>
        <v>OK</v>
      </c>
      <c r="Z278" s="27"/>
      <c r="AA278" s="42">
        <f t="shared" si="326"/>
        <v>0</v>
      </c>
      <c r="AB278" s="42">
        <f t="shared" ref="AB278" si="388">IF($U278="도비",SUM(M278:N278),IF($S278="국도비","직접입력",SUM(M278:N278)-AA278))</f>
        <v>1500000</v>
      </c>
      <c r="AC278" s="27" t="str">
        <f t="shared" ref="AC278" si="389">IF(SUM(M278:N278)=SUM(AA278:AB278),"OK","검토")</f>
        <v>OK</v>
      </c>
      <c r="AE278" s="27" t="str">
        <f t="shared" ref="AE278" si="390">IF(U278="","",IF(U278="도비","세입없음","직접입력"))</f>
        <v>세입없음</v>
      </c>
      <c r="AG278" s="24">
        <f t="shared" si="365"/>
        <v>217</v>
      </c>
      <c r="AH278" s="65" t="str">
        <f t="shared" ref="AH278" si="391">IF(U278="","",IF(AND(U278="도비",AE278="세입없음"),"OK",IF(AND(U278&lt;&gt;"도비",AE278&lt;&gt;""),"OK","@@")))</f>
        <v>OK</v>
      </c>
      <c r="AJ278" s="27" t="str">
        <f t="array" ref="AJ278">IF(C278="","",INDEX(구분표!$I$2:$I$300, MATCH(1,(구분표!$E$2:$E$300='2추일출'!B278)*(구분표!$F$2:$F$300='2추일출'!C278)*(구분표!$G$2:$G$300='2추일출'!A278),0)))</f>
        <v>1011</v>
      </c>
      <c r="AL278" s="27"/>
    </row>
    <row r="279" spans="1:38" ht="50.1" customHeight="1" x14ac:dyDescent="0.3">
      <c r="A279" s="33" t="str">
        <f>IFERROR(VLOOKUP($C279,구분표!$A$2:$C$300,2,FALSE),"")</f>
        <v>여성가족교육협력위원회</v>
      </c>
      <c r="B279" s="24" t="s">
        <v>961</v>
      </c>
      <c r="C279" s="31" t="s">
        <v>635</v>
      </c>
      <c r="D279" s="137" t="s">
        <v>771</v>
      </c>
      <c r="E279" s="143" t="s">
        <v>832</v>
      </c>
      <c r="F279" s="138" t="s">
        <v>960</v>
      </c>
      <c r="G279" s="44"/>
      <c r="H279" s="42"/>
      <c r="I279" s="54">
        <f t="shared" si="319"/>
        <v>0</v>
      </c>
      <c r="J279" s="42"/>
      <c r="K279" s="45">
        <v>50000</v>
      </c>
      <c r="L279" s="50">
        <f t="shared" si="320"/>
        <v>50000</v>
      </c>
      <c r="M279" s="42"/>
      <c r="N279" s="159">
        <v>50000</v>
      </c>
      <c r="O279" s="160">
        <f t="shared" si="321"/>
        <v>50000</v>
      </c>
      <c r="P279" s="27" t="str">
        <f t="shared" si="353"/>
        <v>X</v>
      </c>
      <c r="Q279" s="170"/>
      <c r="S279" s="27" t="s">
        <v>1084</v>
      </c>
      <c r="U279" s="27" t="s">
        <v>1084</v>
      </c>
      <c r="V279" s="42">
        <f t="shared" si="323"/>
        <v>0</v>
      </c>
      <c r="W279" s="42">
        <f t="shared" si="324"/>
        <v>50000</v>
      </c>
      <c r="X279" s="27" t="str">
        <f t="shared" si="325"/>
        <v>OK</v>
      </c>
      <c r="Z279" s="27"/>
      <c r="AA279" s="42">
        <f t="shared" si="326"/>
        <v>0</v>
      </c>
      <c r="AB279" s="42">
        <f t="shared" si="327"/>
        <v>50000</v>
      </c>
      <c r="AC279" s="27" t="str">
        <f t="shared" si="328"/>
        <v>OK</v>
      </c>
      <c r="AE279" s="27" t="str">
        <f t="shared" si="329"/>
        <v>세입없음</v>
      </c>
      <c r="AG279" s="24">
        <f t="shared" si="365"/>
        <v>217</v>
      </c>
      <c r="AH279" s="65" t="str">
        <f t="shared" si="330"/>
        <v>OK</v>
      </c>
      <c r="AJ279" s="27" t="str">
        <f t="array" ref="AJ279">IF(C279="","",INDEX(구분표!$I$2:$I$300, MATCH(1,(구분표!$E$2:$E$300='2추일출'!B279)*(구분표!$F$2:$F$300='2추일출'!C279)*(구분표!$G$2:$G$300='2추일출'!A279),0)))</f>
        <v>1011</v>
      </c>
      <c r="AL279" s="27"/>
    </row>
    <row r="280" spans="1:38" ht="50.1" customHeight="1" x14ac:dyDescent="0.3">
      <c r="A280" s="33" t="str">
        <f>IFERROR(VLOOKUP($C280,구분표!$A$2:$C$300,2,FALSE),"")</f>
        <v>여성가족교육협력위원회</v>
      </c>
      <c r="B280" s="24" t="str">
        <f>IFERROR(VLOOKUP($C280,구분표!$A$2:$C$300,3,FALSE),"")</f>
        <v>여성가족국</v>
      </c>
      <c r="C280" s="31" t="s">
        <v>619</v>
      </c>
      <c r="D280" s="139" t="s">
        <v>776</v>
      </c>
      <c r="E280" s="144">
        <v>816</v>
      </c>
      <c r="F280" s="140" t="s">
        <v>968</v>
      </c>
      <c r="G280" s="44">
        <v>50000</v>
      </c>
      <c r="H280" s="42"/>
      <c r="I280" s="54">
        <f t="shared" si="319"/>
        <v>50000</v>
      </c>
      <c r="J280" s="42"/>
      <c r="K280" s="45"/>
      <c r="L280" s="50">
        <f t="shared" si="320"/>
        <v>50000</v>
      </c>
      <c r="M280" s="158">
        <v>0</v>
      </c>
      <c r="N280" s="159">
        <v>100000</v>
      </c>
      <c r="O280" s="160">
        <f t="shared" si="321"/>
        <v>150000</v>
      </c>
      <c r="P280" s="27" t="str">
        <f t="shared" si="353"/>
        <v>X</v>
      </c>
      <c r="Q280" s="218" t="s">
        <v>1240</v>
      </c>
      <c r="S280" s="27" t="s">
        <v>1084</v>
      </c>
      <c r="U280" s="27" t="s">
        <v>1084</v>
      </c>
      <c r="V280" s="42">
        <f t="shared" si="323"/>
        <v>0</v>
      </c>
      <c r="W280" s="42">
        <f t="shared" si="324"/>
        <v>0</v>
      </c>
      <c r="X280" s="27" t="str">
        <f t="shared" si="325"/>
        <v>OK</v>
      </c>
      <c r="Z280" s="27"/>
      <c r="AA280" s="42">
        <f t="shared" si="326"/>
        <v>0</v>
      </c>
      <c r="AB280" s="42">
        <f t="shared" si="327"/>
        <v>100000</v>
      </c>
      <c r="AC280" s="27" t="str">
        <f t="shared" si="328"/>
        <v>OK</v>
      </c>
      <c r="AE280" s="27" t="str">
        <f t="shared" si="329"/>
        <v>세입없음</v>
      </c>
      <c r="AG280" s="24">
        <f t="shared" si="365"/>
        <v>217</v>
      </c>
      <c r="AH280" s="65" t="str">
        <f t="shared" si="330"/>
        <v>OK</v>
      </c>
      <c r="AJ280" s="27" t="str">
        <f t="array" ref="AJ280">IF(C280="","",INDEX(구분표!$I$2:$I$300, MATCH(1,(구분표!$E$2:$E$300='2추일출'!B280)*(구분표!$F$2:$F$300='2추일출'!C280)*(구분표!$G$2:$G$300='2추일출'!A280),0)))</f>
        <v>1006</v>
      </c>
      <c r="AL280" s="27"/>
    </row>
    <row r="281" spans="1:38" ht="50.1" customHeight="1" x14ac:dyDescent="0.3">
      <c r="A281" s="33" t="str">
        <f>IFERROR(VLOOKUP($C281,구분표!$A$2:$C$300,2,FALSE),"")</f>
        <v>여성가족교육협력위원회</v>
      </c>
      <c r="B281" s="24" t="str">
        <f>IFERROR(VLOOKUP($C281,구분표!$A$2:$C$300,3,FALSE),"")</f>
        <v>여성가족국</v>
      </c>
      <c r="C281" s="31" t="s">
        <v>602</v>
      </c>
      <c r="D281" s="35" t="s">
        <v>779</v>
      </c>
      <c r="E281" s="145">
        <v>788</v>
      </c>
      <c r="F281" s="134" t="s">
        <v>1132</v>
      </c>
      <c r="G281" s="44">
        <v>13439700</v>
      </c>
      <c r="H281" s="42">
        <v>12248460</v>
      </c>
      <c r="I281" s="54">
        <f t="shared" si="319"/>
        <v>1191240</v>
      </c>
      <c r="J281" s="42"/>
      <c r="K281" s="45"/>
      <c r="L281" s="50">
        <f t="shared" si="320"/>
        <v>13439700</v>
      </c>
      <c r="M281" s="42"/>
      <c r="N281" s="45">
        <v>138375</v>
      </c>
      <c r="O281" s="52">
        <f t="shared" si="321"/>
        <v>13578075</v>
      </c>
      <c r="P281" s="27" t="str">
        <f t="shared" si="353"/>
        <v>X</v>
      </c>
      <c r="Q281" s="170" t="s">
        <v>1124</v>
      </c>
      <c r="R281" s="1" t="s">
        <v>1180</v>
      </c>
      <c r="S281" s="27" t="s">
        <v>1096</v>
      </c>
      <c r="U281" s="27"/>
      <c r="V281" s="42"/>
      <c r="W281" s="42"/>
      <c r="X281" s="27" t="str">
        <f t="shared" si="325"/>
        <v>OK</v>
      </c>
      <c r="Z281" s="27" t="s">
        <v>1017</v>
      </c>
      <c r="AA281" s="42">
        <v>123000</v>
      </c>
      <c r="AB281" s="42">
        <v>15375</v>
      </c>
      <c r="AC281" s="27" t="str">
        <f t="shared" si="328"/>
        <v>OK</v>
      </c>
      <c r="AE281" s="27" t="s">
        <v>1139</v>
      </c>
      <c r="AG281" s="24">
        <f t="shared" si="365"/>
        <v>2</v>
      </c>
      <c r="AH281" s="65" t="str">
        <f t="shared" si="330"/>
        <v/>
      </c>
      <c r="AJ281" s="27" t="str">
        <f t="array" ref="AJ281">IF(C281="","",INDEX(구분표!$I$2:$I$300, MATCH(1,(구분표!$E$2:$E$300='2추일출'!B281)*(구분표!$F$2:$F$300='2추일출'!C281)*(구분표!$G$2:$G$300='2추일출'!A281),0)))</f>
        <v>1001</v>
      </c>
      <c r="AL281" s="27"/>
    </row>
    <row r="282" spans="1:38" ht="50.1" customHeight="1" x14ac:dyDescent="0.3">
      <c r="A282" s="33" t="str">
        <f>IFERROR(VLOOKUP($C282,구분표!$A$2:$C$300,2,FALSE),"")</f>
        <v>여성가족교육협력위원회</v>
      </c>
      <c r="B282" s="24" t="str">
        <f>IFERROR(VLOOKUP($C282,구분표!$A$2:$C$300,3,FALSE),"")</f>
        <v>여성가족국</v>
      </c>
      <c r="C282" s="31" t="s">
        <v>602</v>
      </c>
      <c r="D282" s="35" t="s">
        <v>779</v>
      </c>
      <c r="E282" s="145">
        <v>789</v>
      </c>
      <c r="F282" s="134" t="s">
        <v>1143</v>
      </c>
      <c r="G282" s="44">
        <v>167444</v>
      </c>
      <c r="H282" s="42">
        <v>167444</v>
      </c>
      <c r="I282" s="54">
        <f t="shared" si="319"/>
        <v>0</v>
      </c>
      <c r="J282" s="42"/>
      <c r="K282" s="45"/>
      <c r="L282" s="50">
        <f t="shared" si="320"/>
        <v>167444</v>
      </c>
      <c r="M282" s="157">
        <v>-27869</v>
      </c>
      <c r="N282" s="156"/>
      <c r="O282" s="52">
        <f t="shared" si="321"/>
        <v>139575</v>
      </c>
      <c r="P282" s="27" t="str">
        <f t="shared" si="353"/>
        <v>X</v>
      </c>
      <c r="Q282" s="170" t="s">
        <v>1136</v>
      </c>
      <c r="R282" s="1" t="s">
        <v>1181</v>
      </c>
      <c r="S282" s="27" t="s">
        <v>1096</v>
      </c>
      <c r="U282" s="27"/>
      <c r="V282" s="42"/>
      <c r="W282" s="42"/>
      <c r="X282" s="27" t="str">
        <f t="shared" si="325"/>
        <v>OK</v>
      </c>
      <c r="Z282" s="27" t="s">
        <v>1017</v>
      </c>
      <c r="AA282" s="42">
        <v>-22950</v>
      </c>
      <c r="AB282" s="42">
        <v>-4919</v>
      </c>
      <c r="AC282" s="27" t="str">
        <f t="shared" si="328"/>
        <v>OK</v>
      </c>
      <c r="AE282" s="27" t="s">
        <v>1207</v>
      </c>
      <c r="AG282" s="24">
        <f t="shared" si="365"/>
        <v>217</v>
      </c>
      <c r="AH282" s="65" t="str">
        <f t="shared" si="330"/>
        <v/>
      </c>
      <c r="AJ282" s="27" t="str">
        <f t="array" ref="AJ282">IF(C282="","",INDEX(구분표!$I$2:$I$300, MATCH(1,(구분표!$E$2:$E$300='2추일출'!B282)*(구분표!$F$2:$F$300='2추일출'!C282)*(구분표!$G$2:$G$300='2추일출'!A282),0)))</f>
        <v>1001</v>
      </c>
      <c r="AL282" s="27"/>
    </row>
    <row r="283" spans="1:38" ht="50.1" customHeight="1" x14ac:dyDescent="0.3">
      <c r="A283" s="33" t="str">
        <f>IFERROR(VLOOKUP($C283,구분표!$A$2:$C$300,2,FALSE),"")</f>
        <v>여성가족교육협력위원회</v>
      </c>
      <c r="B283" s="24" t="str">
        <f>IFERROR(VLOOKUP($C283,구분표!$A$2:$C$300,3,FALSE),"")</f>
        <v>여성가족국</v>
      </c>
      <c r="C283" s="31" t="s">
        <v>602</v>
      </c>
      <c r="D283" s="35" t="s">
        <v>779</v>
      </c>
      <c r="E283" s="145">
        <v>789</v>
      </c>
      <c r="F283" s="134" t="s">
        <v>1144</v>
      </c>
      <c r="G283" s="44">
        <v>70000</v>
      </c>
      <c r="H283" s="42">
        <v>70000</v>
      </c>
      <c r="I283" s="54">
        <f t="shared" si="319"/>
        <v>0</v>
      </c>
      <c r="J283" s="42"/>
      <c r="K283" s="45"/>
      <c r="L283" s="50">
        <f t="shared" si="320"/>
        <v>70000</v>
      </c>
      <c r="M283" s="157"/>
      <c r="N283" s="156">
        <v>22950</v>
      </c>
      <c r="O283" s="52">
        <f t="shared" si="321"/>
        <v>92950</v>
      </c>
      <c r="P283" s="27" t="str">
        <f t="shared" si="353"/>
        <v>X</v>
      </c>
      <c r="Q283" s="170" t="s">
        <v>1136</v>
      </c>
      <c r="R283" s="1" t="s">
        <v>1180</v>
      </c>
      <c r="S283" s="27" t="s">
        <v>1096</v>
      </c>
      <c r="U283" s="27"/>
      <c r="V283" s="42"/>
      <c r="W283" s="42"/>
      <c r="X283" s="27" t="str">
        <f t="shared" si="325"/>
        <v>OK</v>
      </c>
      <c r="Z283" s="27" t="s">
        <v>1017</v>
      </c>
      <c r="AA283" s="42">
        <v>22950</v>
      </c>
      <c r="AB283" s="42">
        <v>0</v>
      </c>
      <c r="AC283" s="27" t="str">
        <f t="shared" si="328"/>
        <v>OK</v>
      </c>
      <c r="AE283" s="27" t="s">
        <v>1208</v>
      </c>
      <c r="AG283" s="24">
        <f t="shared" si="365"/>
        <v>217</v>
      </c>
      <c r="AH283" s="65" t="str">
        <f t="shared" si="330"/>
        <v/>
      </c>
      <c r="AJ283" s="27" t="str">
        <f t="array" ref="AJ283">IF(C283="","",INDEX(구분표!$I$2:$I$300, MATCH(1,(구분표!$E$2:$E$300='2추일출'!B283)*(구분표!$F$2:$F$300='2추일출'!C283)*(구분표!$G$2:$G$300='2추일출'!A283),0)))</f>
        <v>1001</v>
      </c>
      <c r="AL283" s="27"/>
    </row>
    <row r="284" spans="1:38" ht="50.1" customHeight="1" x14ac:dyDescent="0.3">
      <c r="A284" s="33" t="str">
        <f>IFERROR(VLOOKUP($C284,구분표!$A$2:$C$300,2,FALSE),"")</f>
        <v>여성가족교육협력위원회</v>
      </c>
      <c r="B284" s="24" t="str">
        <f>IFERROR(VLOOKUP($C284,구분표!$A$2:$C$300,3,FALSE),"")</f>
        <v>여성가족국</v>
      </c>
      <c r="C284" s="31" t="s">
        <v>610</v>
      </c>
      <c r="D284" s="35" t="s">
        <v>779</v>
      </c>
      <c r="E284" s="145">
        <v>801</v>
      </c>
      <c r="F284" s="134" t="s">
        <v>1133</v>
      </c>
      <c r="G284" s="44">
        <v>2321872</v>
      </c>
      <c r="H284" s="42">
        <v>2052950</v>
      </c>
      <c r="I284" s="54">
        <f t="shared" si="319"/>
        <v>268922</v>
      </c>
      <c r="J284" s="42"/>
      <c r="K284" s="45"/>
      <c r="L284" s="50">
        <f t="shared" si="320"/>
        <v>2321872</v>
      </c>
      <c r="M284" s="42"/>
      <c r="N284" s="45">
        <v>18655</v>
      </c>
      <c r="O284" s="52">
        <f t="shared" si="321"/>
        <v>2340527</v>
      </c>
      <c r="P284" s="27" t="str">
        <f t="shared" si="353"/>
        <v>X</v>
      </c>
      <c r="Q284" s="170" t="s">
        <v>1137</v>
      </c>
      <c r="R284" s="1" t="s">
        <v>1180</v>
      </c>
      <c r="S284" s="27" t="s">
        <v>1096</v>
      </c>
      <c r="U284" s="27"/>
      <c r="V284" s="42"/>
      <c r="W284" s="42"/>
      <c r="X284" s="27" t="str">
        <f t="shared" si="325"/>
        <v>OK</v>
      </c>
      <c r="Z284" s="27" t="s">
        <v>850</v>
      </c>
      <c r="AA284" s="42">
        <v>18655</v>
      </c>
      <c r="AB284" s="42">
        <v>0</v>
      </c>
      <c r="AC284" s="27" t="str">
        <f t="shared" si="328"/>
        <v>OK</v>
      </c>
      <c r="AE284" s="27" t="s">
        <v>1140</v>
      </c>
      <c r="AG284" s="24">
        <f t="shared" si="365"/>
        <v>1</v>
      </c>
      <c r="AH284" s="65" t="str">
        <f t="shared" si="330"/>
        <v/>
      </c>
      <c r="AJ284" s="27" t="str">
        <f t="array" ref="AJ284">IF(C284="","",INDEX(구분표!$I$2:$I$300, MATCH(1,(구분표!$E$2:$E$300='2추일출'!B284)*(구분표!$F$2:$F$300='2추일출'!C284)*(구분표!$G$2:$G$300='2추일출'!A284),0)))</f>
        <v>1003</v>
      </c>
      <c r="AL284" s="27"/>
    </row>
    <row r="285" spans="1:38" ht="50.1" customHeight="1" x14ac:dyDescent="0.3">
      <c r="A285" s="33" t="str">
        <f>IFERROR(VLOOKUP($C285,구분표!$A$2:$C$300,2,FALSE),"")</f>
        <v>여성가족교육협력위원회</v>
      </c>
      <c r="B285" s="24" t="str">
        <f>IFERROR(VLOOKUP($C285,구분표!$A$2:$C$300,3,FALSE),"")</f>
        <v>여성가족국</v>
      </c>
      <c r="C285" s="31" t="s">
        <v>610</v>
      </c>
      <c r="D285" s="35" t="s">
        <v>779</v>
      </c>
      <c r="E285" s="145">
        <v>803</v>
      </c>
      <c r="F285" s="134" t="s">
        <v>1134</v>
      </c>
      <c r="G285" s="44">
        <v>34060</v>
      </c>
      <c r="H285" s="42">
        <v>24030</v>
      </c>
      <c r="I285" s="54">
        <f t="shared" si="319"/>
        <v>10030</v>
      </c>
      <c r="J285" s="42"/>
      <c r="K285" s="45"/>
      <c r="L285" s="50">
        <f t="shared" si="320"/>
        <v>34060</v>
      </c>
      <c r="M285" s="42"/>
      <c r="N285" s="45">
        <v>1703</v>
      </c>
      <c r="O285" s="52">
        <f t="shared" si="321"/>
        <v>35763</v>
      </c>
      <c r="P285" s="27" t="str">
        <f t="shared" si="353"/>
        <v>X</v>
      </c>
      <c r="Q285" s="170" t="s">
        <v>1138</v>
      </c>
      <c r="R285" s="1" t="s">
        <v>1182</v>
      </c>
      <c r="S285" s="27" t="s">
        <v>1096</v>
      </c>
      <c r="U285" s="27"/>
      <c r="V285" s="42"/>
      <c r="W285" s="42"/>
      <c r="X285" s="27" t="str">
        <f t="shared" si="325"/>
        <v>OK</v>
      </c>
      <c r="Z285" s="27" t="s">
        <v>850</v>
      </c>
      <c r="AA285" s="42">
        <v>1703</v>
      </c>
      <c r="AB285" s="42">
        <v>0</v>
      </c>
      <c r="AC285" s="27" t="str">
        <f t="shared" si="328"/>
        <v>OK</v>
      </c>
      <c r="AE285" s="27" t="s">
        <v>1141</v>
      </c>
      <c r="AG285" s="24">
        <f t="shared" si="365"/>
        <v>2</v>
      </c>
      <c r="AH285" s="65" t="str">
        <f t="shared" si="330"/>
        <v/>
      </c>
      <c r="AJ285" s="27" t="str">
        <f t="array" ref="AJ285">IF(C285="","",INDEX(구분표!$I$2:$I$300, MATCH(1,(구분표!$E$2:$E$300='2추일출'!B285)*(구분표!$F$2:$F$300='2추일출'!C285)*(구분표!$G$2:$G$300='2추일출'!A285),0)))</f>
        <v>1003</v>
      </c>
      <c r="AL285" s="27"/>
    </row>
    <row r="286" spans="1:38" ht="50.1" customHeight="1" x14ac:dyDescent="0.3">
      <c r="A286" s="33" t="str">
        <f>IFERROR(VLOOKUP($C286,구분표!$A$2:$C$300,2,FALSE),"")</f>
        <v>여성가족교육협력위원회</v>
      </c>
      <c r="B286" s="24" t="str">
        <f>IFERROR(VLOOKUP($C286,구분표!$A$2:$C$300,3,FALSE),"")</f>
        <v>여성가족국</v>
      </c>
      <c r="C286" s="31" t="s">
        <v>610</v>
      </c>
      <c r="D286" s="35" t="s">
        <v>779</v>
      </c>
      <c r="E286" s="145">
        <v>804</v>
      </c>
      <c r="F286" s="134" t="s">
        <v>1135</v>
      </c>
      <c r="G286" s="44">
        <v>425320</v>
      </c>
      <c r="H286" s="42">
        <v>107433</v>
      </c>
      <c r="I286" s="54">
        <f t="shared" si="319"/>
        <v>317887</v>
      </c>
      <c r="J286" s="42"/>
      <c r="K286" s="45"/>
      <c r="L286" s="50">
        <f t="shared" si="320"/>
        <v>425320</v>
      </c>
      <c r="M286" s="42">
        <v>-101268</v>
      </c>
      <c r="N286" s="45"/>
      <c r="O286" s="52">
        <f t="shared" si="321"/>
        <v>324052</v>
      </c>
      <c r="P286" s="27" t="str">
        <f t="shared" si="353"/>
        <v>X</v>
      </c>
      <c r="Q286" s="170"/>
      <c r="R286" s="1" t="s">
        <v>1182</v>
      </c>
      <c r="S286" s="27" t="s">
        <v>1096</v>
      </c>
      <c r="U286" s="27"/>
      <c r="V286" s="42"/>
      <c r="W286" s="42"/>
      <c r="X286" s="27" t="str">
        <f t="shared" si="325"/>
        <v>OK</v>
      </c>
      <c r="Z286" s="27" t="s">
        <v>1017</v>
      </c>
      <c r="AA286" s="42">
        <v>-82668</v>
      </c>
      <c r="AB286" s="42">
        <v>-18600</v>
      </c>
      <c r="AC286" s="27" t="str">
        <f t="shared" si="328"/>
        <v>OK</v>
      </c>
      <c r="AE286" s="27" t="s">
        <v>1142</v>
      </c>
      <c r="AG286" s="24">
        <f t="shared" si="365"/>
        <v>1</v>
      </c>
      <c r="AH286" s="65" t="str">
        <f t="shared" si="330"/>
        <v/>
      </c>
      <c r="AJ286" s="27" t="str">
        <f t="array" ref="AJ286">IF(C286="","",INDEX(구분표!$I$2:$I$300, MATCH(1,(구분표!$E$2:$E$300='2추일출'!B286)*(구분표!$F$2:$F$300='2추일출'!C286)*(구분표!$G$2:$G$300='2추일출'!A286),0)))</f>
        <v>1003</v>
      </c>
      <c r="AL286" s="27"/>
    </row>
    <row r="287" spans="1:38" ht="50.1" customHeight="1" x14ac:dyDescent="0.3">
      <c r="A287" s="33" t="str">
        <f>IFERROR(VLOOKUP($C287,구분표!$A$2:$C$300,2,FALSE),"")</f>
        <v>여성가족교육협력위원회</v>
      </c>
      <c r="B287" s="24" t="str">
        <f>IFERROR(VLOOKUP($C287,구분표!$A$2:$C$300,3,FALSE),"")</f>
        <v>복지여성실</v>
      </c>
      <c r="C287" s="31" t="s">
        <v>1165</v>
      </c>
      <c r="D287" s="35" t="s">
        <v>1166</v>
      </c>
      <c r="E287" s="145">
        <v>823</v>
      </c>
      <c r="F287" s="134" t="s">
        <v>1167</v>
      </c>
      <c r="G287" s="44">
        <v>6295387</v>
      </c>
      <c r="H287" s="42">
        <v>5630940</v>
      </c>
      <c r="I287" s="54">
        <f t="shared" si="319"/>
        <v>664447</v>
      </c>
      <c r="J287" s="42"/>
      <c r="K287" s="45"/>
      <c r="L287" s="50">
        <f t="shared" si="320"/>
        <v>6295387</v>
      </c>
      <c r="M287" s="42"/>
      <c r="N287" s="45">
        <v>126000</v>
      </c>
      <c r="O287" s="52">
        <f t="shared" si="321"/>
        <v>6421387</v>
      </c>
      <c r="P287" s="27" t="str">
        <f t="shared" si="353"/>
        <v>X</v>
      </c>
      <c r="Q287" s="170" t="s">
        <v>1124</v>
      </c>
      <c r="R287" s="1" t="s">
        <v>1182</v>
      </c>
      <c r="S287" s="27" t="s">
        <v>1096</v>
      </c>
      <c r="U287" s="27"/>
      <c r="V287" s="42"/>
      <c r="W287" s="42"/>
      <c r="X287" s="27" t="str">
        <f t="shared" si="325"/>
        <v>OK</v>
      </c>
      <c r="Z287" s="27" t="s">
        <v>1120</v>
      </c>
      <c r="AA287" s="42">
        <v>112000</v>
      </c>
      <c r="AB287" s="42">
        <v>14000</v>
      </c>
      <c r="AC287" s="27" t="str">
        <f t="shared" si="328"/>
        <v>OK</v>
      </c>
      <c r="AE287" s="27" t="s">
        <v>1139</v>
      </c>
      <c r="AG287" s="24">
        <f t="shared" si="365"/>
        <v>2</v>
      </c>
      <c r="AH287" s="65" t="str">
        <f t="shared" si="330"/>
        <v/>
      </c>
      <c r="AJ287" s="27" t="str">
        <f t="array" ref="AJ287">IF(C287="","",INDEX(구분표!$I$2:$I$300, MATCH(1,(구분표!$E$2:$E$300='2추일출'!B287)*(구분표!$F$2:$F$300='2추일출'!C287)*(구분표!$G$2:$G$300='2추일출'!A287),0)))</f>
        <v>1007</v>
      </c>
      <c r="AL287" s="27"/>
    </row>
    <row r="288" spans="1:38" ht="50.1" customHeight="1" x14ac:dyDescent="0.3">
      <c r="A288" s="33" t="str">
        <f>IFERROR(VLOOKUP($C288,구분표!$A$2:$C$300,2,FALSE),"")</f>
        <v>여성가족교육협력위원회</v>
      </c>
      <c r="B288" s="24" t="str">
        <f>IFERROR(VLOOKUP($C288,구분표!$A$2:$C$300,3,FALSE),"")</f>
        <v>복지여성실</v>
      </c>
      <c r="C288" s="31" t="s">
        <v>1327</v>
      </c>
      <c r="D288" s="35" t="s">
        <v>1168</v>
      </c>
      <c r="E288" s="145">
        <v>837</v>
      </c>
      <c r="F288" s="134" t="s">
        <v>1169</v>
      </c>
      <c r="G288" s="44">
        <v>13260</v>
      </c>
      <c r="H288" s="42">
        <v>10290</v>
      </c>
      <c r="I288" s="54">
        <f t="shared" si="319"/>
        <v>2970</v>
      </c>
      <c r="J288" s="42"/>
      <c r="K288" s="45"/>
      <c r="L288" s="50">
        <f t="shared" si="320"/>
        <v>13260</v>
      </c>
      <c r="M288" s="42"/>
      <c r="N288" s="45">
        <v>2205</v>
      </c>
      <c r="O288" s="52">
        <f t="shared" si="321"/>
        <v>15465</v>
      </c>
      <c r="P288" s="27" t="str">
        <f t="shared" si="353"/>
        <v>X</v>
      </c>
      <c r="Q288" s="170" t="s">
        <v>1138</v>
      </c>
      <c r="R288" s="1" t="s">
        <v>1182</v>
      </c>
      <c r="S288" s="27" t="s">
        <v>1096</v>
      </c>
      <c r="U288" s="27"/>
      <c r="V288" s="42"/>
      <c r="W288" s="42"/>
      <c r="X288" s="27" t="str">
        <f t="shared" si="325"/>
        <v>OK</v>
      </c>
      <c r="Z288" s="27" t="s">
        <v>1100</v>
      </c>
      <c r="AA288" s="42">
        <v>2205</v>
      </c>
      <c r="AB288" s="42"/>
      <c r="AC288" s="27" t="str">
        <f t="shared" si="328"/>
        <v>OK</v>
      </c>
      <c r="AE288" s="27" t="s">
        <v>1141</v>
      </c>
      <c r="AG288" s="24">
        <f t="shared" si="365"/>
        <v>2</v>
      </c>
      <c r="AH288" s="65" t="str">
        <f t="shared" si="330"/>
        <v/>
      </c>
      <c r="AJ288" s="27" t="str">
        <f t="array" ref="AJ288">IF(C288="","",INDEX(구분표!$I$2:$I$300, MATCH(1,(구분표!$E$2:$E$300='2추일출'!B288)*(구분표!$F$2:$F$300='2추일출'!C288)*(구분표!$G$2:$G$300='2추일출'!A288),0)))</f>
        <v>1008</v>
      </c>
      <c r="AL288" s="27"/>
    </row>
    <row r="289" spans="1:38" ht="50.1" customHeight="1" x14ac:dyDescent="0.3">
      <c r="A289" s="33" t="str">
        <f>IFERROR(VLOOKUP($C289,구분표!$A$2:$C$300,2,FALSE),"")</f>
        <v>여성가족교육협력위원회</v>
      </c>
      <c r="B289" s="24" t="str">
        <f>IFERROR(VLOOKUP($C289,구분표!$A$2:$C$300,3,FALSE),"")</f>
        <v>여성가족국</v>
      </c>
      <c r="C289" s="31" t="s">
        <v>1177</v>
      </c>
      <c r="D289" s="35" t="s">
        <v>1178</v>
      </c>
      <c r="E289" s="145">
        <v>788</v>
      </c>
      <c r="F289" s="134" t="s">
        <v>1179</v>
      </c>
      <c r="G289" s="44">
        <v>155000</v>
      </c>
      <c r="H289" s="42">
        <v>0</v>
      </c>
      <c r="I289" s="54">
        <f t="shared" ref="I289:I292" si="392">IF(D289="","",G289-H289)</f>
        <v>155000</v>
      </c>
      <c r="J289" s="42"/>
      <c r="K289" s="45"/>
      <c r="L289" s="50">
        <f t="shared" ref="L289:L292" si="393">IF(G289=0,H289+J289+K289,G289+J289+K289)</f>
        <v>155000</v>
      </c>
      <c r="M289" s="158">
        <v>0</v>
      </c>
      <c r="N289" s="159">
        <v>36065</v>
      </c>
      <c r="O289" s="160">
        <f t="shared" ref="O289:O292" si="394">IF(G289=0,H289+M289+N289,G289+M289+N289)</f>
        <v>191065</v>
      </c>
      <c r="P289" s="27" t="str">
        <f t="shared" si="353"/>
        <v>X</v>
      </c>
      <c r="Q289" s="170"/>
      <c r="S289" s="27" t="s">
        <v>1215</v>
      </c>
      <c r="U289" s="27" t="s">
        <v>662</v>
      </c>
      <c r="V289" s="42">
        <f t="shared" si="323"/>
        <v>0</v>
      </c>
      <c r="W289" s="42">
        <f t="shared" si="324"/>
        <v>0</v>
      </c>
      <c r="X289" s="27" t="str">
        <f t="shared" si="325"/>
        <v>OK</v>
      </c>
      <c r="Z289" s="27"/>
      <c r="AA289" s="42">
        <f t="shared" si="326"/>
        <v>0</v>
      </c>
      <c r="AB289" s="42">
        <f t="shared" ref="AB289:AB292" si="395">IF($U289="도비",SUM(M289:N289),IF($S289="국도비","직접입력",SUM(M289:N289)-AA289))</f>
        <v>36065</v>
      </c>
      <c r="AC289" s="27" t="str">
        <f t="shared" ref="AC289:AC292" si="396">IF(SUM(M289:N289)=SUM(AA289:AB289),"OK","검토")</f>
        <v>OK</v>
      </c>
      <c r="AE289" s="27" t="str">
        <f t="shared" ref="AE289:AE292" si="397">IF(U289="","",IF(U289="도비","세입없음","직접입력"))</f>
        <v>세입없음</v>
      </c>
      <c r="AG289" s="24">
        <f t="shared" si="365"/>
        <v>217</v>
      </c>
      <c r="AH289" s="65" t="str">
        <f t="shared" ref="AH289:AH292" si="398">IF(U289="","",IF(AND(U289="도비",AE289="세입없음"),"OK",IF(AND(U289&lt;&gt;"도비",AE289&lt;&gt;""),"OK","@@")))</f>
        <v>OK</v>
      </c>
      <c r="AJ289" s="27" t="str">
        <f t="array" ref="AJ289">IF(C289="","",INDEX(구분표!$I$2:$I$300, MATCH(1,(구분표!$E$2:$E$300='2추일출'!B289)*(구분표!$F$2:$F$300='2추일출'!C289)*(구분표!$G$2:$G$300='2추일출'!A289),0)))</f>
        <v>1001</v>
      </c>
      <c r="AL289" s="27"/>
    </row>
    <row r="290" spans="1:38" ht="50.1" customHeight="1" x14ac:dyDescent="0.3">
      <c r="A290" s="33" t="str">
        <f>IFERROR(VLOOKUP($C290,구분표!$A$2:$C$300,2,FALSE),"")</f>
        <v>여성가족교육협력위원회</v>
      </c>
      <c r="B290" s="24" t="str">
        <f>IFERROR(VLOOKUP($C290,구분표!$A$2:$C$300,3,FALSE),"")</f>
        <v>복지여성실</v>
      </c>
      <c r="C290" s="31" t="s">
        <v>1201</v>
      </c>
      <c r="D290" s="137" t="s">
        <v>771</v>
      </c>
      <c r="E290" s="143" t="s">
        <v>832</v>
      </c>
      <c r="F290" s="138" t="s">
        <v>1200</v>
      </c>
      <c r="G290" s="44"/>
      <c r="H290" s="42"/>
      <c r="I290" s="54">
        <f t="shared" si="392"/>
        <v>0</v>
      </c>
      <c r="J290" s="42"/>
      <c r="K290" s="45">
        <v>83000</v>
      </c>
      <c r="L290" s="50">
        <f t="shared" si="393"/>
        <v>83000</v>
      </c>
      <c r="M290" s="42"/>
      <c r="N290" s="159">
        <v>83000</v>
      </c>
      <c r="O290" s="160">
        <f t="shared" si="394"/>
        <v>83000</v>
      </c>
      <c r="P290" s="27" t="str">
        <f t="shared" si="353"/>
        <v>X</v>
      </c>
      <c r="Q290" s="170"/>
      <c r="S290" s="27" t="s">
        <v>1215</v>
      </c>
      <c r="U290" s="27" t="s">
        <v>662</v>
      </c>
      <c r="V290" s="42">
        <f t="shared" si="323"/>
        <v>0</v>
      </c>
      <c r="W290" s="42">
        <f t="shared" si="324"/>
        <v>83000</v>
      </c>
      <c r="X290" s="27" t="str">
        <f t="shared" si="325"/>
        <v>OK</v>
      </c>
      <c r="Z290" s="27"/>
      <c r="AA290" s="42">
        <f t="shared" si="326"/>
        <v>0</v>
      </c>
      <c r="AB290" s="42">
        <f t="shared" si="395"/>
        <v>83000</v>
      </c>
      <c r="AC290" s="27" t="str">
        <f t="shared" si="396"/>
        <v>OK</v>
      </c>
      <c r="AE290" s="27" t="str">
        <f t="shared" si="397"/>
        <v>세입없음</v>
      </c>
      <c r="AG290" s="24">
        <f t="shared" si="365"/>
        <v>217</v>
      </c>
      <c r="AH290" s="65" t="str">
        <f t="shared" si="398"/>
        <v>OK</v>
      </c>
      <c r="AJ290" s="27" t="str">
        <f t="array" ref="AJ290">IF(C290="","",INDEX(구분표!$I$2:$I$300, MATCH(1,(구분표!$E$2:$E$300='2추일출'!B290)*(구분표!$F$2:$F$300='2추일출'!C290)*(구분표!$G$2:$G$300='2추일출'!A290),0)))</f>
        <v>1009</v>
      </c>
      <c r="AL290" s="27"/>
    </row>
    <row r="291" spans="1:38" ht="50.1" customHeight="1" x14ac:dyDescent="0.3">
      <c r="A291" s="33" t="str">
        <f>IFERROR(VLOOKUP($C291,구분표!$A$2:$C$300,2,FALSE),"")</f>
        <v>여성가족교육협력위원회</v>
      </c>
      <c r="B291" s="24" t="str">
        <f>IFERROR(VLOOKUP($C291,구분표!$A$2:$C$300,3,FALSE),"")</f>
        <v>여성가족국</v>
      </c>
      <c r="C291" s="214" t="s">
        <v>1203</v>
      </c>
      <c r="D291" s="137" t="s">
        <v>771</v>
      </c>
      <c r="E291" s="143" t="s">
        <v>832</v>
      </c>
      <c r="F291" s="138" t="s">
        <v>1202</v>
      </c>
      <c r="G291" s="44"/>
      <c r="H291" s="42"/>
      <c r="I291" s="54">
        <f t="shared" si="392"/>
        <v>0</v>
      </c>
      <c r="J291" s="42"/>
      <c r="K291" s="157">
        <v>50000</v>
      </c>
      <c r="L291" s="50">
        <f t="shared" si="393"/>
        <v>50000</v>
      </c>
      <c r="M291" s="42"/>
      <c r="N291" s="182">
        <v>50000</v>
      </c>
      <c r="O291" s="160">
        <f t="shared" si="394"/>
        <v>50000</v>
      </c>
      <c r="P291" s="27" t="str">
        <f t="shared" si="353"/>
        <v>X</v>
      </c>
      <c r="Q291" s="170"/>
      <c r="S291" s="27" t="s">
        <v>1215</v>
      </c>
      <c r="U291" s="27" t="s">
        <v>662</v>
      </c>
      <c r="V291" s="42">
        <f t="shared" si="323"/>
        <v>0</v>
      </c>
      <c r="W291" s="42">
        <f t="shared" si="324"/>
        <v>50000</v>
      </c>
      <c r="X291" s="27" t="str">
        <f t="shared" si="325"/>
        <v>OK</v>
      </c>
      <c r="Z291" s="27"/>
      <c r="AA291" s="42">
        <f t="shared" si="326"/>
        <v>0</v>
      </c>
      <c r="AB291" s="42">
        <f t="shared" si="395"/>
        <v>50000</v>
      </c>
      <c r="AC291" s="27" t="str">
        <f t="shared" si="396"/>
        <v>OK</v>
      </c>
      <c r="AE291" s="27" t="str">
        <f t="shared" si="397"/>
        <v>세입없음</v>
      </c>
      <c r="AG291" s="24">
        <f t="shared" si="365"/>
        <v>217</v>
      </c>
      <c r="AH291" s="65" t="str">
        <f t="shared" si="398"/>
        <v>OK</v>
      </c>
      <c r="AJ291" s="27" t="str">
        <f t="array" ref="AJ291">IF(C291="","",INDEX(구분표!$I$2:$I$300, MATCH(1,(구분표!$E$2:$E$300='2추일출'!B291)*(구분표!$F$2:$F$300='2추일출'!C291)*(구분표!$G$2:$G$300='2추일출'!A291),0)))</f>
        <v>1003</v>
      </c>
      <c r="AL291" s="27"/>
    </row>
    <row r="292" spans="1:38" ht="50.1" customHeight="1" x14ac:dyDescent="0.3">
      <c r="A292" s="33" t="str">
        <f>IFERROR(VLOOKUP($C292,구분표!$A$2:$C$300,2,FALSE),"")</f>
        <v>여성가족교육협력위원회</v>
      </c>
      <c r="B292" s="24" t="str">
        <f>IFERROR(VLOOKUP($C292,구분표!$A$2:$C$300,3,FALSE),"")</f>
        <v>여성가족국</v>
      </c>
      <c r="C292" s="215" t="s">
        <v>1203</v>
      </c>
      <c r="D292" s="137" t="s">
        <v>771</v>
      </c>
      <c r="E292" s="143" t="s">
        <v>832</v>
      </c>
      <c r="F292" s="138" t="s">
        <v>1204</v>
      </c>
      <c r="G292" s="44"/>
      <c r="H292" s="42"/>
      <c r="I292" s="54">
        <f t="shared" si="392"/>
        <v>0</v>
      </c>
      <c r="J292" s="42"/>
      <c r="K292" s="45">
        <v>20000</v>
      </c>
      <c r="L292" s="50">
        <f t="shared" si="393"/>
        <v>20000</v>
      </c>
      <c r="M292" s="42"/>
      <c r="N292" s="159">
        <v>20000</v>
      </c>
      <c r="O292" s="160">
        <f t="shared" si="394"/>
        <v>20000</v>
      </c>
      <c r="P292" s="27" t="str">
        <f t="shared" si="353"/>
        <v>X</v>
      </c>
      <c r="Q292" s="170"/>
      <c r="S292" s="27" t="s">
        <v>1215</v>
      </c>
      <c r="U292" s="27" t="s">
        <v>662</v>
      </c>
      <c r="V292" s="42">
        <f t="shared" si="323"/>
        <v>0</v>
      </c>
      <c r="W292" s="42">
        <f t="shared" si="324"/>
        <v>20000</v>
      </c>
      <c r="X292" s="27" t="str">
        <f t="shared" si="325"/>
        <v>OK</v>
      </c>
      <c r="Z292" s="27"/>
      <c r="AA292" s="42">
        <f t="shared" si="326"/>
        <v>0</v>
      </c>
      <c r="AB292" s="42">
        <f t="shared" si="395"/>
        <v>20000</v>
      </c>
      <c r="AC292" s="27" t="str">
        <f t="shared" si="396"/>
        <v>OK</v>
      </c>
      <c r="AE292" s="27" t="str">
        <f t="shared" si="397"/>
        <v>세입없음</v>
      </c>
      <c r="AG292" s="24">
        <f t="shared" si="365"/>
        <v>217</v>
      </c>
      <c r="AH292" s="65" t="str">
        <f t="shared" si="398"/>
        <v>OK</v>
      </c>
      <c r="AJ292" s="27" t="str">
        <f t="array" ref="AJ292">IF(C292="","",INDEX(구분표!$I$2:$I$300, MATCH(1,(구분표!$E$2:$E$300='2추일출'!B292)*(구분표!$F$2:$F$300='2추일출'!C292)*(구분표!$G$2:$G$300='2추일출'!A292),0)))</f>
        <v>1003</v>
      </c>
      <c r="AL292" s="27"/>
    </row>
    <row r="293" spans="1:38" ht="50.1" customHeight="1" x14ac:dyDescent="0.3">
      <c r="A293" s="33" t="str">
        <f>IFERROR(VLOOKUP($C293,구분표!$A$2:$C$300,2,FALSE),"")</f>
        <v>여성가족교육협력위원회</v>
      </c>
      <c r="B293" s="24" t="str">
        <f>IFERROR(VLOOKUP($C293,구분표!$A$2:$C$300,3,FALSE),"")</f>
        <v>교육협력국</v>
      </c>
      <c r="C293" s="215" t="s">
        <v>1192</v>
      </c>
      <c r="D293" s="137" t="s">
        <v>771</v>
      </c>
      <c r="E293" s="143" t="s">
        <v>832</v>
      </c>
      <c r="F293" s="138" t="s">
        <v>1188</v>
      </c>
      <c r="G293" s="44"/>
      <c r="H293" s="42"/>
      <c r="I293" s="54">
        <f>IF(D293="","",G293-H293)</f>
        <v>0</v>
      </c>
      <c r="J293" s="42"/>
      <c r="K293" s="157">
        <v>300000</v>
      </c>
      <c r="L293" s="50">
        <f>IF(G293=0,H293+J293+K293,G293+J293+K293)</f>
        <v>300000</v>
      </c>
      <c r="M293" s="42"/>
      <c r="N293" s="182">
        <v>300000</v>
      </c>
      <c r="O293" s="160">
        <f>IF(G293=0,H293+M293+N293,G293+M293+N293)</f>
        <v>300000</v>
      </c>
      <c r="P293" s="27" t="str">
        <f t="shared" si="353"/>
        <v>X</v>
      </c>
      <c r="Q293" s="170"/>
      <c r="S293" s="27" t="s">
        <v>1215</v>
      </c>
      <c r="U293" s="27" t="s">
        <v>1215</v>
      </c>
      <c r="V293" s="42">
        <f>IF($U293&lt;&gt;"도비",IF($S293="국도비","직접입력",SUM($J293:$K293)),)</f>
        <v>0</v>
      </c>
      <c r="W293" s="42">
        <f>IF($U293="도비",SUM($J293:$K293),IF($S293="국도비","직접입력",SUM($J293:$K293)-$V293))</f>
        <v>300000</v>
      </c>
      <c r="X293" s="27" t="str">
        <f>IF(SUM($J293:$K293)=SUM($V293:$W293),"OK","검토")</f>
        <v>OK</v>
      </c>
      <c r="Z293" s="27"/>
      <c r="AA293" s="42">
        <f>IF($U293&lt;&gt;"도비",IF($S293="국도비","직접입력",SUM($M293:$N293)),)</f>
        <v>0</v>
      </c>
      <c r="AB293" s="42">
        <f>IF($U293="도비",SUM(M293:N293),IF($S293="국도비","직접입력",SUM(M293:N293)-AA293))</f>
        <v>300000</v>
      </c>
      <c r="AC293" s="27" t="str">
        <f>IF(SUM(M293:N293)=SUM(AA293:AB293),"OK","검토")</f>
        <v>OK</v>
      </c>
      <c r="AE293" s="27" t="str">
        <f>IF(U293="","",IF(U293="도비","세입없음","직접입력"))</f>
        <v>세입없음</v>
      </c>
      <c r="AG293" s="24">
        <f t="shared" si="365"/>
        <v>217</v>
      </c>
      <c r="AH293" s="65" t="str">
        <f>IF(U293="","",IF(AND(U293="도비",AE293="세입없음"),"OK",IF(AND(U293&lt;&gt;"도비",AE293&lt;&gt;""),"OK","@@")))</f>
        <v>OK</v>
      </c>
      <c r="AJ293" s="27" t="str">
        <f t="array" ref="AJ293">IF(C293="","",INDEX(구분표!$I$2:$I$300, MATCH(1,(구분표!$E$2:$E$300='2추일출'!B293)*(구분표!$F$2:$F$300='2추일출'!C293)*(구분표!$G$2:$G$300='2추일출'!A293),0)))</f>
        <v>1010</v>
      </c>
      <c r="AL293" s="27"/>
    </row>
    <row r="294" spans="1:38" ht="50.1" customHeight="1" x14ac:dyDescent="0.3">
      <c r="A294" s="33" t="str">
        <f>IFERROR(VLOOKUP($C294,구분표!$A$2:$C$300,2,FALSE),"")</f>
        <v>여성가족교육협력위원회</v>
      </c>
      <c r="B294" s="24" t="str">
        <f>IFERROR(VLOOKUP($C294,구분표!$A$2:$C$300,3,FALSE),"")</f>
        <v>교육협력국</v>
      </c>
      <c r="C294" s="215" t="s">
        <v>1192</v>
      </c>
      <c r="D294" s="137" t="s">
        <v>771</v>
      </c>
      <c r="E294" s="143" t="s">
        <v>832</v>
      </c>
      <c r="F294" s="138" t="s">
        <v>1205</v>
      </c>
      <c r="G294" s="44"/>
      <c r="H294" s="42"/>
      <c r="I294" s="54">
        <f>IF(D294="","",G294-H294)</f>
        <v>0</v>
      </c>
      <c r="J294" s="42"/>
      <c r="K294" s="45">
        <v>40000</v>
      </c>
      <c r="L294" s="50">
        <f>IF(G294=0,H294+J294+K294,G294+J294+K294)</f>
        <v>40000</v>
      </c>
      <c r="M294" s="42"/>
      <c r="N294" s="159">
        <v>43000</v>
      </c>
      <c r="O294" s="160">
        <f>IF(G294=0,H294+M294+N294,G294+M294+N294)</f>
        <v>43000</v>
      </c>
      <c r="P294" s="27" t="str">
        <f t="shared" si="353"/>
        <v>X</v>
      </c>
      <c r="Q294" s="170"/>
      <c r="S294" s="27" t="s">
        <v>1215</v>
      </c>
      <c r="U294" s="27" t="s">
        <v>1215</v>
      </c>
      <c r="V294" s="42">
        <f>IF($U294&lt;&gt;"도비",IF($S294="국도비","직접입력",SUM($J294:$K294)),)</f>
        <v>0</v>
      </c>
      <c r="W294" s="42">
        <f>IF($U294="도비",SUM($J294:$K294),IF($S294="국도비","직접입력",SUM($J294:$K294)-$V294))</f>
        <v>40000</v>
      </c>
      <c r="X294" s="27" t="str">
        <f>IF(SUM($J294:$K294)=SUM($V294:$W294),"OK","검토")</f>
        <v>OK</v>
      </c>
      <c r="Z294" s="27"/>
      <c r="AA294" s="42">
        <f>IF($U294&lt;&gt;"도비",IF($S294="국도비","직접입력",SUM($M294:$N294)),)</f>
        <v>0</v>
      </c>
      <c r="AB294" s="42">
        <f>IF($U294="도비",SUM(M294:N294),IF($S294="국도비","직접입력",SUM(M294:N294)-AA294))</f>
        <v>43000</v>
      </c>
      <c r="AC294" s="27" t="str">
        <f>IF(SUM(M294:N294)=SUM(AA294:AB294),"OK","검토")</f>
        <v>OK</v>
      </c>
      <c r="AE294" s="27" t="str">
        <f>IF(U294="","",IF(U294="도비","세입없음","직접입력"))</f>
        <v>세입없음</v>
      </c>
      <c r="AG294" s="24">
        <f t="shared" si="365"/>
        <v>217</v>
      </c>
      <c r="AH294" s="65" t="str">
        <f>IF(U294="","",IF(AND(U294="도비",AE294="세입없음"),"OK",IF(AND(U294&lt;&gt;"도비",AE294&lt;&gt;""),"OK","@@")))</f>
        <v>OK</v>
      </c>
      <c r="AJ294" s="27" t="str">
        <f t="array" ref="AJ294">IF(C294="","",INDEX(구분표!$I$2:$I$300, MATCH(1,(구분표!$E$2:$E$300='2추일출'!B294)*(구분표!$F$2:$F$300='2추일출'!C294)*(구분표!$G$2:$G$300='2추일출'!A294),0)))</f>
        <v>1010</v>
      </c>
      <c r="AL294" s="27"/>
    </row>
  </sheetData>
  <autoFilter ref="A6:AL294"/>
  <mergeCells count="25"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44 D46:D294">
      <formula1>"본예산,1회추경,2회추경,신규"</formula1>
    </dataValidation>
    <dataValidation type="list" allowBlank="1" showInputMessage="1" showErrorMessage="1" sqref="D45">
      <formula1>"본예산,1회추경,신규, 2회추경"</formula1>
    </dataValidation>
    <dataValidation type="list" allowBlank="1" showInputMessage="1" showErrorMessage="1" sqref="U7:U294 Z7:Z294">
      <formula1>"도비,국비,지특,기금,특교"</formula1>
    </dataValidation>
    <dataValidation type="list" allowBlank="1" showInputMessage="1" showErrorMessage="1" sqref="S7:S294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6" fitToHeight="0" orientation="landscape" r:id="rId1"/>
  <headerFooter>
    <oddFooter>&amp;C- &amp;P/&amp;N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G7" activePane="bottomRight" state="frozen"/>
      <selection pane="topRight" activeCell="E1" sqref="E1"/>
      <selection pane="bottomLeft" activeCell="A7" sqref="A7"/>
      <selection pane="bottomRight" activeCell="U7" sqref="U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769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643</v>
      </c>
      <c r="V2" s="56" t="s">
        <v>685</v>
      </c>
      <c r="AA2" s="56" t="s">
        <v>685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656</v>
      </c>
      <c r="V3" s="63" t="str">
        <f>IF(V6='2추특출'!V6,"OK","@@")</f>
        <v>OK</v>
      </c>
      <c r="X3" s="63" t="str">
        <f>IF(COUNTIF(X6:X50,"검토")&gt;0,"@@","OK")</f>
        <v>OK</v>
      </c>
      <c r="AA3" s="63" t="str">
        <f>IF(AA6='2추특출'!AA6,"OK","@@")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43" t="s">
        <v>644</v>
      </c>
      <c r="B4" s="245" t="s">
        <v>645</v>
      </c>
      <c r="C4" s="247" t="s">
        <v>646</v>
      </c>
      <c r="D4" s="246" t="s">
        <v>655</v>
      </c>
      <c r="E4" s="244" t="s">
        <v>647</v>
      </c>
      <c r="F4" s="245" t="s">
        <v>648</v>
      </c>
      <c r="G4" s="244" t="s">
        <v>764</v>
      </c>
      <c r="H4" s="246" t="s">
        <v>652</v>
      </c>
      <c r="I4" s="244" t="s">
        <v>765</v>
      </c>
      <c r="J4" s="248" t="s">
        <v>766</v>
      </c>
      <c r="K4" s="249"/>
      <c r="L4" s="250" t="s">
        <v>651</v>
      </c>
      <c r="M4" s="252" t="s">
        <v>767</v>
      </c>
      <c r="N4" s="253"/>
      <c r="O4" s="241" t="s">
        <v>657</v>
      </c>
      <c r="P4" s="246" t="s">
        <v>654</v>
      </c>
      <c r="Q4" s="255" t="s">
        <v>653</v>
      </c>
      <c r="S4" s="256" t="s">
        <v>658</v>
      </c>
      <c r="U4" s="257" t="s">
        <v>659</v>
      </c>
      <c r="V4" s="258" t="s">
        <v>660</v>
      </c>
      <c r="W4" s="258"/>
      <c r="X4" s="258"/>
      <c r="Z4" s="257" t="s">
        <v>659</v>
      </c>
      <c r="AA4" s="254" t="s">
        <v>664</v>
      </c>
      <c r="AB4" s="254"/>
      <c r="AC4" s="254"/>
      <c r="AE4" s="257" t="s">
        <v>665</v>
      </c>
      <c r="AG4" s="256" t="s">
        <v>666</v>
      </c>
      <c r="AI4" s="256" t="s">
        <v>667</v>
      </c>
      <c r="AK4" s="258" t="s">
        <v>668</v>
      </c>
      <c r="AL4" s="258"/>
      <c r="AM4" s="258"/>
      <c r="AO4" s="254" t="s">
        <v>671</v>
      </c>
      <c r="AP4" s="254"/>
      <c r="AQ4" s="254"/>
    </row>
    <row r="5" spans="1:43" s="18" customFormat="1" ht="18" customHeight="1" x14ac:dyDescent="0.3">
      <c r="A5" s="243"/>
      <c r="B5" s="245"/>
      <c r="C5" s="247"/>
      <c r="D5" s="245"/>
      <c r="E5" s="244"/>
      <c r="F5" s="245"/>
      <c r="G5" s="244"/>
      <c r="H5" s="245"/>
      <c r="I5" s="247"/>
      <c r="J5" s="21" t="s">
        <v>649</v>
      </c>
      <c r="K5" s="40" t="s">
        <v>650</v>
      </c>
      <c r="L5" s="251"/>
      <c r="M5" s="22" t="s">
        <v>649</v>
      </c>
      <c r="N5" s="39" t="s">
        <v>650</v>
      </c>
      <c r="O5" s="242"/>
      <c r="P5" s="246"/>
      <c r="Q5" s="255"/>
      <c r="S5" s="257"/>
      <c r="U5" s="257"/>
      <c r="V5" s="67" t="s">
        <v>661</v>
      </c>
      <c r="W5" s="67" t="s">
        <v>662</v>
      </c>
      <c r="X5" s="67" t="s">
        <v>663</v>
      </c>
      <c r="Z5" s="257"/>
      <c r="AA5" s="67" t="s">
        <v>661</v>
      </c>
      <c r="AB5" s="67" t="s">
        <v>662</v>
      </c>
      <c r="AC5" s="67" t="s">
        <v>663</v>
      </c>
      <c r="AE5" s="257"/>
      <c r="AG5" s="257"/>
      <c r="AI5" s="257"/>
      <c r="AK5" s="67" t="s">
        <v>669</v>
      </c>
      <c r="AL5" s="67" t="s">
        <v>670</v>
      </c>
      <c r="AM5" s="67" t="s">
        <v>663</v>
      </c>
      <c r="AO5" s="67" t="s">
        <v>669</v>
      </c>
      <c r="AP5" s="67" t="s">
        <v>670</v>
      </c>
      <c r="AQ5" s="67" t="s">
        <v>663</v>
      </c>
    </row>
    <row r="6" spans="1:43" ht="50.1" customHeight="1" x14ac:dyDescent="0.3">
      <c r="A6" s="48" t="s">
        <v>672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IF(AG7="","",IF(U7="도비","세입없음",CONCATENATE(AG7,"-",COUNTIF($AG$7:AG7,AG7))))</f>
        <v/>
      </c>
      <c r="AG7" s="27" t="str">
        <f t="array" ref="AG7">IF(C7="","",INDEX(구분표!$I$2:$I$300, MATCH(1,(구분표!$E$2:$E$300='2추특입'!B7)*(구분표!$F$2:$F$300='2추특입'!C7)*(구분표!$G$2:$G$300='2추특입'!A7),0)))</f>
        <v/>
      </c>
      <c r="AI7" s="27"/>
      <c r="AK7" s="42">
        <f>IF(AE7="",0,SUMIFS('2추특출'!$V$6:$V$50,'2추특출'!$AE$6:$AE$50,'2추특입'!$AE7))</f>
        <v>0</v>
      </c>
      <c r="AL7" s="42" t="str">
        <f>IF(AE7="","",COUNTIFS('2추특출'!$AE$6:$AE$50,'2추특입'!AE7))</f>
        <v/>
      </c>
      <c r="AM7" s="27" t="str">
        <f>IF(V7=AK7,"OK","@@")</f>
        <v>OK</v>
      </c>
      <c r="AO7" s="42">
        <f>IF(AE7="",0,SUMIFS('2추특출'!$AA$6:$AA$50,'2추특출'!$AE$6:$AE$50,'2추특입'!$AE7))</f>
        <v>0</v>
      </c>
      <c r="AP7" s="42" t="str">
        <f>IF(AE7="","",COUNTIFS('2추특출'!$AE$6:$AE$50,AE7))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IF(AG8="","",IF(U8="도비","세입없음",CONCATENATE(AG8,"-",COUNTIF($AG$7:AG8,AG8))))</f>
        <v/>
      </c>
      <c r="AG8" s="27" t="str">
        <f t="array" ref="AG8">IF(C8="","",INDEX(구분표!$I$2:$I$300, MATCH(1,(구분표!$E$2:$E$300='2추특입'!B8)*(구분표!$F$2:$F$300='2추특입'!C8)*(구분표!$G$2:$G$300='2추특입'!A8),0)))</f>
        <v/>
      </c>
      <c r="AI8" s="27"/>
      <c r="AK8" s="42">
        <f>IF(AE8="",0,SUMIFS('2추특출'!$V$6:$V$50,'2추특출'!$AE$6:$AE$50,'2추특입'!$AE8))</f>
        <v>0</v>
      </c>
      <c r="AL8" s="42" t="str">
        <f>IF(AE8="","",COUNTIFS('2추특출'!$AE$6:$AE$50,'2추특입'!AE8))</f>
        <v/>
      </c>
      <c r="AM8" s="27" t="str">
        <f t="shared" ref="AM8:AM50" si="13">IF(V8=AK8,"OK","@@")</f>
        <v>OK</v>
      </c>
      <c r="AO8" s="42">
        <f>IF(AE8="",0,SUMIFS('2추특출'!$AA$6:$AA$50,'2추특출'!$AE$6:$AE$50,'2추특입'!$AE8))</f>
        <v>0</v>
      </c>
      <c r="AP8" s="42" t="str">
        <f>IF(AE8="","",COUNTIFS('2추특출'!$AE$6:$AE$50,AE8))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IF(AG9="","",IF(U9="도비","세입없음",CONCATENATE(AG9,"-",COUNTIF($AG$7:AG9,AG9))))</f>
        <v/>
      </c>
      <c r="AG9" s="27" t="str">
        <f t="array" ref="AG9">IF(C9="","",INDEX(구분표!$I$2:$I$300, MATCH(1,(구분표!$E$2:$E$300='2추특입'!B9)*(구분표!$F$2:$F$300='2추특입'!C9)*(구분표!$G$2:$G$300='2추특입'!A9),0)))</f>
        <v/>
      </c>
      <c r="AI9" s="27"/>
      <c r="AK9" s="42">
        <f>IF(AE9="",0,SUMIFS('2추특출'!$V$6:$V$50,'2추특출'!$AE$6:$AE$50,'2추특입'!$AE9))</f>
        <v>0</v>
      </c>
      <c r="AL9" s="42" t="str">
        <f>IF(AE9="","",COUNTIFS('2추특출'!$AE$6:$AE$50,'2추특입'!AE9))</f>
        <v/>
      </c>
      <c r="AM9" s="27" t="str">
        <f t="shared" si="13"/>
        <v>OK</v>
      </c>
      <c r="AO9" s="42">
        <f>IF(AE9="",0,SUMIFS('2추특출'!$AA$6:$AA$50,'2추특출'!$AE$6:$AE$50,'2추특입'!$AE9))</f>
        <v>0</v>
      </c>
      <c r="AP9" s="42" t="str">
        <f>IF(AE9="","",COUNTIFS('2추특출'!$AE$6:$AE$50,AE9))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IF(AG10="","",IF(U10="도비","세입없음",CONCATENATE(AG10,"-",COUNTIF($AG$7:AG10,AG10))))</f>
        <v/>
      </c>
      <c r="AG10" s="27" t="str">
        <f t="array" ref="AG10">IF(C10="","",INDEX(구분표!$I$2:$I$300, MATCH(1,(구분표!$E$2:$E$300='2추특입'!B10)*(구분표!$F$2:$F$300='2추특입'!C10)*(구분표!$G$2:$G$300='2추특입'!A10),0)))</f>
        <v/>
      </c>
      <c r="AI10" s="27"/>
      <c r="AK10" s="42">
        <f>IF(AE10="",0,SUMIFS('2추특출'!$V$6:$V$50,'2추특출'!$AE$6:$AE$50,'2추특입'!$AE10))</f>
        <v>0</v>
      </c>
      <c r="AL10" s="42" t="str">
        <f>IF(AE10="","",COUNTIFS('2추특출'!$AE$6:$AE$50,'2추특입'!AE10))</f>
        <v/>
      </c>
      <c r="AM10" s="27" t="str">
        <f t="shared" si="13"/>
        <v>OK</v>
      </c>
      <c r="AO10" s="42">
        <f>IF(AE10="",0,SUMIFS('2추특출'!$AA$6:$AA$50,'2추특출'!$AE$6:$AE$50,'2추특입'!$AE10))</f>
        <v>0</v>
      </c>
      <c r="AP10" s="42" t="str">
        <f>IF(AE10="","",COUNTIFS('2추특출'!$AE$6:$AE$50,AE10))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IF(AG11="","",IF(U11="도비","세입없음",CONCATENATE(AG11,"-",COUNTIF($AG$7:AG11,AG11))))</f>
        <v/>
      </c>
      <c r="AG11" s="27" t="str">
        <f t="array" ref="AG11">IF(C11="","",INDEX(구분표!$I$2:$I$300, MATCH(1,(구분표!$E$2:$E$300='2추특입'!B11)*(구분표!$F$2:$F$300='2추특입'!C11)*(구분표!$G$2:$G$300='2추특입'!A11),0)))</f>
        <v/>
      </c>
      <c r="AI11" s="27"/>
      <c r="AK11" s="42">
        <f>IF(AE11="",0,SUMIFS('2추특출'!$V$6:$V$50,'2추특출'!$AE$6:$AE$50,'2추특입'!$AE11))</f>
        <v>0</v>
      </c>
      <c r="AL11" s="42" t="str">
        <f>IF(AE11="","",COUNTIFS('2추특출'!$AE$6:$AE$50,'2추특입'!AE11))</f>
        <v/>
      </c>
      <c r="AM11" s="27" t="str">
        <f t="shared" si="13"/>
        <v>OK</v>
      </c>
      <c r="AO11" s="42">
        <f>IF(AE11="",0,SUMIFS('2추특출'!$AA$6:$AA$50,'2추특출'!$AE$6:$AE$50,'2추특입'!$AE11))</f>
        <v>0</v>
      </c>
      <c r="AP11" s="42" t="str">
        <f>IF(AE11="","",COUNTIFS('2추특출'!$AE$6:$AE$50,AE11))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IF(AG12="","",IF(U12="도비","세입없음",CONCATENATE(AG12,"-",COUNTIF($AG$7:AG12,AG12))))</f>
        <v/>
      </c>
      <c r="AG12" s="27" t="str">
        <f t="array" ref="AG12">IF(C12="","",INDEX(구분표!$I$2:$I$300, MATCH(1,(구분표!$E$2:$E$300='2추특입'!B12)*(구분표!$F$2:$F$300='2추특입'!C12)*(구분표!$G$2:$G$300='2추특입'!A12),0)))</f>
        <v/>
      </c>
      <c r="AI12" s="27"/>
      <c r="AK12" s="42">
        <f>IF(AE12="",0,SUMIFS('2추특출'!$V$6:$V$50,'2추특출'!$AE$6:$AE$50,'2추특입'!$AE12))</f>
        <v>0</v>
      </c>
      <c r="AL12" s="42" t="str">
        <f>IF(AE12="","",COUNTIFS('2추특출'!$AE$6:$AE$50,'2추특입'!AE12))</f>
        <v/>
      </c>
      <c r="AM12" s="27" t="str">
        <f t="shared" si="13"/>
        <v>OK</v>
      </c>
      <c r="AO12" s="42">
        <f>IF(AE12="",0,SUMIFS('2추특출'!$AA$6:$AA$50,'2추특출'!$AE$6:$AE$50,'2추특입'!$AE12))</f>
        <v>0</v>
      </c>
      <c r="AP12" s="42" t="str">
        <f>IF(AE12="","",COUNTIFS('2추특출'!$AE$6:$AE$50,AE12))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IF(AG13="","",IF(U13="도비","세입없음",CONCATENATE(AG13,"-",COUNTIF($AG$7:AG13,AG13))))</f>
        <v/>
      </c>
      <c r="AG13" s="27" t="str">
        <f t="array" ref="AG13">IF(C13="","",INDEX(구분표!$I$2:$I$300, MATCH(1,(구분표!$E$2:$E$300='2추특입'!B13)*(구분표!$F$2:$F$300='2추특입'!C13)*(구분표!$G$2:$G$300='2추특입'!A13),0)))</f>
        <v/>
      </c>
      <c r="AI13" s="27"/>
      <c r="AK13" s="42">
        <f>IF(AE13="",0,SUMIFS('2추특출'!$V$6:$V$50,'2추특출'!$AE$6:$AE$50,'2추특입'!$AE13))</f>
        <v>0</v>
      </c>
      <c r="AL13" s="42" t="str">
        <f>IF(AE13="","",COUNTIFS('2추특출'!$AE$6:$AE$50,'2추특입'!AE13))</f>
        <v/>
      </c>
      <c r="AM13" s="27" t="str">
        <f t="shared" si="13"/>
        <v>OK</v>
      </c>
      <c r="AO13" s="42">
        <f>IF(AE13="",0,SUMIFS('2추특출'!$AA$6:$AA$50,'2추특출'!$AE$6:$AE$50,'2추특입'!$AE13))</f>
        <v>0</v>
      </c>
      <c r="AP13" s="42" t="str">
        <f>IF(AE13="","",COUNTIFS('2추특출'!$AE$6:$AE$50,AE13))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IF(AG14="","",IF(U14="도비","세입없음",CONCATENATE(AG14,"-",COUNTIF($AG$7:AG14,AG14))))</f>
        <v/>
      </c>
      <c r="AG14" s="27" t="str">
        <f t="array" ref="AG14">IF(C14="","",INDEX(구분표!$I$2:$I$300, MATCH(1,(구분표!$E$2:$E$300='2추특입'!B14)*(구분표!$F$2:$F$300='2추특입'!C14)*(구분표!$G$2:$G$300='2추특입'!A14),0)))</f>
        <v/>
      </c>
      <c r="AI14" s="27"/>
      <c r="AK14" s="42">
        <f>IF(AE14="",0,SUMIFS('2추특출'!$V$6:$V$50,'2추특출'!$AE$6:$AE$50,'2추특입'!$AE14))</f>
        <v>0</v>
      </c>
      <c r="AL14" s="42" t="str">
        <f>IF(AE14="","",COUNTIFS('2추특출'!$AE$6:$AE$50,'2추특입'!AE14))</f>
        <v/>
      </c>
      <c r="AM14" s="27" t="str">
        <f t="shared" si="13"/>
        <v>OK</v>
      </c>
      <c r="AO14" s="42">
        <f>IF(AE14="",0,SUMIFS('2추특출'!$AA$6:$AA$50,'2추특출'!$AE$6:$AE$50,'2추특입'!$AE14))</f>
        <v>0</v>
      </c>
      <c r="AP14" s="42" t="str">
        <f>IF(AE14="","",COUNTIFS('2추특출'!$AE$6:$AE$50,AE14))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IF(AG15="","",IF(U15="도비","세입없음",CONCATENATE(AG15,"-",COUNTIF($AG$7:AG15,AG15))))</f>
        <v/>
      </c>
      <c r="AG15" s="27" t="str">
        <f t="array" ref="AG15">IF(C15="","",INDEX(구분표!$I$2:$I$300, MATCH(1,(구분표!$E$2:$E$300='2추특입'!B15)*(구분표!$F$2:$F$300='2추특입'!C15)*(구분표!$G$2:$G$300='2추특입'!A15),0)))</f>
        <v/>
      </c>
      <c r="AI15" s="27"/>
      <c r="AK15" s="42">
        <f>IF(AE15="",0,SUMIFS('2추특출'!$V$6:$V$50,'2추특출'!$AE$6:$AE$50,'2추특입'!$AE15))</f>
        <v>0</v>
      </c>
      <c r="AL15" s="42" t="str">
        <f>IF(AE15="","",COUNTIFS('2추특출'!$AE$6:$AE$50,'2추특입'!AE15))</f>
        <v/>
      </c>
      <c r="AM15" s="27" t="str">
        <f t="shared" si="13"/>
        <v>OK</v>
      </c>
      <c r="AO15" s="42">
        <f>IF(AE15="",0,SUMIFS('2추특출'!$AA$6:$AA$50,'2추특출'!$AE$6:$AE$50,'2추특입'!$AE15))</f>
        <v>0</v>
      </c>
      <c r="AP15" s="42" t="str">
        <f>IF(AE15="","",COUNTIFS('2추특출'!$AE$6:$AE$50,AE15))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IF(AG16="","",IF(U16="도비","세입없음",CONCATENATE(AG16,"-",COUNTIF($AG$7:AG16,AG16))))</f>
        <v/>
      </c>
      <c r="AG16" s="27" t="str">
        <f t="array" ref="AG16">IF(C16="","",INDEX(구분표!$I$2:$I$300, MATCH(1,(구분표!$E$2:$E$300='2추특입'!B16)*(구분표!$F$2:$F$300='2추특입'!C16)*(구분표!$G$2:$G$300='2추특입'!A16),0)))</f>
        <v/>
      </c>
      <c r="AI16" s="27"/>
      <c r="AK16" s="42">
        <f>IF(AE16="",0,SUMIFS('2추특출'!$V$6:$V$50,'2추특출'!$AE$6:$AE$50,'2추특입'!$AE16))</f>
        <v>0</v>
      </c>
      <c r="AL16" s="42" t="str">
        <f>IF(AE16="","",COUNTIFS('2추특출'!$AE$6:$AE$50,'2추특입'!AE16))</f>
        <v/>
      </c>
      <c r="AM16" s="27" t="str">
        <f t="shared" si="13"/>
        <v>OK</v>
      </c>
      <c r="AO16" s="42">
        <f>IF(AE16="",0,SUMIFS('2추특출'!$AA$6:$AA$50,'2추특출'!$AE$6:$AE$50,'2추특입'!$AE16))</f>
        <v>0</v>
      </c>
      <c r="AP16" s="42" t="str">
        <f>IF(AE16="","",COUNTIFS('2추특출'!$AE$6:$AE$50,AE16))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IF(AG17="","",IF(U17="도비","세입없음",CONCATENATE(AG17,"-",COUNTIF($AG$7:AG17,AG17))))</f>
        <v/>
      </c>
      <c r="AG17" s="27" t="str">
        <f t="array" ref="AG17">IF(C17="","",INDEX(구분표!$I$2:$I$300, MATCH(1,(구분표!$E$2:$E$300='2추특입'!B17)*(구분표!$F$2:$F$300='2추특입'!C17)*(구분표!$G$2:$G$300='2추특입'!A17),0)))</f>
        <v/>
      </c>
      <c r="AI17" s="27"/>
      <c r="AK17" s="42">
        <f>IF(AE17="",0,SUMIFS('2추특출'!$V$6:$V$50,'2추특출'!$AE$6:$AE$50,'2추특입'!$AE17))</f>
        <v>0</v>
      </c>
      <c r="AL17" s="42" t="str">
        <f>IF(AE17="","",COUNTIFS('2추특출'!$AE$6:$AE$50,'2추특입'!AE17))</f>
        <v/>
      </c>
      <c r="AM17" s="27" t="str">
        <f t="shared" si="13"/>
        <v>OK</v>
      </c>
      <c r="AO17" s="42">
        <f>IF(AE17="",0,SUMIFS('2추특출'!$AA$6:$AA$50,'2추특출'!$AE$6:$AE$50,'2추특입'!$AE17))</f>
        <v>0</v>
      </c>
      <c r="AP17" s="42" t="str">
        <f>IF(AE17="","",COUNTIFS('2추특출'!$AE$6:$AE$50,AE17))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IF(AG18="","",IF(U18="도비","세입없음",CONCATENATE(AG18,"-",COUNTIF($AG$7:AG18,AG18))))</f>
        <v/>
      </c>
      <c r="AG18" s="27" t="str">
        <f t="array" ref="AG18">IF(C18="","",INDEX(구분표!$I$2:$I$300, MATCH(1,(구분표!$E$2:$E$300='2추특입'!B18)*(구분표!$F$2:$F$300='2추특입'!C18)*(구분표!$G$2:$G$300='2추특입'!A18),0)))</f>
        <v/>
      </c>
      <c r="AI18" s="27"/>
      <c r="AK18" s="42">
        <f>IF(AE18="",0,SUMIFS('2추특출'!$V$6:$V$50,'2추특출'!$AE$6:$AE$50,'2추특입'!$AE18))</f>
        <v>0</v>
      </c>
      <c r="AL18" s="42" t="str">
        <f>IF(AE18="","",COUNTIFS('2추특출'!$AE$6:$AE$50,'2추특입'!AE18))</f>
        <v/>
      </c>
      <c r="AM18" s="27" t="str">
        <f t="shared" si="13"/>
        <v>OK</v>
      </c>
      <c r="AO18" s="42">
        <f>IF(AE18="",0,SUMIFS('2추특출'!$AA$6:$AA$50,'2추특출'!$AE$6:$AE$50,'2추특입'!$AE18))</f>
        <v>0</v>
      </c>
      <c r="AP18" s="42" t="str">
        <f>IF(AE18="","",COUNTIFS('2추특출'!$AE$6:$AE$50,AE18))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IF(AG19="","",IF(U19="도비","세입없음",CONCATENATE(AG19,"-",COUNTIF($AG$7:AG19,AG19))))</f>
        <v/>
      </c>
      <c r="AG19" s="27" t="str">
        <f t="array" ref="AG19">IF(C19="","",INDEX(구분표!$I$2:$I$300, MATCH(1,(구분표!$E$2:$E$300='2추특입'!B19)*(구분표!$F$2:$F$300='2추특입'!C19)*(구분표!$G$2:$G$300='2추특입'!A19),0)))</f>
        <v/>
      </c>
      <c r="AI19" s="27"/>
      <c r="AK19" s="42">
        <f>IF(AE19="",0,SUMIFS('2추특출'!$V$6:$V$50,'2추특출'!$AE$6:$AE$50,'2추특입'!$AE19))</f>
        <v>0</v>
      </c>
      <c r="AL19" s="42" t="str">
        <f>IF(AE19="","",COUNTIFS('2추특출'!$AE$6:$AE$50,'2추특입'!AE19))</f>
        <v/>
      </c>
      <c r="AM19" s="27" t="str">
        <f t="shared" si="13"/>
        <v>OK</v>
      </c>
      <c r="AO19" s="42">
        <f>IF(AE19="",0,SUMIFS('2추특출'!$AA$6:$AA$50,'2추특출'!$AE$6:$AE$50,'2추특입'!$AE19))</f>
        <v>0</v>
      </c>
      <c r="AP19" s="42" t="str">
        <f>IF(AE19="","",COUNTIFS('2추특출'!$AE$6:$AE$50,AE19))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IF(AG20="","",IF(U20="도비","세입없음",CONCATENATE(AG20,"-",COUNTIF($AG$7:AG20,AG20))))</f>
        <v/>
      </c>
      <c r="AG20" s="27" t="str">
        <f t="array" ref="AG20">IF(C20="","",INDEX(구분표!$I$2:$I$300, MATCH(1,(구분표!$E$2:$E$300='2추특입'!B20)*(구분표!$F$2:$F$300='2추특입'!C20)*(구분표!$G$2:$G$300='2추특입'!A20),0)))</f>
        <v/>
      </c>
      <c r="AI20" s="27"/>
      <c r="AK20" s="42">
        <f>IF(AE20="",0,SUMIFS('2추특출'!$V$6:$V$50,'2추특출'!$AE$6:$AE$50,'2추특입'!$AE20))</f>
        <v>0</v>
      </c>
      <c r="AL20" s="42" t="str">
        <f>IF(AE20="","",COUNTIFS('2추특출'!$AE$6:$AE$50,'2추특입'!AE20))</f>
        <v/>
      </c>
      <c r="AM20" s="27" t="str">
        <f t="shared" si="13"/>
        <v>OK</v>
      </c>
      <c r="AO20" s="42">
        <f>IF(AE20="",0,SUMIFS('2추특출'!$AA$6:$AA$50,'2추특출'!$AE$6:$AE$50,'2추특입'!$AE20))</f>
        <v>0</v>
      </c>
      <c r="AP20" s="42" t="str">
        <f>IF(AE20="","",COUNTIFS('2추특출'!$AE$6:$AE$50,AE20))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IF(AG21="","",IF(U21="도비","세입없음",CONCATENATE(AG21,"-",COUNTIF($AG$7:AG21,AG21))))</f>
        <v/>
      </c>
      <c r="AG21" s="27" t="str">
        <f t="array" ref="AG21">IF(C21="","",INDEX(구분표!$I$2:$I$300, MATCH(1,(구분표!$E$2:$E$300='2추특입'!B21)*(구분표!$F$2:$F$300='2추특입'!C21)*(구분표!$G$2:$G$300='2추특입'!A21),0)))</f>
        <v/>
      </c>
      <c r="AI21" s="27"/>
      <c r="AK21" s="42">
        <f>IF(AE21="",0,SUMIFS('2추특출'!$V$6:$V$50,'2추특출'!$AE$6:$AE$50,'2추특입'!$AE21))</f>
        <v>0</v>
      </c>
      <c r="AL21" s="42" t="str">
        <f>IF(AE21="","",COUNTIFS('2추특출'!$AE$6:$AE$50,'2추특입'!AE21))</f>
        <v/>
      </c>
      <c r="AM21" s="27" t="str">
        <f t="shared" si="13"/>
        <v>OK</v>
      </c>
      <c r="AO21" s="42">
        <f>IF(AE21="",0,SUMIFS('2추특출'!$AA$6:$AA$50,'2추특출'!$AE$6:$AE$50,'2추특입'!$AE21))</f>
        <v>0</v>
      </c>
      <c r="AP21" s="42" t="str">
        <f>IF(AE21="","",COUNTIFS('2추특출'!$AE$6:$AE$50,AE21))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IF(AG22="","",IF(U22="도비","세입없음",CONCATENATE(AG22,"-",COUNTIF($AG$7:AG22,AG22))))</f>
        <v/>
      </c>
      <c r="AG22" s="27" t="str">
        <f t="array" ref="AG22">IF(C22="","",INDEX(구분표!$I$2:$I$300, MATCH(1,(구분표!$E$2:$E$300='2추특입'!B22)*(구분표!$F$2:$F$300='2추특입'!C22)*(구분표!$G$2:$G$300='2추특입'!A22),0)))</f>
        <v/>
      </c>
      <c r="AI22" s="27"/>
      <c r="AK22" s="42">
        <f>IF(AE22="",0,SUMIFS('2추특출'!$V$6:$V$50,'2추특출'!$AE$6:$AE$50,'2추특입'!$AE22))</f>
        <v>0</v>
      </c>
      <c r="AL22" s="42" t="str">
        <f>IF(AE22="","",COUNTIFS('2추특출'!$AE$6:$AE$50,'2추특입'!AE22))</f>
        <v/>
      </c>
      <c r="AM22" s="27" t="str">
        <f t="shared" si="13"/>
        <v>OK</v>
      </c>
      <c r="AO22" s="42">
        <f>IF(AE22="",0,SUMIFS('2추특출'!$AA$6:$AA$50,'2추특출'!$AE$6:$AE$50,'2추특입'!$AE22))</f>
        <v>0</v>
      </c>
      <c r="AP22" s="42" t="str">
        <f>IF(AE22="","",COUNTIFS('2추특출'!$AE$6:$AE$50,AE22))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IF(AG23="","",IF(U23="도비","세입없음",CONCATENATE(AG23,"-",COUNTIF($AG$7:AG23,AG23))))</f>
        <v/>
      </c>
      <c r="AG23" s="27" t="str">
        <f t="array" ref="AG23">IF(C23="","",INDEX(구분표!$I$2:$I$300, MATCH(1,(구분표!$E$2:$E$300='2추특입'!B23)*(구분표!$F$2:$F$300='2추특입'!C23)*(구분표!$G$2:$G$300='2추특입'!A23),0)))</f>
        <v/>
      </c>
      <c r="AI23" s="27"/>
      <c r="AK23" s="42">
        <f>IF(AE23="",0,SUMIFS('2추특출'!$V$6:$V$50,'2추특출'!$AE$6:$AE$50,'2추특입'!$AE23))</f>
        <v>0</v>
      </c>
      <c r="AL23" s="42" t="str">
        <f>IF(AE23="","",COUNTIFS('2추특출'!$AE$6:$AE$50,'2추특입'!AE23))</f>
        <v/>
      </c>
      <c r="AM23" s="27" t="str">
        <f t="shared" si="13"/>
        <v>OK</v>
      </c>
      <c r="AO23" s="42">
        <f>IF(AE23="",0,SUMIFS('2추특출'!$AA$6:$AA$50,'2추특출'!$AE$6:$AE$50,'2추특입'!$AE23))</f>
        <v>0</v>
      </c>
      <c r="AP23" s="42" t="str">
        <f>IF(AE23="","",COUNTIFS('2추특출'!$AE$6:$AE$50,AE23))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IF(AG24="","",IF(U24="도비","세입없음",CONCATENATE(AG24,"-",COUNTIF($AG$7:AG24,AG24))))</f>
        <v/>
      </c>
      <c r="AG24" s="27" t="str">
        <f t="array" ref="AG24">IF(C24="","",INDEX(구분표!$I$2:$I$300, MATCH(1,(구분표!$E$2:$E$300='2추특입'!B24)*(구분표!$F$2:$F$300='2추특입'!C24)*(구분표!$G$2:$G$300='2추특입'!A24),0)))</f>
        <v/>
      </c>
      <c r="AI24" s="27"/>
      <c r="AK24" s="42">
        <f>IF(AE24="",0,SUMIFS('2추특출'!$V$6:$V$50,'2추특출'!$AE$6:$AE$50,'2추특입'!$AE24))</f>
        <v>0</v>
      </c>
      <c r="AL24" s="42" t="str">
        <f>IF(AE24="","",COUNTIFS('2추특출'!$AE$6:$AE$50,'2추특입'!AE24))</f>
        <v/>
      </c>
      <c r="AM24" s="27" t="str">
        <f t="shared" si="13"/>
        <v>OK</v>
      </c>
      <c r="AO24" s="42">
        <f>IF(AE24="",0,SUMIFS('2추특출'!$AA$6:$AA$50,'2추특출'!$AE$6:$AE$50,'2추특입'!$AE24))</f>
        <v>0</v>
      </c>
      <c r="AP24" s="42" t="str">
        <f>IF(AE24="","",COUNTIFS('2추특출'!$AE$6:$AE$50,AE24))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IF(AG25="","",IF(U25="도비","세입없음",CONCATENATE(AG25,"-",COUNTIF($AG$7:AG25,AG25))))</f>
        <v/>
      </c>
      <c r="AG25" s="27" t="str">
        <f t="array" ref="AG25">IF(C25="","",INDEX(구분표!$I$2:$I$300, MATCH(1,(구분표!$E$2:$E$300='2추특입'!B25)*(구분표!$F$2:$F$300='2추특입'!C25)*(구분표!$G$2:$G$300='2추특입'!A25),0)))</f>
        <v/>
      </c>
      <c r="AI25" s="27"/>
      <c r="AK25" s="42">
        <f>IF(AE25="",0,SUMIFS('2추특출'!$V$6:$V$50,'2추특출'!$AE$6:$AE$50,'2추특입'!$AE25))</f>
        <v>0</v>
      </c>
      <c r="AL25" s="42" t="str">
        <f>IF(AE25="","",COUNTIFS('2추특출'!$AE$6:$AE$50,'2추특입'!AE25))</f>
        <v/>
      </c>
      <c r="AM25" s="27" t="str">
        <f t="shared" si="13"/>
        <v>OK</v>
      </c>
      <c r="AO25" s="42">
        <f>IF(AE25="",0,SUMIFS('2추특출'!$AA$6:$AA$50,'2추특출'!$AE$6:$AE$50,'2추특입'!$AE25))</f>
        <v>0</v>
      </c>
      <c r="AP25" s="42" t="str">
        <f>IF(AE25="","",COUNTIFS('2추특출'!$AE$6:$AE$50,AE25))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IF(AG26="","",IF(U26="도비","세입없음",CONCATENATE(AG26,"-",COUNTIF($AG$7:AG26,AG26))))</f>
        <v/>
      </c>
      <c r="AG26" s="27" t="str">
        <f t="array" ref="AG26">IF(C26="","",INDEX(구분표!$I$2:$I$300, MATCH(1,(구분표!$E$2:$E$300='2추특입'!B26)*(구분표!$F$2:$F$300='2추특입'!C26)*(구분표!$G$2:$G$300='2추특입'!A26),0)))</f>
        <v/>
      </c>
      <c r="AI26" s="27"/>
      <c r="AK26" s="42">
        <f>IF(AE26="",0,SUMIFS('2추특출'!$V$6:$V$50,'2추특출'!$AE$6:$AE$50,'2추특입'!$AE26))</f>
        <v>0</v>
      </c>
      <c r="AL26" s="42" t="str">
        <f>IF(AE26="","",COUNTIFS('2추특출'!$AE$6:$AE$50,'2추특입'!AE26))</f>
        <v/>
      </c>
      <c r="AM26" s="27" t="str">
        <f t="shared" si="13"/>
        <v>OK</v>
      </c>
      <c r="AO26" s="42">
        <f>IF(AE26="",0,SUMIFS('2추특출'!$AA$6:$AA$50,'2추특출'!$AE$6:$AE$50,'2추특입'!$AE26))</f>
        <v>0</v>
      </c>
      <c r="AP26" s="42" t="str">
        <f>IF(AE26="","",COUNTIFS('2추특출'!$AE$6:$AE$50,AE26))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IF(AG27="","",IF(U27="도비","세입없음",CONCATENATE(AG27,"-",COUNTIF($AG$7:AG27,AG27))))</f>
        <v/>
      </c>
      <c r="AG27" s="27" t="str">
        <f t="array" ref="AG27">IF(C27="","",INDEX(구분표!$I$2:$I$300, MATCH(1,(구분표!$E$2:$E$300='2추특입'!B27)*(구분표!$F$2:$F$300='2추특입'!C27)*(구분표!$G$2:$G$300='2추특입'!A27),0)))</f>
        <v/>
      </c>
      <c r="AI27" s="27"/>
      <c r="AK27" s="42">
        <f>IF(AE27="",0,SUMIFS('2추특출'!$V$6:$V$50,'2추특출'!$AE$6:$AE$50,'2추특입'!$AE27))</f>
        <v>0</v>
      </c>
      <c r="AL27" s="42" t="str">
        <f>IF(AE27="","",COUNTIFS('2추특출'!$AE$6:$AE$50,'2추특입'!AE27))</f>
        <v/>
      </c>
      <c r="AM27" s="27" t="str">
        <f t="shared" si="13"/>
        <v>OK</v>
      </c>
      <c r="AO27" s="42">
        <f>IF(AE27="",0,SUMIFS('2추특출'!$AA$6:$AA$50,'2추특출'!$AE$6:$AE$50,'2추특입'!$AE27))</f>
        <v>0</v>
      </c>
      <c r="AP27" s="42" t="str">
        <f>IF(AE27="","",COUNTIFS('2추특출'!$AE$6:$AE$50,AE27))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IF(AG28="","",IF(U28="도비","세입없음",CONCATENATE(AG28,"-",COUNTIF($AG$7:AG28,AG28))))</f>
        <v/>
      </c>
      <c r="AG28" s="27" t="str">
        <f t="array" ref="AG28">IF(C28="","",INDEX(구분표!$I$2:$I$300, MATCH(1,(구분표!$E$2:$E$300='2추특입'!B28)*(구분표!$F$2:$F$300='2추특입'!C28)*(구분표!$G$2:$G$300='2추특입'!A28),0)))</f>
        <v/>
      </c>
      <c r="AI28" s="27"/>
      <c r="AK28" s="42">
        <f>IF(AE28="",0,SUMIFS('2추특출'!$V$6:$V$50,'2추특출'!$AE$6:$AE$50,'2추특입'!$AE28))</f>
        <v>0</v>
      </c>
      <c r="AL28" s="42" t="str">
        <f>IF(AE28="","",COUNTIFS('2추특출'!$AE$6:$AE$50,'2추특입'!AE28))</f>
        <v/>
      </c>
      <c r="AM28" s="27" t="str">
        <f t="shared" si="13"/>
        <v>OK</v>
      </c>
      <c r="AO28" s="42">
        <f>IF(AE28="",0,SUMIFS('2추특출'!$AA$6:$AA$50,'2추특출'!$AE$6:$AE$50,'2추특입'!$AE28))</f>
        <v>0</v>
      </c>
      <c r="AP28" s="42" t="str">
        <f>IF(AE28="","",COUNTIFS('2추특출'!$AE$6:$AE$50,AE28))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IF(AG29="","",IF(U29="도비","세입없음",CONCATENATE(AG29,"-",COUNTIF($AG$7:AG29,AG29))))</f>
        <v/>
      </c>
      <c r="AG29" s="27" t="str">
        <f t="array" ref="AG29">IF(C29="","",INDEX(구분표!$I$2:$I$300, MATCH(1,(구분표!$E$2:$E$300='2추특입'!B29)*(구분표!$F$2:$F$300='2추특입'!C29)*(구분표!$G$2:$G$300='2추특입'!A29),0)))</f>
        <v/>
      </c>
      <c r="AI29" s="27"/>
      <c r="AK29" s="42">
        <f>IF(AE29="",0,SUMIFS('2추특출'!$V$6:$V$50,'2추특출'!$AE$6:$AE$50,'2추특입'!$AE29))</f>
        <v>0</v>
      </c>
      <c r="AL29" s="42" t="str">
        <f>IF(AE29="","",COUNTIFS('2추특출'!$AE$6:$AE$50,'2추특입'!AE29))</f>
        <v/>
      </c>
      <c r="AM29" s="27" t="str">
        <f t="shared" si="13"/>
        <v>OK</v>
      </c>
      <c r="AO29" s="42">
        <f>IF(AE29="",0,SUMIFS('2추특출'!$AA$6:$AA$50,'2추특출'!$AE$6:$AE$50,'2추특입'!$AE29))</f>
        <v>0</v>
      </c>
      <c r="AP29" s="42" t="str">
        <f>IF(AE29="","",COUNTIFS('2추특출'!$AE$6:$AE$50,AE29))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IF(AG30="","",IF(U30="도비","세입없음",CONCATENATE(AG30,"-",COUNTIF($AG$7:AG30,AG30))))</f>
        <v/>
      </c>
      <c r="AG30" s="27" t="str">
        <f t="array" ref="AG30">IF(C30="","",INDEX(구분표!$I$2:$I$300, MATCH(1,(구분표!$E$2:$E$300='2추특입'!B30)*(구분표!$F$2:$F$300='2추특입'!C30)*(구분표!$G$2:$G$300='2추특입'!A30),0)))</f>
        <v/>
      </c>
      <c r="AI30" s="27"/>
      <c r="AK30" s="42">
        <f>IF(AE30="",0,SUMIFS('2추특출'!$V$6:$V$50,'2추특출'!$AE$6:$AE$50,'2추특입'!$AE30))</f>
        <v>0</v>
      </c>
      <c r="AL30" s="42" t="str">
        <f>IF(AE30="","",COUNTIFS('2추특출'!$AE$6:$AE$50,'2추특입'!AE30))</f>
        <v/>
      </c>
      <c r="AM30" s="27" t="str">
        <f t="shared" si="13"/>
        <v>OK</v>
      </c>
      <c r="AO30" s="42">
        <f>IF(AE30="",0,SUMIFS('2추특출'!$AA$6:$AA$50,'2추특출'!$AE$6:$AE$50,'2추특입'!$AE30))</f>
        <v>0</v>
      </c>
      <c r="AP30" s="42" t="str">
        <f>IF(AE30="","",COUNTIFS('2추특출'!$AE$6:$AE$50,AE30))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IF(AG31="","",IF(U31="도비","세입없음",CONCATENATE(AG31,"-",COUNTIF($AG$7:AG31,AG31))))</f>
        <v/>
      </c>
      <c r="AG31" s="27" t="str">
        <f t="array" ref="AG31">IF(C31="","",INDEX(구분표!$I$2:$I$300, MATCH(1,(구분표!$E$2:$E$300='2추특입'!B31)*(구분표!$F$2:$F$300='2추특입'!C31)*(구분표!$G$2:$G$300='2추특입'!A31),0)))</f>
        <v/>
      </c>
      <c r="AI31" s="27"/>
      <c r="AK31" s="42">
        <f>IF(AE31="",0,SUMIFS('2추특출'!$V$6:$V$50,'2추특출'!$AE$6:$AE$50,'2추특입'!$AE31))</f>
        <v>0</v>
      </c>
      <c r="AL31" s="42" t="str">
        <f>IF(AE31="","",COUNTIFS('2추특출'!$AE$6:$AE$50,'2추특입'!AE31))</f>
        <v/>
      </c>
      <c r="AM31" s="27" t="str">
        <f t="shared" si="13"/>
        <v>OK</v>
      </c>
      <c r="AO31" s="42">
        <f>IF(AE31="",0,SUMIFS('2추특출'!$AA$6:$AA$50,'2추특출'!$AE$6:$AE$50,'2추특입'!$AE31))</f>
        <v>0</v>
      </c>
      <c r="AP31" s="42" t="str">
        <f>IF(AE31="","",COUNTIFS('2추특출'!$AE$6:$AE$50,AE31))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IF(AG32="","",IF(U32="도비","세입없음",CONCATENATE(AG32,"-",COUNTIF($AG$7:AG32,AG32))))</f>
        <v/>
      </c>
      <c r="AG32" s="27" t="str">
        <f t="array" ref="AG32">IF(C32="","",INDEX(구분표!$I$2:$I$300, MATCH(1,(구분표!$E$2:$E$300='2추특입'!B32)*(구분표!$F$2:$F$300='2추특입'!C32)*(구분표!$G$2:$G$300='2추특입'!A32),0)))</f>
        <v/>
      </c>
      <c r="AI32" s="27"/>
      <c r="AK32" s="42">
        <f>IF(AE32="",0,SUMIFS('2추특출'!$V$6:$V$50,'2추특출'!$AE$6:$AE$50,'2추특입'!$AE32))</f>
        <v>0</v>
      </c>
      <c r="AL32" s="42" t="str">
        <f>IF(AE32="","",COUNTIFS('2추특출'!$AE$6:$AE$50,'2추특입'!AE32))</f>
        <v/>
      </c>
      <c r="AM32" s="27" t="str">
        <f t="shared" si="13"/>
        <v>OK</v>
      </c>
      <c r="AO32" s="42">
        <f>IF(AE32="",0,SUMIFS('2추특출'!$AA$6:$AA$50,'2추특출'!$AE$6:$AE$50,'2추특입'!$AE32))</f>
        <v>0</v>
      </c>
      <c r="AP32" s="42" t="str">
        <f>IF(AE32="","",COUNTIFS('2추특출'!$AE$6:$AE$50,AE32))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IF(AG33="","",IF(U33="도비","세입없음",CONCATENATE(AG33,"-",COUNTIF($AG$7:AG33,AG33))))</f>
        <v/>
      </c>
      <c r="AG33" s="27" t="str">
        <f t="array" ref="AG33">IF(C33="","",INDEX(구분표!$I$2:$I$300, MATCH(1,(구분표!$E$2:$E$300='2추특입'!B33)*(구분표!$F$2:$F$300='2추특입'!C33)*(구분표!$G$2:$G$300='2추특입'!A33),0)))</f>
        <v/>
      </c>
      <c r="AI33" s="27"/>
      <c r="AK33" s="42">
        <f>IF(AE33="",0,SUMIFS('2추특출'!$V$6:$V$50,'2추특출'!$AE$6:$AE$50,'2추특입'!$AE33))</f>
        <v>0</v>
      </c>
      <c r="AL33" s="42" t="str">
        <f>IF(AE33="","",COUNTIFS('2추특출'!$AE$6:$AE$50,'2추특입'!AE33))</f>
        <v/>
      </c>
      <c r="AM33" s="27" t="str">
        <f t="shared" si="13"/>
        <v>OK</v>
      </c>
      <c r="AO33" s="42">
        <f>IF(AE33="",0,SUMIFS('2추특출'!$AA$6:$AA$50,'2추특출'!$AE$6:$AE$50,'2추특입'!$AE33))</f>
        <v>0</v>
      </c>
      <c r="AP33" s="42" t="str">
        <f>IF(AE33="","",COUNTIFS('2추특출'!$AE$6:$AE$50,AE33))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IF(AG34="","",IF(U34="도비","세입없음",CONCATENATE(AG34,"-",COUNTIF($AG$7:AG34,AG34))))</f>
        <v/>
      </c>
      <c r="AG34" s="27" t="str">
        <f t="array" ref="AG34">IF(C34="","",INDEX(구분표!$I$2:$I$300, MATCH(1,(구분표!$E$2:$E$300='2추특입'!B34)*(구분표!$F$2:$F$300='2추특입'!C34)*(구분표!$G$2:$G$300='2추특입'!A34),0)))</f>
        <v/>
      </c>
      <c r="AI34" s="27"/>
      <c r="AK34" s="42">
        <f>IF(AE34="",0,SUMIFS('2추특출'!$V$6:$V$50,'2추특출'!$AE$6:$AE$50,'2추특입'!$AE34))</f>
        <v>0</v>
      </c>
      <c r="AL34" s="42" t="str">
        <f>IF(AE34="","",COUNTIFS('2추특출'!$AE$6:$AE$50,'2추특입'!AE34))</f>
        <v/>
      </c>
      <c r="AM34" s="27" t="str">
        <f t="shared" si="13"/>
        <v>OK</v>
      </c>
      <c r="AO34" s="42">
        <f>IF(AE34="",0,SUMIFS('2추특출'!$AA$6:$AA$50,'2추특출'!$AE$6:$AE$50,'2추특입'!$AE34))</f>
        <v>0</v>
      </c>
      <c r="AP34" s="42" t="str">
        <f>IF(AE34="","",COUNTIFS('2추특출'!$AE$6:$AE$50,AE34))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IF(AG35="","",IF(U35="도비","세입없음",CONCATENATE(AG35,"-",COUNTIF($AG$7:AG35,AG35))))</f>
        <v/>
      </c>
      <c r="AG35" s="27" t="str">
        <f t="array" ref="AG35">IF(C35="","",INDEX(구분표!$I$2:$I$300, MATCH(1,(구분표!$E$2:$E$300='2추특입'!B35)*(구분표!$F$2:$F$300='2추특입'!C35)*(구분표!$G$2:$G$300='2추특입'!A35),0)))</f>
        <v/>
      </c>
      <c r="AI35" s="27"/>
      <c r="AK35" s="42">
        <f>IF(AE35="",0,SUMIFS('2추특출'!$V$6:$V$50,'2추특출'!$AE$6:$AE$50,'2추특입'!$AE35))</f>
        <v>0</v>
      </c>
      <c r="AL35" s="42" t="str">
        <f>IF(AE35="","",COUNTIFS('2추특출'!$AE$6:$AE$50,'2추특입'!AE35))</f>
        <v/>
      </c>
      <c r="AM35" s="27" t="str">
        <f t="shared" si="13"/>
        <v>OK</v>
      </c>
      <c r="AO35" s="42">
        <f>IF(AE35="",0,SUMIFS('2추특출'!$AA$6:$AA$50,'2추특출'!$AE$6:$AE$50,'2추특입'!$AE35))</f>
        <v>0</v>
      </c>
      <c r="AP35" s="42" t="str">
        <f>IF(AE35="","",COUNTIFS('2추특출'!$AE$6:$AE$50,AE35))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IF(AG36="","",IF(U36="도비","세입없음",CONCATENATE(AG36,"-",COUNTIF($AG$7:AG36,AG36))))</f>
        <v/>
      </c>
      <c r="AG36" s="27" t="str">
        <f t="array" ref="AG36">IF(C36="","",INDEX(구분표!$I$2:$I$300, MATCH(1,(구분표!$E$2:$E$300='2추특입'!B36)*(구분표!$F$2:$F$300='2추특입'!C36)*(구분표!$G$2:$G$300='2추특입'!A36),0)))</f>
        <v/>
      </c>
      <c r="AI36" s="27"/>
      <c r="AK36" s="42">
        <f>IF(AE36="",0,SUMIFS('2추특출'!$V$6:$V$50,'2추특출'!$AE$6:$AE$50,'2추특입'!$AE36))</f>
        <v>0</v>
      </c>
      <c r="AL36" s="42" t="str">
        <f>IF(AE36="","",COUNTIFS('2추특출'!$AE$6:$AE$50,'2추특입'!AE36))</f>
        <v/>
      </c>
      <c r="AM36" s="27" t="str">
        <f t="shared" si="13"/>
        <v>OK</v>
      </c>
      <c r="AO36" s="42">
        <f>IF(AE36="",0,SUMIFS('2추특출'!$AA$6:$AA$50,'2추특출'!$AE$6:$AE$50,'2추특입'!$AE36))</f>
        <v>0</v>
      </c>
      <c r="AP36" s="42" t="str">
        <f>IF(AE36="","",COUNTIFS('2추특출'!$AE$6:$AE$50,AE36))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IF(AG37="","",IF(U37="도비","세입없음",CONCATENATE(AG37,"-",COUNTIF($AG$7:AG37,AG37))))</f>
        <v/>
      </c>
      <c r="AG37" s="27" t="str">
        <f t="array" ref="AG37">IF(C37="","",INDEX(구분표!$I$2:$I$300, MATCH(1,(구분표!$E$2:$E$300='2추특입'!B37)*(구분표!$F$2:$F$300='2추특입'!C37)*(구분표!$G$2:$G$300='2추특입'!A37),0)))</f>
        <v/>
      </c>
      <c r="AI37" s="27"/>
      <c r="AK37" s="42">
        <f>IF(AE37="",0,SUMIFS('2추특출'!$V$6:$V$50,'2추특출'!$AE$6:$AE$50,'2추특입'!$AE37))</f>
        <v>0</v>
      </c>
      <c r="AL37" s="42" t="str">
        <f>IF(AE37="","",COUNTIFS('2추특출'!$AE$6:$AE$50,'2추특입'!AE37))</f>
        <v/>
      </c>
      <c r="AM37" s="27" t="str">
        <f t="shared" si="13"/>
        <v>OK</v>
      </c>
      <c r="AO37" s="42">
        <f>IF(AE37="",0,SUMIFS('2추특출'!$AA$6:$AA$50,'2추특출'!$AE$6:$AE$50,'2추특입'!$AE37))</f>
        <v>0</v>
      </c>
      <c r="AP37" s="42" t="str">
        <f>IF(AE37="","",COUNTIFS('2추특출'!$AE$6:$AE$50,AE37))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IF(AG38="","",IF(U38="도비","세입없음",CONCATENATE(AG38,"-",COUNTIF($AG$7:AG38,AG38))))</f>
        <v/>
      </c>
      <c r="AG38" s="27" t="str">
        <f t="array" ref="AG38">IF(C38="","",INDEX(구분표!$I$2:$I$300, MATCH(1,(구분표!$E$2:$E$300='2추특입'!B38)*(구분표!$F$2:$F$300='2추특입'!C38)*(구분표!$G$2:$G$300='2추특입'!A38),0)))</f>
        <v/>
      </c>
      <c r="AI38" s="27"/>
      <c r="AK38" s="42">
        <f>IF(AE38="",0,SUMIFS('2추특출'!$V$6:$V$50,'2추특출'!$AE$6:$AE$50,'2추특입'!$AE38))</f>
        <v>0</v>
      </c>
      <c r="AL38" s="42" t="str">
        <f>IF(AE38="","",COUNTIFS('2추특출'!$AE$6:$AE$50,'2추특입'!AE38))</f>
        <v/>
      </c>
      <c r="AM38" s="27" t="str">
        <f t="shared" si="13"/>
        <v>OK</v>
      </c>
      <c r="AO38" s="42">
        <f>IF(AE38="",0,SUMIFS('2추특출'!$AA$6:$AA$50,'2추특출'!$AE$6:$AE$50,'2추특입'!$AE38))</f>
        <v>0</v>
      </c>
      <c r="AP38" s="42" t="str">
        <f>IF(AE38="","",COUNTIFS('2추특출'!$AE$6:$AE$50,AE38))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IF(AG39="","",IF(U39="도비","세입없음",CONCATENATE(AG39,"-",COUNTIF($AG$7:AG39,AG39))))</f>
        <v/>
      </c>
      <c r="AG39" s="27" t="str">
        <f t="array" ref="AG39">IF(C39="","",INDEX(구분표!$I$2:$I$300, MATCH(1,(구분표!$E$2:$E$300='2추특입'!B39)*(구분표!$F$2:$F$300='2추특입'!C39)*(구분표!$G$2:$G$300='2추특입'!A39),0)))</f>
        <v/>
      </c>
      <c r="AI39" s="27"/>
      <c r="AK39" s="42">
        <f>IF(AE39="",0,SUMIFS('2추특출'!$V$6:$V$50,'2추특출'!$AE$6:$AE$50,'2추특입'!$AE39))</f>
        <v>0</v>
      </c>
      <c r="AL39" s="42" t="str">
        <f>IF(AE39="","",COUNTIFS('2추특출'!$AE$6:$AE$50,'2추특입'!AE39))</f>
        <v/>
      </c>
      <c r="AM39" s="27" t="str">
        <f t="shared" si="13"/>
        <v>OK</v>
      </c>
      <c r="AO39" s="42">
        <f>IF(AE39="",0,SUMIFS('2추특출'!$AA$6:$AA$50,'2추특출'!$AE$6:$AE$50,'2추특입'!$AE39))</f>
        <v>0</v>
      </c>
      <c r="AP39" s="42" t="str">
        <f>IF(AE39="","",COUNTIFS('2추특출'!$AE$6:$AE$50,AE39))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IF(AG40="","",IF(U40="도비","세입없음",CONCATENATE(AG40,"-",COUNTIF($AG$7:AG40,AG40))))</f>
        <v/>
      </c>
      <c r="AG40" s="27" t="str">
        <f t="array" ref="AG40">IF(C40="","",INDEX(구분표!$I$2:$I$300, MATCH(1,(구분표!$E$2:$E$300='2추특입'!B40)*(구분표!$F$2:$F$300='2추특입'!C40)*(구분표!$G$2:$G$300='2추특입'!A40),0)))</f>
        <v/>
      </c>
      <c r="AI40" s="27"/>
      <c r="AK40" s="42">
        <f>IF(AE40="",0,SUMIFS('2추특출'!$V$6:$V$50,'2추특출'!$AE$6:$AE$50,'2추특입'!$AE40))</f>
        <v>0</v>
      </c>
      <c r="AL40" s="42" t="str">
        <f>IF(AE40="","",COUNTIFS('2추특출'!$AE$6:$AE$50,'2추특입'!AE40))</f>
        <v/>
      </c>
      <c r="AM40" s="27" t="str">
        <f t="shared" si="13"/>
        <v>OK</v>
      </c>
      <c r="AO40" s="42">
        <f>IF(AE40="",0,SUMIFS('2추특출'!$AA$6:$AA$50,'2추특출'!$AE$6:$AE$50,'2추특입'!$AE40))</f>
        <v>0</v>
      </c>
      <c r="AP40" s="42" t="str">
        <f>IF(AE40="","",COUNTIFS('2추특출'!$AE$6:$AE$50,AE40))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IF(AG41="","",IF(U41="도비","세입없음",CONCATENATE(AG41,"-",COUNTIF($AG$7:AG41,AG41))))</f>
        <v/>
      </c>
      <c r="AG41" s="27" t="str">
        <f t="array" ref="AG41">IF(C41="","",INDEX(구분표!$I$2:$I$300, MATCH(1,(구분표!$E$2:$E$300='2추특입'!B41)*(구분표!$F$2:$F$300='2추특입'!C41)*(구분표!$G$2:$G$300='2추특입'!A41),0)))</f>
        <v/>
      </c>
      <c r="AI41" s="27"/>
      <c r="AK41" s="42">
        <f>IF(AE41="",0,SUMIFS('2추특출'!$V$6:$V$50,'2추특출'!$AE$6:$AE$50,'2추특입'!$AE41))</f>
        <v>0</v>
      </c>
      <c r="AL41" s="42" t="str">
        <f>IF(AE41="","",COUNTIFS('2추특출'!$AE$6:$AE$50,'2추특입'!AE41))</f>
        <v/>
      </c>
      <c r="AM41" s="27" t="str">
        <f t="shared" si="13"/>
        <v>OK</v>
      </c>
      <c r="AO41" s="42">
        <f>IF(AE41="",0,SUMIFS('2추특출'!$AA$6:$AA$50,'2추특출'!$AE$6:$AE$50,'2추특입'!$AE41))</f>
        <v>0</v>
      </c>
      <c r="AP41" s="42" t="str">
        <f>IF(AE41="","",COUNTIFS('2추특출'!$AE$6:$AE$50,AE41))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IF(AG42="","",IF(U42="도비","세입없음",CONCATENATE(AG42,"-",COUNTIF($AG$7:AG42,AG42))))</f>
        <v/>
      </c>
      <c r="AG42" s="27" t="str">
        <f t="array" ref="AG42">IF(C42="","",INDEX(구분표!$I$2:$I$300, MATCH(1,(구분표!$E$2:$E$300='2추특입'!B42)*(구분표!$F$2:$F$300='2추특입'!C42)*(구분표!$G$2:$G$300='2추특입'!A42),0)))</f>
        <v/>
      </c>
      <c r="AI42" s="27"/>
      <c r="AK42" s="42">
        <f>IF(AE42="",0,SUMIFS('2추특출'!$V$6:$V$50,'2추특출'!$AE$6:$AE$50,'2추특입'!$AE42))</f>
        <v>0</v>
      </c>
      <c r="AL42" s="42" t="str">
        <f>IF(AE42="","",COUNTIFS('2추특출'!$AE$6:$AE$50,'2추특입'!AE42))</f>
        <v/>
      </c>
      <c r="AM42" s="27" t="str">
        <f t="shared" si="13"/>
        <v>OK</v>
      </c>
      <c r="AO42" s="42">
        <f>IF(AE42="",0,SUMIFS('2추특출'!$AA$6:$AA$50,'2추특출'!$AE$6:$AE$50,'2추특입'!$AE42))</f>
        <v>0</v>
      </c>
      <c r="AP42" s="42" t="str">
        <f>IF(AE42="","",COUNTIFS('2추특출'!$AE$6:$AE$50,AE42))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IF(AG43="","",IF(U43="도비","세입없음",CONCATENATE(AG43,"-",COUNTIF($AG$7:AG43,AG43))))</f>
        <v/>
      </c>
      <c r="AG43" s="27" t="str">
        <f t="array" ref="AG43">IF(C43="","",INDEX(구분표!$I$2:$I$300, MATCH(1,(구분표!$E$2:$E$300='2추특입'!B43)*(구분표!$F$2:$F$300='2추특입'!C43)*(구분표!$G$2:$G$300='2추특입'!A43),0)))</f>
        <v/>
      </c>
      <c r="AI43" s="27"/>
      <c r="AK43" s="42">
        <f>IF(AE43="",0,SUMIFS('2추특출'!$V$6:$V$50,'2추특출'!$AE$6:$AE$50,'2추특입'!$AE43))</f>
        <v>0</v>
      </c>
      <c r="AL43" s="42" t="str">
        <f>IF(AE43="","",COUNTIFS('2추특출'!$AE$6:$AE$50,'2추특입'!AE43))</f>
        <v/>
      </c>
      <c r="AM43" s="27" t="str">
        <f t="shared" si="13"/>
        <v>OK</v>
      </c>
      <c r="AO43" s="42">
        <f>IF(AE43="",0,SUMIFS('2추특출'!$AA$6:$AA$50,'2추특출'!$AE$6:$AE$50,'2추특입'!$AE43))</f>
        <v>0</v>
      </c>
      <c r="AP43" s="42" t="str">
        <f>IF(AE43="","",COUNTIFS('2추특출'!$AE$6:$AE$50,AE43))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IF(AG44="","",IF(U44="도비","세입없음",CONCATENATE(AG44,"-",COUNTIF($AG$7:AG44,AG44))))</f>
        <v/>
      </c>
      <c r="AG44" s="27" t="str">
        <f t="array" ref="AG44">IF(C44="","",INDEX(구분표!$I$2:$I$300, MATCH(1,(구분표!$E$2:$E$300='2추특입'!B44)*(구분표!$F$2:$F$300='2추특입'!C44)*(구분표!$G$2:$G$300='2추특입'!A44),0)))</f>
        <v/>
      </c>
      <c r="AI44" s="27"/>
      <c r="AK44" s="42">
        <f>IF(AE44="",0,SUMIFS('2추특출'!$V$6:$V$50,'2추특출'!$AE$6:$AE$50,'2추특입'!$AE44))</f>
        <v>0</v>
      </c>
      <c r="AL44" s="42" t="str">
        <f>IF(AE44="","",COUNTIFS('2추특출'!$AE$6:$AE$50,'2추특입'!AE44))</f>
        <v/>
      </c>
      <c r="AM44" s="27" t="str">
        <f t="shared" si="13"/>
        <v>OK</v>
      </c>
      <c r="AO44" s="42">
        <f>IF(AE44="",0,SUMIFS('2추특출'!$AA$6:$AA$50,'2추특출'!$AE$6:$AE$50,'2추특입'!$AE44))</f>
        <v>0</v>
      </c>
      <c r="AP44" s="42" t="str">
        <f>IF(AE44="","",COUNTIFS('2추특출'!$AE$6:$AE$50,AE44))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IF(AG45="","",IF(U45="도비","세입없음",CONCATENATE(AG45,"-",COUNTIF($AG$7:AG45,AG45))))</f>
        <v/>
      </c>
      <c r="AG45" s="27" t="str">
        <f t="array" ref="AG45">IF(C45="","",INDEX(구분표!$I$2:$I$300, MATCH(1,(구분표!$E$2:$E$300='2추특입'!B45)*(구분표!$F$2:$F$300='2추특입'!C45)*(구분표!$G$2:$G$300='2추특입'!A45),0)))</f>
        <v/>
      </c>
      <c r="AI45" s="27"/>
      <c r="AK45" s="42">
        <f>IF(AE45="",0,SUMIFS('2추특출'!$V$6:$V$50,'2추특출'!$AE$6:$AE$50,'2추특입'!$AE45))</f>
        <v>0</v>
      </c>
      <c r="AL45" s="42" t="str">
        <f>IF(AE45="","",COUNTIFS('2추특출'!$AE$6:$AE$50,'2추특입'!AE45))</f>
        <v/>
      </c>
      <c r="AM45" s="27" t="str">
        <f t="shared" si="13"/>
        <v>OK</v>
      </c>
      <c r="AO45" s="42">
        <f>IF(AE45="",0,SUMIFS('2추특출'!$AA$6:$AA$50,'2추특출'!$AE$6:$AE$50,'2추특입'!$AE45))</f>
        <v>0</v>
      </c>
      <c r="AP45" s="42" t="str">
        <f>IF(AE45="","",COUNTIFS('2추특출'!$AE$6:$AE$50,AE45))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IF(AG46="","",IF(U46="도비","세입없음",CONCATENATE(AG46,"-",COUNTIF($AG$7:AG46,AG46))))</f>
        <v/>
      </c>
      <c r="AG46" s="27" t="str">
        <f t="array" ref="AG46">IF(C46="","",INDEX(구분표!$I$2:$I$300, MATCH(1,(구분표!$E$2:$E$300='2추특입'!B46)*(구분표!$F$2:$F$300='2추특입'!C46)*(구분표!$G$2:$G$300='2추특입'!A46),0)))</f>
        <v/>
      </c>
      <c r="AI46" s="27"/>
      <c r="AK46" s="42">
        <f>IF(AE46="",0,SUMIFS('2추특출'!$V$6:$V$50,'2추특출'!$AE$6:$AE$50,'2추특입'!$AE46))</f>
        <v>0</v>
      </c>
      <c r="AL46" s="42" t="str">
        <f>IF(AE46="","",COUNTIFS('2추특출'!$AE$6:$AE$50,'2추특입'!AE46))</f>
        <v/>
      </c>
      <c r="AM46" s="27" t="str">
        <f t="shared" si="13"/>
        <v>OK</v>
      </c>
      <c r="AO46" s="42">
        <f>IF(AE46="",0,SUMIFS('2추특출'!$AA$6:$AA$50,'2추특출'!$AE$6:$AE$50,'2추특입'!$AE46))</f>
        <v>0</v>
      </c>
      <c r="AP46" s="42" t="str">
        <f>IF(AE46="","",COUNTIFS('2추특출'!$AE$6:$AE$50,AE46))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IF(AG47="","",IF(U47="도비","세입없음",CONCATENATE(AG47,"-",COUNTIF($AG$7:AG47,AG47))))</f>
        <v/>
      </c>
      <c r="AG47" s="27" t="str">
        <f t="array" ref="AG47">IF(C47="","",INDEX(구분표!$I$2:$I$300, MATCH(1,(구분표!$E$2:$E$300='2추특입'!B47)*(구분표!$F$2:$F$300='2추특입'!C47)*(구분표!$G$2:$G$300='2추특입'!A47),0)))</f>
        <v/>
      </c>
      <c r="AI47" s="27"/>
      <c r="AK47" s="42">
        <f>IF(AE47="",0,SUMIFS('2추특출'!$V$6:$V$50,'2추특출'!$AE$6:$AE$50,'2추특입'!$AE47))</f>
        <v>0</v>
      </c>
      <c r="AL47" s="42" t="str">
        <f>IF(AE47="","",COUNTIFS('2추특출'!$AE$6:$AE$50,'2추특입'!AE47))</f>
        <v/>
      </c>
      <c r="AM47" s="27" t="str">
        <f t="shared" si="13"/>
        <v>OK</v>
      </c>
      <c r="AO47" s="42">
        <f>IF(AE47="",0,SUMIFS('2추특출'!$AA$6:$AA$50,'2추특출'!$AE$6:$AE$50,'2추특입'!$AE47))</f>
        <v>0</v>
      </c>
      <c r="AP47" s="42" t="str">
        <f>IF(AE47="","",COUNTIFS('2추특출'!$AE$6:$AE$50,AE47))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IF(AG48="","",IF(U48="도비","세입없음",CONCATENATE(AG48,"-",COUNTIF($AG$7:AG48,AG48))))</f>
        <v/>
      </c>
      <c r="AG48" s="27" t="str">
        <f t="array" ref="AG48">IF(C48="","",INDEX(구분표!$I$2:$I$300, MATCH(1,(구분표!$E$2:$E$300='2추특입'!B48)*(구분표!$F$2:$F$300='2추특입'!C48)*(구분표!$G$2:$G$300='2추특입'!A48),0)))</f>
        <v/>
      </c>
      <c r="AI48" s="27"/>
      <c r="AK48" s="42">
        <f>IF(AE48="",0,SUMIFS('2추특출'!$V$6:$V$50,'2추특출'!$AE$6:$AE$50,'2추특입'!$AE48))</f>
        <v>0</v>
      </c>
      <c r="AL48" s="42" t="str">
        <f>IF(AE48="","",COUNTIFS('2추특출'!$AE$6:$AE$50,'2추특입'!AE48))</f>
        <v/>
      </c>
      <c r="AM48" s="27" t="str">
        <f t="shared" si="13"/>
        <v>OK</v>
      </c>
      <c r="AO48" s="42">
        <f>IF(AE48="",0,SUMIFS('2추특출'!$AA$6:$AA$50,'2추특출'!$AE$6:$AE$50,'2추특입'!$AE48))</f>
        <v>0</v>
      </c>
      <c r="AP48" s="42" t="str">
        <f>IF(AE48="","",COUNTIFS('2추특출'!$AE$6:$AE$50,AE48))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IF(AG49="","",IF(U49="도비","세입없음",CONCATENATE(AG49,"-",COUNTIF($AG$7:AG49,AG49))))</f>
        <v/>
      </c>
      <c r="AG49" s="27" t="str">
        <f t="array" ref="AG49">IF(C49="","",INDEX(구분표!$I$2:$I$300, MATCH(1,(구분표!$E$2:$E$300='2추특입'!B49)*(구분표!$F$2:$F$300='2추특입'!C49)*(구분표!$G$2:$G$300='2추특입'!A49),0)))</f>
        <v/>
      </c>
      <c r="AI49" s="27"/>
      <c r="AK49" s="42">
        <f>IF(AE49="",0,SUMIFS('2추특출'!$V$6:$V$50,'2추특출'!$AE$6:$AE$50,'2추특입'!$AE49))</f>
        <v>0</v>
      </c>
      <c r="AL49" s="42" t="str">
        <f>IF(AE49="","",COUNTIFS('2추특출'!$AE$6:$AE$50,'2추특입'!AE49))</f>
        <v/>
      </c>
      <c r="AM49" s="27" t="str">
        <f t="shared" si="13"/>
        <v>OK</v>
      </c>
      <c r="AO49" s="42">
        <f>IF(AE49="",0,SUMIFS('2추특출'!$AA$6:$AA$50,'2추특출'!$AE$6:$AE$50,'2추특입'!$AE49))</f>
        <v>0</v>
      </c>
      <c r="AP49" s="42" t="str">
        <f>IF(AE49="","",COUNTIFS('2추특출'!$AE$6:$AE$50,AE49))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IF(AG50="","",IF(U50="도비","세입없음",CONCATENATE(AG50,"-",COUNTIF($AG$7:AG50,AG50))))</f>
        <v/>
      </c>
      <c r="AG50" s="28" t="str">
        <f t="array" ref="AG50">IF(C50="","",INDEX(구분표!$I$2:$I$300, MATCH(1,(구분표!$E$2:$E$300='2추특입'!B50)*(구분표!$F$2:$F$300='2추특입'!C50)*(구분표!$G$2:$G$300='2추특입'!A50),0)))</f>
        <v/>
      </c>
      <c r="AI50" s="28"/>
      <c r="AK50" s="43">
        <f>IF(AE50="",0,SUMIFS('2추특출'!$V$6:$V$50,'2추특출'!$AE$6:$AE$50,'2추특입'!$AE50))</f>
        <v>0</v>
      </c>
      <c r="AL50" s="43" t="str">
        <f>IF(AE50="","",COUNTIFS('2추특출'!$AE$6:$AE$50,'2추특입'!AE50))</f>
        <v/>
      </c>
      <c r="AM50" s="28" t="str">
        <f t="shared" si="13"/>
        <v>OK</v>
      </c>
      <c r="AO50" s="43">
        <f>IF(AE50="",0,SUMIFS('2추특출'!$AA$6:$AA$50,'2추특출'!$AE$6:$AE$50,'2추특입'!$AE50))</f>
        <v>0</v>
      </c>
      <c r="AP50" s="43" t="str">
        <f>IF(AE50="","",COUNTIFS('2추특출'!$AE$6:$AE$50,AE50))</f>
        <v/>
      </c>
      <c r="AQ50" s="28" t="str">
        <f t="shared" si="14"/>
        <v>OK</v>
      </c>
    </row>
  </sheetData>
  <autoFilter ref="A6:AQ6"/>
  <mergeCells count="25">
    <mergeCell ref="AO4:AQ4"/>
    <mergeCell ref="Z4:Z5"/>
    <mergeCell ref="AA4:AC4"/>
    <mergeCell ref="AE4:AE5"/>
    <mergeCell ref="AG4:AG5"/>
    <mergeCell ref="AI4:AI5"/>
    <mergeCell ref="AK4:AM4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3" sqref="A3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770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673</v>
      </c>
      <c r="V2" s="56" t="s">
        <v>685</v>
      </c>
      <c r="AA2" s="56" t="s">
        <v>685</v>
      </c>
    </row>
    <row r="3" spans="1:38" ht="20.25" customHeight="1" x14ac:dyDescent="0.3">
      <c r="J3" s="49">
        <f>COUNTA(J7:J40)-3</f>
        <v>1</v>
      </c>
      <c r="K3" s="49">
        <f>COUNTA(K7:K40)-3</f>
        <v>1</v>
      </c>
      <c r="M3" s="49">
        <f>COUNTA(M7:M40)-3</f>
        <v>1</v>
      </c>
      <c r="N3" s="49">
        <f>COUNTA(N7:N40)-3</f>
        <v>1</v>
      </c>
      <c r="Q3" s="20" t="s">
        <v>656</v>
      </c>
      <c r="V3" s="63" t="str">
        <f>IF(V6='2추특입'!V6,"OK","@@")</f>
        <v>OK</v>
      </c>
      <c r="W3" s="64"/>
      <c r="X3" s="63" t="str">
        <f>IF(COUNTIF(X6:X40,"검토")&gt;0,"@@","OK")</f>
        <v>OK</v>
      </c>
      <c r="AA3" s="63" t="str">
        <f>IF(AA6='2추특입'!AA6,"OK","@@")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43" t="s">
        <v>644</v>
      </c>
      <c r="B4" s="245" t="s">
        <v>645</v>
      </c>
      <c r="C4" s="247" t="s">
        <v>646</v>
      </c>
      <c r="D4" s="246" t="s">
        <v>655</v>
      </c>
      <c r="E4" s="244" t="s">
        <v>647</v>
      </c>
      <c r="F4" s="245" t="s">
        <v>674</v>
      </c>
      <c r="G4" s="244" t="s">
        <v>764</v>
      </c>
      <c r="H4" s="246" t="s">
        <v>652</v>
      </c>
      <c r="I4" s="244" t="s">
        <v>765</v>
      </c>
      <c r="J4" s="248" t="s">
        <v>766</v>
      </c>
      <c r="K4" s="249"/>
      <c r="L4" s="250" t="s">
        <v>651</v>
      </c>
      <c r="M4" s="252" t="s">
        <v>767</v>
      </c>
      <c r="N4" s="253"/>
      <c r="O4" s="241" t="s">
        <v>657</v>
      </c>
      <c r="P4" s="246" t="s">
        <v>654</v>
      </c>
      <c r="Q4" s="255" t="s">
        <v>653</v>
      </c>
      <c r="S4" s="256" t="s">
        <v>658</v>
      </c>
      <c r="U4" s="257" t="s">
        <v>659</v>
      </c>
      <c r="V4" s="258" t="s">
        <v>660</v>
      </c>
      <c r="W4" s="258"/>
      <c r="X4" s="258"/>
      <c r="Z4" s="257" t="s">
        <v>659</v>
      </c>
      <c r="AA4" s="254" t="s">
        <v>664</v>
      </c>
      <c r="AB4" s="254"/>
      <c r="AC4" s="254"/>
      <c r="AE4" s="257" t="s">
        <v>665</v>
      </c>
      <c r="AG4" s="259" t="s">
        <v>686</v>
      </c>
      <c r="AH4" s="261" t="s">
        <v>687</v>
      </c>
      <c r="AJ4" s="256" t="s">
        <v>666</v>
      </c>
      <c r="AL4" s="256" t="s">
        <v>667</v>
      </c>
    </row>
    <row r="5" spans="1:38" s="18" customFormat="1" ht="18" customHeight="1" x14ac:dyDescent="0.3">
      <c r="A5" s="243"/>
      <c r="B5" s="245"/>
      <c r="C5" s="247"/>
      <c r="D5" s="245"/>
      <c r="E5" s="244"/>
      <c r="F5" s="245"/>
      <c r="G5" s="244"/>
      <c r="H5" s="245"/>
      <c r="I5" s="247"/>
      <c r="J5" s="21" t="s">
        <v>649</v>
      </c>
      <c r="K5" s="40" t="s">
        <v>650</v>
      </c>
      <c r="L5" s="251"/>
      <c r="M5" s="22" t="s">
        <v>649</v>
      </c>
      <c r="N5" s="39" t="s">
        <v>650</v>
      </c>
      <c r="O5" s="242"/>
      <c r="P5" s="246"/>
      <c r="Q5" s="255"/>
      <c r="S5" s="257"/>
      <c r="U5" s="257"/>
      <c r="V5" s="67" t="s">
        <v>661</v>
      </c>
      <c r="W5" s="67" t="s">
        <v>662</v>
      </c>
      <c r="X5" s="67" t="s">
        <v>663</v>
      </c>
      <c r="Z5" s="257"/>
      <c r="AA5" s="67" t="s">
        <v>661</v>
      </c>
      <c r="AB5" s="67" t="s">
        <v>662</v>
      </c>
      <c r="AC5" s="67" t="s">
        <v>663</v>
      </c>
      <c r="AE5" s="257"/>
      <c r="AG5" s="260"/>
      <c r="AH5" s="262"/>
      <c r="AJ5" s="257"/>
      <c r="AL5" s="257"/>
    </row>
    <row r="6" spans="1:38" ht="50.1" customHeight="1" x14ac:dyDescent="0.3">
      <c r="A6" s="48" t="s">
        <v>672</v>
      </c>
      <c r="B6" s="23"/>
      <c r="C6" s="23"/>
      <c r="D6" s="23"/>
      <c r="E6" s="23"/>
      <c r="F6" s="23"/>
      <c r="G6" s="41">
        <f t="shared" ref="G6:O6" si="0">SUBTOTAL(9,G7:G40)/2</f>
        <v>166057783</v>
      </c>
      <c r="H6" s="41">
        <f t="shared" si="0"/>
        <v>169521910</v>
      </c>
      <c r="I6" s="41">
        <f t="shared" si="0"/>
        <v>-3464127</v>
      </c>
      <c r="J6" s="41">
        <f t="shared" si="0"/>
        <v>-70000</v>
      </c>
      <c r="K6" s="41">
        <f t="shared" si="0"/>
        <v>70000</v>
      </c>
      <c r="L6" s="41">
        <f t="shared" si="0"/>
        <v>166057783</v>
      </c>
      <c r="M6" s="41">
        <f t="shared" si="0"/>
        <v>-70000</v>
      </c>
      <c r="N6" s="41">
        <f t="shared" si="0"/>
        <v>70000</v>
      </c>
      <c r="O6" s="41">
        <f t="shared" si="0"/>
        <v>166057783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677</v>
      </c>
      <c r="B7" s="58"/>
      <c r="C7" s="59"/>
      <c r="D7" s="58"/>
      <c r="E7" s="59"/>
      <c r="F7" s="58"/>
      <c r="G7" s="60">
        <f>SUM(G8:G14)</f>
        <v>166057783</v>
      </c>
      <c r="H7" s="60">
        <f t="shared" ref="H7:O7" si="3">SUM(H8:H14)</f>
        <v>169521910</v>
      </c>
      <c r="I7" s="60">
        <f t="shared" si="3"/>
        <v>-3464127</v>
      </c>
      <c r="J7" s="60">
        <f t="shared" si="3"/>
        <v>-70000</v>
      </c>
      <c r="K7" s="60">
        <f t="shared" si="3"/>
        <v>70000</v>
      </c>
      <c r="L7" s="60">
        <f t="shared" si="3"/>
        <v>166057783</v>
      </c>
      <c r="M7" s="60">
        <f t="shared" si="3"/>
        <v>-70000</v>
      </c>
      <c r="N7" s="60">
        <f t="shared" si="3"/>
        <v>70000</v>
      </c>
      <c r="O7" s="60">
        <f t="shared" si="3"/>
        <v>166057783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MATCH(1,(구분표!$E$2:$E$300='2추특출'!B7)*(구분표!$F$2:$F$300='2추특출'!C7)*(구분표!$G$2:$G$300='2추특출'!A7),0)))</f>
        <v/>
      </c>
      <c r="AL7" s="27"/>
    </row>
    <row r="8" spans="1:38" ht="50.1" customHeight="1" x14ac:dyDescent="0.3">
      <c r="A8" s="33" t="str">
        <f>IFERROR(VLOOKUP($C8,구분표!$A$2:$C$300,2,FALSE),"")</f>
        <v>경제과학기술위원회</v>
      </c>
      <c r="B8" s="24" t="str">
        <f>IFERROR(VLOOKUP($C8,구분표!$A$2:$C$300,3,FALSE),"")</f>
        <v>경제실</v>
      </c>
      <c r="C8" s="31" t="s">
        <v>138</v>
      </c>
      <c r="D8" s="35" t="s">
        <v>776</v>
      </c>
      <c r="E8" s="36">
        <v>8</v>
      </c>
      <c r="F8" s="134" t="s">
        <v>1291</v>
      </c>
      <c r="G8" s="44">
        <v>12957870</v>
      </c>
      <c r="H8" s="42">
        <v>8117870</v>
      </c>
      <c r="I8" s="54">
        <f t="shared" ref="I8:I14" si="5">IF(D8="","",G8-H8)</f>
        <v>4840000</v>
      </c>
      <c r="J8" s="42"/>
      <c r="K8" s="45">
        <v>70000</v>
      </c>
      <c r="L8" s="50">
        <f t="shared" ref="L8:L14" si="6">IF(G8=0,H8+J8+K8,G8+J8+K8)</f>
        <v>13027870</v>
      </c>
      <c r="M8" s="42"/>
      <c r="N8" s="45">
        <v>70000</v>
      </c>
      <c r="O8" s="52">
        <f t="shared" ref="O8:O14" si="7">IF(G8=0,H8+M8+N8,G8+M8+N8)</f>
        <v>13027870</v>
      </c>
      <c r="P8" s="27" t="str">
        <f t="shared" ref="P8:P14" si="8">IF(AND((L8=0),(O8&gt;0)),"O",IF(AND((J8&lt;0),(L8-O8&lt;0)),"O","X"))</f>
        <v>X</v>
      </c>
      <c r="Q8" s="29" t="s">
        <v>1219</v>
      </c>
      <c r="S8" s="27"/>
      <c r="U8" s="27"/>
      <c r="V8" s="42">
        <f t="shared" ref="V8:V15" si="9">IF($U8&lt;&gt;"도비",IF($S8="국도비","직접입력",SUM($J8:$K8)),)</f>
        <v>70000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70000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MATCH(1,(구분표!$E$2:$E$300='2추특출'!B8)*(구분표!$F$2:$F$300='2추특출'!C8)*(구분표!$G$2:$G$300='2추특출'!A8),0)))</f>
        <v>0309</v>
      </c>
      <c r="AL8" s="27"/>
    </row>
    <row r="9" spans="1:38" ht="50.1" customHeight="1" x14ac:dyDescent="0.3">
      <c r="A9" s="33" t="str">
        <f>IFERROR(VLOOKUP($C9,구분표!$A$2:$C$300,2,FALSE),"")</f>
        <v>경제과학기술위원회</v>
      </c>
      <c r="B9" s="24" t="str">
        <f>IFERROR(VLOOKUP($C9,구분표!$A$2:$C$300,3,FALSE),"")</f>
        <v>경제실</v>
      </c>
      <c r="C9" s="31" t="s">
        <v>138</v>
      </c>
      <c r="D9" s="35" t="s">
        <v>776</v>
      </c>
      <c r="E9" s="36">
        <v>11</v>
      </c>
      <c r="F9" s="134" t="s">
        <v>1290</v>
      </c>
      <c r="G9" s="44">
        <v>153099913</v>
      </c>
      <c r="H9" s="42">
        <v>161404040</v>
      </c>
      <c r="I9" s="54">
        <f t="shared" si="5"/>
        <v>-8304127</v>
      </c>
      <c r="J9" s="42">
        <v>-70000</v>
      </c>
      <c r="K9" s="45"/>
      <c r="L9" s="50">
        <f t="shared" si="6"/>
        <v>153029913</v>
      </c>
      <c r="M9" s="42">
        <v>-70000</v>
      </c>
      <c r="N9" s="45"/>
      <c r="O9" s="52">
        <f t="shared" si="7"/>
        <v>153029913</v>
      </c>
      <c r="P9" s="27" t="str">
        <f t="shared" si="8"/>
        <v>X</v>
      </c>
      <c r="Q9" s="29" t="s">
        <v>1219</v>
      </c>
      <c r="S9" s="27"/>
      <c r="U9" s="27"/>
      <c r="V9" s="42">
        <f t="shared" si="9"/>
        <v>-70000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-70000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MATCH(1,(구분표!$E$2:$E$300='2추특출'!B9)*(구분표!$F$2:$F$300='2추특출'!C9)*(구분표!$G$2:$G$300='2추특출'!A9),0)))</f>
        <v>0309</v>
      </c>
      <c r="AL9" s="27"/>
    </row>
    <row r="10" spans="1:38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MATCH(1,(구분표!$E$2:$E$300='2추특출'!B10)*(구분표!$F$2:$F$300='2추특출'!C10)*(구분표!$G$2:$G$300='2추특출'!A10),0)))</f>
        <v/>
      </c>
      <c r="AL10" s="27"/>
    </row>
    <row r="11" spans="1:38" ht="50.1" hidden="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MATCH(1,(구분표!$E$2:$E$300='2추특출'!B11)*(구분표!$F$2:$F$300='2추특출'!C11)*(구분표!$G$2:$G$300='2추특출'!A11),0)))</f>
        <v/>
      </c>
      <c r="AL11" s="27"/>
    </row>
    <row r="12" spans="1:38" ht="50.1" hidden="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MATCH(1,(구분표!$E$2:$E$300='2추특출'!B12)*(구분표!$F$2:$F$300='2추특출'!C12)*(구분표!$G$2:$G$300='2추특출'!A12),0)))</f>
        <v/>
      </c>
      <c r="AL12" s="27"/>
    </row>
    <row r="13" spans="1:38" ht="50.1" hidden="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MATCH(1,(구분표!$E$2:$E$300='2추특출'!B13)*(구분표!$F$2:$F$300='2추특출'!C13)*(구분표!$G$2:$G$300='2추특출'!A13),0)))</f>
        <v/>
      </c>
      <c r="AL13" s="27"/>
    </row>
    <row r="14" spans="1:38" ht="50.1" hidden="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MATCH(1,(구분표!$E$2:$E$300='2추특출'!B14)*(구분표!$F$2:$F$300='2추특출'!C14)*(구분표!$G$2:$G$300='2추특출'!A14),0)))</f>
        <v/>
      </c>
      <c r="AL14" s="27"/>
    </row>
    <row r="15" spans="1:38" ht="50.1" hidden="1" customHeight="1" x14ac:dyDescent="0.3">
      <c r="A15" s="57" t="s">
        <v>688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MATCH(1,(구분표!$E$2:$E$300='2추특출'!B15)*(구분표!$F$2:$F$300='2추특출'!C15)*(구분표!$G$2:$G$300='2추특출'!A15),0)))</f>
        <v/>
      </c>
      <c r="AL15" s="27"/>
    </row>
    <row r="16" spans="1:38" ht="50.1" hidden="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MATCH(1,(구분표!$E$2:$E$300='2추특출'!B16)*(구분표!$F$2:$F$300='2추특출'!C16)*(구분표!$G$2:$G$300='2추특출'!A16),0)))</f>
        <v/>
      </c>
      <c r="AL16" s="27"/>
    </row>
    <row r="17" spans="1:38" ht="50.1" hidden="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MATCH(1,(구분표!$E$2:$E$300='2추특출'!B17)*(구분표!$F$2:$F$300='2추특출'!C17)*(구분표!$G$2:$G$300='2추특출'!A17),0)))</f>
        <v/>
      </c>
      <c r="AL17" s="27"/>
    </row>
    <row r="18" spans="1:38" ht="50.1" hidden="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MATCH(1,(구분표!$E$2:$E$300='2추특출'!B18)*(구분표!$F$2:$F$300='2추특출'!C18)*(구분표!$G$2:$G$300='2추특출'!A18),0)))</f>
        <v/>
      </c>
      <c r="AL18" s="27"/>
    </row>
    <row r="19" spans="1:38" ht="50.1" hidden="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MATCH(1,(구분표!$E$2:$E$300='2추특출'!B19)*(구분표!$F$2:$F$300='2추특출'!C19)*(구분표!$G$2:$G$300='2추특출'!A19),0)))</f>
        <v/>
      </c>
      <c r="AL19" s="27"/>
    </row>
    <row r="20" spans="1:38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MATCH(1,(구분표!$E$2:$E$300='2추특출'!B20)*(구분표!$F$2:$F$300='2추특출'!C20)*(구분표!$G$2:$G$300='2추특출'!A20),0)))</f>
        <v/>
      </c>
      <c r="AL20" s="27"/>
    </row>
    <row r="21" spans="1:38" ht="50.1" hidden="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MATCH(1,(구분표!$E$2:$E$300='2추특출'!B21)*(구분표!$F$2:$F$300='2추특출'!C21)*(구분표!$G$2:$G$300='2추특출'!A21),0)))</f>
        <v/>
      </c>
      <c r="AL21" s="27"/>
    </row>
    <row r="22" spans="1:38" ht="50.1" hidden="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MATCH(1,(구분표!$E$2:$E$300='2추특출'!B22)*(구분표!$F$2:$F$300='2추특출'!C22)*(구분표!$G$2:$G$300='2추특출'!A22),0)))</f>
        <v/>
      </c>
      <c r="AL22" s="27"/>
    </row>
    <row r="23" spans="1:38" ht="50.1" hidden="1" customHeight="1" x14ac:dyDescent="0.3">
      <c r="A23" s="57" t="s">
        <v>688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MATCH(1,(구분표!$E$2:$E$300='2추특출'!B23)*(구분표!$F$2:$F$300='2추특출'!C23)*(구분표!$G$2:$G$300='2추특출'!A23),0)))</f>
        <v/>
      </c>
      <c r="AL23" s="27"/>
    </row>
    <row r="24" spans="1:38" ht="50.1" hidden="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MATCH(1,(구분표!$E$2:$E$300='2추특출'!B24)*(구분표!$F$2:$F$300='2추특출'!C24)*(구분표!$G$2:$G$300='2추특출'!A24),0)))</f>
        <v/>
      </c>
      <c r="AL24" s="27"/>
    </row>
    <row r="25" spans="1:38" ht="50.1" hidden="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MATCH(1,(구분표!$E$2:$E$300='2추특출'!B25)*(구분표!$F$2:$F$300='2추특출'!C25)*(구분표!$G$2:$G$300='2추특출'!A25),0)))</f>
        <v/>
      </c>
      <c r="AL25" s="27"/>
    </row>
    <row r="26" spans="1:38" ht="50.1" hidden="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MATCH(1,(구분표!$E$2:$E$300='2추특출'!B26)*(구분표!$F$2:$F$300='2추특출'!C26)*(구분표!$G$2:$G$300='2추특출'!A26),0)))</f>
        <v/>
      </c>
      <c r="AL26" s="27"/>
    </row>
    <row r="27" spans="1:38" ht="50.1" hidden="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MATCH(1,(구분표!$E$2:$E$300='2추특출'!B27)*(구분표!$F$2:$F$300='2추특출'!C27)*(구분표!$G$2:$G$300='2추특출'!A27),0)))</f>
        <v/>
      </c>
      <c r="AL27" s="27"/>
    </row>
    <row r="28" spans="1:38" ht="50.1" hidden="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MATCH(1,(구분표!$E$2:$E$300='2추특출'!B28)*(구분표!$F$2:$F$300='2추특출'!C28)*(구분표!$G$2:$G$300='2추특출'!A28),0)))</f>
        <v/>
      </c>
      <c r="AL28" s="27"/>
    </row>
    <row r="29" spans="1:38" ht="50.1" hidden="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MATCH(1,(구분표!$E$2:$E$300='2추특출'!B29)*(구분표!$F$2:$F$300='2추특출'!C29)*(구분표!$G$2:$G$300='2추특출'!A29),0)))</f>
        <v/>
      </c>
      <c r="AL29" s="27"/>
    </row>
    <row r="30" spans="1:38" ht="50.1" hidden="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MATCH(1,(구분표!$E$2:$E$300='2추특출'!B30)*(구분표!$F$2:$F$300='2추특출'!C30)*(구분표!$G$2:$G$300='2추특출'!A30),0)))</f>
        <v/>
      </c>
      <c r="AL30" s="27"/>
    </row>
    <row r="31" spans="1:38" ht="50.1" hidden="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MATCH(1,(구분표!$E$2:$E$300='2추특출'!B31)*(구분표!$F$2:$F$300='2추특출'!C31)*(구분표!$G$2:$G$300='2추특출'!A31),0)))</f>
        <v/>
      </c>
      <c r="AL31" s="27"/>
    </row>
    <row r="32" spans="1:38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MATCH(1,(구분표!$E$2:$E$300='2추특출'!B32)*(구분표!$F$2:$F$300='2추특출'!C32)*(구분표!$G$2:$G$300='2추특출'!A32),0)))</f>
        <v/>
      </c>
      <c r="AL32" s="27"/>
    </row>
    <row r="33" spans="1:38" ht="50.1" hidden="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MATCH(1,(구분표!$E$2:$E$300='2추특출'!B33)*(구분표!$F$2:$F$300='2추특출'!C33)*(구분표!$G$2:$G$300='2추특출'!A33),0)))</f>
        <v/>
      </c>
      <c r="AL33" s="27"/>
    </row>
    <row r="34" spans="1:38" ht="50.1" hidden="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MATCH(1,(구분표!$E$2:$E$300='2추특출'!B34)*(구분표!$F$2:$F$300='2추특출'!C34)*(구분표!$G$2:$G$300='2추특출'!A34),0)))</f>
        <v/>
      </c>
      <c r="AL34" s="27"/>
    </row>
    <row r="35" spans="1:38" ht="50.1" hidden="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MATCH(1,(구분표!$E$2:$E$300='2추특출'!B35)*(구분표!$F$2:$F$300='2추특출'!C35)*(구분표!$G$2:$G$300='2추특출'!A35),0)))</f>
        <v/>
      </c>
      <c r="AL35" s="27"/>
    </row>
    <row r="36" spans="1:38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MATCH(1,(구분표!$E$2:$E$300='2추특출'!B36)*(구분표!$F$2:$F$300='2추특출'!C36)*(구분표!$G$2:$G$300='2추특출'!A36),0)))</f>
        <v/>
      </c>
      <c r="AL36" s="27"/>
    </row>
    <row r="37" spans="1:38" ht="50.1" hidden="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MATCH(1,(구분표!$E$2:$E$300='2추특출'!B37)*(구분표!$F$2:$F$300='2추특출'!C37)*(구분표!$G$2:$G$300='2추특출'!A37),0)))</f>
        <v/>
      </c>
      <c r="AL37" s="27"/>
    </row>
    <row r="38" spans="1:38" ht="50.1" hidden="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MATCH(1,(구분표!$E$2:$E$300='2추특출'!B38)*(구분표!$F$2:$F$300='2추특출'!C38)*(구분표!$G$2:$G$300='2추특출'!A38),0)))</f>
        <v/>
      </c>
      <c r="AL38" s="27"/>
    </row>
    <row r="39" spans="1:38" ht="50.1" hidden="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MATCH(1,(구분표!$E$2:$E$300='2추특출'!B39)*(구분표!$F$2:$F$300='2추특출'!C39)*(구분표!$G$2:$G$300='2추특출'!A39),0)))</f>
        <v/>
      </c>
      <c r="AL39" s="27"/>
    </row>
    <row r="40" spans="1:38" ht="50.1" hidden="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MATCH(1,(구분표!$E$2:$E$300='2추특출'!B40)*(구분표!$F$2:$F$300='2추특출'!C40)*(구분표!$G$2:$G$300='2추특출'!A40),0)))</f>
        <v/>
      </c>
      <c r="AL40" s="28"/>
    </row>
  </sheetData>
  <autoFilter ref="A6:AL6"/>
  <mergeCells count="25">
    <mergeCell ref="AL4:AL5"/>
    <mergeCell ref="Z4:Z5"/>
    <mergeCell ref="AA4:AC4"/>
    <mergeCell ref="AE4:AE5"/>
    <mergeCell ref="AG4:AG5"/>
    <mergeCell ref="AH4:AH5"/>
    <mergeCell ref="AJ4:AJ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F4:F5"/>
    <mergeCell ref="A4:A5"/>
    <mergeCell ref="B4:B5"/>
    <mergeCell ref="C4:C5"/>
    <mergeCell ref="D4:D5"/>
    <mergeCell ref="E4:E5"/>
  </mergeCells>
  <phoneticPr fontId="1" type="noConversion"/>
  <dataValidations count="4">
    <dataValidation type="list" allowBlank="1" showInputMessage="1" showErrorMessage="1" sqref="D7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  <dataValidation type="list" allowBlank="1" showInputMessage="1" showErrorMessage="1" sqref="D8:D4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2추검증</vt:lpstr>
      <vt:lpstr>2추총괄표</vt:lpstr>
      <vt:lpstr>2추총괄표(실국)</vt:lpstr>
      <vt:lpstr>2추일입</vt:lpstr>
      <vt:lpstr>2추일출</vt:lpstr>
      <vt:lpstr>2추특입</vt:lpstr>
      <vt:lpstr>2추특출</vt:lpstr>
      <vt:lpstr>'2추일입'!Print_Area</vt:lpstr>
      <vt:lpstr>'2추일출'!Print_Area</vt:lpstr>
      <vt:lpstr>'2추총괄표'!Print_Area</vt:lpstr>
      <vt:lpstr>'2추특입'!Print_Area</vt:lpstr>
      <vt:lpstr>'2추특출'!Print_Area</vt:lpstr>
      <vt:lpstr>'2추일출'!Print_Titles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Administrator</cp:lastModifiedBy>
  <cp:lastPrinted>2015-09-23T08:55:40Z</cp:lastPrinted>
  <dcterms:created xsi:type="dcterms:W3CDTF">2015-06-26T00:14:49Z</dcterms:created>
  <dcterms:modified xsi:type="dcterms:W3CDTF">2015-09-24T01:08:21Z</dcterms:modified>
</cp:coreProperties>
</file>