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예산 심사\2016년 예산\제1회 추경\예산안 조정\예결위\예산안 조정\"/>
    </mc:Choice>
  </mc:AlternateContent>
  <bookViews>
    <workbookView xWindow="0" yWindow="0" windowWidth="28800" windowHeight="14190" tabRatio="794" firstSheet="9" activeTab="12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예산안 표지" sheetId="78" r:id="rId10"/>
    <sheet name="16년 1추총괄표" sheetId="79" r:id="rId11"/>
    <sheet name="16년1추 일입" sheetId="71" r:id="rId12"/>
    <sheet name="16년 1추일출" sheetId="72" r:id="rId13"/>
    <sheet name="2추총괄표" sheetId="48" state="hidden" r:id="rId14"/>
    <sheet name="2추총괄표(실국별)" sheetId="60" state="hidden" r:id="rId15"/>
    <sheet name="16년 1추특입" sheetId="83" r:id="rId16"/>
    <sheet name="16년 1추특출" sheetId="81" r:id="rId17"/>
  </sheets>
  <definedNames>
    <definedName name="_xlnm._FilterDatabase" localSheetId="12" hidden="1">'16년 1추일출'!$A$7:$AM$7</definedName>
    <definedName name="_xlnm._FilterDatabase" localSheetId="15" hidden="1">'16년 1추특입'!$A$6:$AP$6</definedName>
    <definedName name="_xlnm._FilterDatabase" localSheetId="16" hidden="1">'16년 1추특출'!$A$6:$AN$10</definedName>
    <definedName name="_xlnm._FilterDatabase" localSheetId="11" hidden="1">'16년1추 일입'!$A$6:$AP$15</definedName>
    <definedName name="_xlnm.Print_Area" localSheetId="1">'15년검증'!$A$1:$M$20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12">'16년 1추일출'!$A$1:$R$41</definedName>
    <definedName name="_xlnm.Print_Area" localSheetId="10">'16년 1추총괄표'!$A$1:$M$25</definedName>
    <definedName name="_xlnm.Print_Area" localSheetId="15">'16년 1추특입'!$A$1:$R$14</definedName>
    <definedName name="_xlnm.Print_Area" localSheetId="16">'16년 1추특출'!$A$1:$R$20</definedName>
    <definedName name="_xlnm.Print_Area" localSheetId="11">'16년1추 일입'!$A$1:$R$18</definedName>
    <definedName name="_xlnm.Print_Area" localSheetId="2">'2추검증'!$A$1:$M$20</definedName>
    <definedName name="_xlnm.Print_Area" localSheetId="13">'2추총괄표'!$B$1:$H$26</definedName>
    <definedName name="_xlnm.Print_Area" localSheetId="14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2">'16년 1추일출'!$4:$5</definedName>
    <definedName name="_xlnm.Print_Titles" localSheetId="15">'16년 1추특입'!$4:$5</definedName>
    <definedName name="_xlnm.Print_Titles" localSheetId="16">'16년 1추특출'!$4:$5</definedName>
    <definedName name="_xlnm.Print_Titles" localSheetId="11">'16년1추 일입'!$4:$5</definedName>
  </definedNames>
  <calcPr calcId="152511"/>
</workbook>
</file>

<file path=xl/calcChain.xml><?xml version="1.0" encoding="utf-8"?>
<calcChain xmlns="http://schemas.openxmlformats.org/spreadsheetml/2006/main">
  <c r="B7" i="79" l="1"/>
  <c r="W8" i="81" l="1"/>
  <c r="Y8" i="81" s="1"/>
  <c r="AC6" i="81"/>
  <c r="AB6" i="81"/>
  <c r="W6" i="81"/>
  <c r="AC11" i="81"/>
  <c r="AB11" i="81"/>
  <c r="AD11" i="81" s="1"/>
  <c r="AA11" i="81"/>
  <c r="X11" i="81"/>
  <c r="W11" i="81"/>
  <c r="Y11" i="81" s="1"/>
  <c r="AC8" i="81"/>
  <c r="AB8" i="81"/>
  <c r="AD8" i="81" s="1"/>
  <c r="AA8" i="81"/>
  <c r="X8" i="81"/>
  <c r="X6" i="81" s="1"/>
  <c r="AI8" i="72"/>
  <c r="C9" i="79"/>
  <c r="D9" i="79"/>
  <c r="E9" i="79"/>
  <c r="F9" i="79"/>
  <c r="C10" i="79"/>
  <c r="D10" i="79"/>
  <c r="E10" i="79"/>
  <c r="F10" i="79"/>
  <c r="C11" i="79"/>
  <c r="D11" i="79"/>
  <c r="E11" i="79"/>
  <c r="F11" i="79"/>
  <c r="C12" i="79"/>
  <c r="D12" i="79"/>
  <c r="E12" i="79"/>
  <c r="F12" i="79"/>
  <c r="C13" i="79"/>
  <c r="D13" i="79"/>
  <c r="E13" i="79"/>
  <c r="F13" i="79"/>
  <c r="C14" i="79"/>
  <c r="D14" i="79"/>
  <c r="E14" i="79"/>
  <c r="F14" i="79"/>
  <c r="C15" i="79"/>
  <c r="D15" i="79"/>
  <c r="E15" i="79"/>
  <c r="F15" i="79"/>
  <c r="C16" i="79"/>
  <c r="D16" i="79"/>
  <c r="E16" i="79"/>
  <c r="F16" i="79"/>
  <c r="X6" i="72"/>
  <c r="W6" i="72"/>
  <c r="AC6" i="72"/>
  <c r="AB6" i="72"/>
  <c r="AC3" i="72" s="1"/>
  <c r="AC28" i="72"/>
  <c r="AD28" i="72" s="1"/>
  <c r="AB28" i="72"/>
  <c r="AC27" i="72"/>
  <c r="AB27" i="72"/>
  <c r="AD27" i="72" s="1"/>
  <c r="AC26" i="72"/>
  <c r="AB26" i="72"/>
  <c r="AD26" i="72" s="1"/>
  <c r="AC25" i="72"/>
  <c r="AB25" i="72"/>
  <c r="AD25" i="72" s="1"/>
  <c r="AC24" i="72"/>
  <c r="AD24" i="72" s="1"/>
  <c r="AB24" i="72"/>
  <c r="AC23" i="72"/>
  <c r="AB23" i="72"/>
  <c r="AD23" i="72" s="1"/>
  <c r="AC21" i="72"/>
  <c r="AB21" i="72"/>
  <c r="AD21" i="72" s="1"/>
  <c r="AC20" i="72"/>
  <c r="AB20" i="72"/>
  <c r="AD20" i="72" s="1"/>
  <c r="AC19" i="72"/>
  <c r="AB19" i="72"/>
  <c r="AD19" i="72" s="1"/>
  <c r="AC17" i="72"/>
  <c r="AB17" i="72"/>
  <c r="AD17" i="72" s="1"/>
  <c r="AC15" i="72"/>
  <c r="AB15" i="72"/>
  <c r="AD15" i="72" s="1"/>
  <c r="AC13" i="72"/>
  <c r="AB13" i="72"/>
  <c r="AD13" i="72" s="1"/>
  <c r="AC11" i="72"/>
  <c r="AB11" i="72"/>
  <c r="AD11" i="72" s="1"/>
  <c r="AC10" i="72"/>
  <c r="AB10" i="72"/>
  <c r="AD10" i="72" s="1"/>
  <c r="AC9" i="72"/>
  <c r="AB9" i="72"/>
  <c r="AD9" i="72" s="1"/>
  <c r="AD8" i="72"/>
  <c r="AC8" i="72"/>
  <c r="AB8" i="72"/>
  <c r="W10" i="72"/>
  <c r="Y10" i="72" s="1"/>
  <c r="X10" i="72"/>
  <c r="W11" i="72"/>
  <c r="Y11" i="72" s="1"/>
  <c r="X11" i="72"/>
  <c r="W13" i="72"/>
  <c r="Y13" i="72" s="1"/>
  <c r="X13" i="72"/>
  <c r="W15" i="72"/>
  <c r="X15" i="72" s="1"/>
  <c r="W17" i="72"/>
  <c r="X17" i="72" s="1"/>
  <c r="Y17" i="72" s="1"/>
  <c r="W19" i="72"/>
  <c r="X19" i="72" s="1"/>
  <c r="W20" i="72"/>
  <c r="X20" i="72"/>
  <c r="Y20" i="72" s="1"/>
  <c r="W21" i="72"/>
  <c r="X21" i="72" s="1"/>
  <c r="Y21" i="72" s="1"/>
  <c r="W23" i="72"/>
  <c r="X23" i="72" s="1"/>
  <c r="W24" i="72"/>
  <c r="X24" i="72"/>
  <c r="Y24" i="72" s="1"/>
  <c r="W25" i="72"/>
  <c r="X25" i="72"/>
  <c r="W26" i="72"/>
  <c r="X26" i="72" s="1"/>
  <c r="Y26" i="72" s="1"/>
  <c r="W27" i="72"/>
  <c r="X27" i="72" s="1"/>
  <c r="W28" i="72"/>
  <c r="X28" i="72"/>
  <c r="Y28" i="72" s="1"/>
  <c r="P28" i="72"/>
  <c r="P15" i="72"/>
  <c r="P14" i="72" s="1"/>
  <c r="M15" i="72"/>
  <c r="M14" i="72" s="1"/>
  <c r="J15" i="72"/>
  <c r="J14" i="72" s="1"/>
  <c r="P10" i="72"/>
  <c r="M10" i="72"/>
  <c r="J10" i="72"/>
  <c r="H22" i="72"/>
  <c r="H18" i="72"/>
  <c r="H16" i="72"/>
  <c r="H14" i="72"/>
  <c r="H12" i="72"/>
  <c r="H7" i="72"/>
  <c r="K6" i="72"/>
  <c r="L6" i="72"/>
  <c r="N6" i="72"/>
  <c r="AI15" i="72"/>
  <c r="AH15" i="72"/>
  <c r="AA15" i="72"/>
  <c r="AI14" i="72"/>
  <c r="AH14" i="72"/>
  <c r="O14" i="72"/>
  <c r="N14" i="72"/>
  <c r="L14" i="72"/>
  <c r="K14" i="72"/>
  <c r="I14" i="72"/>
  <c r="AI27" i="72"/>
  <c r="AH27" i="72"/>
  <c r="AA27" i="72"/>
  <c r="P27" i="72"/>
  <c r="M27" i="72"/>
  <c r="J27" i="72"/>
  <c r="I22" i="72"/>
  <c r="K22" i="72"/>
  <c r="L22" i="72"/>
  <c r="N22" i="72"/>
  <c r="O22" i="72"/>
  <c r="I18" i="72"/>
  <c r="K18" i="72"/>
  <c r="L18" i="72"/>
  <c r="N18" i="72"/>
  <c r="O18" i="72"/>
  <c r="I16" i="72"/>
  <c r="J16" i="72"/>
  <c r="K16" i="72"/>
  <c r="L16" i="72"/>
  <c r="M16" i="72"/>
  <c r="N16" i="72"/>
  <c r="O16" i="72"/>
  <c r="P16" i="72"/>
  <c r="I12" i="72"/>
  <c r="J12" i="72"/>
  <c r="K12" i="72"/>
  <c r="L12" i="72"/>
  <c r="M12" i="72"/>
  <c r="N12" i="72"/>
  <c r="O12" i="72"/>
  <c r="P12" i="72"/>
  <c r="I7" i="72"/>
  <c r="K7" i="72"/>
  <c r="L7" i="72"/>
  <c r="N7" i="72"/>
  <c r="O7" i="72"/>
  <c r="Y25" i="72" l="1"/>
  <c r="Y27" i="72"/>
  <c r="Y23" i="72"/>
  <c r="Y19" i="72"/>
  <c r="Y15" i="72"/>
  <c r="O6" i="72"/>
  <c r="I6" i="72"/>
  <c r="H6" i="72"/>
  <c r="J28" i="72"/>
  <c r="M28" i="72"/>
  <c r="AA28" i="72"/>
  <c r="AH28" i="72"/>
  <c r="AI28" i="72"/>
  <c r="C24" i="79" l="1"/>
  <c r="H6" i="71"/>
  <c r="I6" i="71"/>
  <c r="K6" i="71"/>
  <c r="L6" i="71"/>
  <c r="N6" i="71"/>
  <c r="O6" i="71"/>
  <c r="D24" i="79" s="1"/>
  <c r="J8" i="79" s="1"/>
  <c r="B31" i="79"/>
  <c r="B32" i="79"/>
  <c r="B33" i="79"/>
  <c r="B34" i="79"/>
  <c r="B35" i="79"/>
  <c r="B36" i="79"/>
  <c r="B37" i="79"/>
  <c r="B38" i="79"/>
  <c r="B39" i="79"/>
  <c r="B40" i="79"/>
  <c r="C31" i="79"/>
  <c r="C32" i="79"/>
  <c r="C33" i="79"/>
  <c r="C34" i="79"/>
  <c r="C35" i="79"/>
  <c r="C36" i="79"/>
  <c r="C37" i="79"/>
  <c r="C38" i="79"/>
  <c r="C39" i="79"/>
  <c r="C40" i="79"/>
  <c r="F8" i="79"/>
  <c r="F17" i="79"/>
  <c r="E8" i="79"/>
  <c r="E17" i="79"/>
  <c r="D8" i="79"/>
  <c r="D17" i="79"/>
  <c r="C8" i="79"/>
  <c r="C17" i="79"/>
  <c r="W9" i="72" l="1"/>
  <c r="X9" i="72" s="1"/>
  <c r="Y9" i="72" l="1"/>
  <c r="P11" i="72"/>
  <c r="M11" i="72"/>
  <c r="J11" i="72"/>
  <c r="I6" i="81" l="1"/>
  <c r="J6" i="81"/>
  <c r="K6" i="81"/>
  <c r="L6" i="81"/>
  <c r="M6" i="81"/>
  <c r="H6" i="81"/>
  <c r="I6" i="83"/>
  <c r="J6" i="83"/>
  <c r="K6" i="83"/>
  <c r="L6" i="83"/>
  <c r="M6" i="83"/>
  <c r="H6" i="83"/>
  <c r="AI16" i="72" l="1"/>
  <c r="AI17" i="72"/>
  <c r="AI18" i="72"/>
  <c r="AI19" i="72"/>
  <c r="AI20" i="72"/>
  <c r="AI21" i="72"/>
  <c r="AI22" i="72"/>
  <c r="AI23" i="72"/>
  <c r="AI24" i="72"/>
  <c r="AI25" i="72"/>
  <c r="AI26" i="72"/>
  <c r="AH16" i="72"/>
  <c r="AH17" i="72"/>
  <c r="AH18" i="72"/>
  <c r="AH19" i="72"/>
  <c r="AH20" i="72"/>
  <c r="AH21" i="72"/>
  <c r="AH22" i="72"/>
  <c r="AH23" i="72"/>
  <c r="AH24" i="72"/>
  <c r="AH25" i="72"/>
  <c r="AH26" i="72"/>
  <c r="AA17" i="72"/>
  <c r="AA19" i="72"/>
  <c r="AA20" i="72"/>
  <c r="AA21" i="72"/>
  <c r="AA23" i="72"/>
  <c r="AA24" i="72"/>
  <c r="AA25" i="72"/>
  <c r="AA26" i="72"/>
  <c r="O3" i="71" l="1"/>
  <c r="N3" i="71"/>
  <c r="L3" i="71"/>
  <c r="K3" i="71"/>
  <c r="P15" i="71"/>
  <c r="M15" i="71"/>
  <c r="J15" i="71"/>
  <c r="P14" i="71"/>
  <c r="M14" i="71"/>
  <c r="J14" i="71"/>
  <c r="P13" i="71"/>
  <c r="M13" i="71"/>
  <c r="J13" i="71"/>
  <c r="P12" i="71"/>
  <c r="M12" i="71"/>
  <c r="J12" i="71"/>
  <c r="P11" i="71"/>
  <c r="M11" i="71"/>
  <c r="J11" i="71"/>
  <c r="P10" i="71"/>
  <c r="M10" i="71"/>
  <c r="J10" i="71"/>
  <c r="P9" i="71"/>
  <c r="M9" i="71"/>
  <c r="J9" i="71"/>
  <c r="P8" i="71"/>
  <c r="M8" i="71"/>
  <c r="J8" i="71"/>
  <c r="P7" i="71"/>
  <c r="P6" i="71" s="1"/>
  <c r="M7" i="71"/>
  <c r="M6" i="71" s="1"/>
  <c r="J7" i="71"/>
  <c r="J6" i="71" s="1"/>
  <c r="P12" i="83"/>
  <c r="M12" i="83"/>
  <c r="J12" i="83"/>
  <c r="P11" i="83"/>
  <c r="M11" i="83"/>
  <c r="J11" i="83"/>
  <c r="O10" i="83"/>
  <c r="O6" i="83" s="1"/>
  <c r="D25" i="79" s="1"/>
  <c r="N10" i="83"/>
  <c r="L10" i="83"/>
  <c r="K10" i="83"/>
  <c r="I10" i="83"/>
  <c r="H10" i="83"/>
  <c r="P9" i="83"/>
  <c r="M9" i="83"/>
  <c r="J9" i="83"/>
  <c r="P8" i="83"/>
  <c r="M8" i="83"/>
  <c r="J8" i="83"/>
  <c r="O7" i="83"/>
  <c r="O3" i="83" s="1"/>
  <c r="N7" i="83"/>
  <c r="N6" i="83" s="1"/>
  <c r="C25" i="79" s="1"/>
  <c r="L7" i="83"/>
  <c r="K7" i="83"/>
  <c r="K3" i="83" s="1"/>
  <c r="I7" i="83"/>
  <c r="H7" i="83"/>
  <c r="P12" i="81"/>
  <c r="M12" i="81"/>
  <c r="J12" i="81"/>
  <c r="P11" i="81"/>
  <c r="M11" i="81"/>
  <c r="M10" i="81" s="1"/>
  <c r="J11" i="81"/>
  <c r="J10" i="81" s="1"/>
  <c r="O10" i="81"/>
  <c r="O6" i="81" s="1"/>
  <c r="F25" i="79" s="1"/>
  <c r="N10" i="81"/>
  <c r="L10" i="81"/>
  <c r="K10" i="81"/>
  <c r="I10" i="81"/>
  <c r="H10" i="81"/>
  <c r="P9" i="81"/>
  <c r="M9" i="81"/>
  <c r="J9" i="81"/>
  <c r="P8" i="81"/>
  <c r="M8" i="81"/>
  <c r="J8" i="81"/>
  <c r="O7" i="81"/>
  <c r="N7" i="81"/>
  <c r="N6" i="81" s="1"/>
  <c r="E25" i="79" s="1"/>
  <c r="L7" i="81"/>
  <c r="K7" i="81"/>
  <c r="I7" i="81"/>
  <c r="H7" i="81"/>
  <c r="K9" i="79" l="1"/>
  <c r="J9" i="79"/>
  <c r="O3" i="81"/>
  <c r="K3" i="81"/>
  <c r="N3" i="81"/>
  <c r="M7" i="81"/>
  <c r="L3" i="81"/>
  <c r="L3" i="83"/>
  <c r="P7" i="83"/>
  <c r="P6" i="83" s="1"/>
  <c r="M10" i="83"/>
  <c r="P10" i="83"/>
  <c r="J10" i="83"/>
  <c r="N3" i="83"/>
  <c r="J7" i="83"/>
  <c r="M7" i="83"/>
  <c r="P10" i="81"/>
  <c r="P7" i="81"/>
  <c r="J7" i="81"/>
  <c r="P8" i="72"/>
  <c r="P9" i="72"/>
  <c r="P13" i="72"/>
  <c r="P17" i="72"/>
  <c r="P19" i="72"/>
  <c r="P20" i="72"/>
  <c r="P21" i="72"/>
  <c r="P23" i="72"/>
  <c r="P24" i="72"/>
  <c r="P25" i="72"/>
  <c r="P26" i="72"/>
  <c r="M8" i="72"/>
  <c r="M9" i="72"/>
  <c r="M13" i="72"/>
  <c r="M17" i="72"/>
  <c r="M19" i="72"/>
  <c r="M20" i="72"/>
  <c r="M21" i="72"/>
  <c r="M23" i="72"/>
  <c r="M24" i="72"/>
  <c r="M25" i="72"/>
  <c r="M26" i="72"/>
  <c r="J8" i="72"/>
  <c r="J9" i="72"/>
  <c r="J13" i="72"/>
  <c r="J17" i="72"/>
  <c r="J19" i="72"/>
  <c r="J20" i="72"/>
  <c r="J21" i="72"/>
  <c r="J23" i="72"/>
  <c r="J22" i="72" s="1"/>
  <c r="J24" i="72"/>
  <c r="J25" i="72"/>
  <c r="J26" i="72"/>
  <c r="M7" i="72" l="1"/>
  <c r="M6" i="72" s="1"/>
  <c r="P18" i="72"/>
  <c r="P7" i="72"/>
  <c r="M18" i="72"/>
  <c r="P22" i="72"/>
  <c r="J18" i="72"/>
  <c r="J7" i="72"/>
  <c r="J6" i="72" s="1"/>
  <c r="M22" i="72"/>
  <c r="P6" i="81"/>
  <c r="E24" i="79"/>
  <c r="F24" i="79"/>
  <c r="K3" i="72"/>
  <c r="N3" i="72"/>
  <c r="L3" i="72"/>
  <c r="O3" i="72"/>
  <c r="P6" i="72" l="1"/>
  <c r="K8" i="79"/>
  <c r="U6" i="83" l="1"/>
  <c r="AO6" i="83"/>
  <c r="AK6" i="83" l="1"/>
  <c r="AN6" i="83"/>
  <c r="AJ6" i="83"/>
  <c r="AJ3" i="83" s="1"/>
  <c r="Z6" i="83"/>
  <c r="AA6" i="83"/>
  <c r="U3" i="83"/>
  <c r="AL6" i="83"/>
  <c r="AP6" i="83"/>
  <c r="V6" i="83" l="1"/>
  <c r="W6" i="83" s="1"/>
  <c r="W3" i="83" s="1"/>
  <c r="AA3" i="83"/>
  <c r="AN3" i="83"/>
  <c r="Z3" i="83"/>
  <c r="AB6" i="83"/>
  <c r="AB3" i="83" s="1"/>
  <c r="V3" i="83" l="1"/>
  <c r="G17" i="79"/>
  <c r="G16" i="79"/>
  <c r="G15" i="79"/>
  <c r="G14" i="79"/>
  <c r="G13" i="79"/>
  <c r="G12" i="79"/>
  <c r="G11" i="79"/>
  <c r="G10" i="79"/>
  <c r="G8" i="79"/>
  <c r="F30" i="79"/>
  <c r="E30" i="79"/>
  <c r="D30" i="79"/>
  <c r="F23" i="79"/>
  <c r="E23" i="79"/>
  <c r="D23" i="79"/>
  <c r="C23" i="79"/>
  <c r="F7" i="79"/>
  <c r="C7" i="79"/>
  <c r="J7" i="79"/>
  <c r="D7" i="79"/>
  <c r="K7" i="79"/>
  <c r="E7" i="79"/>
  <c r="F3" i="79" l="1"/>
  <c r="D3" i="79"/>
  <c r="G25" i="79"/>
  <c r="B30" i="79"/>
  <c r="C30" i="79"/>
  <c r="L7" i="79"/>
  <c r="G9" i="79"/>
  <c r="L9" i="79"/>
  <c r="G24" i="79"/>
  <c r="L8" i="79"/>
  <c r="B23" i="79" l="1"/>
  <c r="G7" i="79"/>
  <c r="B43" i="79"/>
  <c r="G23" i="79"/>
  <c r="W8" i="72" l="1"/>
  <c r="X8" i="72" l="1"/>
  <c r="Y8" i="72" s="1"/>
  <c r="AA8" i="72"/>
  <c r="AI13" i="72" l="1"/>
  <c r="AH13" i="72"/>
  <c r="AI12" i="72"/>
  <c r="AH12" i="72" l="1"/>
  <c r="AH8" i="72"/>
  <c r="AA13" i="72"/>
  <c r="C47" i="60" l="1"/>
  <c r="F47" i="60" s="1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6" i="60"/>
  <c r="F45" i="60"/>
  <c r="F44" i="60"/>
  <c r="F43" i="60"/>
  <c r="F42" i="60"/>
  <c r="F41" i="60"/>
  <c r="F40" i="60"/>
  <c r="F39" i="60"/>
  <c r="E38" i="60"/>
  <c r="D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I16" i="73"/>
  <c r="I20" i="73" s="1"/>
  <c r="D65" i="68"/>
  <c r="D64" i="68"/>
  <c r="F64" i="68" s="1"/>
  <c r="F66" i="68"/>
  <c r="F63" i="68"/>
  <c r="F62" i="68"/>
  <c r="F61" i="68"/>
  <c r="F60" i="68"/>
  <c r="F59" i="68"/>
  <c r="F58" i="68"/>
  <c r="F57" i="68"/>
  <c r="E56" i="68"/>
  <c r="C56" i="68"/>
  <c r="C38" i="60" l="1"/>
  <c r="F38" i="60" s="1"/>
  <c r="D56" i="68"/>
  <c r="F56" i="68" s="1"/>
  <c r="F56" i="48"/>
  <c r="F65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Y8" i="71" l="1"/>
  <c r="AL8" i="71"/>
  <c r="Y15" i="71"/>
  <c r="Y14" i="71"/>
  <c r="Y13" i="71"/>
  <c r="Y12" i="71"/>
  <c r="Y11" i="71"/>
  <c r="Y10" i="71"/>
  <c r="Y9" i="71"/>
  <c r="C175" i="64" l="1"/>
  <c r="B175" i="64"/>
  <c r="A175" i="64"/>
  <c r="B14" i="73" l="1"/>
  <c r="B13" i="73"/>
  <c r="G25" i="68"/>
  <c r="G24" i="68" s="1"/>
  <c r="F25" i="68"/>
  <c r="E25" i="68"/>
  <c r="D25" i="68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C7" i="69"/>
  <c r="C43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E41" i="68" l="1"/>
  <c r="K7" i="69"/>
  <c r="J26" i="68"/>
  <c r="N31" i="69"/>
  <c r="F38" i="69"/>
  <c r="J7" i="68"/>
  <c r="F24" i="68"/>
  <c r="N7" i="68" s="1"/>
  <c r="D14" i="73"/>
  <c r="B7" i="73"/>
  <c r="D13" i="73"/>
  <c r="H25" i="68"/>
  <c r="H24" i="68" s="1"/>
  <c r="E13" i="73" l="1"/>
  <c r="F13" i="73"/>
  <c r="E14" i="73"/>
  <c r="F14" i="73"/>
  <c r="D11" i="73"/>
  <c r="D10" i="73"/>
  <c r="K14" i="73"/>
  <c r="K13" i="73"/>
  <c r="D12" i="73"/>
  <c r="I13" i="73"/>
  <c r="I14" i="73"/>
  <c r="M13" i="73" l="1"/>
  <c r="M14" i="73"/>
  <c r="D8" i="73"/>
  <c r="K11" i="73"/>
  <c r="D7" i="73"/>
  <c r="L14" i="73"/>
  <c r="D9" i="73"/>
  <c r="K12" i="73"/>
  <c r="L13" i="73"/>
  <c r="K10" i="73"/>
  <c r="X3" i="72"/>
  <c r="K8" i="73" l="1"/>
  <c r="K9" i="73"/>
  <c r="D6" i="73"/>
  <c r="K7" i="73"/>
  <c r="Y3" i="72"/>
  <c r="D5" i="73" l="1"/>
  <c r="E5" i="73" s="1"/>
  <c r="K6" i="73"/>
  <c r="E6" i="73"/>
  <c r="AD3" i="72"/>
  <c r="K5" i="73" l="1"/>
  <c r="L5" i="73" s="1"/>
  <c r="L6" i="73"/>
  <c r="D14" i="56" l="1"/>
  <c r="D11" i="56" l="1"/>
  <c r="D13" i="56"/>
  <c r="B13" i="56" l="1"/>
  <c r="F13" i="56" s="1"/>
  <c r="B14" i="56"/>
  <c r="F14" i="56" s="1"/>
  <c r="B11" i="56"/>
  <c r="F11" i="56" s="1"/>
  <c r="B7" i="56"/>
  <c r="E25" i="48"/>
  <c r="D25" i="48"/>
  <c r="I11" i="56" l="1"/>
  <c r="I14" i="56"/>
  <c r="I13" i="56"/>
  <c r="I7" i="68"/>
  <c r="K7" i="68" s="1"/>
  <c r="E24" i="68"/>
  <c r="I25" i="68"/>
  <c r="J25" i="68" s="1"/>
  <c r="D24" i="68"/>
  <c r="I24" i="68" l="1"/>
  <c r="J24" i="68" s="1"/>
  <c r="M7" i="68"/>
  <c r="N10" i="68" s="1"/>
  <c r="N14" i="68" s="1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AF15" i="71" l="1" a="1"/>
  <c r="AF15" i="71" s="1"/>
  <c r="AF14" i="71" a="1"/>
  <c r="AF14" i="71" s="1"/>
  <c r="AF12" i="71" a="1"/>
  <c r="AF12" i="71" s="1"/>
  <c r="AF11" i="71" a="1"/>
  <c r="AF11" i="71" s="1"/>
  <c r="AF13" i="71" a="1"/>
  <c r="AF13" i="71" s="1"/>
  <c r="I7" i="56"/>
  <c r="AF10" i="71" l="1" a="1"/>
  <c r="AF10" i="71" s="1"/>
  <c r="F17" i="68"/>
  <c r="F14" i="68"/>
  <c r="G11" i="68"/>
  <c r="F15" i="68"/>
  <c r="G10" i="68"/>
  <c r="F9" i="68"/>
  <c r="G16" i="68"/>
  <c r="F12" i="68"/>
  <c r="G17" i="68"/>
  <c r="G9" i="68"/>
  <c r="F13" i="68"/>
  <c r="G14" i="68"/>
  <c r="F18" i="68"/>
  <c r="F10" i="68"/>
  <c r="G15" i="68"/>
  <c r="F11" i="68"/>
  <c r="G12" i="68"/>
  <c r="F16" i="68"/>
  <c r="G13" i="68"/>
  <c r="G18" i="68"/>
  <c r="E17" i="48"/>
  <c r="E11" i="48"/>
  <c r="D9" i="48"/>
  <c r="D18" i="48"/>
  <c r="D14" i="48"/>
  <c r="E18" i="48"/>
  <c r="E13" i="48"/>
  <c r="E9" i="48"/>
  <c r="E16" i="48"/>
  <c r="D16" i="48"/>
  <c r="D12" i="48"/>
  <c r="E15" i="48"/>
  <c r="D17" i="48"/>
  <c r="E12" i="48"/>
  <c r="D11" i="48"/>
  <c r="E14" i="48"/>
  <c r="D15" i="48"/>
  <c r="D10" i="48"/>
  <c r="E10" i="48"/>
  <c r="D13" i="48"/>
  <c r="E22" i="60"/>
  <c r="D29" i="60"/>
  <c r="D12" i="60"/>
  <c r="E13" i="60"/>
  <c r="E26" i="60"/>
  <c r="E18" i="60"/>
  <c r="E10" i="60"/>
  <c r="D11" i="60"/>
  <c r="D31" i="60"/>
  <c r="D27" i="60"/>
  <c r="D23" i="60"/>
  <c r="D18" i="60"/>
  <c r="E32" i="60"/>
  <c r="E25" i="60"/>
  <c r="E17" i="60"/>
  <c r="E9" i="60"/>
  <c r="D10" i="60"/>
  <c r="E24" i="60"/>
  <c r="E8" i="60"/>
  <c r="D30" i="60"/>
  <c r="D22" i="60"/>
  <c r="E31" i="60"/>
  <c r="E15" i="60"/>
  <c r="E14" i="60"/>
  <c r="D33" i="60"/>
  <c r="D21" i="60"/>
  <c r="E21" i="60"/>
  <c r="E33" i="60"/>
  <c r="E16" i="60"/>
  <c r="D8" i="60"/>
  <c r="D26" i="60"/>
  <c r="D15" i="60"/>
  <c r="E23" i="60"/>
  <c r="D19" i="60"/>
  <c r="E30" i="60"/>
  <c r="D17" i="60"/>
  <c r="D25" i="60"/>
  <c r="E29" i="60"/>
  <c r="D16" i="60"/>
  <c r="E20" i="60"/>
  <c r="D28" i="60"/>
  <c r="E27" i="60"/>
  <c r="D24" i="60"/>
  <c r="D14" i="60"/>
  <c r="D20" i="60"/>
  <c r="E11" i="60"/>
  <c r="E28" i="60"/>
  <c r="D32" i="60"/>
  <c r="D9" i="60"/>
  <c r="D13" i="60"/>
  <c r="E12" i="60"/>
  <c r="E19" i="60"/>
  <c r="AF8" i="71" a="1"/>
  <c r="AF8" i="71" s="1"/>
  <c r="D21" i="69"/>
  <c r="E12" i="69"/>
  <c r="D30" i="69"/>
  <c r="D22" i="69"/>
  <c r="D14" i="69"/>
  <c r="E33" i="69"/>
  <c r="E25" i="69"/>
  <c r="E17" i="69"/>
  <c r="E9" i="69"/>
  <c r="D27" i="69"/>
  <c r="D19" i="69"/>
  <c r="D11" i="69"/>
  <c r="E14" i="69"/>
  <c r="E26" i="69"/>
  <c r="E24" i="69"/>
  <c r="D28" i="69"/>
  <c r="D20" i="69"/>
  <c r="D12" i="69"/>
  <c r="E31" i="69"/>
  <c r="E23" i="69"/>
  <c r="E15" i="69"/>
  <c r="D33" i="69"/>
  <c r="D25" i="69"/>
  <c r="D17" i="69"/>
  <c r="D9" i="69"/>
  <c r="E28" i="69"/>
  <c r="E18" i="69"/>
  <c r="E16" i="69"/>
  <c r="D26" i="69"/>
  <c r="D18" i="69"/>
  <c r="D10" i="69"/>
  <c r="E29" i="69"/>
  <c r="E21" i="69"/>
  <c r="E13" i="69"/>
  <c r="D31" i="69"/>
  <c r="D23" i="69"/>
  <c r="D15" i="69"/>
  <c r="E30" i="69"/>
  <c r="E20" i="69"/>
  <c r="E10" i="69"/>
  <c r="E8" i="69"/>
  <c r="D32" i="69"/>
  <c r="D24" i="69"/>
  <c r="D16" i="69"/>
  <c r="D8" i="69"/>
  <c r="E27" i="69"/>
  <c r="E19" i="69"/>
  <c r="E11" i="69"/>
  <c r="D29" i="69"/>
  <c r="D13" i="69"/>
  <c r="E22" i="69"/>
  <c r="E32" i="69"/>
  <c r="AF9" i="71" a="1"/>
  <c r="AF9" i="71" s="1"/>
  <c r="AF7" i="71" a="1"/>
  <c r="AF7" i="71" s="1"/>
  <c r="D15" i="68"/>
  <c r="E18" i="68"/>
  <c r="E10" i="68"/>
  <c r="D12" i="68"/>
  <c r="D13" i="68"/>
  <c r="E16" i="68"/>
  <c r="D18" i="68"/>
  <c r="D10" i="68"/>
  <c r="E11" i="68"/>
  <c r="E15" i="68"/>
  <c r="D11" i="68"/>
  <c r="E14" i="68"/>
  <c r="D16" i="68"/>
  <c r="E13" i="68"/>
  <c r="E17" i="68"/>
  <c r="D17" i="68"/>
  <c r="D9" i="68"/>
  <c r="E12" i="68"/>
  <c r="E9" i="68"/>
  <c r="D14" i="68"/>
  <c r="F28" i="69"/>
  <c r="F20" i="69"/>
  <c r="F12" i="69"/>
  <c r="G31" i="69"/>
  <c r="G23" i="69"/>
  <c r="G15" i="69"/>
  <c r="F33" i="69"/>
  <c r="F25" i="69"/>
  <c r="F17" i="69"/>
  <c r="F9" i="69"/>
  <c r="G8" i="69"/>
  <c r="G28" i="69"/>
  <c r="G18" i="69"/>
  <c r="F18" i="69"/>
  <c r="G29" i="69"/>
  <c r="G13" i="69"/>
  <c r="F31" i="69"/>
  <c r="F23" i="69"/>
  <c r="F15" i="69"/>
  <c r="G32" i="69"/>
  <c r="G30" i="69"/>
  <c r="G20" i="69"/>
  <c r="G10" i="69"/>
  <c r="F26" i="69"/>
  <c r="F10" i="69"/>
  <c r="G21" i="69"/>
  <c r="F32" i="69"/>
  <c r="F24" i="69"/>
  <c r="F16" i="69"/>
  <c r="F8" i="69"/>
  <c r="G27" i="69"/>
  <c r="G19" i="69"/>
  <c r="G11" i="69"/>
  <c r="F29" i="69"/>
  <c r="F21" i="69"/>
  <c r="F13" i="69"/>
  <c r="G24" i="69"/>
  <c r="G22" i="69"/>
  <c r="G12" i="69"/>
  <c r="F30" i="69"/>
  <c r="G25" i="69"/>
  <c r="F19" i="69"/>
  <c r="G26" i="69"/>
  <c r="F22" i="69"/>
  <c r="F11" i="69"/>
  <c r="F14" i="69"/>
  <c r="G9" i="69"/>
  <c r="G16" i="69"/>
  <c r="G33" i="69"/>
  <c r="F27" i="69"/>
  <c r="G14" i="69"/>
  <c r="G17" i="69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H11" i="69" l="1"/>
  <c r="AD8" i="71"/>
  <c r="W8" i="71" s="1"/>
  <c r="H11" i="68"/>
  <c r="H13" i="69"/>
  <c r="H16" i="68"/>
  <c r="H10" i="68"/>
  <c r="H21" i="69"/>
  <c r="H15" i="69"/>
  <c r="H22" i="69"/>
  <c r="H26" i="69"/>
  <c r="H15" i="68"/>
  <c r="H14" i="69"/>
  <c r="H24" i="69"/>
  <c r="H16" i="69"/>
  <c r="H31" i="69"/>
  <c r="H17" i="69"/>
  <c r="H28" i="69"/>
  <c r="H14" i="68"/>
  <c r="D7" i="68"/>
  <c r="AD15" i="71"/>
  <c r="AD13" i="71"/>
  <c r="AD12" i="71"/>
  <c r="AD14" i="71"/>
  <c r="AD11" i="71"/>
  <c r="H30" i="69"/>
  <c r="H25" i="69"/>
  <c r="H13" i="68"/>
  <c r="H27" i="69"/>
  <c r="H19" i="69"/>
  <c r="H29" i="69"/>
  <c r="F7" i="69"/>
  <c r="H8" i="69"/>
  <c r="H23" i="69"/>
  <c r="H18" i="69"/>
  <c r="H9" i="69"/>
  <c r="H20" i="69"/>
  <c r="H17" i="68"/>
  <c r="H12" i="68"/>
  <c r="H9" i="68"/>
  <c r="F7" i="68"/>
  <c r="AD10" i="71"/>
  <c r="E7" i="68"/>
  <c r="AD9" i="71"/>
  <c r="H32" i="69"/>
  <c r="H10" i="69"/>
  <c r="G7" i="69"/>
  <c r="H33" i="69"/>
  <c r="H12" i="69"/>
  <c r="D7" i="69"/>
  <c r="E7" i="69"/>
  <c r="H18" i="68"/>
  <c r="G7" i="68"/>
  <c r="G25" i="48"/>
  <c r="AN8" i="71" l="1"/>
  <c r="Z8" i="71"/>
  <c r="AP8" i="71" s="1"/>
  <c r="AJ8" i="71"/>
  <c r="U10" i="71"/>
  <c r="V10" i="71" s="1"/>
  <c r="W10" i="71" s="1"/>
  <c r="Z10" i="71"/>
  <c r="AP10" i="71" s="1"/>
  <c r="AK10" i="71"/>
  <c r="AN10" i="71"/>
  <c r="AO10" i="71"/>
  <c r="AJ10" i="71"/>
  <c r="H7" i="68"/>
  <c r="U12" i="71"/>
  <c r="V12" i="71" s="1"/>
  <c r="W12" i="71" s="1"/>
  <c r="AK12" i="71"/>
  <c r="AN12" i="71"/>
  <c r="Z12" i="71"/>
  <c r="AP12" i="71" s="1"/>
  <c r="AJ12" i="71"/>
  <c r="AL12" i="71" s="1"/>
  <c r="AO12" i="71"/>
  <c r="U15" i="71"/>
  <c r="V15" i="71" s="1"/>
  <c r="W15" i="71" s="1"/>
  <c r="AO15" i="71"/>
  <c r="AN15" i="71"/>
  <c r="AJ15" i="71"/>
  <c r="AK15" i="71"/>
  <c r="Z15" i="71"/>
  <c r="AP15" i="71" s="1"/>
  <c r="U9" i="71"/>
  <c r="V9" i="71" s="1"/>
  <c r="AJ9" i="71"/>
  <c r="AK9" i="71"/>
  <c r="AO9" i="71"/>
  <c r="AN9" i="71"/>
  <c r="Z9" i="71"/>
  <c r="AA9" i="71" s="1"/>
  <c r="AB9" i="71" s="1"/>
  <c r="H7" i="69"/>
  <c r="U14" i="71"/>
  <c r="V14" i="71" s="1"/>
  <c r="W14" i="71" s="1"/>
  <c r="Z14" i="71"/>
  <c r="AP14" i="71" s="1"/>
  <c r="AK14" i="71"/>
  <c r="AN14" i="71"/>
  <c r="AJ14" i="71"/>
  <c r="AO14" i="71"/>
  <c r="U13" i="71"/>
  <c r="V13" i="71" s="1"/>
  <c r="W13" i="71" s="1"/>
  <c r="Z13" i="71"/>
  <c r="AP13" i="71" s="1"/>
  <c r="AJ13" i="71"/>
  <c r="AN13" i="71"/>
  <c r="AO13" i="71"/>
  <c r="AK13" i="71"/>
  <c r="E3" i="69"/>
  <c r="G3" i="68"/>
  <c r="J8" i="68"/>
  <c r="Z7" i="71"/>
  <c r="AK7" i="71"/>
  <c r="AO7" i="71"/>
  <c r="W7" i="71"/>
  <c r="AJ7" i="71"/>
  <c r="AN7" i="71"/>
  <c r="G3" i="69"/>
  <c r="U11" i="71"/>
  <c r="V11" i="71" s="1"/>
  <c r="W11" i="71" s="1"/>
  <c r="Z11" i="71"/>
  <c r="AP11" i="71" s="1"/>
  <c r="AO11" i="71"/>
  <c r="AN11" i="71"/>
  <c r="AJ11" i="71"/>
  <c r="AK11" i="71"/>
  <c r="E3" i="68"/>
  <c r="I8" i="68"/>
  <c r="K11" i="56"/>
  <c r="M11" i="56" s="1"/>
  <c r="K13" i="56"/>
  <c r="M13" i="56" s="1"/>
  <c r="K14" i="56"/>
  <c r="F25" i="48"/>
  <c r="D12" i="56"/>
  <c r="D10" i="56"/>
  <c r="D7" i="56"/>
  <c r="AP7" i="71" l="1"/>
  <c r="AA8" i="71"/>
  <c r="AB8" i="71" s="1"/>
  <c r="AL14" i="71"/>
  <c r="AA13" i="71"/>
  <c r="AB13" i="71" s="1"/>
  <c r="AL13" i="71"/>
  <c r="B12" i="56"/>
  <c r="F12" i="56" s="1"/>
  <c r="AL7" i="71"/>
  <c r="AA10" i="71"/>
  <c r="AB10" i="71" s="1"/>
  <c r="I12" i="56"/>
  <c r="AA11" i="71"/>
  <c r="AB11" i="71" s="1"/>
  <c r="AA12" i="71"/>
  <c r="AB12" i="71" s="1"/>
  <c r="AA14" i="71"/>
  <c r="AB14" i="71" s="1"/>
  <c r="AL11" i="71"/>
  <c r="K8" i="68"/>
  <c r="W9" i="71"/>
  <c r="AN6" i="71"/>
  <c r="AP9" i="71"/>
  <c r="I10" i="73"/>
  <c r="AL10" i="71"/>
  <c r="AA7" i="71"/>
  <c r="AJ6" i="71"/>
  <c r="AK6" i="71"/>
  <c r="AL9" i="71"/>
  <c r="AA15" i="71"/>
  <c r="AB15" i="71" s="1"/>
  <c r="AL15" i="71"/>
  <c r="B11" i="73"/>
  <c r="AO6" i="71"/>
  <c r="B10" i="73"/>
  <c r="I12" i="73"/>
  <c r="Z6" i="71"/>
  <c r="B12" i="73"/>
  <c r="U6" i="71"/>
  <c r="I11" i="73"/>
  <c r="L14" i="56"/>
  <c r="M14" i="56"/>
  <c r="K10" i="56"/>
  <c r="K12" i="56"/>
  <c r="L13" i="56"/>
  <c r="L11" i="56"/>
  <c r="D8" i="56"/>
  <c r="D6" i="56" s="1"/>
  <c r="AB3" i="72" l="1"/>
  <c r="AB7" i="71"/>
  <c r="I7" i="73"/>
  <c r="AN3" i="71"/>
  <c r="B8" i="73"/>
  <c r="B6" i="73" s="1"/>
  <c r="I8" i="73"/>
  <c r="Z3" i="71"/>
  <c r="AA6" i="71"/>
  <c r="AJ3" i="71"/>
  <c r="V6" i="71"/>
  <c r="W6" i="71" s="1"/>
  <c r="L11" i="73"/>
  <c r="M11" i="73"/>
  <c r="W3" i="72"/>
  <c r="U3" i="71"/>
  <c r="M12" i="73"/>
  <c r="L12" i="73"/>
  <c r="B9" i="73"/>
  <c r="F10" i="73"/>
  <c r="E10" i="73"/>
  <c r="E11" i="73"/>
  <c r="F11" i="73"/>
  <c r="AL6" i="71"/>
  <c r="I9" i="73"/>
  <c r="M10" i="73"/>
  <c r="L10" i="73"/>
  <c r="E12" i="73"/>
  <c r="F12" i="73"/>
  <c r="AP6" i="71"/>
  <c r="L12" i="56"/>
  <c r="M12" i="56"/>
  <c r="K9" i="56"/>
  <c r="K7" i="56"/>
  <c r="E6" i="56"/>
  <c r="K8" i="56"/>
  <c r="I6" i="73" l="1"/>
  <c r="I5" i="73"/>
  <c r="I18" i="73" s="1"/>
  <c r="C6" i="73"/>
  <c r="V3" i="71"/>
  <c r="W3" i="71"/>
  <c r="C9" i="73"/>
  <c r="F9" i="73"/>
  <c r="E9" i="73"/>
  <c r="J6" i="73"/>
  <c r="AA3" i="71"/>
  <c r="AB6" i="71"/>
  <c r="AB3" i="71" s="1"/>
  <c r="J9" i="73"/>
  <c r="L9" i="73"/>
  <c r="B5" i="73"/>
  <c r="K6" i="56"/>
  <c r="K5" i="56" s="1"/>
  <c r="C5" i="73" l="1"/>
  <c r="J5" i="73"/>
  <c r="L6" i="56"/>
  <c r="C24" i="48" l="1"/>
  <c r="H26" i="48"/>
  <c r="I26" i="48"/>
  <c r="N26" i="60"/>
  <c r="N30" i="60" s="1"/>
  <c r="J26" i="60"/>
  <c r="I26" i="60"/>
  <c r="J26" i="48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L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E12" i="56" l="1"/>
  <c r="E14" i="56"/>
  <c r="E11" i="56"/>
  <c r="E13" i="56"/>
  <c r="D9" i="56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F7" i="48" l="1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  <c r="B8" i="56" l="1"/>
  <c r="B6" i="56" s="1"/>
  <c r="B10" i="56"/>
  <c r="I10" i="56"/>
  <c r="C6" i="56" l="1"/>
  <c r="I8" i="56"/>
  <c r="I6" i="56" s="1"/>
  <c r="J6" i="56" s="1"/>
  <c r="M10" i="56"/>
  <c r="I9" i="56"/>
  <c r="L10" i="56"/>
  <c r="F10" i="56"/>
  <c r="E10" i="56"/>
  <c r="B9" i="56"/>
  <c r="C9" i="56" l="1"/>
  <c r="E9" i="56"/>
  <c r="F9" i="56"/>
  <c r="B5" i="56"/>
  <c r="C5" i="56" s="1"/>
  <c r="M9" i="56"/>
  <c r="J9" i="56"/>
  <c r="L9" i="56"/>
  <c r="I5" i="56"/>
  <c r="I18" i="56" l="1"/>
  <c r="J5" i="56"/>
  <c r="AB3" i="81" l="1"/>
  <c r="AC3" i="81"/>
  <c r="AF8" i="81"/>
  <c r="AI8" i="81" l="1"/>
  <c r="Y3" i="81"/>
  <c r="AI11" i="81"/>
  <c r="AH11" i="81"/>
  <c r="AF11" i="81"/>
  <c r="AH8" i="81"/>
  <c r="X3" i="81"/>
  <c r="AD3" i="81"/>
  <c r="W3" i="81" l="1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 shape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 shape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 shape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 shape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 shape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 shape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 shape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T4" authorId="0" shape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Your User Name</author>
  </authors>
  <commentList>
    <comment ref="B10" authorId="0" shape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 shape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 shape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 shape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 shape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 shape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 shape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Administrator</author>
  </authors>
  <commentList>
    <comment ref="T4" authorId="0" shape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<sst xmlns="http://schemas.openxmlformats.org/spreadsheetml/2006/main" count="1667" uniqueCount="707">
  <si>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</si>
  <si>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</si>
  <si>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</si>
  <si>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</si>
  <si>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</si>
  <si>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</si>
  <si>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</si>
  <si>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</si>
  <si>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</si>
  <si>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</si>
  <si>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</si>
  <si>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</si>
  <si>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</si>
  <si>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</si>
  <si>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</si>
  <si>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</si>
  <si>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</si>
  <si>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</si>
  <si>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</si>
  <si>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</si>
  <si>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</si>
  <si>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</si>
  <si>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</si>
  <si>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</si>
  <si>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</si>
  <si>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</si>
  <si>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</si>
  <si>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</si>
  <si>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</si>
  <si>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</si>
  <si>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</si>
  <si>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</si>
  <si>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</si>
  <si>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</si>
  <si>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</si>
  <si>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</si>
  <si>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</si>
  <si>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</si>
  <si>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</si>
  <si>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</si>
  <si>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</si>
  <si>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</si>
  <si>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</si>
  <si>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</si>
  <si>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</si>
  <si>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</si>
  <si>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</si>
  <si>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</si>
  <si>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</si>
  <si>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</si>
  <si>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</si>
  <si>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</si>
  <si>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</si>
  <si>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</si>
  <si>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</si>
  <si>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</si>
  <si>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</si>
  <si>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</si>
  <si>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</si>
  <si>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</si>
  <si>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</si>
  <si>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</si>
  <si>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</si>
  <si>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</si>
  <si>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</si>
  <si>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</si>
  <si>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</si>
  <si>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</si>
  <si>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</si>
  <si>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</si>
  <si>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</si>
  <si>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</si>
  <si>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</si>
  <si>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</si>
  <si>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</si>
  <si>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</si>
  <si>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</si>
  <si>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</si>
  <si>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</si>
  <si>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</si>
  <si>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</si>
  <si>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</si>
  <si>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</si>
  <si>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</si>
  <si>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</si>
  <si>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</si>
  <si>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</si>
  <si>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</si>
  <si>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</si>
  <si>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</si>
  <si>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</si>
  <si>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</si>
  <si>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</si>
  <si>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</si>
  <si>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</si>
  <si>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</si>
  <si>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</si>
  <si>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</si>
  <si>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</si>
  <si>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</si>
  <si>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</si>
  <si>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</si>
  <si>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</si>
  <si>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</si>
  <si>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</si>
  <si>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</si>
  <si>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</si>
  <si>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</si>
  <si>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</si>
  <si>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</si>
  <si>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</si>
  <si>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</si>
  <si>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</si>
  <si>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</si>
  <si>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</si>
  <si>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</si>
  <si>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</si>
  <si>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</si>
  <si>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</si>
  <si>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</si>
  <si>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</si>
  <si>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</si>
  <si>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</si>
  <si>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</si>
  <si>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</si>
  <si>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</si>
  <si>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위원회
부서별 정렬</t>
    <phoneticPr fontId="2" type="noConversion"/>
  </si>
  <si>
    <t>정렬순서</t>
    <phoneticPr fontId="78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</si>
  <si>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</si>
  <si>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</si>
  <si>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</si>
  <si>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</si>
  <si>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</si>
  <si>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</si>
  <si>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</si>
  <si>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</si>
  <si>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</si>
  <si>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</si>
  <si>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</si>
  <si>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</si>
  <si>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</si>
  <si>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</si>
  <si>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</si>
  <si>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</si>
  <si>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</si>
  <si>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</si>
  <si>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</si>
  <si>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</si>
  <si>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</si>
  <si>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</si>
  <si>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</si>
  <si>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</si>
  <si>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</si>
  <si>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</si>
  <si>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</si>
  <si>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</si>
  <si>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</si>
  <si>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</si>
  <si>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</si>
  <si>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</si>
  <si>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</si>
  <si>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</si>
  <si>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</si>
  <si>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</si>
  <si>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</si>
  <si>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</si>
  <si>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</si>
  <si>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</si>
  <si>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</si>
  <si>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</si>
  <si>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</si>
  <si>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</si>
  <si>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</si>
  <si>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</si>
  <si>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</si>
  <si>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</si>
  <si>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</si>
  <si>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</si>
  <si>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</si>
  <si>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</si>
  <si>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</si>
  <si>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</si>
  <si>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</si>
  <si>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</si>
  <si>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</si>
  <si>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</si>
  <si>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</si>
  <si>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</si>
  <si>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</si>
  <si>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</si>
  <si>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</si>
  <si>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</si>
  <si>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</si>
  <si>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</si>
  <si>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</si>
  <si>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</si>
  <si>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</si>
  <si>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</si>
  <si>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</si>
  <si>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</si>
  <si>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</si>
  <si>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</si>
  <si>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</si>
  <si>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</si>
  <si>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</si>
  <si>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</si>
  <si>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</si>
  <si>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</si>
  <si>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</si>
  <si>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</si>
  <si>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</si>
  <si>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</si>
  <si>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</si>
  <si>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</si>
  <si>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</si>
  <si>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</si>
  <si>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</si>
  <si>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</si>
  <si>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</si>
  <si>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</si>
  <si>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</si>
  <si>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</si>
  <si>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</si>
  <si>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</si>
  <si>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</si>
  <si>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</si>
  <si>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</si>
  <si>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</si>
  <si>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</si>
  <si>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</si>
  <si>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</si>
  <si>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</si>
  <si>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</si>
  <si>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</si>
  <si>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</si>
  <si>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</si>
  <si>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</si>
  <si>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</si>
  <si>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</si>
  <si>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</si>
  <si>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</si>
  <si>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</si>
  <si>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</si>
  <si>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</si>
  <si>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</si>
  <si>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</si>
  <si>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</si>
  <si>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</si>
  <si>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</si>
  <si>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</si>
  <si>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</si>
  <si>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</si>
  <si>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</si>
  <si>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</si>
  <si>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</si>
  <si>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</si>
  <si>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</si>
  <si>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</si>
  <si>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</si>
  <si>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</si>
  <si>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</si>
  <si>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</si>
  <si>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</si>
  <si>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</si>
  <si>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</si>
  <si>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</si>
  <si>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</si>
  <si>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</si>
  <si>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</si>
  <si>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</si>
  <si>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</si>
  <si>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</si>
  <si>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</si>
  <si>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</si>
  <si>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</si>
  <si>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</si>
  <si>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</si>
  <si>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</si>
  <si>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</si>
  <si>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</si>
  <si>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</si>
  <si>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</si>
  <si>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</si>
  <si>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</si>
  <si>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</si>
  <si>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</si>
  <si>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</si>
  <si>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</si>
  <si>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</si>
  <si>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</si>
  <si>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</si>
  <si>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</si>
  <si>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</si>
  <si>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</si>
  <si>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</si>
  <si>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</si>
  <si>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</si>
  <si>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</si>
  <si>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</si>
  <si>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</si>
  <si>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</si>
  <si>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</si>
  <si>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</si>
  <si>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</si>
  <si>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</si>
  <si>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</si>
  <si>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</si>
  <si>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</si>
  <si>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</si>
  <si>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</si>
  <si>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</si>
  <si>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</si>
  <si>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</si>
  <si>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</si>
  <si>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</si>
  <si>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</si>
  <si>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</si>
  <si>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</si>
  <si>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</si>
  <si>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</si>
  <si>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</si>
  <si>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</si>
  <si>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</si>
  <si>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</si>
  <si>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</si>
  <si>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</si>
  <si>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</si>
  <si>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</si>
  <si>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</si>
  <si>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</si>
  <si>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</si>
  <si>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</si>
  <si>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</si>
  <si>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</si>
  <si>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</si>
  <si>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</si>
  <si>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</si>
  <si>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</si>
  <si>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</si>
  <si>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</si>
  <si>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</si>
  <si>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</si>
  <si>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</si>
  <si>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</si>
  <si>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</si>
  <si>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</si>
  <si>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</si>
  <si>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</si>
  <si>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</si>
  <si>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</si>
  <si>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</si>
  <si>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</si>
  <si>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</si>
  <si>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</si>
  <si>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</si>
  <si>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</si>
  <si>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</si>
  <si>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</si>
  <si>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</si>
  <si>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</si>
  <si>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</si>
  <si>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</si>
  <si>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</si>
  <si>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</si>
  <si>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</si>
  <si>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</si>
  <si>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</si>
  <si>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</si>
  <si>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</si>
  <si>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</si>
  <si>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</si>
  <si>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</si>
  <si>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</si>
  <si>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</si>
  <si>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</si>
  <si>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</si>
  <si>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</si>
  <si>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</si>
  <si>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</si>
  <si>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</si>
  <si>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</si>
  <si>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</si>
  <si>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</si>
  <si>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</si>
  <si>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</si>
  <si>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</si>
  <si>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</si>
  <si>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</si>
  <si>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</si>
  <si>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</si>
  <si>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</si>
  <si>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</si>
  <si>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</si>
  <si>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78" type="noConversion"/>
  </si>
  <si>
    <t>실국명</t>
    <phoneticPr fontId="78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</si>
  <si>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</si>
  <si>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</si>
  <si>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</si>
  <si>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</si>
  <si>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</si>
  <si>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</si>
  <si>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</si>
  <si>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</si>
  <si>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</si>
  <si>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</si>
  <si>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</si>
  <si>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</si>
  <si>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</si>
  <si>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</si>
  <si>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</si>
  <si>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</si>
  <si>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</si>
  <si>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</si>
  <si>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</si>
  <si>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</si>
  <si>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</si>
  <si>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</si>
  <si>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</si>
  <si>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</si>
  <si>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</si>
  <si>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</si>
  <si>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</si>
  <si>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</si>
  <si>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</si>
  <si>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</si>
  <si>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</si>
  <si>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</si>
  <si>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</si>
  <si>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</si>
  <si>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</si>
  <si>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</si>
  <si>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</si>
  <si>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</si>
  <si>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</si>
  <si>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</si>
  <si>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</si>
  <si>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</si>
  <si>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</si>
  <si>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</si>
  <si>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</si>
  <si>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</si>
  <si>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</si>
  <si>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</si>
  <si>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</si>
  <si>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</si>
  <si>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</si>
  <si>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</si>
  <si>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</si>
  <si>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</si>
  <si>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</si>
  <si>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</si>
  <si>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</si>
  <si>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</si>
  <si>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</si>
  <si>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</si>
  <si>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</si>
  <si>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</si>
  <si>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</si>
  <si>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</si>
  <si>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</si>
  <si>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</si>
  <si>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</si>
  <si>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</si>
  <si>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</si>
  <si>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</si>
  <si>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</si>
  <si>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</si>
  <si>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</si>
  <si>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</si>
  <si>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</si>
  <si>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</si>
  <si>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</si>
  <si>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</si>
  <si>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</si>
  <si>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</si>
  <si>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</si>
  <si>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</si>
  <si>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</si>
  <si>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</si>
  <si>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</si>
  <si>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</si>
  <si>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</si>
  <si>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</si>
  <si>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</si>
  <si>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</si>
  <si>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</si>
  <si>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</si>
  <si>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</si>
  <si>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</si>
  <si>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</si>
  <si>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</si>
  <si>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</si>
  <si>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</si>
  <si>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</si>
  <si>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</si>
  <si>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</si>
  <si>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</si>
  <si>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</si>
  <si>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</si>
  <si>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</si>
  <si>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</si>
  <si>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</si>
  <si>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</si>
  <si>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</si>
  <si>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78" type="noConversion"/>
  </si>
  <si>
    <t>실국명 조정</t>
    <phoneticPr fontId="78" type="noConversion"/>
  </si>
  <si>
    <t>위원회명 조정</t>
    <phoneticPr fontId="78" type="noConversion"/>
  </si>
  <si>
    <t>실과명 조정</t>
    <phoneticPr fontId="78" type="noConversion"/>
  </si>
  <si>
    <t>실과명</t>
    <phoneticPr fontId="78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</si>
  <si>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</si>
  <si>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</si>
  <si>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</si>
  <si>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문화체육관광위원회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</si>
  <si>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</si>
  <si>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</si>
  <si>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</si>
  <si>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</si>
  <si>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</si>
  <si>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</si>
  <si>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</si>
  <si>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</si>
  <si>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</si>
  <si>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</si>
  <si>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</si>
  <si>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</si>
  <si>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</si>
  <si>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</si>
  <si>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</si>
  <si>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</si>
  <si>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</si>
  <si>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</si>
  <si>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</si>
  <si>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</si>
  <si>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</si>
  <si>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</si>
  <si>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</si>
  <si>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</si>
  <si>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</si>
  <si>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</si>
  <si>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</si>
  <si>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</si>
  <si>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</si>
  <si>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</si>
  <si>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</si>
  <si>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</si>
  <si>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상임위 예산안
조정액(나)</t>
    <phoneticPr fontId="6" type="noConversion"/>
  </si>
  <si>
    <t>예결위 예산안
조정액(라)</t>
    <phoneticPr fontId="6" type="noConversion"/>
  </si>
  <si>
    <t>기특</t>
    <phoneticPr fontId="6" type="noConversion"/>
  </si>
  <si>
    <t>공특</t>
    <phoneticPr fontId="6" type="noConversion"/>
  </si>
  <si>
    <t>일반</t>
    <phoneticPr fontId="6" type="noConversion"/>
  </si>
  <si>
    <t>실국명</t>
    <phoneticPr fontId="2" type="noConversion"/>
  </si>
  <si>
    <t>안전행정위원회</t>
  </si>
  <si>
    <t>국도비
등
여부</t>
    <phoneticPr fontId="2" type="noConversion"/>
  </si>
  <si>
    <t>국도비</t>
    <phoneticPr fontId="2" type="noConversion"/>
  </si>
  <si>
    <t>도비</t>
    <phoneticPr fontId="2" type="noConversion"/>
  </si>
  <si>
    <t>신규</t>
  </si>
  <si>
    <t>차액</t>
    <phoneticPr fontId="2" type="noConversion"/>
  </si>
  <si>
    <t>동의여부</t>
    <phoneticPr fontId="2" type="noConversion"/>
  </si>
  <si>
    <t>동의</t>
    <phoneticPr fontId="2" type="noConversion"/>
  </si>
  <si>
    <t>부동의</t>
    <phoneticPr fontId="2" type="noConversion"/>
  </si>
  <si>
    <t>추가
내시 등</t>
    <phoneticPr fontId="2" type="noConversion"/>
  </si>
  <si>
    <t>세입번호</t>
    <phoneticPr fontId="2" type="noConversion"/>
  </si>
  <si>
    <t>실국부서
코드</t>
    <phoneticPr fontId="2" type="noConversion"/>
  </si>
  <si>
    <t>세입
번호</t>
    <phoneticPr fontId="2" type="noConversion"/>
  </si>
  <si>
    <t>동일
세입
건수</t>
    <phoneticPr fontId="2" type="noConversion"/>
  </si>
  <si>
    <t>세입
번호
검증</t>
    <phoneticPr fontId="2" type="noConversion"/>
  </si>
  <si>
    <t>상임위 세입 검증</t>
    <phoneticPr fontId="2" type="noConversion"/>
  </si>
  <si>
    <t>국비 증감액</t>
    <phoneticPr fontId="2" type="noConversion"/>
  </si>
  <si>
    <t>건수</t>
    <phoneticPr fontId="2" type="noConversion"/>
  </si>
  <si>
    <t>예결위 세입 검증</t>
    <phoneticPr fontId="2" type="noConversion"/>
  </si>
  <si>
    <t>검증</t>
    <phoneticPr fontId="2" type="noConversion"/>
  </si>
  <si>
    <t>예산안
페이지</t>
    <phoneticPr fontId="2" type="noConversion"/>
  </si>
  <si>
    <t>사  업
설명서</t>
    <phoneticPr fontId="6" type="noConversion"/>
  </si>
  <si>
    <t>동의
대상</t>
    <phoneticPr fontId="2" type="noConversion"/>
  </si>
  <si>
    <t>(기획재정위원회)</t>
    <phoneticPr fontId="2" type="noConversion"/>
  </si>
  <si>
    <t>□ 총     괄</t>
    <phoneticPr fontId="2" type="noConversion"/>
  </si>
  <si>
    <t>세입예산 증감</t>
    <phoneticPr fontId="2" type="noConversion"/>
  </si>
  <si>
    <t>※ 예비비 증감</t>
    <phoneticPr fontId="2" type="noConversion"/>
  </si>
  <si>
    <t>구  분</t>
    <phoneticPr fontId="2" type="noConversion"/>
  </si>
  <si>
    <t>집행부제출(안)</t>
    <phoneticPr fontId="2" type="noConversion"/>
  </si>
  <si>
    <t>세입예산(안)</t>
    <phoneticPr fontId="2" type="noConversion"/>
  </si>
  <si>
    <t>세출예산(안)</t>
    <phoneticPr fontId="2" type="noConversion"/>
  </si>
  <si>
    <t>수정예산(안)</t>
    <phoneticPr fontId="2" type="noConversion"/>
  </si>
  <si>
    <t>※ 예산안 증감현황</t>
    <phoneticPr fontId="2" type="noConversion"/>
  </si>
  <si>
    <t>감 액</t>
    <phoneticPr fontId="2" type="noConversion"/>
  </si>
  <si>
    <t>증 액</t>
    <phoneticPr fontId="2" type="noConversion"/>
  </si>
  <si>
    <t>예비비</t>
    <phoneticPr fontId="2" type="noConversion"/>
  </si>
  <si>
    <t>비고</t>
    <phoneticPr fontId="2" type="noConversion"/>
  </si>
  <si>
    <t>합  계</t>
    <phoneticPr fontId="2" type="noConversion"/>
  </si>
  <si>
    <t>일반회계</t>
    <phoneticPr fontId="2" type="noConversion"/>
  </si>
  <si>
    <t>특별회계</t>
    <phoneticPr fontId="2" type="noConversion"/>
  </si>
  <si>
    <t>세입예산</t>
    <phoneticPr fontId="2" type="noConversion"/>
  </si>
  <si>
    <t>세출예산</t>
    <phoneticPr fontId="2" type="noConversion"/>
  </si>
  <si>
    <t>잔액</t>
    <phoneticPr fontId="2" type="noConversion"/>
  </si>
  <si>
    <t>예산증감</t>
    <phoneticPr fontId="2" type="noConversion"/>
  </si>
  <si>
    <t>□ 회계별 예산 총 규모</t>
    <phoneticPr fontId="2" type="noConversion"/>
  </si>
  <si>
    <t>특별회계</t>
    <phoneticPr fontId="2" type="noConversion"/>
  </si>
  <si>
    <t>※ 회계별, 위원회별 집행부제출안</t>
    <phoneticPr fontId="2" type="noConversion"/>
  </si>
  <si>
    <t>위원회명</t>
    <phoneticPr fontId="2" type="noConversion"/>
  </si>
  <si>
    <t>합계</t>
    <phoneticPr fontId="2" type="noConversion"/>
  </si>
  <si>
    <t>일반+기타</t>
    <phoneticPr fontId="2" type="noConversion"/>
  </si>
  <si>
    <t>일반회계</t>
    <phoneticPr fontId="2" type="noConversion"/>
  </si>
  <si>
    <t>기타특별회계</t>
    <phoneticPr fontId="2" type="noConversion"/>
  </si>
  <si>
    <t>공기업특별회계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</si>
  <si>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</si>
  <si>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</si>
  <si>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</si>
  <si>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</si>
  <si>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</si>
  <si>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</si>
  <si>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</si>
  <si>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</si>
  <si>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</si>
  <si>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예비비</t>
    <phoneticPr fontId="2" type="noConversion"/>
  </si>
  <si>
    <r>
      <t xml:space="preserve">2016년도 제1회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</si>
  <si>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제1회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</si>
  <si>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제1회 추경경기도 특별회계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</si>
  <si>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제1회 추경 경기도 특별회계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</si>
  <si>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 xml:space="preserve"> - 2016년도 제1회 경기도 추가경정예산안</t>
    <phoneticPr fontId="2" type="noConversion"/>
  </si>
  <si>
    <t>2016년도 제1회 추가경정예산안(총괄)</t>
    <phoneticPr fontId="2" type="noConversion"/>
  </si>
  <si>
    <t>1회추경</t>
  </si>
  <si>
    <t>제1회 추경
예산안
(가)</t>
    <phoneticPr fontId="6" type="noConversion"/>
  </si>
  <si>
    <r>
      <t xml:space="preserve">제1회 추경
증감액
</t>
    </r>
    <r>
      <rPr>
        <b/>
        <sz val="8"/>
        <rFont val="돋움"/>
        <family val="3"/>
        <charset val="129"/>
      </rPr>
      <t>(다=가-나)</t>
    </r>
    <phoneticPr fontId="2" type="noConversion"/>
  </si>
  <si>
    <r>
      <t xml:space="preserve">기정액
</t>
    </r>
    <r>
      <rPr>
        <b/>
        <sz val="8"/>
        <rFont val="돋움"/>
        <family val="3"/>
        <charset val="129"/>
      </rPr>
      <t>(나)</t>
    </r>
    <phoneticPr fontId="2" type="noConversion"/>
  </si>
  <si>
    <t>(경제과학기술위원회)</t>
    <phoneticPr fontId="2" type="noConversion"/>
  </si>
  <si>
    <t>(문화체육관광위원회)</t>
    <phoneticPr fontId="2" type="noConversion"/>
  </si>
  <si>
    <t>(여성가족교육협력위원회)</t>
    <phoneticPr fontId="2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</si>
  <si>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</si>
  <si>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</si>
  <si>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(건설교통위원회)</t>
    <phoneticPr fontId="2" type="noConversion"/>
  </si>
  <si>
    <t>건설교통위원회</t>
    <phoneticPr fontId="2" type="noConversion"/>
  </si>
  <si>
    <t>건설국</t>
    <phoneticPr fontId="2" type="noConversion"/>
  </si>
  <si>
    <t>건설국</t>
    <phoneticPr fontId="2" type="noConversion"/>
  </si>
  <si>
    <t>도로정책과</t>
    <phoneticPr fontId="2" type="noConversion"/>
  </si>
  <si>
    <t>도로정책과</t>
    <phoneticPr fontId="2" type="noConversion"/>
  </si>
  <si>
    <t>동두천 상패-연천 청산 도로확포장공사(자체/지원)</t>
    <phoneticPr fontId="2" type="noConversion"/>
  </si>
  <si>
    <t>파주 설마-구읍 도로확포장공사(자체/직접)</t>
    <phoneticPr fontId="2" type="noConversion"/>
  </si>
  <si>
    <t>국비내시변경 도비부담 감액
균형발전담당관-962(2016.2.16)</t>
    <phoneticPr fontId="2" type="noConversion"/>
  </si>
  <si>
    <t>공사추진실적 양호, 조기완공을 위해 집중투자</t>
    <phoneticPr fontId="2" type="noConversion"/>
  </si>
  <si>
    <t>문화체육관광위원회</t>
    <phoneticPr fontId="2" type="noConversion"/>
  </si>
  <si>
    <t>문화체육관광국</t>
    <phoneticPr fontId="2" type="noConversion"/>
  </si>
  <si>
    <t>한류월드사업단</t>
    <phoneticPr fontId="2" type="noConversion"/>
  </si>
  <si>
    <t xml:space="preserve">한류월드 2구역 계약금 반환청구 소송 패소에 따른 배상금 </t>
    <phoneticPr fontId="2" type="noConversion"/>
  </si>
  <si>
    <t>기타회계등 전출금
-공기업특별회계 자본전출금</t>
    <phoneticPr fontId="2" type="noConversion"/>
  </si>
  <si>
    <t>(지역균형발전 기타특별회계)</t>
    <phoneticPr fontId="2" type="noConversion"/>
  </si>
  <si>
    <t>(한류월드조성사업 공기업특별회계)</t>
    <phoneticPr fontId="2" type="noConversion"/>
  </si>
  <si>
    <t>문화체육관광위원회</t>
    <phoneticPr fontId="2" type="noConversion"/>
  </si>
  <si>
    <t>문화체육관광국</t>
    <phoneticPr fontId="2" type="noConversion"/>
  </si>
  <si>
    <t>한류월드사업단</t>
    <phoneticPr fontId="2" type="noConversion"/>
  </si>
  <si>
    <t>기타자본적수입
- 일반회계 전입금</t>
    <phoneticPr fontId="2" type="noConversion"/>
  </si>
  <si>
    <t>한류월드 2구역 계약금 반환청구 소송 패소에 따른 판결금 부족분에 대한 일반회계 전입금</t>
    <phoneticPr fontId="2" type="noConversion"/>
  </si>
  <si>
    <t>문화체육관광위원회</t>
    <phoneticPr fontId="2" type="noConversion"/>
  </si>
  <si>
    <t>문화체육관광국</t>
    <phoneticPr fontId="2" type="noConversion"/>
  </si>
  <si>
    <t>한류월드사업단</t>
    <phoneticPr fontId="2" type="noConversion"/>
  </si>
  <si>
    <t xml:space="preserve">한류월드 2구역 계약금 반환청구 소송 패소에 따른 배상금 </t>
  </si>
  <si>
    <t>배상금
- 한류월드2구역 계약금 반환청구소송 판결금</t>
    <phoneticPr fontId="2" type="noConversion"/>
  </si>
  <si>
    <t>기획조정실</t>
    <phoneticPr fontId="2" type="noConversion"/>
  </si>
  <si>
    <t>균형발전기획실</t>
    <phoneticPr fontId="2" type="noConversion"/>
  </si>
  <si>
    <t>미래전략담당관</t>
    <phoneticPr fontId="2" type="noConversion"/>
  </si>
  <si>
    <t>균형발전담당관</t>
    <phoneticPr fontId="2" type="noConversion"/>
  </si>
  <si>
    <t>경기연구원 출연(자체/직접)
- 경기연구원 출연금</t>
    <phoneticPr fontId="2" type="noConversion"/>
  </si>
  <si>
    <t>지역균형발전사업 육성(자체/지원)
- 지역균형발전사업 지원</t>
    <phoneticPr fontId="2" type="noConversion"/>
  </si>
  <si>
    <t>도비</t>
  </si>
  <si>
    <t>기획재정위원회</t>
    <phoneticPr fontId="2" type="noConversion"/>
  </si>
  <si>
    <t>균형발전기획실</t>
    <phoneticPr fontId="2" type="noConversion"/>
  </si>
  <si>
    <t>기타회계전입금
- 일반회계 전입금</t>
    <phoneticPr fontId="2" type="noConversion"/>
  </si>
  <si>
    <t>여성가족교육협력위원회</t>
    <phoneticPr fontId="2" type="noConversion"/>
  </si>
  <si>
    <t>교육협력국</t>
    <phoneticPr fontId="2" type="noConversion"/>
  </si>
  <si>
    <t>교육정책과</t>
    <phoneticPr fontId="2" type="noConversion"/>
  </si>
  <si>
    <t>G-MOOC 사업 추진(자체/직접)
- G-MOOC 추진단 운영</t>
    <phoneticPr fontId="2" type="noConversion"/>
  </si>
  <si>
    <t>G-MOOC 사업 추진(자체/직접)
- G-MOOC 사업 추진</t>
    <phoneticPr fontId="2" type="noConversion"/>
  </si>
  <si>
    <t>경제과학기술위원회</t>
    <phoneticPr fontId="2" type="noConversion"/>
  </si>
  <si>
    <t>경제실</t>
    <phoneticPr fontId="2" type="noConversion"/>
  </si>
  <si>
    <t>기업지원과</t>
    <phoneticPr fontId="2" type="noConversion"/>
  </si>
  <si>
    <t>NEXT경기 스타트업 콜라보레이션(자체/직접)
- NEXT경기 스타트업 콜라보레이션</t>
    <phoneticPr fontId="2" type="noConversion"/>
  </si>
  <si>
    <t>예산 중 40억은 경기신보 특례보증 출연금으로 지원하여 10배수 운영</t>
    <phoneticPr fontId="2" type="noConversion"/>
  </si>
  <si>
    <t>예산담당관</t>
    <phoneticPr fontId="2" type="noConversion"/>
  </si>
  <si>
    <t>예비비
- 예비비</t>
    <phoneticPr fontId="2" type="noConversion"/>
  </si>
  <si>
    <t>예산결산특별위원회</t>
    <phoneticPr fontId="2" type="noConversion"/>
  </si>
  <si>
    <t>예결위 예산안 조정 결과</t>
    <phoneticPr fontId="2" type="noConversion"/>
  </si>
  <si>
    <t>창의테마파크 사업 추진(자체/직접)
- 창의테마파크 운영 지원</t>
    <phoneticPr fontId="2" type="noConversion"/>
  </si>
  <si>
    <t>인성테마파크 사업 추진(자체/직접)
- 인성테마파크 운영 지원</t>
    <phoneticPr fontId="2" type="noConversion"/>
  </si>
  <si>
    <t>파주 적성-연천 두일 도로확포장 공사(자체/직접)</t>
    <phoneticPr fontId="2" type="noConversion"/>
  </si>
  <si>
    <t>(부대의견) 타당성 용역 결과 후 집행</t>
    <phoneticPr fontId="2" type="noConversion"/>
  </si>
  <si>
    <t>자치행정국</t>
    <phoneticPr fontId="2" type="noConversion"/>
  </si>
  <si>
    <t>세정과</t>
    <phoneticPr fontId="2" type="noConversion"/>
  </si>
  <si>
    <t>지방세수입
- 취득세</t>
    <phoneticPr fontId="2" type="noConversion"/>
  </si>
  <si>
    <t>- 예산편성 세부내역은 상임위 승인 후 집행할것.
- 인건비 등 운영비를 제외한 사업은 공기관등에대한대행사업으로 추진할것</t>
    <phoneticPr fontId="2" type="noConversion"/>
  </si>
  <si>
    <t>- 공무원 e러닝교육(콘텐츠제작 및 유지관리 등)은 G-MOOC사업에 포함하지 말것.
- 예산편성 세부내역은 상임위 승인 후 집행할것.
- 공기관등에대한 대행사업으로 추진</t>
    <phoneticPr fontId="2" type="noConversion"/>
  </si>
  <si>
    <t>(부대의견) 도와 교육청 향후 협의</t>
    <phoneticPr fontId="2" type="noConversion"/>
  </si>
  <si>
    <t>교육협력사업(자체/직접)
-비법정전출금</t>
    <phoneticPr fontId="2" type="noConversion"/>
  </si>
  <si>
    <t>- 영어마을 명칭 훼손하지 않고 빈 공간을 활용하여 사업추진 할것.
- 인건비를 제외한 사업은 공기관등에대한대행사업으로 추진할 것.
- 예산편성 세부내역은 상임위 승인 후 집행할것.</t>
    <phoneticPr fontId="2" type="noConversion"/>
  </si>
  <si>
    <t>(안전행정위원회)</t>
    <phoneticPr fontId="2" type="noConversion"/>
  </si>
  <si>
    <t>기타회계전출금
- 지역균형발전 특별회계 전출금</t>
    <phoneticPr fontId="2" type="noConversion"/>
  </si>
  <si>
    <t>도비</t>
    <phoneticPr fontId="2" type="noConversion"/>
  </si>
  <si>
    <t>기획재정위원회</t>
    <phoneticPr fontId="2" type="noConversion"/>
  </si>
  <si>
    <t>기획조정실</t>
    <phoneticPr fontId="2" type="noConversion"/>
  </si>
  <si>
    <t>1회추경</t>
    <phoneticPr fontId="2" type="noConversion"/>
  </si>
  <si>
    <t>조정교부금지원(자체/지원)
- 조정교부금</t>
    <phoneticPr fontId="2" type="noConversion"/>
  </si>
  <si>
    <t>안전행정위원회</t>
    <phoneticPr fontId="2" type="noConversion"/>
  </si>
  <si>
    <t>자치행정국</t>
    <phoneticPr fontId="2" type="noConversion"/>
  </si>
  <si>
    <t>세정과</t>
    <phoneticPr fontId="2" type="noConversion"/>
  </si>
  <si>
    <t>지방세수증대 지원(자체/지원)
- 도세징수교부금(3%)</t>
    <phoneticPr fontId="2" type="noConversion"/>
  </si>
  <si>
    <t>법정 부담금(자체/직접)
- 교육재정부담금</t>
    <phoneticPr fontId="2" type="noConversion"/>
  </si>
  <si>
    <t>세입없음</t>
    <phoneticPr fontId="2" type="noConversion"/>
  </si>
  <si>
    <t>안전행정위원회</t>
    <phoneticPr fontId="2" type="noConversion"/>
  </si>
  <si>
    <t>교육협력과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</si>
</sst>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;\△#,##0"/>
    <numFmt numFmtId="184" formatCode="#,##0&quot;건&quot;;[Red]&quot;△&quot;#,##0&quot;건&quot;"/>
    <numFmt numFmtId="185" formatCode="#,##0;[Red]\▲#,##0"/>
  </numFmts>
  <fonts count="10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22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sz val="10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rgb="FF0000CC"/>
      <name val="맑은 고딕"/>
      <family val="3"/>
      <charset val="129"/>
      <scheme val="minor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4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0" fillId="22" borderId="2" applyNumberFormat="0" applyFon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4" borderId="3" applyNumberForma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8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21" borderId="9" applyNumberFormat="0" applyAlignment="0" applyProtection="0">
      <alignment vertical="center"/>
    </xf>
    <xf numFmtId="0" fontId="35" fillId="0" borderId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36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37" fillId="0" borderId="0" applyFont="0" applyFill="0" applyBorder="0" applyAlignment="0" applyProtection="0"/>
    <xf numFmtId="181" fontId="10" fillId="0" borderId="0" applyFont="0" applyFill="0" applyBorder="0" applyAlignment="0" applyProtection="0"/>
    <xf numFmtId="38" fontId="38" fillId="21" borderId="0" applyNumberFormat="0" applyBorder="0" applyAlignment="0" applyProtection="0"/>
    <xf numFmtId="0" fontId="39" fillId="0" borderId="17" applyNumberFormat="0" applyAlignment="0" applyProtection="0">
      <alignment horizontal="left" vertical="center"/>
    </xf>
    <xf numFmtId="0" fontId="39" fillId="0" borderId="16">
      <alignment horizontal="left" vertical="center"/>
    </xf>
    <xf numFmtId="10" fontId="38" fillId="22" borderId="10" applyNumberFormat="0" applyBorder="0" applyAlignment="0" applyProtection="0"/>
    <xf numFmtId="181" fontId="10" fillId="0" borderId="0"/>
    <xf numFmtId="0" fontId="40" fillId="0" borderId="0"/>
    <xf numFmtId="10" fontId="40" fillId="0" borderId="0" applyFont="0" applyFill="0" applyBorder="0" applyAlignment="0" applyProtection="0"/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9" fontId="57" fillId="0" borderId="0" applyFont="0" applyFill="0" applyAlignment="0" applyProtection="0"/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18" fillId="49" borderId="3" applyNumberFormat="0" applyAlignment="0" applyProtection="0">
      <alignment vertical="center"/>
    </xf>
    <xf numFmtId="182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/>
    <xf numFmtId="181" fontId="10" fillId="0" borderId="0"/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0" fillId="0" borderId="0" applyNumberFormat="0" applyFont="0" applyFill="0" applyBorder="0" applyAlignment="0" applyProtection="0"/>
    <xf numFmtId="0" fontId="79" fillId="0" borderId="0">
      <alignment vertical="center"/>
    </xf>
    <xf numFmtId="0" fontId="40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424">
    <xf numFmtId="0" fontId="0" fillId="0" borderId="0" xfId="0">
      <alignment vertical="center"/>
    </xf>
    <xf numFmtId="0" fontId="10" fillId="0" borderId="0" xfId="2"/>
    <xf numFmtId="0" fontId="28" fillId="0" borderId="0" xfId="2" applyNumberFormat="1" applyFont="1" applyAlignment="1">
      <alignment horizontal="centerContinuous"/>
    </xf>
    <xf numFmtId="0" fontId="29" fillId="0" borderId="0" xfId="2" applyNumberFormat="1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centerContinuous"/>
    </xf>
    <xf numFmtId="0" fontId="28" fillId="0" borderId="0" xfId="2" applyFont="1" applyAlignment="1">
      <alignment horizontal="left"/>
    </xf>
    <xf numFmtId="0" fontId="31" fillId="0" borderId="0" xfId="2" applyNumberFormat="1" applyFont="1" applyAlignment="1">
      <alignment horizontal="centerContinuous"/>
    </xf>
    <xf numFmtId="0" fontId="10" fillId="0" borderId="0" xfId="2" applyNumberFormat="1" applyAlignment="1">
      <alignment horizontal="centerContinuous"/>
    </xf>
    <xf numFmtId="0" fontId="32" fillId="0" borderId="0" xfId="2" applyNumberFormat="1" applyFont="1" applyAlignment="1">
      <alignment horizontal="centerContinuous"/>
    </xf>
    <xf numFmtId="0" fontId="34" fillId="0" borderId="0" xfId="2" applyFont="1"/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8" fillId="0" borderId="0" xfId="45" applyNumberFormat="1" applyFont="1" applyFill="1" applyBorder="1" applyAlignment="1">
      <alignment horizontal="right" vertical="center" shrinkToFit="1"/>
    </xf>
    <xf numFmtId="176" fontId="48" fillId="0" borderId="0" xfId="45" applyNumberFormat="1" applyFont="1" applyFill="1" applyBorder="1" applyAlignment="1">
      <alignment horizontal="center" vertical="center" shrinkToFit="1"/>
    </xf>
    <xf numFmtId="176" fontId="29" fillId="0" borderId="0" xfId="2" applyNumberFormat="1" applyFont="1" applyAlignment="1">
      <alignment vertical="center"/>
    </xf>
    <xf numFmtId="176" fontId="56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8" fillId="0" borderId="10" xfId="45" applyNumberFormat="1" applyFont="1" applyFill="1" applyBorder="1" applyAlignment="1">
      <alignment horizontal="right" vertical="center" shrinkToFit="1"/>
    </xf>
    <xf numFmtId="176" fontId="48" fillId="0" borderId="37" xfId="45" applyNumberFormat="1" applyFont="1" applyFill="1" applyBorder="1" applyAlignment="1">
      <alignment horizontal="right" vertical="center" shrinkToFit="1"/>
    </xf>
    <xf numFmtId="176" fontId="63" fillId="0" borderId="10" xfId="0" applyNumberFormat="1" applyFont="1" applyBorder="1" applyAlignment="1">
      <alignment horizontal="center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6" fillId="51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176" fontId="66" fillId="52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66" fillId="51" borderId="10" xfId="1" applyNumberFormat="1" applyFont="1" applyFill="1" applyBorder="1" applyAlignment="1">
      <alignment horizontal="right" vertical="center"/>
    </xf>
    <xf numFmtId="176" fontId="66" fillId="52" borderId="10" xfId="1" applyNumberFormat="1" applyFont="1" applyFill="1" applyBorder="1" applyAlignment="1">
      <alignment horizontal="right" vertical="center"/>
    </xf>
    <xf numFmtId="176" fontId="73" fillId="0" borderId="10" xfId="0" applyNumberFormat="1" applyFont="1" applyBorder="1" applyAlignment="1">
      <alignment horizontal="center" vertical="center"/>
    </xf>
    <xf numFmtId="176" fontId="73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4" fillId="0" borderId="0" xfId="0" applyNumberFormat="1" applyFont="1">
      <alignment vertical="center"/>
    </xf>
    <xf numFmtId="176" fontId="74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5" fillId="0" borderId="0" xfId="0" applyNumberFormat="1" applyFont="1">
      <alignment vertical="center"/>
    </xf>
    <xf numFmtId="176" fontId="66" fillId="0" borderId="10" xfId="0" applyNumberFormat="1" applyFont="1" applyFill="1" applyBorder="1" applyAlignment="1">
      <alignment horizontal="center" vertical="center"/>
    </xf>
    <xf numFmtId="176" fontId="66" fillId="0" borderId="10" xfId="1" applyNumberFormat="1" applyFont="1" applyFill="1" applyBorder="1" applyAlignment="1">
      <alignment horizontal="right" vertical="center"/>
    </xf>
    <xf numFmtId="176" fontId="65" fillId="0" borderId="0" xfId="0" applyNumberFormat="1" applyFont="1" applyFill="1">
      <alignment vertical="center"/>
    </xf>
    <xf numFmtId="176" fontId="63" fillId="0" borderId="10" xfId="0" applyNumberFormat="1" applyFont="1" applyFill="1" applyBorder="1" applyAlignment="1">
      <alignment horizontal="center" vertical="center" shrinkToFit="1"/>
    </xf>
    <xf numFmtId="176" fontId="68" fillId="0" borderId="0" xfId="0" applyNumberFormat="1" applyFont="1" applyAlignment="1">
      <alignment vertical="center"/>
    </xf>
    <xf numFmtId="176" fontId="76" fillId="0" borderId="0" xfId="2" applyNumberFormat="1" applyFont="1"/>
    <xf numFmtId="176" fontId="45" fillId="0" borderId="10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0" xfId="2" applyNumberFormat="1" applyFont="1"/>
    <xf numFmtId="176" fontId="9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67" fillId="0" borderId="18" xfId="0" applyNumberFormat="1" applyFont="1" applyBorder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84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4" fillId="25" borderId="41" xfId="1" applyNumberFormat="1" applyFont="1" applyFill="1" applyBorder="1" applyAlignment="1">
      <alignment horizontal="right" vertical="center" shrinkToFit="1"/>
    </xf>
    <xf numFmtId="176" fontId="4" fillId="0" borderId="41" xfId="1" applyNumberFormat="1" applyFont="1" applyFill="1" applyBorder="1" applyAlignment="1">
      <alignment horizontal="center" vertical="center" shrinkToFi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67" fillId="53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176" fontId="44" fillId="0" borderId="0" xfId="2" applyNumberFormat="1" applyFont="1"/>
    <xf numFmtId="176" fontId="43" fillId="0" borderId="0" xfId="2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/>
    <xf numFmtId="176" fontId="47" fillId="0" borderId="0" xfId="2" applyNumberFormat="1" applyFont="1" applyAlignment="1">
      <alignment vertical="center"/>
    </xf>
    <xf numFmtId="176" fontId="45" fillId="0" borderId="0" xfId="2" applyNumberFormat="1" applyFont="1" applyAlignment="1">
      <alignment vertical="center"/>
    </xf>
    <xf numFmtId="176" fontId="45" fillId="0" borderId="0" xfId="2" applyNumberFormat="1" applyFont="1" applyAlignment="1">
      <alignment horizontal="right" vertical="center"/>
    </xf>
    <xf numFmtId="176" fontId="44" fillId="0" borderId="0" xfId="2" applyNumberFormat="1" applyFont="1" applyAlignment="1">
      <alignment vertical="center"/>
    </xf>
    <xf numFmtId="176" fontId="44" fillId="0" borderId="18" xfId="2" applyNumberFormat="1" applyFont="1" applyBorder="1" applyAlignment="1">
      <alignment vertical="center"/>
    </xf>
    <xf numFmtId="176" fontId="45" fillId="27" borderId="10" xfId="2" applyNumberFormat="1" applyFont="1" applyFill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14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 wrapText="1"/>
    </xf>
    <xf numFmtId="176" fontId="44" fillId="0" borderId="10" xfId="2" applyNumberFormat="1" applyFont="1" applyBorder="1" applyAlignment="1">
      <alignment horizontal="center" vertical="center" wrapText="1"/>
    </xf>
    <xf numFmtId="176" fontId="44" fillId="0" borderId="34" xfId="2" applyNumberFormat="1" applyFont="1" applyBorder="1" applyAlignment="1">
      <alignment horizontal="center" vertical="center"/>
    </xf>
    <xf numFmtId="176" fontId="44" fillId="0" borderId="10" xfId="45" applyNumberFormat="1" applyFont="1" applyBorder="1" applyAlignment="1">
      <alignment horizontal="right" vertical="center"/>
    </xf>
    <xf numFmtId="176" fontId="44" fillId="0" borderId="35" xfId="45" applyNumberFormat="1" applyFont="1" applyBorder="1" applyAlignment="1">
      <alignment horizontal="right" vertical="center"/>
    </xf>
    <xf numFmtId="176" fontId="49" fillId="27" borderId="15" xfId="2" applyNumberFormat="1" applyFont="1" applyFill="1" applyBorder="1" applyAlignment="1">
      <alignment horizontal="right" vertical="center"/>
    </xf>
    <xf numFmtId="176" fontId="44" fillId="0" borderId="14" xfId="2" applyNumberFormat="1" applyFont="1" applyBorder="1" applyAlignment="1">
      <alignment horizontal="right" vertical="center"/>
    </xf>
    <xf numFmtId="176" fontId="50" fillId="0" borderId="27" xfId="2" applyNumberFormat="1" applyFont="1" applyBorder="1" applyAlignment="1">
      <alignment vertical="center"/>
    </xf>
    <xf numFmtId="176" fontId="51" fillId="12" borderId="28" xfId="2" applyNumberFormat="1" applyFont="1" applyFill="1" applyBorder="1" applyAlignment="1">
      <alignment vertical="center" wrapText="1"/>
    </xf>
    <xf numFmtId="176" fontId="49" fillId="0" borderId="15" xfId="45" applyNumberFormat="1" applyFont="1" applyBorder="1" applyAlignment="1">
      <alignment vertical="center"/>
    </xf>
    <xf numFmtId="176" fontId="44" fillId="0" borderId="10" xfId="45" applyNumberFormat="1" applyFont="1" applyBorder="1" applyAlignment="1">
      <alignment vertical="center"/>
    </xf>
    <xf numFmtId="176" fontId="44" fillId="0" borderId="10" xfId="2" applyNumberFormat="1" applyFont="1" applyBorder="1" applyAlignment="1">
      <alignment vertical="center"/>
    </xf>
    <xf numFmtId="176" fontId="44" fillId="0" borderId="34" xfId="2" applyNumberFormat="1" applyFont="1" applyBorder="1" applyAlignment="1">
      <alignment horizontal="center" vertical="center" wrapText="1"/>
    </xf>
    <xf numFmtId="176" fontId="49" fillId="27" borderId="16" xfId="2" applyNumberFormat="1" applyFont="1" applyFill="1" applyBorder="1" applyAlignment="1">
      <alignment vertical="center"/>
    </xf>
    <xf numFmtId="176" fontId="44" fillId="0" borderId="16" xfId="2" applyNumberFormat="1" applyFont="1" applyBorder="1" applyAlignment="1">
      <alignment horizontal="center" vertical="center"/>
    </xf>
    <xf numFmtId="176" fontId="50" fillId="0" borderId="0" xfId="2" applyNumberFormat="1" applyFont="1" applyBorder="1" applyAlignment="1">
      <alignment vertical="center"/>
    </xf>
    <xf numFmtId="176" fontId="51" fillId="12" borderId="0" xfId="2" applyNumberFormat="1" applyFont="1" applyFill="1" applyBorder="1" applyAlignment="1">
      <alignment vertical="center" wrapText="1"/>
    </xf>
    <xf numFmtId="176" fontId="49" fillId="0" borderId="0" xfId="45" applyNumberFormat="1" applyFont="1" applyBorder="1" applyAlignment="1">
      <alignment vertical="center"/>
    </xf>
    <xf numFmtId="176" fontId="44" fillId="0" borderId="0" xfId="45" applyNumberFormat="1" applyFont="1" applyBorder="1" applyAlignment="1">
      <alignment vertical="center"/>
    </xf>
    <xf numFmtId="176" fontId="44" fillId="0" borderId="0" xfId="2" applyNumberFormat="1" applyFont="1" applyBorder="1" applyAlignment="1">
      <alignment vertical="center"/>
    </xf>
    <xf numFmtId="176" fontId="44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Border="1" applyAlignment="1">
      <alignment horizontal="right" vertical="center"/>
    </xf>
    <xf numFmtId="176" fontId="44" fillId="0" borderId="36" xfId="2" applyNumberFormat="1" applyFont="1" applyBorder="1" applyAlignment="1">
      <alignment horizontal="center" vertical="center"/>
    </xf>
    <xf numFmtId="176" fontId="53" fillId="0" borderId="15" xfId="2" applyNumberFormat="1" applyFont="1" applyBorder="1" applyAlignment="1">
      <alignment horizontal="right" vertical="center" wrapText="1"/>
    </xf>
    <xf numFmtId="176" fontId="53" fillId="0" borderId="10" xfId="2" applyNumberFormat="1" applyFont="1" applyBorder="1" applyAlignment="1">
      <alignment horizontal="right" vertical="center" wrapText="1"/>
    </xf>
    <xf numFmtId="176" fontId="52" fillId="8" borderId="29" xfId="2" applyNumberFormat="1" applyFont="1" applyFill="1" applyBorder="1" applyAlignment="1">
      <alignment vertical="center"/>
    </xf>
    <xf numFmtId="176" fontId="44" fillId="0" borderId="0" xfId="2" applyNumberFormat="1" applyFont="1" applyAlignment="1">
      <alignment horizontal="center" wrapText="1"/>
    </xf>
    <xf numFmtId="176" fontId="44" fillId="0" borderId="0" xfId="2" applyNumberFormat="1" applyFont="1" applyAlignment="1">
      <alignment wrapText="1"/>
    </xf>
    <xf numFmtId="176" fontId="60" fillId="0" borderId="0" xfId="2" applyNumberFormat="1" applyFont="1"/>
    <xf numFmtId="176" fontId="50" fillId="0" borderId="0" xfId="2" applyNumberFormat="1" applyFont="1" applyAlignment="1">
      <alignment wrapText="1"/>
    </xf>
    <xf numFmtId="176" fontId="44" fillId="0" borderId="10" xfId="45" applyNumberFormat="1" applyFont="1" applyFill="1" applyBorder="1" applyAlignment="1">
      <alignment horizontal="right" vertical="center"/>
    </xf>
    <xf numFmtId="176" fontId="44" fillId="0" borderId="0" xfId="2" applyNumberFormat="1" applyFont="1" applyFill="1"/>
    <xf numFmtId="176" fontId="45" fillId="0" borderId="0" xfId="2" applyNumberFormat="1" applyFont="1" applyFill="1"/>
    <xf numFmtId="176" fontId="52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Fill="1" applyBorder="1" applyAlignment="1">
      <alignment horizontal="right" vertical="center"/>
    </xf>
    <xf numFmtId="176" fontId="52" fillId="0" borderId="0" xfId="2" applyNumberFormat="1" applyFont="1" applyFill="1"/>
    <xf numFmtId="176" fontId="54" fillId="0" borderId="0" xfId="2" applyNumberFormat="1" applyFont="1" applyFill="1"/>
    <xf numFmtId="176" fontId="44" fillId="0" borderId="27" xfId="2" applyNumberFormat="1" applyFont="1" applyFill="1" applyBorder="1" applyAlignment="1">
      <alignment horizontal="center" vertical="center"/>
    </xf>
    <xf numFmtId="176" fontId="44" fillId="0" borderId="37" xfId="45" applyNumberFormat="1" applyFont="1" applyFill="1" applyBorder="1" applyAlignment="1">
      <alignment horizontal="right" vertical="center"/>
    </xf>
    <xf numFmtId="176" fontId="44" fillId="0" borderId="28" xfId="45" applyNumberFormat="1" applyFont="1" applyBorder="1" applyAlignment="1">
      <alignment horizontal="right" vertical="center"/>
    </xf>
    <xf numFmtId="176" fontId="46" fillId="0" borderId="0" xfId="2" applyNumberFormat="1" applyFont="1" applyAlignment="1">
      <alignment horizontal="left" vertical="center"/>
    </xf>
    <xf numFmtId="176" fontId="46" fillId="0" borderId="0" xfId="2" applyNumberFormat="1" applyFont="1" applyAlignment="1">
      <alignment horizontal="right" vertical="center"/>
    </xf>
    <xf numFmtId="176" fontId="44" fillId="0" borderId="27" xfId="2" applyNumberFormat="1" applyFont="1" applyBorder="1" applyAlignment="1">
      <alignment horizontal="center" vertical="center"/>
    </xf>
    <xf numFmtId="176" fontId="44" fillId="0" borderId="37" xfId="45" applyNumberFormat="1" applyFont="1" applyBorder="1" applyAlignment="1">
      <alignment horizontal="right" vertical="center"/>
    </xf>
    <xf numFmtId="176" fontId="55" fillId="0" borderId="30" xfId="2" applyNumberFormat="1" applyFont="1" applyFill="1" applyBorder="1" applyAlignment="1"/>
    <xf numFmtId="176" fontId="45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5" fillId="0" borderId="13" xfId="2" applyNumberFormat="1" applyFont="1" applyFill="1" applyBorder="1" applyAlignment="1"/>
    <xf numFmtId="176" fontId="61" fillId="53" borderId="10" xfId="2" applyNumberFormat="1" applyFont="1" applyFill="1" applyBorder="1" applyAlignment="1"/>
    <xf numFmtId="176" fontId="61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4" fillId="26" borderId="0" xfId="2" applyNumberFormat="1" applyFont="1" applyFill="1"/>
    <xf numFmtId="176" fontId="46" fillId="0" borderId="0" xfId="2" applyNumberFormat="1" applyFont="1"/>
    <xf numFmtId="185" fontId="80" fillId="53" borderId="10" xfId="195" applyNumberFormat="1" applyFont="1" applyFill="1" applyBorder="1" applyAlignment="1">
      <alignment horizontal="center" vertical="center" wrapText="1"/>
    </xf>
    <xf numFmtId="0" fontId="81" fillId="0" borderId="0" xfId="0" applyFont="1">
      <alignment vertical="center"/>
    </xf>
    <xf numFmtId="185" fontId="80" fillId="55" borderId="10" xfId="195" applyNumberFormat="1" applyFont="1" applyFill="1" applyBorder="1" applyAlignment="1">
      <alignment horizontal="center" vertical="center" wrapText="1"/>
    </xf>
    <xf numFmtId="49" fontId="80" fillId="55" borderId="10" xfId="195" applyNumberFormat="1" applyFont="1" applyFill="1" applyBorder="1" applyAlignment="1">
      <alignment horizontal="center" vertical="center" wrapText="1"/>
    </xf>
    <xf numFmtId="0" fontId="81" fillId="0" borderId="10" xfId="0" applyFont="1" applyBorder="1">
      <alignment vertical="center"/>
    </xf>
    <xf numFmtId="49" fontId="81" fillId="0" borderId="10" xfId="0" applyNumberFormat="1" applyFont="1" applyBorder="1">
      <alignment vertical="center"/>
    </xf>
    <xf numFmtId="49" fontId="82" fillId="0" borderId="10" xfId="0" applyNumberFormat="1" applyFont="1" applyFill="1" applyBorder="1" applyAlignment="1">
      <alignment vertical="center" wrapText="1"/>
    </xf>
    <xf numFmtId="49" fontId="82" fillId="0" borderId="10" xfId="0" applyNumberFormat="1" applyFont="1" applyFill="1" applyBorder="1" applyAlignment="1">
      <alignment horizontal="left" vertical="center" wrapText="1"/>
    </xf>
    <xf numFmtId="49" fontId="81" fillId="0" borderId="10" xfId="196" applyNumberFormat="1" applyFont="1" applyFill="1" applyBorder="1" applyAlignment="1">
      <alignment horizontal="center" vertical="center"/>
    </xf>
    <xf numFmtId="0" fontId="81" fillId="0" borderId="10" xfId="0" applyFont="1" applyFill="1" applyBorder="1" applyAlignment="1">
      <alignment horizontal="center" vertical="center"/>
    </xf>
    <xf numFmtId="49" fontId="81" fillId="0" borderId="0" xfId="0" applyNumberFormat="1" applyFont="1" applyAlignment="1">
      <alignment horizontal="center" vertical="center"/>
    </xf>
    <xf numFmtId="0" fontId="81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67" fillId="54" borderId="10" xfId="0" applyNumberFormat="1" applyFont="1" applyFill="1" applyBorder="1" applyAlignment="1">
      <alignment vertical="center"/>
    </xf>
    <xf numFmtId="0" fontId="81" fillId="53" borderId="10" xfId="0" applyFont="1" applyFill="1" applyBorder="1">
      <alignment vertical="center"/>
    </xf>
    <xf numFmtId="49" fontId="81" fillId="53" borderId="10" xfId="0" applyNumberFormat="1" applyFont="1" applyFill="1" applyBorder="1">
      <alignment vertical="center"/>
    </xf>
    <xf numFmtId="0" fontId="81" fillId="53" borderId="0" xfId="0" applyFont="1" applyFill="1">
      <alignment vertical="center"/>
    </xf>
    <xf numFmtId="49" fontId="82" fillId="53" borderId="10" xfId="0" applyNumberFormat="1" applyFont="1" applyFill="1" applyBorder="1" applyAlignment="1">
      <alignment vertical="center" wrapText="1"/>
    </xf>
    <xf numFmtId="49" fontId="82" fillId="53" borderId="10" xfId="0" applyNumberFormat="1" applyFont="1" applyFill="1" applyBorder="1" applyAlignment="1">
      <alignment horizontal="left" vertical="center" wrapText="1"/>
    </xf>
    <xf numFmtId="49" fontId="81" fillId="53" borderId="10" xfId="196" applyNumberFormat="1" applyFont="1" applyFill="1" applyBorder="1" applyAlignment="1">
      <alignment horizontal="center" vertical="center"/>
    </xf>
    <xf numFmtId="0" fontId="81" fillId="53" borderId="10" xfId="0" applyFont="1" applyFill="1" applyBorder="1" applyAlignment="1">
      <alignment horizontal="center" vertical="center"/>
    </xf>
    <xf numFmtId="176" fontId="63" fillId="0" borderId="10" xfId="0" applyNumberFormat="1" applyFont="1" applyBorder="1" applyAlignment="1">
      <alignment horizontal="center" vertical="center" wrapText="1" shrinkToFit="1"/>
    </xf>
    <xf numFmtId="176" fontId="85" fillId="0" borderId="10" xfId="2" applyNumberFormat="1" applyFont="1" applyFill="1" applyBorder="1" applyAlignment="1"/>
    <xf numFmtId="176" fontId="10" fillId="0" borderId="10" xfId="2" applyNumberFormat="1" applyFont="1" applyFill="1" applyBorder="1" applyAlignment="1"/>
    <xf numFmtId="176" fontId="85" fillId="0" borderId="10" xfId="2" applyNumberFormat="1" applyFont="1" applyFill="1" applyBorder="1" applyAlignment="1">
      <alignment horizontal="center" vertical="center"/>
    </xf>
    <xf numFmtId="176" fontId="10" fillId="53" borderId="10" xfId="2" applyNumberFormat="1" applyFont="1" applyFill="1" applyBorder="1" applyAlignment="1"/>
    <xf numFmtId="176" fontId="10" fillId="53" borderId="10" xfId="2" applyNumberFormat="1" applyFont="1" applyFill="1" applyBorder="1"/>
    <xf numFmtId="176" fontId="86" fillId="0" borderId="10" xfId="2" applyNumberFormat="1" applyFont="1" applyFill="1" applyBorder="1" applyAlignment="1">
      <alignment horizontal="center" vertical="center"/>
    </xf>
    <xf numFmtId="176" fontId="10" fillId="0" borderId="10" xfId="2" applyNumberFormat="1" applyFont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vertical="center"/>
    </xf>
    <xf numFmtId="176" fontId="10" fillId="53" borderId="10" xfId="2" applyNumberFormat="1" applyFont="1" applyFill="1" applyBorder="1" applyAlignment="1">
      <alignment vertical="center"/>
    </xf>
    <xf numFmtId="0" fontId="81" fillId="0" borderId="0" xfId="0" applyFont="1" applyAlignment="1">
      <alignment vertical="center" wrapText="1"/>
    </xf>
    <xf numFmtId="176" fontId="66" fillId="52" borderId="10" xfId="0" applyNumberFormat="1" applyFont="1" applyFill="1" applyBorder="1" applyAlignment="1">
      <alignment horizontal="right" vertical="center"/>
    </xf>
    <xf numFmtId="176" fontId="66" fillId="51" borderId="10" xfId="0" applyNumberFormat="1" applyFont="1" applyFill="1" applyBorder="1" applyAlignment="1">
      <alignment horizontal="right" vertical="center"/>
    </xf>
    <xf numFmtId="176" fontId="66" fillId="0" borderId="10" xfId="0" applyNumberFormat="1" applyFont="1" applyFill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" fontId="88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63" fillId="0" borderId="10" xfId="0" applyNumberFormat="1" applyFont="1" applyBorder="1" applyAlignment="1">
      <alignment horizontal="center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10" xfId="0" applyNumberFormat="1" applyFont="1" applyBorder="1" applyAlignment="1">
      <alignment horizontal="center" vertical="center"/>
    </xf>
    <xf numFmtId="176" fontId="65" fillId="0" borderId="0" xfId="0" applyNumberFormat="1" applyFont="1" applyFill="1">
      <alignment vertical="center"/>
    </xf>
    <xf numFmtId="176" fontId="63" fillId="0" borderId="10" xfId="0" applyNumberFormat="1" applyFont="1" applyFill="1" applyBorder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67" fillId="0" borderId="18" xfId="0" applyNumberFormat="1" applyFont="1" applyBorder="1" applyAlignment="1">
      <alignment horizontal="center" vertical="center"/>
    </xf>
    <xf numFmtId="184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3" fillId="0" borderId="42" xfId="0" applyNumberFormat="1" applyFont="1" applyBorder="1">
      <alignment vertical="center"/>
    </xf>
    <xf numFmtId="176" fontId="3" fillId="0" borderId="44" xfId="0" applyNumberFormat="1" applyFont="1" applyBorder="1">
      <alignment vertical="center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7" fillId="0" borderId="10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1" xfId="0" applyNumberFormat="1" applyFont="1" applyBorder="1" applyAlignment="1">
      <alignment vertical="center" wrapText="1"/>
    </xf>
    <xf numFmtId="176" fontId="3" fillId="56" borderId="41" xfId="0" applyNumberFormat="1" applyFont="1" applyFill="1" applyBorder="1" applyAlignment="1" applyProtection="1">
      <alignment vertical="center" wrapText="1"/>
      <protection locked="0"/>
    </xf>
    <xf numFmtId="176" fontId="3" fillId="56" borderId="41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43" xfId="0" applyNumberFormat="1" applyFont="1" applyBorder="1">
      <alignment vertical="center"/>
    </xf>
    <xf numFmtId="3" fontId="88" fillId="0" borderId="41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7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64" fillId="0" borderId="43" xfId="0" applyNumberFormat="1" applyFont="1" applyBorder="1" applyAlignment="1">
      <alignment horizontal="center" vertical="center" shrinkToFit="1"/>
    </xf>
    <xf numFmtId="176" fontId="92" fillId="0" borderId="0" xfId="0" applyNumberFormat="1" applyFont="1">
      <alignment vertical="center"/>
    </xf>
    <xf numFmtId="176" fontId="7" fillId="0" borderId="43" xfId="1" applyNumberFormat="1" applyFont="1" applyBorder="1" applyAlignment="1">
      <alignment horizontal="center" vertical="center" shrinkToFit="1"/>
    </xf>
    <xf numFmtId="176" fontId="92" fillId="0" borderId="0" xfId="0" applyNumberFormat="1" applyFont="1" applyAlignment="1">
      <alignment horizontal="center" vertical="center"/>
    </xf>
    <xf numFmtId="176" fontId="92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 applyAlignment="1" applyProtection="1">
      <alignment horizontal="right" vertical="center"/>
      <protection locked="0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93" fillId="0" borderId="10" xfId="0" applyNumberFormat="1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3" fillId="0" borderId="43" xfId="0" applyNumberFormat="1" applyFont="1" applyBorder="1" applyAlignment="1">
      <alignment vertical="center" wrapText="1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3" fontId="88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89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7" xfId="0" applyNumberFormat="1" applyFont="1" applyBorder="1" applyAlignment="1" applyProtection="1">
      <alignment horizontal="center" vertical="center"/>
      <protection locked="0"/>
    </xf>
    <xf numFmtId="49" fontId="92" fillId="0" borderId="47" xfId="0" applyNumberFormat="1" applyFont="1" applyBorder="1" applyAlignment="1" applyProtection="1">
      <alignment horizontal="center" vertical="center"/>
      <protection locked="0"/>
    </xf>
    <xf numFmtId="176" fontId="3" fillId="0" borderId="42" xfId="0" applyNumberFormat="1" applyFont="1" applyBorder="1" applyAlignment="1">
      <alignment horizontal="center" vertical="center"/>
    </xf>
    <xf numFmtId="176" fontId="3" fillId="0" borderId="44" xfId="0" applyNumberFormat="1" applyFont="1" applyBorder="1" applyAlignment="1">
      <alignment horizontal="center" vertical="center"/>
    </xf>
    <xf numFmtId="49" fontId="92" fillId="0" borderId="0" xfId="0" applyNumberFormat="1" applyFont="1" applyAlignment="1">
      <alignment horizontal="center" vertical="center"/>
    </xf>
    <xf numFmtId="49" fontId="92" fillId="0" borderId="10" xfId="0" applyNumberFormat="1" applyFont="1" applyBorder="1" applyAlignment="1">
      <alignment horizontal="center" vertical="center"/>
    </xf>
    <xf numFmtId="49" fontId="65" fillId="0" borderId="0" xfId="0" applyNumberFormat="1" applyFont="1" applyFill="1">
      <alignment vertical="center"/>
    </xf>
    <xf numFmtId="49" fontId="63" fillId="0" borderId="10" xfId="0" applyNumberFormat="1" applyFont="1" applyFill="1" applyBorder="1" applyAlignment="1">
      <alignment horizontal="center" vertical="center" shrinkToFit="1"/>
    </xf>
    <xf numFmtId="49" fontId="4" fillId="0" borderId="43" xfId="0" applyNumberFormat="1" applyFont="1" applyFill="1" applyBorder="1" applyAlignment="1">
      <alignment horizontal="center" vertical="center" shrinkToFit="1"/>
    </xf>
    <xf numFmtId="176" fontId="8" fillId="52" borderId="10" xfId="0" applyNumberFormat="1" applyFont="1" applyFill="1" applyBorder="1" applyAlignment="1">
      <alignment horizontal="center" vertical="center"/>
    </xf>
    <xf numFmtId="176" fontId="4" fillId="0" borderId="43" xfId="1" applyNumberFormat="1" applyFont="1" applyFill="1" applyBorder="1" applyAlignment="1">
      <alignment horizontal="right" vertical="center" shrinkToFit="1"/>
    </xf>
    <xf numFmtId="176" fontId="7" fillId="0" borderId="48" xfId="0" applyNumberFormat="1" applyFont="1" applyBorder="1" applyAlignment="1">
      <alignment horizontal="right" vertical="center" shrinkToFit="1"/>
    </xf>
    <xf numFmtId="176" fontId="3" fillId="0" borderId="48" xfId="0" applyNumberFormat="1" applyFont="1" applyBorder="1" applyAlignment="1">
      <alignment horizontal="center" vertical="center"/>
    </xf>
    <xf numFmtId="176" fontId="63" fillId="0" borderId="48" xfId="0" applyNumberFormat="1" applyFont="1" applyBorder="1" applyAlignment="1">
      <alignment horizontal="center" vertical="center" wrapText="1" shrinkToFit="1"/>
    </xf>
    <xf numFmtId="176" fontId="67" fillId="0" borderId="48" xfId="0" applyNumberFormat="1" applyFont="1" applyBorder="1" applyAlignment="1">
      <alignment horizontal="center" vertical="center" shrinkToFit="1"/>
    </xf>
    <xf numFmtId="176" fontId="63" fillId="0" borderId="48" xfId="0" applyNumberFormat="1" applyFont="1" applyFill="1" applyBorder="1" applyAlignment="1">
      <alignment horizontal="center" vertical="center" shrinkToFit="1"/>
    </xf>
    <xf numFmtId="49" fontId="92" fillId="0" borderId="48" xfId="0" applyNumberFormat="1" applyFont="1" applyBorder="1" applyAlignment="1">
      <alignment horizontal="center" vertical="center"/>
    </xf>
    <xf numFmtId="0" fontId="72" fillId="58" borderId="45" xfId="0" applyFont="1" applyFill="1" applyBorder="1" applyAlignment="1">
      <alignment horizontal="centerContinuous" vertical="center"/>
    </xf>
    <xf numFmtId="176" fontId="72" fillId="58" borderId="49" xfId="0" applyNumberFormat="1" applyFont="1" applyFill="1" applyBorder="1" applyAlignment="1">
      <alignment horizontal="centerContinuous" vertical="center" wrapText="1"/>
    </xf>
    <xf numFmtId="176" fontId="72" fillId="58" borderId="46" xfId="0" applyNumberFormat="1" applyFont="1" applyFill="1" applyBorder="1" applyAlignment="1">
      <alignment horizontal="centerContinuous" vertical="center" wrapText="1"/>
    </xf>
    <xf numFmtId="176" fontId="7" fillId="58" borderId="48" xfId="0" applyNumberFormat="1" applyFont="1" applyFill="1" applyBorder="1" applyAlignment="1">
      <alignment horizontal="right" vertical="center" shrinkToFit="1"/>
    </xf>
    <xf numFmtId="176" fontId="7" fillId="58" borderId="48" xfId="0" applyNumberFormat="1" applyFont="1" applyFill="1" applyBorder="1" applyAlignment="1">
      <alignment horizontal="center" vertical="center" shrinkToFit="1"/>
    </xf>
    <xf numFmtId="176" fontId="7" fillId="58" borderId="48" xfId="0" applyNumberFormat="1" applyFont="1" applyFill="1" applyBorder="1" applyAlignment="1">
      <alignment horizontal="left" vertical="center" wrapText="1"/>
    </xf>
    <xf numFmtId="176" fontId="72" fillId="58" borderId="10" xfId="0" applyNumberFormat="1" applyFont="1" applyFill="1" applyBorder="1" applyAlignment="1">
      <alignment horizontal="centerContinuous" vertical="center" wrapText="1"/>
    </xf>
    <xf numFmtId="176" fontId="72" fillId="58" borderId="10" xfId="0" applyNumberFormat="1" applyFont="1" applyFill="1" applyBorder="1" applyAlignment="1">
      <alignment horizontal="centerContinuous" vertical="center"/>
    </xf>
    <xf numFmtId="176" fontId="7" fillId="58" borderId="10" xfId="0" applyNumberFormat="1" applyFont="1" applyFill="1" applyBorder="1" applyAlignment="1">
      <alignment horizontal="right" vertical="center" shrinkToFit="1"/>
    </xf>
    <xf numFmtId="176" fontId="7" fillId="58" borderId="10" xfId="0" applyNumberFormat="1" applyFont="1" applyFill="1" applyBorder="1" applyAlignment="1">
      <alignment horizontal="center" vertical="center" shrinkToFit="1"/>
    </xf>
    <xf numFmtId="176" fontId="7" fillId="58" borderId="10" xfId="0" applyNumberFormat="1" applyFont="1" applyFill="1" applyBorder="1" applyAlignment="1">
      <alignment horizontal="left" vertical="center" wrapText="1"/>
    </xf>
    <xf numFmtId="176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41" fontId="4" fillId="25" borderId="43" xfId="1" applyFont="1" applyFill="1" applyBorder="1" applyAlignment="1" applyProtection="1">
      <alignment horizontal="right" vertical="center" shrinkToFit="1"/>
      <protection locked="0"/>
    </xf>
    <xf numFmtId="183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176" fontId="4" fillId="25" borderId="41" xfId="1" applyNumberFormat="1" applyFont="1" applyFill="1" applyBorder="1" applyAlignment="1" applyProtection="1">
      <alignment horizontal="right" vertical="center" shrinkToFit="1"/>
      <protection locked="0"/>
    </xf>
    <xf numFmtId="0" fontId="0" fillId="0" borderId="0" xfId="0" applyAlignment="1">
      <alignment horizontal="centerContinuous" vertical="center"/>
    </xf>
    <xf numFmtId="0" fontId="95" fillId="0" borderId="0" xfId="0" applyFont="1" applyAlignment="1">
      <alignment horizontal="centerContinuous" vertical="center"/>
    </xf>
    <xf numFmtId="0" fontId="96" fillId="0" borderId="0" xfId="0" applyFont="1" applyAlignment="1">
      <alignment horizontal="centerContinuous" vertical="center"/>
    </xf>
    <xf numFmtId="0" fontId="96" fillId="0" borderId="0" xfId="0" applyFont="1">
      <alignment vertical="center"/>
    </xf>
    <xf numFmtId="0" fontId="97" fillId="0" borderId="0" xfId="0" applyFont="1" applyAlignment="1">
      <alignment horizontal="left" vertical="center"/>
    </xf>
    <xf numFmtId="0" fontId="97" fillId="0" borderId="0" xfId="0" applyFont="1" applyAlignment="1">
      <alignment horizontal="centerContinuous" vertical="center"/>
    </xf>
    <xf numFmtId="0" fontId="98" fillId="0" borderId="0" xfId="0" applyFont="1" applyAlignment="1">
      <alignment horizontal="centerContinuous" vertical="center"/>
    </xf>
    <xf numFmtId="0" fontId="99" fillId="0" borderId="0" xfId="0" applyFont="1" applyAlignment="1">
      <alignment horizontal="centerContinuous" vertical="center"/>
    </xf>
    <xf numFmtId="0" fontId="0" fillId="0" borderId="0" xfId="0" applyFill="1" applyAlignment="1">
      <alignment horizontal="centerContinuous" vertical="center"/>
    </xf>
    <xf numFmtId="0" fontId="0" fillId="0" borderId="0" xfId="0" applyFill="1">
      <alignment vertical="center"/>
    </xf>
    <xf numFmtId="0" fontId="100" fillId="0" borderId="0" xfId="0" applyFont="1">
      <alignment vertical="center"/>
    </xf>
    <xf numFmtId="0" fontId="7" fillId="25" borderId="10" xfId="0" applyFont="1" applyFill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0" fontId="4" fillId="0" borderId="0" xfId="0" applyFont="1">
      <alignment vertical="center"/>
    </xf>
    <xf numFmtId="0" fontId="87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66" fillId="0" borderId="0" xfId="0" applyFont="1" applyFill="1" applyBorder="1" applyAlignment="1">
      <alignment horizontal="center" vertical="center"/>
    </xf>
    <xf numFmtId="0" fontId="94" fillId="0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0" fontId="66" fillId="57" borderId="10" xfId="0" applyFont="1" applyFill="1" applyBorder="1" applyAlignment="1">
      <alignment horizontal="center" vertical="center"/>
    </xf>
    <xf numFmtId="0" fontId="7" fillId="57" borderId="10" xfId="0" applyFont="1" applyFill="1" applyBorder="1" applyAlignment="1">
      <alignment horizontal="center" vertical="center"/>
    </xf>
    <xf numFmtId="0" fontId="7" fillId="59" borderId="34" xfId="0" applyFont="1" applyFill="1" applyBorder="1" applyAlignment="1">
      <alignment horizontal="center" vertical="center"/>
    </xf>
    <xf numFmtId="176" fontId="7" fillId="59" borderId="10" xfId="0" applyNumberFormat="1" applyFont="1" applyFill="1" applyBorder="1">
      <alignment vertical="center"/>
    </xf>
    <xf numFmtId="176" fontId="7" fillId="59" borderId="35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0" fontId="7" fillId="59" borderId="10" xfId="0" applyFont="1" applyFill="1" applyBorder="1" applyAlignment="1">
      <alignment horizontal="center" vertical="center"/>
    </xf>
    <xf numFmtId="176" fontId="4" fillId="59" borderId="10" xfId="0" applyNumberFormat="1" applyFont="1" applyFill="1" applyBorder="1">
      <alignment vertical="center"/>
    </xf>
    <xf numFmtId="0" fontId="4" fillId="59" borderId="10" xfId="0" applyFont="1" applyFill="1" applyBorder="1">
      <alignment vertical="center"/>
    </xf>
    <xf numFmtId="0" fontId="7" fillId="0" borderId="34" xfId="0" applyFont="1" applyBorder="1" applyAlignment="1">
      <alignment horizontal="center" vertical="center"/>
    </xf>
    <xf numFmtId="176" fontId="7" fillId="0" borderId="35" xfId="0" applyNumberFormat="1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7" fillId="0" borderId="50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176" fontId="7" fillId="0" borderId="37" xfId="0" applyNumberFormat="1" applyFont="1" applyBorder="1">
      <alignment vertical="center"/>
    </xf>
    <xf numFmtId="176" fontId="7" fillId="0" borderId="28" xfId="0" applyNumberFormat="1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0" fontId="72" fillId="58" borderId="10" xfId="0" applyNumberFormat="1" applyFont="1" applyFill="1" applyBorder="1" applyAlignment="1">
      <alignment horizontal="centerContinuous" vertical="center" wrapText="1"/>
    </xf>
    <xf numFmtId="41" fontId="4" fillId="25" borderId="41" xfId="1" applyNumberFormat="1" applyFont="1" applyFill="1" applyBorder="1" applyAlignment="1" applyProtection="1">
      <alignment horizontal="right" vertical="center" shrinkToFit="1"/>
      <protection locked="0"/>
    </xf>
    <xf numFmtId="49" fontId="88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11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47" xfId="1" applyNumberFormat="1" applyFont="1" applyBorder="1" applyAlignment="1" applyProtection="1">
      <alignment horizontal="right" vertical="center" shrinkToFit="1"/>
      <protection locked="0"/>
    </xf>
    <xf numFmtId="176" fontId="3" fillId="0" borderId="43" xfId="0" quotePrefix="1" applyNumberFormat="1" applyFont="1" applyBorder="1" applyAlignment="1">
      <alignment vertical="center" wrapText="1"/>
    </xf>
    <xf numFmtId="3" fontId="102" fillId="0" borderId="47" xfId="0" applyNumberFormat="1" applyFont="1" applyFill="1" applyBorder="1" applyAlignment="1" applyProtection="1">
      <alignment horizontal="left" vertical="center" wrapText="1"/>
      <protection locked="0"/>
    </xf>
    <xf numFmtId="49" fontId="7" fillId="0" borderId="45" xfId="0" applyNumberFormat="1" applyFont="1" applyBorder="1" applyAlignment="1">
      <alignment vertical="center" wrapText="1"/>
    </xf>
    <xf numFmtId="49" fontId="4" fillId="0" borderId="45" xfId="0" applyNumberFormat="1" applyFont="1" applyBorder="1" applyAlignment="1">
      <alignment vertical="center" wrapText="1"/>
    </xf>
    <xf numFmtId="176" fontId="65" fillId="56" borderId="43" xfId="0" applyNumberFormat="1" applyFont="1" applyFill="1" applyBorder="1" applyAlignment="1" applyProtection="1">
      <alignment vertical="center" wrapText="1"/>
      <protection locked="0"/>
    </xf>
    <xf numFmtId="176" fontId="4" fillId="0" borderId="43" xfId="0" applyNumberFormat="1" applyFont="1" applyBorder="1" applyAlignment="1">
      <alignment vertical="center" wrapText="1"/>
    </xf>
    <xf numFmtId="176" fontId="4" fillId="56" borderId="43" xfId="0" applyNumberFormat="1" applyFont="1" applyFill="1" applyBorder="1" applyAlignment="1" applyProtection="1">
      <alignment vertical="center" wrapText="1"/>
      <protection locked="0"/>
    </xf>
    <xf numFmtId="176" fontId="4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1" xfId="0" applyNumberFormat="1" applyFont="1" applyBorder="1" applyAlignment="1">
      <alignment vertical="center" wrapText="1"/>
    </xf>
    <xf numFmtId="176" fontId="4" fillId="56" borderId="41" xfId="0" applyNumberFormat="1" applyFont="1" applyFill="1" applyBorder="1" applyAlignment="1" applyProtection="1">
      <alignment vertical="center" wrapText="1"/>
      <protection locked="0"/>
    </xf>
    <xf numFmtId="176" fontId="4" fillId="56" borderId="41" xfId="0" applyNumberFormat="1" applyFont="1" applyFill="1" applyBorder="1" applyAlignment="1" applyProtection="1">
      <alignment horizontal="center" vertical="center" wrapText="1"/>
      <protection locked="0"/>
    </xf>
    <xf numFmtId="176" fontId="4" fillId="53" borderId="10" xfId="0" applyNumberFormat="1" applyFont="1" applyFill="1" applyBorder="1">
      <alignment vertical="center"/>
    </xf>
    <xf numFmtId="176" fontId="4" fillId="0" borderId="0" xfId="0" applyNumberFormat="1" applyFont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41" fontId="77" fillId="0" borderId="0" xfId="1" applyFont="1" applyBorder="1" applyAlignment="1">
      <alignment horizontal="center" vertical="center"/>
    </xf>
    <xf numFmtId="41" fontId="101" fillId="0" borderId="0" xfId="1" applyFont="1" applyBorder="1">
      <alignment vertical="center"/>
    </xf>
    <xf numFmtId="41" fontId="0" fillId="0" borderId="0" xfId="1" applyFont="1">
      <alignment vertical="center"/>
    </xf>
    <xf numFmtId="41" fontId="4" fillId="0" borderId="0" xfId="1" applyFont="1" applyAlignment="1">
      <alignment horizontal="center" vertical="center"/>
    </xf>
    <xf numFmtId="41" fontId="73" fillId="0" borderId="0" xfId="1" applyFont="1">
      <alignment vertical="center"/>
    </xf>
    <xf numFmtId="41" fontId="4" fillId="0" borderId="0" xfId="1" applyFont="1">
      <alignment vertical="center"/>
    </xf>
    <xf numFmtId="41" fontId="4" fillId="0" borderId="0" xfId="1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Border="1">
      <alignment vertical="center"/>
    </xf>
    <xf numFmtId="41" fontId="4" fillId="0" borderId="0" xfId="1" applyFont="1" applyBorder="1" applyAlignment="1">
      <alignment horizontal="center" vertical="center"/>
    </xf>
    <xf numFmtId="41" fontId="4" fillId="0" borderId="0" xfId="1" applyFont="1" applyBorder="1">
      <alignment vertical="center"/>
    </xf>
    <xf numFmtId="41" fontId="66" fillId="0" borderId="0" xfId="1" applyFont="1">
      <alignment vertical="center"/>
    </xf>
    <xf numFmtId="176" fontId="63" fillId="0" borderId="10" xfId="0" applyNumberFormat="1" applyFont="1" applyBorder="1">
      <alignment vertical="center"/>
    </xf>
    <xf numFmtId="176" fontId="103" fillId="0" borderId="37" xfId="0" applyNumberFormat="1" applyFont="1" applyBorder="1">
      <alignment vertical="center"/>
    </xf>
    <xf numFmtId="176" fontId="67" fillId="53" borderId="10" xfId="1" applyNumberFormat="1" applyFont="1" applyFill="1" applyBorder="1" applyAlignment="1">
      <alignment horizontal="center" vertical="center"/>
    </xf>
    <xf numFmtId="176" fontId="67" fillId="54" borderId="10" xfId="1" applyNumberFormat="1" applyFont="1" applyFill="1" applyBorder="1" applyAlignment="1">
      <alignment horizontal="center" vertical="center"/>
    </xf>
    <xf numFmtId="176" fontId="72" fillId="0" borderId="10" xfId="0" applyNumberFormat="1" applyFont="1" applyBorder="1" applyAlignment="1">
      <alignment horizontal="center" vertical="center"/>
    </xf>
    <xf numFmtId="176" fontId="68" fillId="0" borderId="0" xfId="0" applyNumberFormat="1" applyFont="1" applyAlignment="1">
      <alignment horizontal="center" vertical="center"/>
    </xf>
    <xf numFmtId="176" fontId="72" fillId="50" borderId="10" xfId="0" applyNumberFormat="1" applyFont="1" applyFill="1" applyBorder="1" applyAlignment="1">
      <alignment horizontal="center" vertical="center"/>
    </xf>
    <xf numFmtId="176" fontId="66" fillId="50" borderId="11" xfId="0" applyNumberFormat="1" applyFont="1" applyFill="1" applyBorder="1" applyAlignment="1">
      <alignment horizontal="center" vertical="center"/>
    </xf>
    <xf numFmtId="176" fontId="66" fillId="50" borderId="12" xfId="0" applyNumberFormat="1" applyFont="1" applyFill="1" applyBorder="1" applyAlignment="1">
      <alignment horizontal="center" vertical="center"/>
    </xf>
    <xf numFmtId="176" fontId="83" fillId="50" borderId="10" xfId="0" applyNumberFormat="1" applyFont="1" applyFill="1" applyBorder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0" fontId="33" fillId="0" borderId="0" xfId="2" applyNumberFormat="1" applyFont="1" applyAlignment="1">
      <alignment horizontal="center"/>
    </xf>
    <xf numFmtId="0" fontId="31" fillId="0" borderId="0" xfId="2" applyNumberFormat="1" applyFont="1" applyAlignment="1">
      <alignment horizontal="center"/>
    </xf>
    <xf numFmtId="176" fontId="85" fillId="0" borderId="11" xfId="2" applyNumberFormat="1" applyFont="1" applyFill="1" applyBorder="1" applyAlignment="1">
      <alignment horizontal="center" vertical="center"/>
    </xf>
    <xf numFmtId="176" fontId="85" fillId="0" borderId="12" xfId="2" applyNumberFormat="1" applyFont="1" applyFill="1" applyBorder="1" applyAlignment="1">
      <alignment horizontal="center" vertical="center"/>
    </xf>
    <xf numFmtId="176" fontId="10" fillId="0" borderId="11" xfId="2" applyNumberFormat="1" applyFont="1" applyBorder="1" applyAlignment="1">
      <alignment horizontal="center" vertical="center"/>
    </xf>
    <xf numFmtId="176" fontId="10" fillId="0" borderId="12" xfId="2" applyNumberFormat="1" applyFont="1" applyBorder="1" applyAlignment="1">
      <alignment horizontal="center" vertical="center"/>
    </xf>
    <xf numFmtId="176" fontId="44" fillId="0" borderId="19" xfId="2" applyNumberFormat="1" applyFont="1" applyBorder="1" applyAlignment="1">
      <alignment horizontal="center" vertical="center"/>
    </xf>
    <xf numFmtId="176" fontId="44" fillId="0" borderId="23" xfId="2" applyNumberFormat="1" applyFont="1" applyBorder="1" applyAlignment="1">
      <alignment horizontal="center" vertical="center"/>
    </xf>
    <xf numFmtId="176" fontId="44" fillId="0" borderId="20" xfId="2" applyNumberFormat="1" applyFont="1" applyBorder="1" applyAlignment="1">
      <alignment horizontal="center" vertical="center"/>
    </xf>
    <xf numFmtId="176" fontId="44" fillId="0" borderId="24" xfId="2" applyNumberFormat="1" applyFont="1" applyBorder="1" applyAlignment="1">
      <alignment horizontal="center" vertical="center"/>
    </xf>
    <xf numFmtId="176" fontId="44" fillId="0" borderId="16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21" xfId="2" applyNumberFormat="1" applyFont="1" applyBorder="1" applyAlignment="1">
      <alignment horizontal="center" vertical="center"/>
    </xf>
    <xf numFmtId="176" fontId="44" fillId="0" borderId="22" xfId="2" applyNumberFormat="1" applyFont="1" applyBorder="1" applyAlignment="1">
      <alignment horizontal="center" vertical="center"/>
    </xf>
    <xf numFmtId="176" fontId="44" fillId="0" borderId="25" xfId="2" applyNumberFormat="1" applyFont="1" applyBorder="1" applyAlignment="1">
      <alignment horizontal="center" vertical="center"/>
    </xf>
    <xf numFmtId="176" fontId="44" fillId="0" borderId="26" xfId="2" applyNumberFormat="1" applyFont="1" applyBorder="1" applyAlignment="1">
      <alignment horizontal="center" vertical="center"/>
    </xf>
    <xf numFmtId="176" fontId="45" fillId="27" borderId="19" xfId="2" applyNumberFormat="1" applyFont="1" applyFill="1" applyBorder="1" applyAlignment="1">
      <alignment horizontal="center" vertical="center"/>
    </xf>
    <xf numFmtId="176" fontId="45" fillId="27" borderId="23" xfId="2" applyNumberFormat="1" applyFont="1" applyFill="1" applyBorder="1" applyAlignment="1">
      <alignment horizontal="center" vertical="center"/>
    </xf>
    <xf numFmtId="176" fontId="45" fillId="27" borderId="38" xfId="2" applyNumberFormat="1" applyFont="1" applyFill="1" applyBorder="1" applyAlignment="1">
      <alignment horizontal="center" vertical="center" wrapText="1" shrinkToFit="1"/>
    </xf>
    <xf numFmtId="176" fontId="45" fillId="27" borderId="12" xfId="2" applyNumberFormat="1" applyFont="1" applyFill="1" applyBorder="1" applyAlignment="1">
      <alignment horizontal="center" vertical="center" wrapText="1" shrinkToFit="1"/>
    </xf>
    <xf numFmtId="176" fontId="45" fillId="27" borderId="39" xfId="2" applyNumberFormat="1" applyFont="1" applyFill="1" applyBorder="1" applyAlignment="1">
      <alignment horizontal="center" vertical="center"/>
    </xf>
    <xf numFmtId="176" fontId="45" fillId="27" borderId="40" xfId="2" applyNumberFormat="1" applyFont="1" applyFill="1" applyBorder="1" applyAlignment="1">
      <alignment horizontal="center" vertical="center"/>
    </xf>
    <xf numFmtId="176" fontId="45" fillId="27" borderId="20" xfId="2" applyNumberFormat="1" applyFont="1" applyFill="1" applyBorder="1" applyAlignment="1">
      <alignment horizontal="center" vertical="center"/>
    </xf>
    <xf numFmtId="176" fontId="45" fillId="27" borderId="24" xfId="2" applyNumberFormat="1" applyFont="1" applyFill="1" applyBorder="1" applyAlignment="1">
      <alignment horizontal="center" vertical="center"/>
    </xf>
    <xf numFmtId="176" fontId="52" fillId="0" borderId="16" xfId="2" applyNumberFormat="1" applyFont="1" applyBorder="1" applyAlignment="1">
      <alignment horizontal="center" vertical="center" wrapText="1"/>
    </xf>
    <xf numFmtId="176" fontId="52" fillId="0" borderId="15" xfId="2" applyNumberFormat="1" applyFont="1" applyBorder="1" applyAlignment="1">
      <alignment horizontal="center" vertical="center" wrapText="1"/>
    </xf>
    <xf numFmtId="176" fontId="43" fillId="0" borderId="0" xfId="2" quotePrefix="1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5" fillId="27" borderId="31" xfId="2" applyNumberFormat="1" applyFont="1" applyFill="1" applyBorder="1" applyAlignment="1">
      <alignment horizontal="center" vertical="center"/>
    </xf>
    <xf numFmtId="176" fontId="45" fillId="27" borderId="34" xfId="2" applyNumberFormat="1" applyFont="1" applyFill="1" applyBorder="1" applyAlignment="1">
      <alignment horizontal="center" vertical="center"/>
    </xf>
    <xf numFmtId="176" fontId="45" fillId="27" borderId="32" xfId="2" applyNumberFormat="1" applyFont="1" applyFill="1" applyBorder="1" applyAlignment="1">
      <alignment horizontal="center" vertical="center" shrinkToFit="1"/>
    </xf>
    <xf numFmtId="176" fontId="45" fillId="27" borderId="10" xfId="2" applyNumberFormat="1" applyFont="1" applyFill="1" applyBorder="1" applyAlignment="1">
      <alignment horizontal="center" vertical="center" shrinkToFit="1"/>
    </xf>
    <xf numFmtId="176" fontId="45" fillId="27" borderId="32" xfId="2" applyNumberFormat="1" applyFont="1" applyFill="1" applyBorder="1" applyAlignment="1">
      <alignment horizontal="center" vertical="center"/>
    </xf>
    <xf numFmtId="176" fontId="45" fillId="27" borderId="33" xfId="2" applyNumberFormat="1" applyFont="1" applyFill="1" applyBorder="1" applyAlignment="1">
      <alignment horizontal="center" vertical="center"/>
    </xf>
    <xf numFmtId="176" fontId="45" fillId="27" borderId="35" xfId="2" applyNumberFormat="1" applyFont="1" applyFill="1" applyBorder="1" applyAlignment="1">
      <alignment horizontal="center" vertical="center"/>
    </xf>
    <xf numFmtId="0" fontId="66" fillId="57" borderId="31" xfId="0" applyFont="1" applyFill="1" applyBorder="1" applyAlignment="1">
      <alignment horizontal="center" vertical="center"/>
    </xf>
    <xf numFmtId="0" fontId="66" fillId="57" borderId="34" xfId="0" applyFont="1" applyFill="1" applyBorder="1" applyAlignment="1">
      <alignment horizontal="center" vertical="center"/>
    </xf>
    <xf numFmtId="0" fontId="66" fillId="57" borderId="32" xfId="0" applyFont="1" applyFill="1" applyBorder="1" applyAlignment="1">
      <alignment horizontal="center" vertical="center"/>
    </xf>
    <xf numFmtId="0" fontId="66" fillId="57" borderId="10" xfId="0" applyFont="1" applyFill="1" applyBorder="1" applyAlignment="1">
      <alignment horizontal="center" vertical="center"/>
    </xf>
    <xf numFmtId="0" fontId="66" fillId="57" borderId="33" xfId="0" applyFont="1" applyFill="1" applyBorder="1" applyAlignment="1">
      <alignment horizontal="center" vertical="center"/>
    </xf>
    <xf numFmtId="0" fontId="66" fillId="57" borderId="35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 wrapText="1"/>
    </xf>
    <xf numFmtId="49" fontId="8" fillId="2" borderId="12" xfId="0" applyNumberFormat="1" applyFont="1" applyFill="1" applyBorder="1" applyAlignment="1">
      <alignment horizontal="center" vertical="center" wrapText="1"/>
    </xf>
    <xf numFmtId="176" fontId="5" fillId="52" borderId="11" xfId="0" applyNumberFormat="1" applyFont="1" applyFill="1" applyBorder="1" applyAlignment="1">
      <alignment horizontal="center" vertical="center"/>
    </xf>
    <xf numFmtId="176" fontId="5" fillId="52" borderId="12" xfId="0" applyNumberFormat="1" applyFont="1" applyFill="1" applyBorder="1" applyAlignment="1">
      <alignment horizontal="center" vertical="center"/>
    </xf>
    <xf numFmtId="176" fontId="70" fillId="52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49" fontId="5" fillId="55" borderId="11" xfId="0" applyNumberFormat="1" applyFont="1" applyFill="1" applyBorder="1" applyAlignment="1">
      <alignment horizontal="center" vertical="center"/>
    </xf>
    <xf numFmtId="49" fontId="5" fillId="55" borderId="12" xfId="0" applyNumberFormat="1" applyFont="1" applyFill="1" applyBorder="1" applyAlignment="1">
      <alignment horizontal="center" vertical="center"/>
    </xf>
    <xf numFmtId="176" fontId="69" fillId="55" borderId="10" xfId="0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5" fillId="2" borderId="1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76" fontId="90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  <xf numFmtId="176" fontId="70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/>
    </xf>
    <xf numFmtId="176" fontId="69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/>
    </xf>
    <xf numFmtId="176" fontId="70" fillId="2" borderId="10" xfId="0" applyNumberFormat="1" applyFont="1" applyFill="1" applyBorder="1" applyAlignment="1">
      <alignment horizontal="center" vertical="center" wrapText="1"/>
    </xf>
    <xf numFmtId="176" fontId="5" fillId="55" borderId="11" xfId="0" applyNumberFormat="1" applyFont="1" applyFill="1" applyBorder="1" applyAlignment="1">
      <alignment horizontal="center" vertical="center"/>
    </xf>
    <xf numFmtId="176" fontId="5" fillId="55" borderId="12" xfId="0" applyNumberFormat="1" applyFont="1" applyFill="1" applyBorder="1" applyAlignment="1">
      <alignment horizontal="center" vertical="center"/>
    </xf>
  </cellXfs>
  <cellStyles count="340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10" xfId="280"/>
    <cellStyle name="쉼표 [0] 11" xfId="300"/>
    <cellStyle name="쉼표 [0] 2" xfId="45"/>
    <cellStyle name="쉼표 [0] 2 10" xfId="261"/>
    <cellStyle name="쉼표 [0] 2 11" xfId="281"/>
    <cellStyle name="쉼표 [0] 2 12" xfId="301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2 2 2" xfId="215"/>
    <cellStyle name="쉼표 [0] 2 4 2 2 2 2" xfId="257"/>
    <cellStyle name="쉼표 [0] 2 4 2 2 2 3" xfId="337"/>
    <cellStyle name="쉼표 [0] 2 4 2 2 3" xfId="237"/>
    <cellStyle name="쉼표 [0] 2 4 2 2 4" xfId="277"/>
    <cellStyle name="쉼표 [0] 2 4 2 2 5" xfId="297"/>
    <cellStyle name="쉼표 [0] 2 4 2 2 6" xfId="317"/>
    <cellStyle name="쉼표 [0] 2 4 2 3" xfId="205"/>
    <cellStyle name="쉼표 [0] 2 4 2 3 2" xfId="247"/>
    <cellStyle name="쉼표 [0] 2 4 2 3 3" xfId="327"/>
    <cellStyle name="쉼표 [0] 2 4 2 4" xfId="227"/>
    <cellStyle name="쉼표 [0] 2 4 2 5" xfId="267"/>
    <cellStyle name="쉼표 [0] 2 4 2 6" xfId="287"/>
    <cellStyle name="쉼표 [0] 2 4 2 7" xfId="307"/>
    <cellStyle name="쉼표 [0] 2 4 3" xfId="187"/>
    <cellStyle name="쉼표 [0] 2 4 3 2" xfId="210"/>
    <cellStyle name="쉼표 [0] 2 4 3 2 2" xfId="252"/>
    <cellStyle name="쉼표 [0] 2 4 3 2 3" xfId="332"/>
    <cellStyle name="쉼표 [0] 2 4 3 3" xfId="232"/>
    <cellStyle name="쉼표 [0] 2 4 3 4" xfId="272"/>
    <cellStyle name="쉼표 [0] 2 4 3 5" xfId="292"/>
    <cellStyle name="쉼표 [0] 2 4 3 6" xfId="312"/>
    <cellStyle name="쉼표 [0] 2 4 4" xfId="200"/>
    <cellStyle name="쉼표 [0] 2 4 4 2" xfId="242"/>
    <cellStyle name="쉼표 [0] 2 4 4 3" xfId="322"/>
    <cellStyle name="쉼표 [0] 2 4 5" xfId="222"/>
    <cellStyle name="쉼표 [0] 2 4 6" xfId="262"/>
    <cellStyle name="쉼표 [0] 2 4 7" xfId="282"/>
    <cellStyle name="쉼표 [0] 2 4 8" xfId="302"/>
    <cellStyle name="쉼표 [0] 2 5" xfId="123"/>
    <cellStyle name="쉼표 [0] 2 6" xfId="181"/>
    <cellStyle name="쉼표 [0] 2 6 2" xfId="191"/>
    <cellStyle name="쉼표 [0] 2 6 2 2" xfId="214"/>
    <cellStyle name="쉼표 [0] 2 6 2 2 2" xfId="256"/>
    <cellStyle name="쉼표 [0] 2 6 2 2 3" xfId="336"/>
    <cellStyle name="쉼표 [0] 2 6 2 3" xfId="236"/>
    <cellStyle name="쉼표 [0] 2 6 2 4" xfId="276"/>
    <cellStyle name="쉼표 [0] 2 6 2 5" xfId="296"/>
    <cellStyle name="쉼표 [0] 2 6 2 6" xfId="316"/>
    <cellStyle name="쉼표 [0] 2 6 3" xfId="204"/>
    <cellStyle name="쉼표 [0] 2 6 3 2" xfId="246"/>
    <cellStyle name="쉼표 [0] 2 6 3 3" xfId="326"/>
    <cellStyle name="쉼표 [0] 2 6 4" xfId="226"/>
    <cellStyle name="쉼표 [0] 2 6 5" xfId="266"/>
    <cellStyle name="쉼표 [0] 2 6 6" xfId="286"/>
    <cellStyle name="쉼표 [0] 2 6 7" xfId="306"/>
    <cellStyle name="쉼표 [0] 2 7" xfId="186"/>
    <cellStyle name="쉼표 [0] 2 7 2" xfId="209"/>
    <cellStyle name="쉼표 [0] 2 7 2 2" xfId="251"/>
    <cellStyle name="쉼표 [0] 2 7 2 3" xfId="331"/>
    <cellStyle name="쉼표 [0] 2 7 3" xfId="231"/>
    <cellStyle name="쉼표 [0] 2 7 4" xfId="271"/>
    <cellStyle name="쉼표 [0] 2 7 5" xfId="291"/>
    <cellStyle name="쉼표 [0] 2 7 6" xfId="311"/>
    <cellStyle name="쉼표 [0] 2 8" xfId="199"/>
    <cellStyle name="쉼표 [0] 2 8 2" xfId="241"/>
    <cellStyle name="쉼표 [0] 2 8 3" xfId="321"/>
    <cellStyle name="쉼표 [0] 2 9" xfId="221"/>
    <cellStyle name="쉼표 [0] 3" xfId="124"/>
    <cellStyle name="쉼표 [0] 3 2" xfId="183"/>
    <cellStyle name="쉼표 [0] 3 2 2" xfId="193"/>
    <cellStyle name="쉼표 [0] 3 2 2 2" xfId="216"/>
    <cellStyle name="쉼표 [0] 3 2 2 2 2" xfId="258"/>
    <cellStyle name="쉼표 [0] 3 2 2 2 3" xfId="338"/>
    <cellStyle name="쉼표 [0] 3 2 2 3" xfId="238"/>
    <cellStyle name="쉼표 [0] 3 2 2 4" xfId="278"/>
    <cellStyle name="쉼표 [0] 3 2 2 5" xfId="298"/>
    <cellStyle name="쉼표 [0] 3 2 2 6" xfId="318"/>
    <cellStyle name="쉼표 [0] 3 2 3" xfId="206"/>
    <cellStyle name="쉼표 [0] 3 2 3 2" xfId="248"/>
    <cellStyle name="쉼표 [0] 3 2 3 3" xfId="328"/>
    <cellStyle name="쉼표 [0] 3 2 4" xfId="228"/>
    <cellStyle name="쉼표 [0] 3 2 5" xfId="268"/>
    <cellStyle name="쉼표 [0] 3 2 6" xfId="288"/>
    <cellStyle name="쉼표 [0] 3 2 7" xfId="308"/>
    <cellStyle name="쉼표 [0] 3 3" xfId="188"/>
    <cellStyle name="쉼표 [0] 3 3 2" xfId="211"/>
    <cellStyle name="쉼표 [0] 3 3 2 2" xfId="253"/>
    <cellStyle name="쉼표 [0] 3 3 2 3" xfId="333"/>
    <cellStyle name="쉼표 [0] 3 3 3" xfId="233"/>
    <cellStyle name="쉼표 [0] 3 3 4" xfId="273"/>
    <cellStyle name="쉼표 [0] 3 3 5" xfId="293"/>
    <cellStyle name="쉼표 [0] 3 3 6" xfId="313"/>
    <cellStyle name="쉼표 [0] 3 4" xfId="201"/>
    <cellStyle name="쉼표 [0] 3 4 2" xfId="243"/>
    <cellStyle name="쉼표 [0] 3 4 3" xfId="323"/>
    <cellStyle name="쉼표 [0] 3 5" xfId="219"/>
    <cellStyle name="쉼표 [0] 3 6" xfId="223"/>
    <cellStyle name="쉼표 [0] 3 7" xfId="263"/>
    <cellStyle name="쉼표 [0] 3 8" xfId="283"/>
    <cellStyle name="쉼표 [0] 3 9" xfId="303"/>
    <cellStyle name="쉼표 [0] 4" xfId="179"/>
    <cellStyle name="쉼표 [0] 4 2" xfId="184"/>
    <cellStyle name="쉼표 [0] 4 2 2" xfId="194"/>
    <cellStyle name="쉼표 [0] 4 2 2 2" xfId="217"/>
    <cellStyle name="쉼표 [0] 4 2 2 2 2" xfId="259"/>
    <cellStyle name="쉼표 [0] 4 2 2 2 3" xfId="339"/>
    <cellStyle name="쉼표 [0] 4 2 2 3" xfId="239"/>
    <cellStyle name="쉼표 [0] 4 2 2 4" xfId="279"/>
    <cellStyle name="쉼표 [0] 4 2 2 5" xfId="299"/>
    <cellStyle name="쉼표 [0] 4 2 2 6" xfId="319"/>
    <cellStyle name="쉼표 [0] 4 2 3" xfId="207"/>
    <cellStyle name="쉼표 [0] 4 2 3 2" xfId="249"/>
    <cellStyle name="쉼표 [0] 4 2 3 3" xfId="329"/>
    <cellStyle name="쉼표 [0] 4 2 4" xfId="229"/>
    <cellStyle name="쉼표 [0] 4 2 5" xfId="269"/>
    <cellStyle name="쉼표 [0] 4 2 6" xfId="289"/>
    <cellStyle name="쉼표 [0] 4 2 7" xfId="309"/>
    <cellStyle name="쉼표 [0] 4 3" xfId="189"/>
    <cellStyle name="쉼표 [0] 4 3 2" xfId="212"/>
    <cellStyle name="쉼표 [0] 4 3 2 2" xfId="254"/>
    <cellStyle name="쉼표 [0] 4 3 2 3" xfId="334"/>
    <cellStyle name="쉼표 [0] 4 3 3" xfId="234"/>
    <cellStyle name="쉼표 [0] 4 3 4" xfId="274"/>
    <cellStyle name="쉼표 [0] 4 3 5" xfId="294"/>
    <cellStyle name="쉼표 [0] 4 3 6" xfId="314"/>
    <cellStyle name="쉼표 [0] 4 4" xfId="202"/>
    <cellStyle name="쉼표 [0] 4 4 2" xfId="244"/>
    <cellStyle name="쉼표 [0] 4 4 3" xfId="324"/>
    <cellStyle name="쉼표 [0] 4 5" xfId="224"/>
    <cellStyle name="쉼표 [0] 4 6" xfId="264"/>
    <cellStyle name="쉼표 [0] 4 7" xfId="284"/>
    <cellStyle name="쉼표 [0] 4 8" xfId="304"/>
    <cellStyle name="쉼표 [0] 5" xfId="180"/>
    <cellStyle name="쉼표 [0] 5 2" xfId="190"/>
    <cellStyle name="쉼표 [0] 5 2 2" xfId="213"/>
    <cellStyle name="쉼표 [0] 5 2 2 2" xfId="255"/>
    <cellStyle name="쉼표 [0] 5 2 2 3" xfId="335"/>
    <cellStyle name="쉼표 [0] 5 2 3" xfId="235"/>
    <cellStyle name="쉼표 [0] 5 2 4" xfId="275"/>
    <cellStyle name="쉼표 [0] 5 2 5" xfId="295"/>
    <cellStyle name="쉼표 [0] 5 2 6" xfId="315"/>
    <cellStyle name="쉼표 [0] 5 3" xfId="203"/>
    <cellStyle name="쉼표 [0] 5 3 2" xfId="245"/>
    <cellStyle name="쉼표 [0] 5 3 3" xfId="325"/>
    <cellStyle name="쉼표 [0] 5 4" xfId="225"/>
    <cellStyle name="쉼표 [0] 5 5" xfId="265"/>
    <cellStyle name="쉼표 [0] 5 6" xfId="285"/>
    <cellStyle name="쉼표 [0] 5 7" xfId="305"/>
    <cellStyle name="쉼표 [0] 6" xfId="185"/>
    <cellStyle name="쉼표 [0] 6 2" xfId="208"/>
    <cellStyle name="쉼표 [0] 6 2 2" xfId="250"/>
    <cellStyle name="쉼표 [0] 6 2 3" xfId="330"/>
    <cellStyle name="쉼표 [0] 6 3" xfId="218"/>
    <cellStyle name="쉼표 [0] 6 4" xfId="230"/>
    <cellStyle name="쉼표 [0] 6 5" xfId="270"/>
    <cellStyle name="쉼표 [0] 6 6" xfId="290"/>
    <cellStyle name="쉼표 [0] 6 7" xfId="310"/>
    <cellStyle name="쉼표 [0] 7" xfId="198"/>
    <cellStyle name="쉼표 [0] 7 2" xfId="240"/>
    <cellStyle name="쉼표 [0] 7 3" xfId="320"/>
    <cellStyle name="쉼표 [0] 8" xfId="220"/>
    <cellStyle name="쉼표 [0] 9" xfId="260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75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CC"/>
      <color rgb="FFFFFFCC"/>
      <color rgb="FF99FF33"/>
      <color rgb="FF0000FF"/>
      <color rgb="FFCCFFFF"/>
      <color rgb="FFCCECFF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88"/>
  <sheetViews>
    <sheetView topLeftCell="C1" workbookViewId="0">
      <selection activeCell="C1" sqref="C1"/>
    </sheetView>
  </sheetViews>
  <sheetFormatPr defaultRowHeight="10.5"/>
  <cols>
    <col min="1" max="1" width="29" style="140" bestFit="1" customWidth="1"/>
    <col min="2" max="2" width="20.375" style="140" bestFit="1" customWidth="1"/>
    <col min="3" max="3" width="18.625" style="140" bestFit="1" customWidth="1"/>
    <col min="4" max="4" width="2.375" style="140" customWidth="1"/>
    <col min="5" max="5" width="18.625" style="140" bestFit="1" customWidth="1"/>
    <col min="6" max="6" width="29" style="140" bestFit="1" customWidth="1"/>
    <col min="7" max="7" width="20.375" style="140" bestFit="1" customWidth="1"/>
    <col min="8" max="8" width="8.5" style="149" bestFit="1" customWidth="1"/>
    <col min="9" max="9" width="8.5" style="150" bestFit="1" customWidth="1"/>
    <col min="10" max="16384" width="9" style="140"/>
  </cols>
  <sheetData>
    <row r="1" spans="1:19" ht="35.25" customHeight="1">
      <c r="A1" s="139" t="s">
        <v>507</v>
      </c>
      <c r="B1" s="139" t="s">
        <v>506</v>
      </c>
      <c r="C1" s="139" t="s">
        <v>505</v>
      </c>
      <c r="E1" s="141" t="s">
        <v>394</v>
      </c>
      <c r="F1" s="141" t="s">
        <v>508</v>
      </c>
      <c r="G1" s="141" t="s">
        <v>393</v>
      </c>
      <c r="H1" s="142" t="s">
        <v>127</v>
      </c>
      <c r="I1" s="141" t="s">
        <v>504</v>
      </c>
      <c r="K1" s="140" t="s">
        <v>519</v>
      </c>
      <c r="L1" s="140" t="s">
        <v>520</v>
      </c>
      <c r="N1" s="140" t="s">
        <v>535</v>
      </c>
      <c r="O1" s="140" t="s">
        <v>536</v>
      </c>
      <c r="Q1" s="172" t="s">
        <v>552</v>
      </c>
      <c r="S1" s="140" t="s">
        <v>557</v>
      </c>
    </row>
    <row r="2" spans="1:19">
      <c r="A2" s="143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44" t="str">
        <f t="shared" ref="B2:B33" si="0">G2</f>
        <v>의회운영위원회</v>
      </c>
      <c r="C2" s="143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45" t="s">
        <v>61</v>
      </c>
      <c r="F2" s="146" t="s">
        <v>61</v>
      </c>
      <c r="G2" s="145" t="s">
        <v>17</v>
      </c>
      <c r="H2" s="147">
        <v>1</v>
      </c>
      <c r="I2" s="148" t="s">
        <v>129</v>
      </c>
      <c r="K2" s="140" t="s">
        <v>523</v>
      </c>
      <c r="L2" s="140" t="s">
        <v>523</v>
      </c>
      <c r="N2" s="140" t="s">
        <v>535</v>
      </c>
      <c r="O2" s="140" t="s">
        <v>536</v>
      </c>
      <c r="Q2" s="172" t="s">
        <v>553</v>
      </c>
      <c r="S2" s="140" t="s">
        <v>558</v>
      </c>
    </row>
    <row r="3" spans="1:19">
      <c r="A3" s="143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44" t="str">
        <f t="shared" si="0"/>
        <v>의회운영위원회</v>
      </c>
      <c r="C3" s="143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45" t="s">
        <v>111</v>
      </c>
      <c r="F3" s="146" t="s">
        <v>266</v>
      </c>
      <c r="G3" s="145" t="s">
        <v>17</v>
      </c>
      <c r="H3" s="147">
        <v>2</v>
      </c>
      <c r="I3" s="148" t="s">
        <v>134</v>
      </c>
      <c r="K3" s="140" t="s">
        <v>59</v>
      </c>
      <c r="L3" s="140" t="s">
        <v>59</v>
      </c>
      <c r="N3" s="140" t="s">
        <v>534</v>
      </c>
      <c r="O3" s="140" t="s">
        <v>537</v>
      </c>
      <c r="Q3" s="140" t="s">
        <v>554</v>
      </c>
      <c r="S3" s="140" t="s">
        <v>559</v>
      </c>
    </row>
    <row r="4" spans="1:19">
      <c r="A4" s="143" t="str">
        <f t="shared" si="1"/>
        <v>홍보담당관</v>
      </c>
      <c r="B4" s="144" t="str">
        <f t="shared" si="0"/>
        <v>의회운영위원회</v>
      </c>
      <c r="C4" s="143" t="str">
        <f t="shared" si="2"/>
        <v>대변인</v>
      </c>
      <c r="E4" s="145" t="s">
        <v>111</v>
      </c>
      <c r="F4" s="146" t="s">
        <v>268</v>
      </c>
      <c r="G4" s="145" t="s">
        <v>17</v>
      </c>
      <c r="H4" s="147">
        <v>3</v>
      </c>
      <c r="I4" s="148" t="s">
        <v>136</v>
      </c>
      <c r="K4" s="140" t="s">
        <v>516</v>
      </c>
      <c r="L4" s="140" t="s">
        <v>521</v>
      </c>
      <c r="O4" s="140" t="s">
        <v>535</v>
      </c>
    </row>
    <row r="5" spans="1:19">
      <c r="A5" s="143" t="str">
        <f t="shared" si="1"/>
        <v>소통담당관</v>
      </c>
      <c r="B5" s="144" t="str">
        <f t="shared" si="0"/>
        <v>의회운영위원회</v>
      </c>
      <c r="C5" s="143" t="str">
        <f t="shared" si="2"/>
        <v>대변인</v>
      </c>
      <c r="E5" s="145" t="s">
        <v>111</v>
      </c>
      <c r="F5" s="146" t="s">
        <v>270</v>
      </c>
      <c r="G5" s="145" t="s">
        <v>17</v>
      </c>
      <c r="H5" s="147">
        <v>4</v>
      </c>
      <c r="I5" s="148" t="s">
        <v>138</v>
      </c>
      <c r="K5" s="140" t="s">
        <v>517</v>
      </c>
      <c r="L5" s="140" t="s">
        <v>517</v>
      </c>
      <c r="O5" s="140" t="s">
        <v>534</v>
      </c>
    </row>
    <row r="6" spans="1:19">
      <c r="A6" s="143" t="str">
        <f t="shared" si="1"/>
        <v>대외협력담당관</v>
      </c>
      <c r="B6" s="144" t="str">
        <f t="shared" si="0"/>
        <v>의회운영위원회</v>
      </c>
      <c r="C6" s="143" t="str">
        <f t="shared" si="2"/>
        <v>대외협력담당관</v>
      </c>
      <c r="E6" s="145" t="s">
        <v>109</v>
      </c>
      <c r="F6" s="146" t="s">
        <v>109</v>
      </c>
      <c r="G6" s="145" t="s">
        <v>17</v>
      </c>
      <c r="H6" s="147">
        <v>5</v>
      </c>
      <c r="I6" s="148" t="s">
        <v>147</v>
      </c>
      <c r="K6" s="140" t="s">
        <v>522</v>
      </c>
      <c r="L6" s="140" t="s">
        <v>518</v>
      </c>
    </row>
    <row r="7" spans="1:19">
      <c r="A7" s="143" t="str">
        <f t="shared" si="1"/>
        <v>서울사무소</v>
      </c>
      <c r="B7" s="144" t="str">
        <f t="shared" si="0"/>
        <v>의회운영위원회</v>
      </c>
      <c r="C7" s="143" t="str">
        <f t="shared" si="2"/>
        <v>대외협력담당관</v>
      </c>
      <c r="E7" s="145" t="s">
        <v>109</v>
      </c>
      <c r="F7" s="146" t="s">
        <v>306</v>
      </c>
      <c r="G7" s="145" t="s">
        <v>17</v>
      </c>
      <c r="H7" s="147">
        <v>6</v>
      </c>
      <c r="I7" s="148" t="s">
        <v>149</v>
      </c>
      <c r="K7" s="140" t="s">
        <v>518</v>
      </c>
    </row>
    <row r="8" spans="1:19">
      <c r="A8" s="143" t="str">
        <f t="shared" si="1"/>
        <v>감사총괄담당관</v>
      </c>
      <c r="B8" s="144" t="str">
        <f t="shared" si="0"/>
        <v>기획재정위원회</v>
      </c>
      <c r="C8" s="143" t="str">
        <f t="shared" si="2"/>
        <v>감사관</v>
      </c>
      <c r="E8" s="145" t="s">
        <v>110</v>
      </c>
      <c r="F8" s="146" t="s">
        <v>128</v>
      </c>
      <c r="G8" s="145" t="s">
        <v>18</v>
      </c>
      <c r="H8" s="147">
        <v>7</v>
      </c>
      <c r="I8" s="148" t="s">
        <v>159</v>
      </c>
    </row>
    <row r="9" spans="1:19">
      <c r="A9" s="143" t="str">
        <f t="shared" si="1"/>
        <v>조사담당관</v>
      </c>
      <c r="B9" s="144" t="str">
        <f t="shared" si="0"/>
        <v>기획재정위원회</v>
      </c>
      <c r="C9" s="143" t="str">
        <f t="shared" si="2"/>
        <v>감사관</v>
      </c>
      <c r="E9" s="145" t="s">
        <v>110</v>
      </c>
      <c r="F9" s="146" t="s">
        <v>130</v>
      </c>
      <c r="G9" s="145" t="s">
        <v>18</v>
      </c>
      <c r="H9" s="147">
        <v>8</v>
      </c>
      <c r="I9" s="148" t="s">
        <v>161</v>
      </c>
    </row>
    <row r="10" spans="1:19">
      <c r="A10" s="143" t="str">
        <f t="shared" si="1"/>
        <v>감사담당관</v>
      </c>
      <c r="B10" s="144" t="str">
        <f t="shared" si="0"/>
        <v>기획재정위원회</v>
      </c>
      <c r="C10" s="143" t="str">
        <f t="shared" si="2"/>
        <v>감사관</v>
      </c>
      <c r="E10" s="145" t="s">
        <v>110</v>
      </c>
      <c r="F10" s="146" t="s">
        <v>131</v>
      </c>
      <c r="G10" s="145" t="s">
        <v>18</v>
      </c>
      <c r="H10" s="147">
        <v>9</v>
      </c>
      <c r="I10" s="148" t="s">
        <v>163</v>
      </c>
    </row>
    <row r="11" spans="1:19">
      <c r="A11" s="143" t="str">
        <f t="shared" si="1"/>
        <v>계약심사담당관</v>
      </c>
      <c r="B11" s="144" t="str">
        <f t="shared" si="0"/>
        <v>기획재정위원회</v>
      </c>
      <c r="C11" s="143" t="str">
        <f t="shared" si="2"/>
        <v>감사관</v>
      </c>
      <c r="E11" s="145" t="s">
        <v>110</v>
      </c>
      <c r="F11" s="146" t="s">
        <v>132</v>
      </c>
      <c r="G11" s="145" t="s">
        <v>18</v>
      </c>
      <c r="H11" s="147">
        <v>10</v>
      </c>
      <c r="I11" s="148" t="s">
        <v>165</v>
      </c>
    </row>
    <row r="12" spans="1:19">
      <c r="A12" s="143" t="str">
        <f t="shared" si="1"/>
        <v>기획담당관</v>
      </c>
      <c r="B12" s="144" t="str">
        <f t="shared" si="0"/>
        <v>기획재정위원회</v>
      </c>
      <c r="C12" s="143" t="str">
        <f t="shared" si="2"/>
        <v>기획조정실</v>
      </c>
      <c r="E12" s="145" t="s">
        <v>102</v>
      </c>
      <c r="F12" s="146" t="s">
        <v>133</v>
      </c>
      <c r="G12" s="145" t="s">
        <v>18</v>
      </c>
      <c r="H12" s="147">
        <v>11</v>
      </c>
      <c r="I12" s="148" t="s">
        <v>172</v>
      </c>
    </row>
    <row r="13" spans="1:19">
      <c r="A13" s="143" t="str">
        <f t="shared" si="1"/>
        <v>미래전략담당관</v>
      </c>
      <c r="B13" s="144" t="str">
        <f t="shared" si="0"/>
        <v>기획재정위원회</v>
      </c>
      <c r="C13" s="143" t="str">
        <f t="shared" si="2"/>
        <v>기획조정실</v>
      </c>
      <c r="E13" s="145" t="s">
        <v>102</v>
      </c>
      <c r="F13" s="146" t="s">
        <v>135</v>
      </c>
      <c r="G13" s="145" t="s">
        <v>18</v>
      </c>
      <c r="H13" s="147">
        <v>12</v>
      </c>
      <c r="I13" s="148" t="s">
        <v>174</v>
      </c>
    </row>
    <row r="14" spans="1:19">
      <c r="A14" s="143" t="str">
        <f t="shared" si="1"/>
        <v>예산담당관</v>
      </c>
      <c r="B14" s="144" t="str">
        <f t="shared" si="0"/>
        <v>기획재정위원회</v>
      </c>
      <c r="C14" s="143" t="str">
        <f t="shared" si="2"/>
        <v>기획조정실</v>
      </c>
      <c r="E14" s="145" t="s">
        <v>102</v>
      </c>
      <c r="F14" s="146" t="s">
        <v>137</v>
      </c>
      <c r="G14" s="145" t="s">
        <v>18</v>
      </c>
      <c r="H14" s="147">
        <v>13</v>
      </c>
      <c r="I14" s="148" t="s">
        <v>176</v>
      </c>
    </row>
    <row r="15" spans="1:19">
      <c r="A15" s="143" t="str">
        <f t="shared" si="1"/>
        <v>평가담당관</v>
      </c>
      <c r="B15" s="144" t="str">
        <f t="shared" si="0"/>
        <v>기획재정위원회</v>
      </c>
      <c r="C15" s="143" t="str">
        <f t="shared" si="2"/>
        <v>기획조정실</v>
      </c>
      <c r="E15" s="145" t="s">
        <v>102</v>
      </c>
      <c r="F15" s="146" t="s">
        <v>139</v>
      </c>
      <c r="G15" s="145" t="s">
        <v>18</v>
      </c>
      <c r="H15" s="147">
        <v>14</v>
      </c>
      <c r="I15" s="148" t="s">
        <v>417</v>
      </c>
    </row>
    <row r="16" spans="1:19">
      <c r="A16" s="143" t="str">
        <f t="shared" si="1"/>
        <v>법무담당관</v>
      </c>
      <c r="B16" s="144" t="str">
        <f t="shared" si="0"/>
        <v>기획재정위원회</v>
      </c>
      <c r="C16" s="143" t="str">
        <f t="shared" si="2"/>
        <v>기획조정실</v>
      </c>
      <c r="E16" s="145" t="s">
        <v>102</v>
      </c>
      <c r="F16" s="146" t="s">
        <v>140</v>
      </c>
      <c r="G16" s="145" t="s">
        <v>18</v>
      </c>
      <c r="H16" s="147">
        <v>15</v>
      </c>
      <c r="I16" s="148" t="s">
        <v>418</v>
      </c>
    </row>
    <row r="17" spans="1:9">
      <c r="A17" s="143" t="str">
        <f t="shared" si="1"/>
        <v>규제개혁추진단</v>
      </c>
      <c r="B17" s="144" t="str">
        <f t="shared" si="0"/>
        <v>기획재정위원회</v>
      </c>
      <c r="C17" s="143" t="str">
        <f t="shared" si="2"/>
        <v>기획조정실</v>
      </c>
      <c r="E17" s="145" t="s">
        <v>102</v>
      </c>
      <c r="F17" s="146" t="s">
        <v>141</v>
      </c>
      <c r="G17" s="145" t="s">
        <v>18</v>
      </c>
      <c r="H17" s="147">
        <v>16</v>
      </c>
      <c r="I17" s="148" t="s">
        <v>419</v>
      </c>
    </row>
    <row r="18" spans="1:9">
      <c r="A18" s="143" t="str">
        <f t="shared" si="1"/>
        <v>따복공동체지원단</v>
      </c>
      <c r="B18" s="144" t="str">
        <f t="shared" si="0"/>
        <v>기획재정위원회</v>
      </c>
      <c r="C18" s="143" t="str">
        <f t="shared" si="2"/>
        <v>기획조정실</v>
      </c>
      <c r="E18" s="145" t="s">
        <v>102</v>
      </c>
      <c r="F18" s="146" t="s">
        <v>142</v>
      </c>
      <c r="G18" s="145" t="s">
        <v>18</v>
      </c>
      <c r="H18" s="147">
        <v>17</v>
      </c>
      <c r="I18" s="148" t="s">
        <v>420</v>
      </c>
    </row>
    <row r="19" spans="1:9">
      <c r="A19" s="143" t="str">
        <f t="shared" si="1"/>
        <v>정보기획담당관</v>
      </c>
      <c r="B19" s="144" t="str">
        <f t="shared" si="0"/>
        <v>기획재정위원회</v>
      </c>
      <c r="C19" s="143" t="str">
        <f t="shared" si="2"/>
        <v>기획조정실</v>
      </c>
      <c r="E19" s="145" t="s">
        <v>102</v>
      </c>
      <c r="F19" s="146" t="s">
        <v>143</v>
      </c>
      <c r="G19" s="145" t="s">
        <v>18</v>
      </c>
      <c r="H19" s="147">
        <v>18</v>
      </c>
      <c r="I19" s="148" t="s">
        <v>421</v>
      </c>
    </row>
    <row r="20" spans="1:9">
      <c r="A20" s="143" t="str">
        <f t="shared" si="1"/>
        <v>정보통신보안담당관</v>
      </c>
      <c r="B20" s="144" t="str">
        <f t="shared" si="0"/>
        <v>기획재정위원회</v>
      </c>
      <c r="C20" s="143" t="str">
        <f t="shared" si="2"/>
        <v>기획조정실</v>
      </c>
      <c r="E20" s="145" t="s">
        <v>102</v>
      </c>
      <c r="F20" s="146" t="s">
        <v>144</v>
      </c>
      <c r="G20" s="145" t="s">
        <v>18</v>
      </c>
      <c r="H20" s="147">
        <v>19</v>
      </c>
      <c r="I20" s="148" t="s">
        <v>422</v>
      </c>
    </row>
    <row r="21" spans="1:9">
      <c r="A21" s="143" t="str">
        <f t="shared" si="1"/>
        <v>빅데이터담당관</v>
      </c>
      <c r="B21" s="144" t="str">
        <f t="shared" si="0"/>
        <v>기획재정위원회</v>
      </c>
      <c r="C21" s="143" t="str">
        <f t="shared" si="2"/>
        <v>기획조정실</v>
      </c>
      <c r="E21" s="145" t="s">
        <v>102</v>
      </c>
      <c r="F21" s="146" t="s">
        <v>145</v>
      </c>
      <c r="G21" s="145" t="s">
        <v>18</v>
      </c>
      <c r="H21" s="147">
        <v>20</v>
      </c>
      <c r="I21" s="148" t="s">
        <v>423</v>
      </c>
    </row>
    <row r="22" spans="1:9">
      <c r="A22" s="143" t="str">
        <f t="shared" si="1"/>
        <v>기획예산담당관</v>
      </c>
      <c r="B22" s="144" t="str">
        <f t="shared" si="0"/>
        <v>기획재정위원회</v>
      </c>
      <c r="C22" s="143" t="str">
        <f t="shared" si="2"/>
        <v>균형발전기획실</v>
      </c>
      <c r="E22" s="145" t="s">
        <v>308</v>
      </c>
      <c r="F22" s="146" t="s">
        <v>309</v>
      </c>
      <c r="G22" s="145" t="s">
        <v>18</v>
      </c>
      <c r="H22" s="147">
        <v>21</v>
      </c>
      <c r="I22" s="148" t="s">
        <v>178</v>
      </c>
    </row>
    <row r="23" spans="1:9">
      <c r="A23" s="143" t="str">
        <f t="shared" si="1"/>
        <v>균형발전담당관</v>
      </c>
      <c r="B23" s="144" t="str">
        <f t="shared" si="0"/>
        <v>기획재정위원회</v>
      </c>
      <c r="C23" s="143" t="str">
        <f t="shared" si="2"/>
        <v>균형발전기획실</v>
      </c>
      <c r="E23" s="145" t="s">
        <v>308</v>
      </c>
      <c r="F23" s="146" t="s">
        <v>311</v>
      </c>
      <c r="G23" s="145" t="s">
        <v>18</v>
      </c>
      <c r="H23" s="147">
        <v>22</v>
      </c>
      <c r="I23" s="148" t="s">
        <v>180</v>
      </c>
    </row>
    <row r="24" spans="1:9">
      <c r="A24" s="143" t="str">
        <f t="shared" si="1"/>
        <v>통일기반조성담당관</v>
      </c>
      <c r="B24" s="144" t="str">
        <f t="shared" si="0"/>
        <v>기획재정위원회</v>
      </c>
      <c r="C24" s="143" t="str">
        <f t="shared" si="2"/>
        <v>균형발전기획실</v>
      </c>
      <c r="E24" s="145" t="s">
        <v>308</v>
      </c>
      <c r="F24" s="146" t="s">
        <v>315</v>
      </c>
      <c r="G24" s="145" t="s">
        <v>18</v>
      </c>
      <c r="H24" s="147">
        <v>23</v>
      </c>
      <c r="I24" s="148" t="s">
        <v>182</v>
      </c>
    </row>
    <row r="25" spans="1:9">
      <c r="A25" s="143" t="str">
        <f t="shared" si="1"/>
        <v>DMZ정책담당관</v>
      </c>
      <c r="B25" s="144" t="str">
        <f t="shared" si="0"/>
        <v>기획재정위원회</v>
      </c>
      <c r="C25" s="143" t="str">
        <f t="shared" si="2"/>
        <v>균형발전기획실</v>
      </c>
      <c r="E25" s="145" t="s">
        <v>308</v>
      </c>
      <c r="F25" s="146" t="s">
        <v>317</v>
      </c>
      <c r="G25" s="145" t="s">
        <v>18</v>
      </c>
      <c r="H25" s="147">
        <v>24</v>
      </c>
      <c r="I25" s="148" t="s">
        <v>184</v>
      </c>
    </row>
    <row r="26" spans="1:9">
      <c r="A26" s="143" t="str">
        <f t="shared" si="1"/>
        <v>군관협력담당관</v>
      </c>
      <c r="B26" s="144" t="str">
        <f t="shared" si="0"/>
        <v>기획재정위원회</v>
      </c>
      <c r="C26" s="143" t="str">
        <f t="shared" si="2"/>
        <v>균형발전기획실</v>
      </c>
      <c r="E26" s="145" t="s">
        <v>308</v>
      </c>
      <c r="F26" s="146" t="s">
        <v>321</v>
      </c>
      <c r="G26" s="145" t="s">
        <v>18</v>
      </c>
      <c r="H26" s="147">
        <v>25</v>
      </c>
      <c r="I26" s="148" t="s">
        <v>186</v>
      </c>
    </row>
    <row r="27" spans="1:9">
      <c r="A27" s="143" t="str">
        <f t="shared" si="1"/>
        <v>경제정책과</v>
      </c>
      <c r="B27" s="144" t="str">
        <f t="shared" si="0"/>
        <v>경제과학기술위원회</v>
      </c>
      <c r="C27" s="143" t="str">
        <f t="shared" si="2"/>
        <v>경제실</v>
      </c>
      <c r="E27" s="145" t="s">
        <v>323</v>
      </c>
      <c r="F27" s="146" t="s">
        <v>324</v>
      </c>
      <c r="G27" s="145" t="s">
        <v>9</v>
      </c>
      <c r="H27" s="147">
        <v>26</v>
      </c>
      <c r="I27" s="148" t="s">
        <v>189</v>
      </c>
    </row>
    <row r="28" spans="1:9">
      <c r="A28" s="143" t="str">
        <f t="shared" si="1"/>
        <v>일자리정책과</v>
      </c>
      <c r="B28" s="144" t="str">
        <f t="shared" si="0"/>
        <v>경제과학기술위원회</v>
      </c>
      <c r="C28" s="143" t="str">
        <f t="shared" si="2"/>
        <v>경제실</v>
      </c>
      <c r="E28" s="145" t="s">
        <v>323</v>
      </c>
      <c r="F28" s="146" t="s">
        <v>326</v>
      </c>
      <c r="G28" s="145" t="s">
        <v>9</v>
      </c>
      <c r="H28" s="147">
        <v>27</v>
      </c>
      <c r="I28" s="148" t="s">
        <v>191</v>
      </c>
    </row>
    <row r="29" spans="1:9">
      <c r="A29" s="143" t="str">
        <f t="shared" si="1"/>
        <v>경기일자리센터</v>
      </c>
      <c r="B29" s="144" t="str">
        <f t="shared" si="0"/>
        <v>경제과학기술위원회</v>
      </c>
      <c r="C29" s="143" t="str">
        <f t="shared" si="2"/>
        <v>경제실</v>
      </c>
      <c r="E29" s="145" t="s">
        <v>323</v>
      </c>
      <c r="F29" s="146" t="s">
        <v>328</v>
      </c>
      <c r="G29" s="145" t="s">
        <v>9</v>
      </c>
      <c r="H29" s="147">
        <v>28</v>
      </c>
      <c r="I29" s="148" t="s">
        <v>193</v>
      </c>
    </row>
    <row r="30" spans="1:9">
      <c r="A30" s="143" t="str">
        <f t="shared" si="1"/>
        <v>사회적경제과</v>
      </c>
      <c r="B30" s="144" t="str">
        <f t="shared" si="0"/>
        <v>경제과학기술위원회</v>
      </c>
      <c r="C30" s="143" t="str">
        <f t="shared" si="2"/>
        <v>경제실</v>
      </c>
      <c r="E30" s="145" t="s">
        <v>323</v>
      </c>
      <c r="F30" s="146" t="s">
        <v>330</v>
      </c>
      <c r="G30" s="145" t="s">
        <v>9</v>
      </c>
      <c r="H30" s="147">
        <v>29</v>
      </c>
      <c r="I30" s="148" t="s">
        <v>194</v>
      </c>
    </row>
    <row r="31" spans="1:9">
      <c r="A31" s="143" t="str">
        <f t="shared" si="1"/>
        <v>기업지원과</v>
      </c>
      <c r="B31" s="144" t="str">
        <f t="shared" si="0"/>
        <v>경제과학기술위원회</v>
      </c>
      <c r="C31" s="143" t="str">
        <f t="shared" si="2"/>
        <v>경제실</v>
      </c>
      <c r="E31" s="145" t="s">
        <v>323</v>
      </c>
      <c r="F31" s="146" t="s">
        <v>332</v>
      </c>
      <c r="G31" s="145" t="s">
        <v>9</v>
      </c>
      <c r="H31" s="147">
        <v>30</v>
      </c>
      <c r="I31" s="148" t="s">
        <v>196</v>
      </c>
    </row>
    <row r="32" spans="1:9">
      <c r="A32" s="143" t="str">
        <f t="shared" si="1"/>
        <v>산업정책과</v>
      </c>
      <c r="B32" s="144" t="str">
        <f t="shared" si="0"/>
        <v>경제과학기술위원회</v>
      </c>
      <c r="C32" s="143" t="str">
        <f t="shared" si="2"/>
        <v>경제실</v>
      </c>
      <c r="E32" s="145" t="s">
        <v>323</v>
      </c>
      <c r="F32" s="146" t="s">
        <v>334</v>
      </c>
      <c r="G32" s="145" t="s">
        <v>9</v>
      </c>
      <c r="H32" s="147">
        <v>31</v>
      </c>
      <c r="I32" s="148" t="s">
        <v>198</v>
      </c>
    </row>
    <row r="33" spans="1:9">
      <c r="A33" s="143" t="str">
        <f t="shared" si="1"/>
        <v>특화산업과</v>
      </c>
      <c r="B33" s="144" t="str">
        <f t="shared" si="0"/>
        <v>경제과학기술위원회</v>
      </c>
      <c r="C33" s="143" t="str">
        <f t="shared" si="2"/>
        <v>경제실</v>
      </c>
      <c r="E33" s="145" t="s">
        <v>323</v>
      </c>
      <c r="F33" s="146" t="s">
        <v>336</v>
      </c>
      <c r="G33" s="145" t="s">
        <v>9</v>
      </c>
      <c r="H33" s="147">
        <v>32</v>
      </c>
      <c r="I33" s="148" t="s">
        <v>424</v>
      </c>
    </row>
    <row r="34" spans="1:9">
      <c r="A34" s="143" t="str">
        <f t="shared" si="1"/>
        <v>과학기술과</v>
      </c>
      <c r="B34" s="144" t="str">
        <f t="shared" ref="B34:B65" si="3">G34</f>
        <v>경제과학기술위원회</v>
      </c>
      <c r="C34" s="143" t="str">
        <f t="shared" si="2"/>
        <v>경제실</v>
      </c>
      <c r="E34" s="145" t="s">
        <v>323</v>
      </c>
      <c r="F34" s="146" t="s">
        <v>338</v>
      </c>
      <c r="G34" s="145" t="s">
        <v>9</v>
      </c>
      <c r="H34" s="147">
        <v>33</v>
      </c>
      <c r="I34" s="148" t="s">
        <v>425</v>
      </c>
    </row>
    <row r="35" spans="1:9">
      <c r="A35" s="143" t="str">
        <f t="shared" si="1"/>
        <v>외교정책과</v>
      </c>
      <c r="B35" s="144" t="str">
        <f t="shared" si="3"/>
        <v>경제과학기술위원회</v>
      </c>
      <c r="C35" s="143" t="str">
        <f t="shared" si="2"/>
        <v>경제실</v>
      </c>
      <c r="E35" s="145" t="s">
        <v>323</v>
      </c>
      <c r="F35" s="146" t="s">
        <v>339</v>
      </c>
      <c r="G35" s="145" t="s">
        <v>9</v>
      </c>
      <c r="H35" s="147">
        <v>34</v>
      </c>
      <c r="I35" s="148" t="s">
        <v>426</v>
      </c>
    </row>
    <row r="36" spans="1:9">
      <c r="A36" s="143" t="str">
        <f t="shared" si="1"/>
        <v>국제통상과</v>
      </c>
      <c r="B36" s="144" t="str">
        <f t="shared" si="3"/>
        <v>경제과학기술위원회</v>
      </c>
      <c r="C36" s="143" t="str">
        <f t="shared" si="2"/>
        <v>경제실</v>
      </c>
      <c r="E36" s="145" t="s">
        <v>323</v>
      </c>
      <c r="F36" s="146" t="s">
        <v>340</v>
      </c>
      <c r="G36" s="145" t="s">
        <v>9</v>
      </c>
      <c r="H36" s="147">
        <v>35</v>
      </c>
      <c r="I36" s="148" t="s">
        <v>427</v>
      </c>
    </row>
    <row r="37" spans="1:9">
      <c r="A37" s="143" t="str">
        <f t="shared" si="1"/>
        <v>투자진흥과</v>
      </c>
      <c r="B37" s="144" t="str">
        <f t="shared" si="3"/>
        <v>경제과학기술위원회</v>
      </c>
      <c r="C37" s="143" t="str">
        <f t="shared" si="2"/>
        <v>경제실</v>
      </c>
      <c r="E37" s="145" t="s">
        <v>323</v>
      </c>
      <c r="F37" s="146" t="s">
        <v>341</v>
      </c>
      <c r="G37" s="145" t="s">
        <v>9</v>
      </c>
      <c r="H37" s="147">
        <v>36</v>
      </c>
      <c r="I37" s="148" t="s">
        <v>428</v>
      </c>
    </row>
    <row r="38" spans="1:9">
      <c r="A38" s="143" t="str">
        <f t="shared" si="1"/>
        <v>기술학교</v>
      </c>
      <c r="B38" s="144" t="str">
        <f t="shared" si="3"/>
        <v>경제과학기술위원회</v>
      </c>
      <c r="C38" s="143" t="str">
        <f t="shared" si="2"/>
        <v>경제실</v>
      </c>
      <c r="E38" s="145" t="s">
        <v>323</v>
      </c>
      <c r="F38" s="146" t="s">
        <v>342</v>
      </c>
      <c r="G38" s="145" t="s">
        <v>9</v>
      </c>
      <c r="H38" s="147">
        <v>37</v>
      </c>
      <c r="I38" s="148" t="s">
        <v>429</v>
      </c>
    </row>
    <row r="39" spans="1:9">
      <c r="A39" s="143" t="str">
        <f t="shared" si="1"/>
        <v>총무과</v>
      </c>
      <c r="B39" s="144" t="str">
        <f t="shared" si="3"/>
        <v>안전행정위원회</v>
      </c>
      <c r="C39" s="143" t="str">
        <f t="shared" si="2"/>
        <v>자치행정국</v>
      </c>
      <c r="E39" s="145" t="s">
        <v>104</v>
      </c>
      <c r="F39" s="146" t="s">
        <v>158</v>
      </c>
      <c r="G39" s="145" t="s">
        <v>60</v>
      </c>
      <c r="H39" s="147">
        <v>38</v>
      </c>
      <c r="I39" s="148" t="s">
        <v>201</v>
      </c>
    </row>
    <row r="40" spans="1:9">
      <c r="A40" s="143" t="str">
        <f t="shared" si="1"/>
        <v>자치행정과</v>
      </c>
      <c r="B40" s="144" t="str">
        <f t="shared" si="3"/>
        <v>안전행정위원회</v>
      </c>
      <c r="C40" s="143" t="str">
        <f t="shared" si="2"/>
        <v>자치행정국</v>
      </c>
      <c r="E40" s="145" t="s">
        <v>104</v>
      </c>
      <c r="F40" s="146" t="s">
        <v>160</v>
      </c>
      <c r="G40" s="145" t="s">
        <v>60</v>
      </c>
      <c r="H40" s="147">
        <v>39</v>
      </c>
      <c r="I40" s="148" t="s">
        <v>203</v>
      </c>
    </row>
    <row r="41" spans="1:9">
      <c r="A41" s="143" t="str">
        <f t="shared" si="1"/>
        <v>인사과</v>
      </c>
      <c r="B41" s="144" t="str">
        <f t="shared" si="3"/>
        <v>안전행정위원회</v>
      </c>
      <c r="C41" s="143" t="str">
        <f t="shared" si="2"/>
        <v>자치행정국</v>
      </c>
      <c r="E41" s="145" t="s">
        <v>104</v>
      </c>
      <c r="F41" s="146" t="s">
        <v>162</v>
      </c>
      <c r="G41" s="145" t="s">
        <v>60</v>
      </c>
      <c r="H41" s="147">
        <v>40</v>
      </c>
      <c r="I41" s="148" t="s">
        <v>205</v>
      </c>
    </row>
    <row r="42" spans="1:9">
      <c r="A42" s="143" t="str">
        <f t="shared" si="1"/>
        <v>언제나민원실</v>
      </c>
      <c r="B42" s="144" t="str">
        <f t="shared" si="3"/>
        <v>안전행정위원회</v>
      </c>
      <c r="C42" s="143" t="str">
        <f t="shared" si="2"/>
        <v>자치행정국</v>
      </c>
      <c r="E42" s="145" t="s">
        <v>104</v>
      </c>
      <c r="F42" s="146" t="s">
        <v>164</v>
      </c>
      <c r="G42" s="145" t="s">
        <v>60</v>
      </c>
      <c r="H42" s="147">
        <v>41</v>
      </c>
      <c r="I42" s="148" t="s">
        <v>430</v>
      </c>
    </row>
    <row r="43" spans="1:9">
      <c r="A43" s="143" t="str">
        <f t="shared" si="1"/>
        <v>세정과</v>
      </c>
      <c r="B43" s="144" t="str">
        <f t="shared" si="3"/>
        <v>안전행정위원회</v>
      </c>
      <c r="C43" s="143" t="str">
        <f t="shared" si="2"/>
        <v>자치행정국</v>
      </c>
      <c r="E43" s="145" t="s">
        <v>104</v>
      </c>
      <c r="F43" s="146" t="s">
        <v>166</v>
      </c>
      <c r="G43" s="145" t="s">
        <v>60</v>
      </c>
      <c r="H43" s="147">
        <v>42</v>
      </c>
      <c r="I43" s="148" t="s">
        <v>431</v>
      </c>
    </row>
    <row r="44" spans="1:9">
      <c r="A44" s="143" t="str">
        <f t="shared" si="1"/>
        <v>세원관리과</v>
      </c>
      <c r="B44" s="144" t="str">
        <f t="shared" si="3"/>
        <v>안전행정위원회</v>
      </c>
      <c r="C44" s="143" t="str">
        <f t="shared" si="2"/>
        <v>자치행정국</v>
      </c>
      <c r="E44" s="145" t="s">
        <v>104</v>
      </c>
      <c r="F44" s="146" t="s">
        <v>167</v>
      </c>
      <c r="G44" s="145" t="s">
        <v>60</v>
      </c>
      <c r="H44" s="147">
        <v>43</v>
      </c>
      <c r="I44" s="148" t="s">
        <v>432</v>
      </c>
    </row>
    <row r="45" spans="1:9">
      <c r="A45" s="143" t="str">
        <f t="shared" si="1"/>
        <v>회계과</v>
      </c>
      <c r="B45" s="144" t="str">
        <f t="shared" si="3"/>
        <v>안전행정위원회</v>
      </c>
      <c r="C45" s="143" t="str">
        <f t="shared" si="2"/>
        <v>자치행정국</v>
      </c>
      <c r="E45" s="145" t="s">
        <v>104</v>
      </c>
      <c r="F45" s="146" t="s">
        <v>168</v>
      </c>
      <c r="G45" s="145" t="s">
        <v>60</v>
      </c>
      <c r="H45" s="147">
        <v>44</v>
      </c>
      <c r="I45" s="148" t="s">
        <v>433</v>
      </c>
    </row>
    <row r="46" spans="1:9">
      <c r="A46" s="143" t="str">
        <f t="shared" si="1"/>
        <v>특별사법경찰단</v>
      </c>
      <c r="B46" s="144" t="str">
        <f t="shared" si="3"/>
        <v>안전행정위원회</v>
      </c>
      <c r="C46" s="143" t="str">
        <f t="shared" si="2"/>
        <v>자치행정국</v>
      </c>
      <c r="E46" s="145" t="s">
        <v>104</v>
      </c>
      <c r="F46" s="146" t="s">
        <v>169</v>
      </c>
      <c r="G46" s="145" t="s">
        <v>60</v>
      </c>
      <c r="H46" s="147">
        <v>45</v>
      </c>
      <c r="I46" s="148" t="s">
        <v>434</v>
      </c>
    </row>
    <row r="47" spans="1:9">
      <c r="A47" s="143" t="str">
        <f t="shared" si="1"/>
        <v>소방행정과</v>
      </c>
      <c r="B47" s="144" t="str">
        <f t="shared" si="3"/>
        <v>안전행정위원회</v>
      </c>
      <c r="C47" s="143" t="str">
        <f t="shared" si="2"/>
        <v>재난안전본부</v>
      </c>
      <c r="E47" s="145" t="s">
        <v>206</v>
      </c>
      <c r="F47" s="146" t="s">
        <v>207</v>
      </c>
      <c r="G47" s="145" t="s">
        <v>60</v>
      </c>
      <c r="H47" s="147">
        <v>46</v>
      </c>
      <c r="I47" s="148" t="s">
        <v>208</v>
      </c>
    </row>
    <row r="48" spans="1:9">
      <c r="A48" s="143" t="str">
        <f t="shared" si="1"/>
        <v>재난안전과</v>
      </c>
      <c r="B48" s="144" t="str">
        <f t="shared" si="3"/>
        <v>안전행정위원회</v>
      </c>
      <c r="C48" s="143" t="str">
        <f t="shared" si="2"/>
        <v>재난안전본부</v>
      </c>
      <c r="E48" s="145" t="s">
        <v>206</v>
      </c>
      <c r="F48" s="146" t="s">
        <v>209</v>
      </c>
      <c r="G48" s="145" t="s">
        <v>60</v>
      </c>
      <c r="H48" s="147">
        <v>47</v>
      </c>
      <c r="I48" s="148" t="s">
        <v>210</v>
      </c>
    </row>
    <row r="49" spans="1:9">
      <c r="A49" s="143" t="str">
        <f t="shared" si="1"/>
        <v>재난대응과</v>
      </c>
      <c r="B49" s="144" t="str">
        <f t="shared" si="3"/>
        <v>안전행정위원회</v>
      </c>
      <c r="C49" s="143" t="str">
        <f t="shared" si="2"/>
        <v>재난안전본부</v>
      </c>
      <c r="E49" s="145" t="s">
        <v>206</v>
      </c>
      <c r="F49" s="146" t="s">
        <v>211</v>
      </c>
      <c r="G49" s="145" t="s">
        <v>60</v>
      </c>
      <c r="H49" s="147">
        <v>48</v>
      </c>
      <c r="I49" s="148" t="s">
        <v>212</v>
      </c>
    </row>
    <row r="50" spans="1:9">
      <c r="A50" s="143" t="str">
        <f t="shared" si="1"/>
        <v>재난종합지휘센터</v>
      </c>
      <c r="B50" s="144" t="str">
        <f t="shared" si="3"/>
        <v>안전행정위원회</v>
      </c>
      <c r="C50" s="143" t="str">
        <f t="shared" si="2"/>
        <v>재난안전본부</v>
      </c>
      <c r="E50" s="145" t="s">
        <v>206</v>
      </c>
      <c r="F50" s="146" t="s">
        <v>213</v>
      </c>
      <c r="G50" s="145" t="s">
        <v>60</v>
      </c>
      <c r="H50" s="147">
        <v>49</v>
      </c>
      <c r="I50" s="148" t="s">
        <v>214</v>
      </c>
    </row>
    <row r="51" spans="1:9">
      <c r="A51" s="143" t="str">
        <f t="shared" si="1"/>
        <v>안전교육훈련담당관</v>
      </c>
      <c r="B51" s="144" t="str">
        <f t="shared" si="3"/>
        <v>안전행정위원회</v>
      </c>
      <c r="C51" s="143" t="str">
        <f t="shared" si="2"/>
        <v>재난안전본부</v>
      </c>
      <c r="E51" s="145" t="s">
        <v>206</v>
      </c>
      <c r="F51" s="146" t="s">
        <v>215</v>
      </c>
      <c r="G51" s="145" t="s">
        <v>60</v>
      </c>
      <c r="H51" s="147">
        <v>50</v>
      </c>
      <c r="I51" s="148" t="s">
        <v>216</v>
      </c>
    </row>
    <row r="52" spans="1:9">
      <c r="A52" s="143" t="str">
        <f t="shared" si="1"/>
        <v>청문감사담당관</v>
      </c>
      <c r="B52" s="144" t="str">
        <f t="shared" si="3"/>
        <v>안전행정위원회</v>
      </c>
      <c r="C52" s="143" t="str">
        <f t="shared" si="2"/>
        <v>재난안전본부</v>
      </c>
      <c r="E52" s="145" t="s">
        <v>206</v>
      </c>
      <c r="F52" s="146" t="s">
        <v>217</v>
      </c>
      <c r="G52" s="145" t="s">
        <v>60</v>
      </c>
      <c r="H52" s="147">
        <v>51</v>
      </c>
      <c r="I52" s="148" t="s">
        <v>218</v>
      </c>
    </row>
    <row r="53" spans="1:9">
      <c r="A53" s="143" t="str">
        <f t="shared" si="1"/>
        <v>특수대응단</v>
      </c>
      <c r="B53" s="144" t="str">
        <f t="shared" si="3"/>
        <v>안전행정위원회</v>
      </c>
      <c r="C53" s="143" t="str">
        <f t="shared" si="2"/>
        <v>재난안전본부</v>
      </c>
      <c r="E53" s="145" t="s">
        <v>206</v>
      </c>
      <c r="F53" s="146" t="s">
        <v>219</v>
      </c>
      <c r="G53" s="145" t="s">
        <v>60</v>
      </c>
      <c r="H53" s="147">
        <v>52</v>
      </c>
      <c r="I53" s="148" t="s">
        <v>220</v>
      </c>
    </row>
    <row r="54" spans="1:9">
      <c r="A54" s="143" t="str">
        <f t="shared" si="1"/>
        <v>안전기획과</v>
      </c>
      <c r="B54" s="144" t="str">
        <f t="shared" si="3"/>
        <v>안전행정위원회</v>
      </c>
      <c r="C54" s="143" t="str">
        <f t="shared" si="2"/>
        <v>재난안전본부</v>
      </c>
      <c r="E54" s="145" t="s">
        <v>206</v>
      </c>
      <c r="F54" s="146" t="s">
        <v>221</v>
      </c>
      <c r="G54" s="145" t="s">
        <v>60</v>
      </c>
      <c r="H54" s="147">
        <v>53</v>
      </c>
      <c r="I54" s="148" t="s">
        <v>222</v>
      </c>
    </row>
    <row r="55" spans="1:9">
      <c r="A55" s="143" t="str">
        <f t="shared" si="1"/>
        <v>재난대책과</v>
      </c>
      <c r="B55" s="144" t="str">
        <f t="shared" si="3"/>
        <v>안전행정위원회</v>
      </c>
      <c r="C55" s="143" t="str">
        <f t="shared" si="2"/>
        <v>재난안전본부</v>
      </c>
      <c r="E55" s="145" t="s">
        <v>206</v>
      </c>
      <c r="F55" s="146" t="s">
        <v>223</v>
      </c>
      <c r="G55" s="145" t="s">
        <v>60</v>
      </c>
      <c r="H55" s="147">
        <v>54</v>
      </c>
      <c r="I55" s="148" t="s">
        <v>224</v>
      </c>
    </row>
    <row r="56" spans="1:9">
      <c r="A56" s="143" t="str">
        <f t="shared" si="1"/>
        <v>기동안전점검단</v>
      </c>
      <c r="B56" s="144" t="str">
        <f t="shared" si="3"/>
        <v>안전행정위원회</v>
      </c>
      <c r="C56" s="143" t="str">
        <f t="shared" si="2"/>
        <v>재난안전본부</v>
      </c>
      <c r="E56" s="145" t="s">
        <v>206</v>
      </c>
      <c r="F56" s="146" t="s">
        <v>225</v>
      </c>
      <c r="G56" s="145" t="s">
        <v>60</v>
      </c>
      <c r="H56" s="147">
        <v>55</v>
      </c>
      <c r="I56" s="148" t="s">
        <v>226</v>
      </c>
    </row>
    <row r="57" spans="1:9">
      <c r="A57" s="143" t="str">
        <f t="shared" si="1"/>
        <v>소방행정기획과</v>
      </c>
      <c r="B57" s="144" t="str">
        <f t="shared" si="3"/>
        <v>안전행정위원회</v>
      </c>
      <c r="C57" s="143" t="str">
        <f t="shared" si="2"/>
        <v>재난안전본부</v>
      </c>
      <c r="E57" s="145" t="s">
        <v>112</v>
      </c>
      <c r="F57" s="146" t="s">
        <v>227</v>
      </c>
      <c r="G57" s="145" t="s">
        <v>60</v>
      </c>
      <c r="H57" s="147">
        <v>56</v>
      </c>
      <c r="I57" s="148" t="s">
        <v>228</v>
      </c>
    </row>
    <row r="58" spans="1:9">
      <c r="A58" s="143" t="str">
        <f t="shared" si="1"/>
        <v>특수대응단(북부)</v>
      </c>
      <c r="B58" s="144" t="str">
        <f t="shared" si="3"/>
        <v>안전행정위원회</v>
      </c>
      <c r="C58" s="143" t="str">
        <f t="shared" si="2"/>
        <v>재난안전본부</v>
      </c>
      <c r="E58" s="145" t="s">
        <v>112</v>
      </c>
      <c r="F58" s="146" t="s">
        <v>219</v>
      </c>
      <c r="G58" s="145" t="s">
        <v>60</v>
      </c>
      <c r="H58" s="147">
        <v>57</v>
      </c>
      <c r="I58" s="148" t="s">
        <v>229</v>
      </c>
    </row>
    <row r="59" spans="1:9">
      <c r="A59" s="143" t="str">
        <f t="shared" si="1"/>
        <v>소방학교</v>
      </c>
      <c r="B59" s="144" t="str">
        <f t="shared" si="3"/>
        <v>안전행정위원회</v>
      </c>
      <c r="C59" s="143" t="str">
        <f t="shared" si="2"/>
        <v>재난안전본부</v>
      </c>
      <c r="E59" s="145" t="s">
        <v>117</v>
      </c>
      <c r="F59" s="146" t="s">
        <v>230</v>
      </c>
      <c r="G59" s="145" t="s">
        <v>60</v>
      </c>
      <c r="H59" s="147">
        <v>58</v>
      </c>
      <c r="I59" s="148" t="s">
        <v>265</v>
      </c>
    </row>
    <row r="60" spans="1:9">
      <c r="A60" s="143" t="str">
        <f t="shared" si="1"/>
        <v>수원소방서</v>
      </c>
      <c r="B60" s="144" t="str">
        <f t="shared" si="3"/>
        <v>안전행정위원회</v>
      </c>
      <c r="C60" s="143" t="str">
        <f t="shared" si="2"/>
        <v>재난안전본부</v>
      </c>
      <c r="E60" s="145" t="s">
        <v>118</v>
      </c>
      <c r="F60" s="146" t="s">
        <v>231</v>
      </c>
      <c r="G60" s="145" t="s">
        <v>60</v>
      </c>
      <c r="H60" s="147">
        <v>59</v>
      </c>
      <c r="I60" s="148" t="s">
        <v>267</v>
      </c>
    </row>
    <row r="61" spans="1:9">
      <c r="A61" s="143" t="str">
        <f t="shared" si="1"/>
        <v>성남소방서</v>
      </c>
      <c r="B61" s="144" t="str">
        <f t="shared" si="3"/>
        <v>안전행정위원회</v>
      </c>
      <c r="C61" s="143" t="str">
        <f t="shared" si="2"/>
        <v>재난안전본부</v>
      </c>
      <c r="E61" s="145" t="s">
        <v>118</v>
      </c>
      <c r="F61" s="146" t="s">
        <v>232</v>
      </c>
      <c r="G61" s="145" t="s">
        <v>60</v>
      </c>
      <c r="H61" s="147">
        <v>60</v>
      </c>
      <c r="I61" s="148" t="s">
        <v>269</v>
      </c>
    </row>
    <row r="62" spans="1:9">
      <c r="A62" s="143" t="str">
        <f t="shared" si="1"/>
        <v>분당소방서</v>
      </c>
      <c r="B62" s="144" t="str">
        <f t="shared" si="3"/>
        <v>안전행정위원회</v>
      </c>
      <c r="C62" s="143" t="str">
        <f t="shared" si="2"/>
        <v>재난안전본부</v>
      </c>
      <c r="E62" s="145" t="s">
        <v>118</v>
      </c>
      <c r="F62" s="146" t="s">
        <v>233</v>
      </c>
      <c r="G62" s="145" t="s">
        <v>60</v>
      </c>
      <c r="H62" s="147">
        <v>61</v>
      </c>
      <c r="I62" s="148" t="s">
        <v>271</v>
      </c>
    </row>
    <row r="63" spans="1:9">
      <c r="A63" s="143" t="str">
        <f t="shared" si="1"/>
        <v>부천소방서</v>
      </c>
      <c r="B63" s="144" t="str">
        <f t="shared" si="3"/>
        <v>안전행정위원회</v>
      </c>
      <c r="C63" s="143" t="str">
        <f t="shared" si="2"/>
        <v>재난안전본부</v>
      </c>
      <c r="E63" s="145" t="s">
        <v>118</v>
      </c>
      <c r="F63" s="146" t="s">
        <v>234</v>
      </c>
      <c r="G63" s="145" t="s">
        <v>60</v>
      </c>
      <c r="H63" s="147">
        <v>62</v>
      </c>
      <c r="I63" s="148" t="s">
        <v>435</v>
      </c>
    </row>
    <row r="64" spans="1:9">
      <c r="A64" s="143" t="str">
        <f t="shared" si="1"/>
        <v>안양소방서</v>
      </c>
      <c r="B64" s="144" t="str">
        <f t="shared" si="3"/>
        <v>안전행정위원회</v>
      </c>
      <c r="C64" s="143" t="str">
        <f t="shared" si="2"/>
        <v>재난안전본부</v>
      </c>
      <c r="E64" s="145" t="s">
        <v>118</v>
      </c>
      <c r="F64" s="146" t="s">
        <v>235</v>
      </c>
      <c r="G64" s="145" t="s">
        <v>60</v>
      </c>
      <c r="H64" s="147">
        <v>63</v>
      </c>
      <c r="I64" s="148" t="s">
        <v>436</v>
      </c>
    </row>
    <row r="65" spans="1:9">
      <c r="A65" s="143" t="str">
        <f t="shared" si="1"/>
        <v>안산소방서</v>
      </c>
      <c r="B65" s="144" t="str">
        <f t="shared" si="3"/>
        <v>안전행정위원회</v>
      </c>
      <c r="C65" s="143" t="str">
        <f t="shared" si="2"/>
        <v>재난안전본부</v>
      </c>
      <c r="E65" s="145" t="s">
        <v>118</v>
      </c>
      <c r="F65" s="146" t="s">
        <v>236</v>
      </c>
      <c r="G65" s="145" t="s">
        <v>60</v>
      </c>
      <c r="H65" s="147">
        <v>64</v>
      </c>
      <c r="I65" s="148" t="s">
        <v>437</v>
      </c>
    </row>
    <row r="66" spans="1:9">
      <c r="A66" s="143" t="str">
        <f t="shared" si="1"/>
        <v>용인소방서</v>
      </c>
      <c r="B66" s="144" t="str">
        <f t="shared" ref="B66:B97" si="4">G66</f>
        <v>안전행정위원회</v>
      </c>
      <c r="C66" s="143" t="str">
        <f t="shared" si="2"/>
        <v>재난안전본부</v>
      </c>
      <c r="E66" s="145" t="s">
        <v>118</v>
      </c>
      <c r="F66" s="146" t="s">
        <v>237</v>
      </c>
      <c r="G66" s="145" t="s">
        <v>60</v>
      </c>
      <c r="H66" s="147">
        <v>65</v>
      </c>
      <c r="I66" s="148" t="s">
        <v>438</v>
      </c>
    </row>
    <row r="67" spans="1:9">
      <c r="A67" s="143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44" t="str">
        <f t="shared" si="4"/>
        <v>안전행정위원회</v>
      </c>
      <c r="C67" s="143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45" t="s">
        <v>118</v>
      </c>
      <c r="F67" s="146" t="s">
        <v>238</v>
      </c>
      <c r="G67" s="145" t="s">
        <v>60</v>
      </c>
      <c r="H67" s="147">
        <v>66</v>
      </c>
      <c r="I67" s="148" t="s">
        <v>439</v>
      </c>
    </row>
    <row r="68" spans="1:9">
      <c r="A68" s="143" t="str">
        <f t="shared" si="5"/>
        <v>송탄소방서</v>
      </c>
      <c r="B68" s="144" t="str">
        <f t="shared" si="4"/>
        <v>안전행정위원회</v>
      </c>
      <c r="C68" s="143" t="str">
        <f t="shared" si="6"/>
        <v>재난안전본부</v>
      </c>
      <c r="E68" s="145" t="s">
        <v>118</v>
      </c>
      <c r="F68" s="146" t="s">
        <v>239</v>
      </c>
      <c r="G68" s="145" t="s">
        <v>60</v>
      </c>
      <c r="H68" s="147">
        <v>67</v>
      </c>
      <c r="I68" s="148" t="s">
        <v>440</v>
      </c>
    </row>
    <row r="69" spans="1:9">
      <c r="A69" s="143" t="str">
        <f t="shared" si="5"/>
        <v>광명소방서</v>
      </c>
      <c r="B69" s="144" t="str">
        <f t="shared" si="4"/>
        <v>안전행정위원회</v>
      </c>
      <c r="C69" s="143" t="str">
        <f t="shared" si="6"/>
        <v>재난안전본부</v>
      </c>
      <c r="E69" s="145" t="s">
        <v>118</v>
      </c>
      <c r="F69" s="146" t="s">
        <v>240</v>
      </c>
      <c r="G69" s="145" t="s">
        <v>60</v>
      </c>
      <c r="H69" s="147">
        <v>68</v>
      </c>
      <c r="I69" s="148" t="s">
        <v>441</v>
      </c>
    </row>
    <row r="70" spans="1:9">
      <c r="A70" s="143" t="str">
        <f t="shared" si="5"/>
        <v>시흥소방서</v>
      </c>
      <c r="B70" s="144" t="str">
        <f t="shared" si="4"/>
        <v>안전행정위원회</v>
      </c>
      <c r="C70" s="143" t="str">
        <f t="shared" si="6"/>
        <v>재난안전본부</v>
      </c>
      <c r="E70" s="145" t="s">
        <v>118</v>
      </c>
      <c r="F70" s="146" t="s">
        <v>241</v>
      </c>
      <c r="G70" s="145" t="s">
        <v>60</v>
      </c>
      <c r="H70" s="147">
        <v>69</v>
      </c>
      <c r="I70" s="148" t="s">
        <v>442</v>
      </c>
    </row>
    <row r="71" spans="1:9">
      <c r="A71" s="143" t="str">
        <f t="shared" si="5"/>
        <v>군포소방서</v>
      </c>
      <c r="B71" s="144" t="str">
        <f t="shared" si="4"/>
        <v>안전행정위원회</v>
      </c>
      <c r="C71" s="143" t="str">
        <f t="shared" si="6"/>
        <v>재난안전본부</v>
      </c>
      <c r="E71" s="145" t="s">
        <v>118</v>
      </c>
      <c r="F71" s="146" t="s">
        <v>242</v>
      </c>
      <c r="G71" s="145" t="s">
        <v>60</v>
      </c>
      <c r="H71" s="147">
        <v>70</v>
      </c>
      <c r="I71" s="148" t="s">
        <v>443</v>
      </c>
    </row>
    <row r="72" spans="1:9">
      <c r="A72" s="143" t="str">
        <f t="shared" si="5"/>
        <v>화성소방서</v>
      </c>
      <c r="B72" s="144" t="str">
        <f t="shared" si="4"/>
        <v>안전행정위원회</v>
      </c>
      <c r="C72" s="143" t="str">
        <f t="shared" si="6"/>
        <v>재난안전본부</v>
      </c>
      <c r="E72" s="145" t="s">
        <v>118</v>
      </c>
      <c r="F72" s="146" t="s">
        <v>243</v>
      </c>
      <c r="G72" s="145" t="s">
        <v>60</v>
      </c>
      <c r="H72" s="147">
        <v>71</v>
      </c>
      <c r="I72" s="148" t="s">
        <v>444</v>
      </c>
    </row>
    <row r="73" spans="1:9">
      <c r="A73" s="143" t="str">
        <f t="shared" si="5"/>
        <v>이천소방서</v>
      </c>
      <c r="B73" s="144" t="str">
        <f t="shared" si="4"/>
        <v>안전행정위원회</v>
      </c>
      <c r="C73" s="143" t="str">
        <f t="shared" si="6"/>
        <v>재난안전본부</v>
      </c>
      <c r="E73" s="145" t="s">
        <v>118</v>
      </c>
      <c r="F73" s="146" t="s">
        <v>244</v>
      </c>
      <c r="G73" s="145" t="s">
        <v>60</v>
      </c>
      <c r="H73" s="147">
        <v>72</v>
      </c>
      <c r="I73" s="148" t="s">
        <v>445</v>
      </c>
    </row>
    <row r="74" spans="1:9">
      <c r="A74" s="143" t="str">
        <f t="shared" si="5"/>
        <v>김포소방서</v>
      </c>
      <c r="B74" s="144" t="str">
        <f t="shared" si="4"/>
        <v>안전행정위원회</v>
      </c>
      <c r="C74" s="143" t="str">
        <f t="shared" si="6"/>
        <v>재난안전본부</v>
      </c>
      <c r="E74" s="145" t="s">
        <v>118</v>
      </c>
      <c r="F74" s="146" t="s">
        <v>245</v>
      </c>
      <c r="G74" s="145" t="s">
        <v>60</v>
      </c>
      <c r="H74" s="147">
        <v>73</v>
      </c>
      <c r="I74" s="148" t="s">
        <v>446</v>
      </c>
    </row>
    <row r="75" spans="1:9">
      <c r="A75" s="143" t="str">
        <f t="shared" si="5"/>
        <v>광주소방서</v>
      </c>
      <c r="B75" s="144" t="str">
        <f t="shared" si="4"/>
        <v>안전행정위원회</v>
      </c>
      <c r="C75" s="143" t="str">
        <f t="shared" si="6"/>
        <v>재난안전본부</v>
      </c>
      <c r="E75" s="145" t="s">
        <v>118</v>
      </c>
      <c r="F75" s="146" t="s">
        <v>246</v>
      </c>
      <c r="G75" s="145" t="s">
        <v>60</v>
      </c>
      <c r="H75" s="147">
        <v>74</v>
      </c>
      <c r="I75" s="148" t="s">
        <v>447</v>
      </c>
    </row>
    <row r="76" spans="1:9">
      <c r="A76" s="143" t="str">
        <f t="shared" si="5"/>
        <v>안성소방서</v>
      </c>
      <c r="B76" s="144" t="str">
        <f t="shared" si="4"/>
        <v>안전행정위원회</v>
      </c>
      <c r="C76" s="143" t="str">
        <f t="shared" si="6"/>
        <v>재난안전본부</v>
      </c>
      <c r="E76" s="145" t="s">
        <v>118</v>
      </c>
      <c r="F76" s="146" t="s">
        <v>247</v>
      </c>
      <c r="G76" s="145" t="s">
        <v>60</v>
      </c>
      <c r="H76" s="147">
        <v>75</v>
      </c>
      <c r="I76" s="148" t="s">
        <v>448</v>
      </c>
    </row>
    <row r="77" spans="1:9">
      <c r="A77" s="143" t="str">
        <f t="shared" si="5"/>
        <v>하남소방서</v>
      </c>
      <c r="B77" s="144" t="str">
        <f t="shared" si="4"/>
        <v>안전행정위원회</v>
      </c>
      <c r="C77" s="143" t="str">
        <f t="shared" si="6"/>
        <v>재난안전본부</v>
      </c>
      <c r="E77" s="145" t="s">
        <v>118</v>
      </c>
      <c r="F77" s="146" t="s">
        <v>248</v>
      </c>
      <c r="G77" s="145" t="s">
        <v>60</v>
      </c>
      <c r="H77" s="147">
        <v>76</v>
      </c>
      <c r="I77" s="148" t="s">
        <v>449</v>
      </c>
    </row>
    <row r="78" spans="1:9">
      <c r="A78" s="143" t="str">
        <f t="shared" si="5"/>
        <v>의왕소방서</v>
      </c>
      <c r="B78" s="144" t="str">
        <f t="shared" si="4"/>
        <v>안전행정위원회</v>
      </c>
      <c r="C78" s="143" t="str">
        <f t="shared" si="6"/>
        <v>재난안전본부</v>
      </c>
      <c r="E78" s="145" t="s">
        <v>118</v>
      </c>
      <c r="F78" s="146" t="s">
        <v>249</v>
      </c>
      <c r="G78" s="145" t="s">
        <v>60</v>
      </c>
      <c r="H78" s="147">
        <v>77</v>
      </c>
      <c r="I78" s="148" t="s">
        <v>450</v>
      </c>
    </row>
    <row r="79" spans="1:9">
      <c r="A79" s="143" t="str">
        <f t="shared" si="5"/>
        <v>오산소방서</v>
      </c>
      <c r="B79" s="144" t="str">
        <f t="shared" si="4"/>
        <v>안전행정위원회</v>
      </c>
      <c r="C79" s="143" t="str">
        <f t="shared" si="6"/>
        <v>재난안전본부</v>
      </c>
      <c r="E79" s="145" t="s">
        <v>118</v>
      </c>
      <c r="F79" s="146" t="s">
        <v>250</v>
      </c>
      <c r="G79" s="145" t="s">
        <v>60</v>
      </c>
      <c r="H79" s="147">
        <v>78</v>
      </c>
      <c r="I79" s="148" t="s">
        <v>451</v>
      </c>
    </row>
    <row r="80" spans="1:9">
      <c r="A80" s="143" t="str">
        <f t="shared" si="5"/>
        <v>여주소방서</v>
      </c>
      <c r="B80" s="144" t="str">
        <f t="shared" si="4"/>
        <v>안전행정위원회</v>
      </c>
      <c r="C80" s="143" t="str">
        <f t="shared" si="6"/>
        <v>재난안전본부</v>
      </c>
      <c r="E80" s="145" t="s">
        <v>118</v>
      </c>
      <c r="F80" s="146" t="s">
        <v>251</v>
      </c>
      <c r="G80" s="145" t="s">
        <v>60</v>
      </c>
      <c r="H80" s="147">
        <v>79</v>
      </c>
      <c r="I80" s="148" t="s">
        <v>452</v>
      </c>
    </row>
    <row r="81" spans="1:9">
      <c r="A81" s="143" t="str">
        <f t="shared" si="5"/>
        <v>양평소방서</v>
      </c>
      <c r="B81" s="144" t="str">
        <f t="shared" si="4"/>
        <v>안전행정위원회</v>
      </c>
      <c r="C81" s="143" t="str">
        <f t="shared" si="6"/>
        <v>재난안전본부</v>
      </c>
      <c r="E81" s="145" t="s">
        <v>118</v>
      </c>
      <c r="F81" s="146" t="s">
        <v>252</v>
      </c>
      <c r="G81" s="145" t="s">
        <v>60</v>
      </c>
      <c r="H81" s="147">
        <v>80</v>
      </c>
      <c r="I81" s="148" t="s">
        <v>453</v>
      </c>
    </row>
    <row r="82" spans="1:9">
      <c r="A82" s="143" t="str">
        <f t="shared" si="5"/>
        <v>과천소방서</v>
      </c>
      <c r="B82" s="144" t="str">
        <f t="shared" si="4"/>
        <v>안전행정위원회</v>
      </c>
      <c r="C82" s="143" t="str">
        <f t="shared" si="6"/>
        <v>재난안전본부</v>
      </c>
      <c r="E82" s="145" t="s">
        <v>118</v>
      </c>
      <c r="F82" s="146" t="s">
        <v>253</v>
      </c>
      <c r="G82" s="145" t="s">
        <v>60</v>
      </c>
      <c r="H82" s="147">
        <v>81</v>
      </c>
      <c r="I82" s="148" t="s">
        <v>454</v>
      </c>
    </row>
    <row r="83" spans="1:9">
      <c r="A83" s="143" t="str">
        <f t="shared" si="5"/>
        <v>고양소방서</v>
      </c>
      <c r="B83" s="144" t="str">
        <f t="shared" si="4"/>
        <v>안전행정위원회</v>
      </c>
      <c r="C83" s="143" t="str">
        <f t="shared" si="6"/>
        <v>재난안전본부</v>
      </c>
      <c r="E83" s="145" t="s">
        <v>118</v>
      </c>
      <c r="F83" s="146" t="s">
        <v>254</v>
      </c>
      <c r="G83" s="145" t="s">
        <v>60</v>
      </c>
      <c r="H83" s="147">
        <v>82</v>
      </c>
      <c r="I83" s="148" t="s">
        <v>455</v>
      </c>
    </row>
    <row r="84" spans="1:9">
      <c r="A84" s="143" t="str">
        <f t="shared" si="5"/>
        <v>일산소방서</v>
      </c>
      <c r="B84" s="144" t="str">
        <f t="shared" si="4"/>
        <v>안전행정위원회</v>
      </c>
      <c r="C84" s="143" t="str">
        <f t="shared" si="6"/>
        <v>재난안전본부</v>
      </c>
      <c r="E84" s="145" t="s">
        <v>118</v>
      </c>
      <c r="F84" s="146" t="s">
        <v>255</v>
      </c>
      <c r="G84" s="145" t="s">
        <v>60</v>
      </c>
      <c r="H84" s="147">
        <v>83</v>
      </c>
      <c r="I84" s="148" t="s">
        <v>456</v>
      </c>
    </row>
    <row r="85" spans="1:9">
      <c r="A85" s="143" t="str">
        <f t="shared" si="5"/>
        <v>의정부소방서</v>
      </c>
      <c r="B85" s="144" t="str">
        <f t="shared" si="4"/>
        <v>안전행정위원회</v>
      </c>
      <c r="C85" s="143" t="str">
        <f t="shared" si="6"/>
        <v>재난안전본부</v>
      </c>
      <c r="E85" s="145" t="s">
        <v>118</v>
      </c>
      <c r="F85" s="146" t="s">
        <v>256</v>
      </c>
      <c r="G85" s="145" t="s">
        <v>60</v>
      </c>
      <c r="H85" s="147">
        <v>84</v>
      </c>
      <c r="I85" s="148" t="s">
        <v>457</v>
      </c>
    </row>
    <row r="86" spans="1:9">
      <c r="A86" s="143" t="str">
        <f t="shared" si="5"/>
        <v>남양주소방서</v>
      </c>
      <c r="B86" s="144" t="str">
        <f t="shared" si="4"/>
        <v>안전행정위원회</v>
      </c>
      <c r="C86" s="143" t="str">
        <f t="shared" si="6"/>
        <v>재난안전본부</v>
      </c>
      <c r="E86" s="145" t="s">
        <v>118</v>
      </c>
      <c r="F86" s="146" t="s">
        <v>257</v>
      </c>
      <c r="G86" s="145" t="s">
        <v>60</v>
      </c>
      <c r="H86" s="147">
        <v>85</v>
      </c>
      <c r="I86" s="148" t="s">
        <v>458</v>
      </c>
    </row>
    <row r="87" spans="1:9">
      <c r="A87" s="143" t="str">
        <f t="shared" si="5"/>
        <v>파주소방서</v>
      </c>
      <c r="B87" s="144" t="str">
        <f t="shared" si="4"/>
        <v>안전행정위원회</v>
      </c>
      <c r="C87" s="143" t="str">
        <f t="shared" si="6"/>
        <v>재난안전본부</v>
      </c>
      <c r="E87" s="145" t="s">
        <v>118</v>
      </c>
      <c r="F87" s="146" t="s">
        <v>258</v>
      </c>
      <c r="G87" s="145" t="s">
        <v>60</v>
      </c>
      <c r="H87" s="147">
        <v>86</v>
      </c>
      <c r="I87" s="148" t="s">
        <v>459</v>
      </c>
    </row>
    <row r="88" spans="1:9">
      <c r="A88" s="143" t="str">
        <f t="shared" si="5"/>
        <v>구리소방서</v>
      </c>
      <c r="B88" s="144" t="str">
        <f t="shared" si="4"/>
        <v>안전행정위원회</v>
      </c>
      <c r="C88" s="143" t="str">
        <f t="shared" si="6"/>
        <v>재난안전본부</v>
      </c>
      <c r="E88" s="145" t="s">
        <v>118</v>
      </c>
      <c r="F88" s="146" t="s">
        <v>259</v>
      </c>
      <c r="G88" s="145" t="s">
        <v>60</v>
      </c>
      <c r="H88" s="147">
        <v>87</v>
      </c>
      <c r="I88" s="148" t="s">
        <v>460</v>
      </c>
    </row>
    <row r="89" spans="1:9">
      <c r="A89" s="143" t="str">
        <f t="shared" si="5"/>
        <v>포천소방서</v>
      </c>
      <c r="B89" s="144" t="str">
        <f t="shared" si="4"/>
        <v>안전행정위원회</v>
      </c>
      <c r="C89" s="143" t="str">
        <f t="shared" si="6"/>
        <v>재난안전본부</v>
      </c>
      <c r="E89" s="145" t="s">
        <v>118</v>
      </c>
      <c r="F89" s="146" t="s">
        <v>260</v>
      </c>
      <c r="G89" s="145" t="s">
        <v>60</v>
      </c>
      <c r="H89" s="147">
        <v>88</v>
      </c>
      <c r="I89" s="148" t="s">
        <v>461</v>
      </c>
    </row>
    <row r="90" spans="1:9">
      <c r="A90" s="143" t="str">
        <f t="shared" si="5"/>
        <v>양주소방서</v>
      </c>
      <c r="B90" s="144" t="str">
        <f t="shared" si="4"/>
        <v>안전행정위원회</v>
      </c>
      <c r="C90" s="143" t="str">
        <f t="shared" si="6"/>
        <v>재난안전본부</v>
      </c>
      <c r="E90" s="145" t="s">
        <v>118</v>
      </c>
      <c r="F90" s="146" t="s">
        <v>261</v>
      </c>
      <c r="G90" s="145" t="s">
        <v>60</v>
      </c>
      <c r="H90" s="147">
        <v>89</v>
      </c>
      <c r="I90" s="148" t="s">
        <v>462</v>
      </c>
    </row>
    <row r="91" spans="1:9">
      <c r="A91" s="143" t="str">
        <f t="shared" si="5"/>
        <v>동두천소방서</v>
      </c>
      <c r="B91" s="144" t="str">
        <f t="shared" si="4"/>
        <v>안전행정위원회</v>
      </c>
      <c r="C91" s="143" t="str">
        <f t="shared" si="6"/>
        <v>재난안전본부</v>
      </c>
      <c r="E91" s="145" t="s">
        <v>118</v>
      </c>
      <c r="F91" s="146" t="s">
        <v>262</v>
      </c>
      <c r="G91" s="145" t="s">
        <v>60</v>
      </c>
      <c r="H91" s="147">
        <v>90</v>
      </c>
      <c r="I91" s="148" t="s">
        <v>463</v>
      </c>
    </row>
    <row r="92" spans="1:9">
      <c r="A92" s="143" t="str">
        <f t="shared" si="5"/>
        <v>가평소방서</v>
      </c>
      <c r="B92" s="144" t="str">
        <f t="shared" si="4"/>
        <v>안전행정위원회</v>
      </c>
      <c r="C92" s="143" t="str">
        <f t="shared" si="6"/>
        <v>재난안전본부</v>
      </c>
      <c r="E92" s="145" t="s">
        <v>118</v>
      </c>
      <c r="F92" s="146" t="s">
        <v>263</v>
      </c>
      <c r="G92" s="145" t="s">
        <v>60</v>
      </c>
      <c r="H92" s="147">
        <v>91</v>
      </c>
      <c r="I92" s="148" t="s">
        <v>464</v>
      </c>
    </row>
    <row r="93" spans="1:9">
      <c r="A93" s="143" t="str">
        <f t="shared" si="5"/>
        <v>연천소방서</v>
      </c>
      <c r="B93" s="144" t="str">
        <f t="shared" si="4"/>
        <v>안전행정위원회</v>
      </c>
      <c r="C93" s="143" t="str">
        <f t="shared" si="6"/>
        <v>재난안전본부</v>
      </c>
      <c r="E93" s="145" t="s">
        <v>118</v>
      </c>
      <c r="F93" s="146" t="s">
        <v>264</v>
      </c>
      <c r="G93" s="145" t="s">
        <v>60</v>
      </c>
      <c r="H93" s="147">
        <v>92</v>
      </c>
      <c r="I93" s="148" t="s">
        <v>465</v>
      </c>
    </row>
    <row r="94" spans="1:9">
      <c r="A94" s="143" t="str">
        <f t="shared" si="5"/>
        <v>행정관리담당관</v>
      </c>
      <c r="B94" s="144" t="str">
        <f t="shared" si="4"/>
        <v>안전행정위원회</v>
      </c>
      <c r="C94" s="143" t="str">
        <f t="shared" si="6"/>
        <v>균형발전기획실</v>
      </c>
      <c r="E94" s="145" t="s">
        <v>308</v>
      </c>
      <c r="F94" s="146" t="s">
        <v>313</v>
      </c>
      <c r="G94" s="145" t="s">
        <v>60</v>
      </c>
      <c r="H94" s="147">
        <v>93</v>
      </c>
      <c r="I94" s="148" t="s">
        <v>273</v>
      </c>
    </row>
    <row r="95" spans="1:9">
      <c r="A95" s="143" t="str">
        <f t="shared" si="5"/>
        <v>비상기획담당관</v>
      </c>
      <c r="B95" s="144" t="str">
        <f t="shared" si="4"/>
        <v>안전행정위원회</v>
      </c>
      <c r="C95" s="143" t="str">
        <f t="shared" si="6"/>
        <v>균형발전기획실</v>
      </c>
      <c r="E95" s="145" t="s">
        <v>308</v>
      </c>
      <c r="F95" s="146" t="s">
        <v>319</v>
      </c>
      <c r="G95" s="145" t="s">
        <v>60</v>
      </c>
      <c r="H95" s="147">
        <v>94</v>
      </c>
      <c r="I95" s="148" t="s">
        <v>275</v>
      </c>
    </row>
    <row r="96" spans="1:9">
      <c r="A96" s="143" t="str">
        <f t="shared" si="5"/>
        <v>인재개발원</v>
      </c>
      <c r="B96" s="144" t="str">
        <f t="shared" si="4"/>
        <v>안전행정위원회</v>
      </c>
      <c r="C96" s="143" t="str">
        <f t="shared" si="6"/>
        <v>인재개발원</v>
      </c>
      <c r="E96" s="145" t="s">
        <v>114</v>
      </c>
      <c r="F96" s="146" t="s">
        <v>376</v>
      </c>
      <c r="G96" s="145" t="s">
        <v>60</v>
      </c>
      <c r="H96" s="147">
        <v>95</v>
      </c>
      <c r="I96" s="148" t="s">
        <v>281</v>
      </c>
    </row>
    <row r="97" spans="1:9">
      <c r="A97" s="143" t="str">
        <f t="shared" si="5"/>
        <v>문화정책과</v>
      </c>
      <c r="B97" s="144" t="str">
        <f t="shared" si="4"/>
        <v>문화체육관광위원회</v>
      </c>
      <c r="C97" s="143" t="str">
        <f t="shared" si="6"/>
        <v>문화체육관광국</v>
      </c>
      <c r="E97" s="145" t="s">
        <v>105</v>
      </c>
      <c r="F97" s="146" t="s">
        <v>177</v>
      </c>
      <c r="G97" s="145" t="s">
        <v>13</v>
      </c>
      <c r="H97" s="147">
        <v>96</v>
      </c>
      <c r="I97" s="148" t="s">
        <v>287</v>
      </c>
    </row>
    <row r="98" spans="1:9">
      <c r="A98" s="143" t="str">
        <f t="shared" si="5"/>
        <v>종무과</v>
      </c>
      <c r="B98" s="144" t="str">
        <f t="shared" ref="B98:B129" si="7">G98</f>
        <v>문화체육관광위원회</v>
      </c>
      <c r="C98" s="143" t="str">
        <f t="shared" si="6"/>
        <v>문화체육관광국</v>
      </c>
      <c r="E98" s="145" t="s">
        <v>105</v>
      </c>
      <c r="F98" s="146" t="s">
        <v>179</v>
      </c>
      <c r="G98" s="145" t="s">
        <v>13</v>
      </c>
      <c r="H98" s="147">
        <v>97</v>
      </c>
      <c r="I98" s="148" t="s">
        <v>289</v>
      </c>
    </row>
    <row r="99" spans="1:9">
      <c r="A99" s="143" t="str">
        <f t="shared" si="5"/>
        <v>체육과</v>
      </c>
      <c r="B99" s="144" t="str">
        <f t="shared" si="7"/>
        <v>문화체육관광위원회</v>
      </c>
      <c r="C99" s="143" t="str">
        <f t="shared" si="6"/>
        <v>문화체육관광국</v>
      </c>
      <c r="E99" s="145" t="s">
        <v>105</v>
      </c>
      <c r="F99" s="146" t="s">
        <v>181</v>
      </c>
      <c r="G99" s="145" t="s">
        <v>13</v>
      </c>
      <c r="H99" s="147">
        <v>98</v>
      </c>
      <c r="I99" s="148" t="s">
        <v>291</v>
      </c>
    </row>
    <row r="100" spans="1:9">
      <c r="A100" s="143" t="str">
        <f t="shared" si="5"/>
        <v>문화유산과</v>
      </c>
      <c r="B100" s="144" t="str">
        <f t="shared" si="7"/>
        <v>문화체육관광위원회</v>
      </c>
      <c r="C100" s="143" t="str">
        <f t="shared" si="6"/>
        <v>문화체육관광국</v>
      </c>
      <c r="E100" s="145" t="s">
        <v>105</v>
      </c>
      <c r="F100" s="146" t="s">
        <v>183</v>
      </c>
      <c r="G100" s="145" t="s">
        <v>13</v>
      </c>
      <c r="H100" s="147">
        <v>99</v>
      </c>
      <c r="I100" s="148" t="s">
        <v>293</v>
      </c>
    </row>
    <row r="101" spans="1:9">
      <c r="A101" s="143" t="str">
        <f t="shared" si="5"/>
        <v>콘텐츠산업과</v>
      </c>
      <c r="B101" s="144" t="str">
        <f t="shared" si="7"/>
        <v>문화체육관광위원회</v>
      </c>
      <c r="C101" s="143" t="str">
        <f t="shared" si="6"/>
        <v>문화체육관광국</v>
      </c>
      <c r="E101" s="145" t="s">
        <v>105</v>
      </c>
      <c r="F101" s="146" t="s">
        <v>185</v>
      </c>
      <c r="G101" s="145" t="s">
        <v>13</v>
      </c>
      <c r="H101" s="147">
        <v>100</v>
      </c>
      <c r="I101" s="148" t="s">
        <v>295</v>
      </c>
    </row>
    <row r="102" spans="1:9">
      <c r="A102" s="143" t="str">
        <f t="shared" si="5"/>
        <v>관광과</v>
      </c>
      <c r="B102" s="144" t="str">
        <f t="shared" si="7"/>
        <v>문화체육관광위원회</v>
      </c>
      <c r="C102" s="143" t="str">
        <f t="shared" si="6"/>
        <v>문화체육관광국</v>
      </c>
      <c r="E102" s="145" t="s">
        <v>105</v>
      </c>
      <c r="F102" s="146" t="s">
        <v>187</v>
      </c>
      <c r="G102" s="145" t="s">
        <v>13</v>
      </c>
      <c r="H102" s="147">
        <v>101</v>
      </c>
      <c r="I102" s="148" t="s">
        <v>297</v>
      </c>
    </row>
    <row r="103" spans="1:9">
      <c r="A103" s="143" t="str">
        <f t="shared" si="5"/>
        <v>농업정책과</v>
      </c>
      <c r="B103" s="144" t="str">
        <f t="shared" si="7"/>
        <v>농정해양위원회</v>
      </c>
      <c r="C103" s="143" t="str">
        <f t="shared" si="6"/>
        <v>농정해양국</v>
      </c>
      <c r="E103" s="145" t="s">
        <v>64</v>
      </c>
      <c r="F103" s="146" t="s">
        <v>188</v>
      </c>
      <c r="G103" s="145" t="s">
        <v>63</v>
      </c>
      <c r="H103" s="147">
        <v>102</v>
      </c>
      <c r="I103" s="148" t="s">
        <v>298</v>
      </c>
    </row>
    <row r="104" spans="1:9">
      <c r="A104" s="143" t="str">
        <f t="shared" si="5"/>
        <v>해양항만정책과</v>
      </c>
      <c r="B104" s="144" t="str">
        <f t="shared" si="7"/>
        <v>농정해양위원회</v>
      </c>
      <c r="C104" s="143" t="str">
        <f t="shared" si="6"/>
        <v>농정해양국</v>
      </c>
      <c r="E104" s="145" t="s">
        <v>64</v>
      </c>
      <c r="F104" s="146" t="s">
        <v>190</v>
      </c>
      <c r="G104" s="145" t="s">
        <v>63</v>
      </c>
      <c r="H104" s="147">
        <v>103</v>
      </c>
      <c r="I104" s="148" t="s">
        <v>299</v>
      </c>
    </row>
    <row r="105" spans="1:9">
      <c r="A105" s="143" t="str">
        <f t="shared" si="5"/>
        <v>농식품유통과</v>
      </c>
      <c r="B105" s="144" t="str">
        <f t="shared" si="7"/>
        <v>농정해양위원회</v>
      </c>
      <c r="C105" s="143" t="str">
        <f t="shared" si="6"/>
        <v>농정해양국</v>
      </c>
      <c r="E105" s="145" t="s">
        <v>64</v>
      </c>
      <c r="F105" s="146" t="s">
        <v>192</v>
      </c>
      <c r="G105" s="145" t="s">
        <v>63</v>
      </c>
      <c r="H105" s="147">
        <v>104</v>
      </c>
      <c r="I105" s="148" t="s">
        <v>301</v>
      </c>
    </row>
    <row r="106" spans="1:9">
      <c r="A106" s="143" t="str">
        <f t="shared" si="5"/>
        <v>친환경농업과</v>
      </c>
      <c r="B106" s="144" t="str">
        <f t="shared" si="7"/>
        <v>농정해양위원회</v>
      </c>
      <c r="C106" s="143" t="str">
        <f t="shared" si="6"/>
        <v>농정해양국</v>
      </c>
      <c r="E106" s="145" t="s">
        <v>64</v>
      </c>
      <c r="F106" s="146" t="s">
        <v>65</v>
      </c>
      <c r="G106" s="145" t="s">
        <v>63</v>
      </c>
      <c r="H106" s="147">
        <v>105</v>
      </c>
      <c r="I106" s="148" t="s">
        <v>303</v>
      </c>
    </row>
    <row r="107" spans="1:9">
      <c r="A107" s="143" t="str">
        <f t="shared" si="5"/>
        <v>수산과</v>
      </c>
      <c r="B107" s="144" t="str">
        <f t="shared" si="7"/>
        <v>농정해양위원회</v>
      </c>
      <c r="C107" s="143" t="str">
        <f t="shared" si="6"/>
        <v>농정해양국</v>
      </c>
      <c r="E107" s="145" t="s">
        <v>64</v>
      </c>
      <c r="F107" s="146" t="s">
        <v>195</v>
      </c>
      <c r="G107" s="145" t="s">
        <v>63</v>
      </c>
      <c r="H107" s="147">
        <v>106</v>
      </c>
      <c r="I107" s="148" t="s">
        <v>304</v>
      </c>
    </row>
    <row r="108" spans="1:9">
      <c r="A108" s="143" t="str">
        <f t="shared" si="5"/>
        <v>해양수산자원연구소</v>
      </c>
      <c r="B108" s="144" t="str">
        <f t="shared" si="7"/>
        <v>농정해양위원회</v>
      </c>
      <c r="C108" s="143" t="str">
        <f t="shared" si="6"/>
        <v>농정해양국</v>
      </c>
      <c r="E108" s="145" t="s">
        <v>64</v>
      </c>
      <c r="F108" s="146" t="s">
        <v>197</v>
      </c>
      <c r="G108" s="145" t="s">
        <v>63</v>
      </c>
      <c r="H108" s="147">
        <v>107</v>
      </c>
      <c r="I108" s="148" t="s">
        <v>466</v>
      </c>
    </row>
    <row r="109" spans="1:9">
      <c r="A109" s="143" t="str">
        <f t="shared" si="5"/>
        <v>축산정책과</v>
      </c>
      <c r="B109" s="144" t="str">
        <f t="shared" si="7"/>
        <v>농정해양위원회</v>
      </c>
      <c r="C109" s="143" t="str">
        <f t="shared" si="6"/>
        <v>축산산림국</v>
      </c>
      <c r="E109" s="145" t="s">
        <v>66</v>
      </c>
      <c r="F109" s="146" t="s">
        <v>343</v>
      </c>
      <c r="G109" s="145" t="s">
        <v>63</v>
      </c>
      <c r="H109" s="147">
        <v>108</v>
      </c>
      <c r="I109" s="148" t="s">
        <v>305</v>
      </c>
    </row>
    <row r="110" spans="1:9">
      <c r="A110" s="143" t="str">
        <f t="shared" si="5"/>
        <v>동물방역위생과</v>
      </c>
      <c r="B110" s="144" t="str">
        <f t="shared" si="7"/>
        <v>농정해양위원회</v>
      </c>
      <c r="C110" s="143" t="str">
        <f t="shared" si="6"/>
        <v>축산산림국</v>
      </c>
      <c r="E110" s="145" t="s">
        <v>66</v>
      </c>
      <c r="F110" s="146" t="s">
        <v>67</v>
      </c>
      <c r="G110" s="145" t="s">
        <v>63</v>
      </c>
      <c r="H110" s="147">
        <v>109</v>
      </c>
      <c r="I110" s="148" t="s">
        <v>307</v>
      </c>
    </row>
    <row r="111" spans="1:9">
      <c r="A111" s="143" t="str">
        <f t="shared" si="5"/>
        <v>산림과</v>
      </c>
      <c r="B111" s="144" t="str">
        <f t="shared" si="7"/>
        <v>농정해양위원회</v>
      </c>
      <c r="C111" s="143" t="str">
        <f t="shared" si="6"/>
        <v>축산산림국</v>
      </c>
      <c r="E111" s="145" t="s">
        <v>66</v>
      </c>
      <c r="F111" s="146" t="s">
        <v>346</v>
      </c>
      <c r="G111" s="145" t="s">
        <v>63</v>
      </c>
      <c r="H111" s="147">
        <v>110</v>
      </c>
      <c r="I111" s="148" t="s">
        <v>467</v>
      </c>
    </row>
    <row r="112" spans="1:9">
      <c r="A112" s="143" t="str">
        <f t="shared" si="5"/>
        <v>축산위생연구소</v>
      </c>
      <c r="B112" s="144" t="str">
        <f t="shared" si="7"/>
        <v>농정해양위원회</v>
      </c>
      <c r="C112" s="143" t="str">
        <f t="shared" si="6"/>
        <v>축산산림국</v>
      </c>
      <c r="E112" s="145" t="s">
        <v>66</v>
      </c>
      <c r="F112" s="146" t="s">
        <v>348</v>
      </c>
      <c r="G112" s="145" t="s">
        <v>63</v>
      </c>
      <c r="H112" s="147">
        <v>111</v>
      </c>
      <c r="I112" s="148" t="s">
        <v>468</v>
      </c>
    </row>
    <row r="113" spans="1:9">
      <c r="A113" s="143" t="str">
        <f t="shared" si="5"/>
        <v>북부축산위생연구소</v>
      </c>
      <c r="B113" s="144" t="str">
        <f t="shared" si="7"/>
        <v>농정해양위원회</v>
      </c>
      <c r="C113" s="143" t="str">
        <f t="shared" si="6"/>
        <v>축산산림국</v>
      </c>
      <c r="E113" s="145" t="s">
        <v>66</v>
      </c>
      <c r="F113" s="146" t="s">
        <v>349</v>
      </c>
      <c r="G113" s="145" t="s">
        <v>63</v>
      </c>
      <c r="H113" s="147">
        <v>112</v>
      </c>
      <c r="I113" s="148" t="s">
        <v>469</v>
      </c>
    </row>
    <row r="114" spans="1:9">
      <c r="A114" s="143" t="str">
        <f t="shared" si="5"/>
        <v>산림환경연구소</v>
      </c>
      <c r="B114" s="144" t="str">
        <f t="shared" si="7"/>
        <v>농정해양위원회</v>
      </c>
      <c r="C114" s="143" t="str">
        <f t="shared" si="6"/>
        <v>축산산림국</v>
      </c>
      <c r="E114" s="145" t="s">
        <v>66</v>
      </c>
      <c r="F114" s="146" t="s">
        <v>350</v>
      </c>
      <c r="G114" s="145" t="s">
        <v>63</v>
      </c>
      <c r="H114" s="147">
        <v>113</v>
      </c>
      <c r="I114" s="148" t="s">
        <v>470</v>
      </c>
    </row>
    <row r="115" spans="1:9">
      <c r="A115" s="143" t="str">
        <f t="shared" si="5"/>
        <v>농업기술원(총무과)</v>
      </c>
      <c r="B115" s="144" t="str">
        <f t="shared" si="7"/>
        <v>농정해양위원회</v>
      </c>
      <c r="C115" s="143" t="str">
        <f t="shared" si="6"/>
        <v>농업기술원</v>
      </c>
      <c r="E115" s="145" t="s">
        <v>113</v>
      </c>
      <c r="F115" s="146" t="s">
        <v>370</v>
      </c>
      <c r="G115" s="145" t="s">
        <v>63</v>
      </c>
      <c r="H115" s="147">
        <v>114</v>
      </c>
      <c r="I115" s="148" t="s">
        <v>310</v>
      </c>
    </row>
    <row r="116" spans="1:9">
      <c r="A116" s="143" t="str">
        <f t="shared" si="5"/>
        <v>작물연구과</v>
      </c>
      <c r="B116" s="144" t="str">
        <f t="shared" si="7"/>
        <v>농정해양위원회</v>
      </c>
      <c r="C116" s="143" t="str">
        <f t="shared" si="6"/>
        <v>농업기술원</v>
      </c>
      <c r="E116" s="145" t="s">
        <v>113</v>
      </c>
      <c r="F116" s="146" t="s">
        <v>399</v>
      </c>
      <c r="G116" s="145" t="s">
        <v>63</v>
      </c>
      <c r="H116" s="147">
        <v>115</v>
      </c>
      <c r="I116" s="148" t="s">
        <v>312</v>
      </c>
    </row>
    <row r="117" spans="1:9">
      <c r="A117" s="143" t="str">
        <f t="shared" si="5"/>
        <v>원예연구과</v>
      </c>
      <c r="B117" s="144" t="str">
        <f t="shared" si="7"/>
        <v>농정해양위원회</v>
      </c>
      <c r="C117" s="143" t="str">
        <f t="shared" si="6"/>
        <v>농업기술원</v>
      </c>
      <c r="E117" s="145" t="s">
        <v>113</v>
      </c>
      <c r="F117" s="146" t="s">
        <v>400</v>
      </c>
      <c r="G117" s="145" t="s">
        <v>63</v>
      </c>
      <c r="H117" s="147">
        <v>116</v>
      </c>
      <c r="I117" s="148" t="s">
        <v>314</v>
      </c>
    </row>
    <row r="118" spans="1:9">
      <c r="A118" s="143" t="str">
        <f t="shared" si="5"/>
        <v>환경농업연구과</v>
      </c>
      <c r="B118" s="144" t="str">
        <f t="shared" si="7"/>
        <v>농정해양위원회</v>
      </c>
      <c r="C118" s="143" t="str">
        <f t="shared" si="6"/>
        <v>농업기술원</v>
      </c>
      <c r="E118" s="145" t="s">
        <v>113</v>
      </c>
      <c r="F118" s="146" t="s">
        <v>401</v>
      </c>
      <c r="G118" s="145" t="s">
        <v>63</v>
      </c>
      <c r="H118" s="147">
        <v>117</v>
      </c>
      <c r="I118" s="148" t="s">
        <v>316</v>
      </c>
    </row>
    <row r="119" spans="1:9">
      <c r="A119" s="143" t="str">
        <f t="shared" si="5"/>
        <v>지원기획과</v>
      </c>
      <c r="B119" s="144" t="str">
        <f t="shared" si="7"/>
        <v>농정해양위원회</v>
      </c>
      <c r="C119" s="143" t="str">
        <f t="shared" si="6"/>
        <v>농업기술원</v>
      </c>
      <c r="E119" s="145" t="s">
        <v>113</v>
      </c>
      <c r="F119" s="146" t="s">
        <v>402</v>
      </c>
      <c r="G119" s="145" t="s">
        <v>63</v>
      </c>
      <c r="H119" s="147">
        <v>118</v>
      </c>
      <c r="I119" s="148" t="s">
        <v>318</v>
      </c>
    </row>
    <row r="120" spans="1:9">
      <c r="A120" s="143" t="str">
        <f t="shared" si="5"/>
        <v>기술보급과</v>
      </c>
      <c r="B120" s="144" t="str">
        <f t="shared" si="7"/>
        <v>농정해양위원회</v>
      </c>
      <c r="C120" s="143" t="str">
        <f t="shared" si="6"/>
        <v>농업기술원</v>
      </c>
      <c r="E120" s="145" t="s">
        <v>113</v>
      </c>
      <c r="F120" s="146" t="s">
        <v>403</v>
      </c>
      <c r="G120" s="145" t="s">
        <v>63</v>
      </c>
      <c r="H120" s="147">
        <v>119</v>
      </c>
      <c r="I120" s="148" t="s">
        <v>320</v>
      </c>
    </row>
    <row r="121" spans="1:9">
      <c r="A121" s="143" t="str">
        <f t="shared" si="5"/>
        <v>농촌자원과</v>
      </c>
      <c r="B121" s="144" t="str">
        <f t="shared" si="7"/>
        <v>농정해양위원회</v>
      </c>
      <c r="C121" s="143" t="str">
        <f t="shared" si="6"/>
        <v>농업기술원</v>
      </c>
      <c r="E121" s="145" t="s">
        <v>113</v>
      </c>
      <c r="F121" s="146" t="s">
        <v>404</v>
      </c>
      <c r="G121" s="145" t="s">
        <v>63</v>
      </c>
      <c r="H121" s="147">
        <v>120</v>
      </c>
      <c r="I121" s="148" t="s">
        <v>322</v>
      </c>
    </row>
    <row r="122" spans="1:9">
      <c r="A122" s="143" t="str">
        <f t="shared" si="5"/>
        <v>종자관리소</v>
      </c>
      <c r="B122" s="144" t="str">
        <f t="shared" si="7"/>
        <v>농정해양위원회</v>
      </c>
      <c r="C122" s="143" t="str">
        <f t="shared" si="6"/>
        <v>농업기술원</v>
      </c>
      <c r="E122" s="145" t="s">
        <v>113</v>
      </c>
      <c r="F122" s="146" t="s">
        <v>405</v>
      </c>
      <c r="G122" s="145" t="s">
        <v>63</v>
      </c>
      <c r="H122" s="147">
        <v>121</v>
      </c>
      <c r="I122" s="148" t="s">
        <v>471</v>
      </c>
    </row>
    <row r="123" spans="1:9">
      <c r="A123" s="143" t="str">
        <f t="shared" si="5"/>
        <v>버섯연구소</v>
      </c>
      <c r="B123" s="144" t="str">
        <f t="shared" si="7"/>
        <v>농정해양위원회</v>
      </c>
      <c r="C123" s="143" t="str">
        <f t="shared" si="6"/>
        <v>농업기술원</v>
      </c>
      <c r="E123" s="145" t="s">
        <v>113</v>
      </c>
      <c r="F123" s="146" t="s">
        <v>406</v>
      </c>
      <c r="G123" s="145" t="s">
        <v>63</v>
      </c>
      <c r="H123" s="147">
        <v>122</v>
      </c>
      <c r="I123" s="148" t="s">
        <v>472</v>
      </c>
    </row>
    <row r="124" spans="1:9">
      <c r="A124" s="143" t="str">
        <f t="shared" si="5"/>
        <v>소득자원연구소</v>
      </c>
      <c r="B124" s="144" t="str">
        <f t="shared" si="7"/>
        <v>농정해양위원회</v>
      </c>
      <c r="C124" s="143" t="str">
        <f t="shared" si="6"/>
        <v>농업기술원</v>
      </c>
      <c r="E124" s="145" t="s">
        <v>113</v>
      </c>
      <c r="F124" s="146" t="s">
        <v>407</v>
      </c>
      <c r="G124" s="145" t="s">
        <v>63</v>
      </c>
      <c r="H124" s="147">
        <v>123</v>
      </c>
      <c r="I124" s="148" t="s">
        <v>473</v>
      </c>
    </row>
    <row r="125" spans="1:9">
      <c r="A125" s="143" t="str">
        <f t="shared" si="5"/>
        <v>선인장다육식물연구소</v>
      </c>
      <c r="B125" s="144" t="str">
        <f t="shared" si="7"/>
        <v>농정해양위원회</v>
      </c>
      <c r="C125" s="143" t="str">
        <f t="shared" si="6"/>
        <v>농업기술원</v>
      </c>
      <c r="E125" s="145" t="s">
        <v>113</v>
      </c>
      <c r="F125" s="146" t="s">
        <v>408</v>
      </c>
      <c r="G125" s="145" t="s">
        <v>63</v>
      </c>
      <c r="H125" s="147">
        <v>124</v>
      </c>
      <c r="I125" s="148" t="s">
        <v>474</v>
      </c>
    </row>
    <row r="126" spans="1:9">
      <c r="A126" s="143" t="str">
        <f t="shared" si="5"/>
        <v>무한돌봄복지과</v>
      </c>
      <c r="B126" s="144" t="str">
        <f t="shared" si="7"/>
        <v>보건복지위원회</v>
      </c>
      <c r="C126" s="143" t="str">
        <f t="shared" si="6"/>
        <v>보건복지국</v>
      </c>
      <c r="E126" s="145" t="s">
        <v>106</v>
      </c>
      <c r="F126" s="146" t="s">
        <v>272</v>
      </c>
      <c r="G126" s="145" t="s">
        <v>395</v>
      </c>
      <c r="H126" s="147">
        <v>125</v>
      </c>
      <c r="I126" s="148" t="s">
        <v>325</v>
      </c>
    </row>
    <row r="127" spans="1:9">
      <c r="A127" s="143" t="str">
        <f t="shared" si="5"/>
        <v>사회적일자리과</v>
      </c>
      <c r="B127" s="144" t="str">
        <f t="shared" si="7"/>
        <v>보건복지위원회</v>
      </c>
      <c r="C127" s="143" t="str">
        <f t="shared" si="6"/>
        <v>보건복지국</v>
      </c>
      <c r="E127" s="145" t="s">
        <v>106</v>
      </c>
      <c r="F127" s="146" t="s">
        <v>274</v>
      </c>
      <c r="G127" s="145" t="s">
        <v>395</v>
      </c>
      <c r="H127" s="147">
        <v>126</v>
      </c>
      <c r="I127" s="148" t="s">
        <v>327</v>
      </c>
    </row>
    <row r="128" spans="1:9">
      <c r="A128" s="143" t="str">
        <f t="shared" si="5"/>
        <v>노인복지과</v>
      </c>
      <c r="B128" s="144" t="str">
        <f t="shared" si="7"/>
        <v>보건복지위원회</v>
      </c>
      <c r="C128" s="143" t="str">
        <f t="shared" si="6"/>
        <v>보건복지국</v>
      </c>
      <c r="E128" s="145" t="s">
        <v>106</v>
      </c>
      <c r="F128" s="146" t="s">
        <v>276</v>
      </c>
      <c r="G128" s="145" t="s">
        <v>395</v>
      </c>
      <c r="H128" s="147">
        <v>127</v>
      </c>
      <c r="I128" s="148" t="s">
        <v>329</v>
      </c>
    </row>
    <row r="129" spans="1:9">
      <c r="A129" s="143" t="str">
        <f t="shared" si="5"/>
        <v>장애인복지과</v>
      </c>
      <c r="B129" s="144" t="str">
        <f t="shared" si="7"/>
        <v>보건복지위원회</v>
      </c>
      <c r="C129" s="143" t="str">
        <f t="shared" si="6"/>
        <v>보건복지국</v>
      </c>
      <c r="E129" s="145" t="s">
        <v>106</v>
      </c>
      <c r="F129" s="146" t="s">
        <v>81</v>
      </c>
      <c r="G129" s="145" t="s">
        <v>395</v>
      </c>
      <c r="H129" s="147">
        <v>128</v>
      </c>
      <c r="I129" s="148" t="s">
        <v>331</v>
      </c>
    </row>
    <row r="130" spans="1:9">
      <c r="A130" s="143" t="str">
        <f t="shared" si="5"/>
        <v>보건정책과</v>
      </c>
      <c r="B130" s="144" t="str">
        <f t="shared" ref="B130:B161" si="8">G130</f>
        <v>보건복지위원회</v>
      </c>
      <c r="C130" s="143" t="str">
        <f t="shared" si="6"/>
        <v>보건복지국</v>
      </c>
      <c r="E130" s="145" t="s">
        <v>106</v>
      </c>
      <c r="F130" s="146" t="s">
        <v>277</v>
      </c>
      <c r="G130" s="145" t="s">
        <v>395</v>
      </c>
      <c r="H130" s="147">
        <v>129</v>
      </c>
      <c r="I130" s="148" t="s">
        <v>333</v>
      </c>
    </row>
    <row r="131" spans="1:9">
      <c r="A131" s="143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44" t="str">
        <f t="shared" si="8"/>
        <v>보건복지위원회</v>
      </c>
      <c r="C131" s="143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45" t="s">
        <v>106</v>
      </c>
      <c r="F131" s="146" t="s">
        <v>278</v>
      </c>
      <c r="G131" s="145" t="s">
        <v>395</v>
      </c>
      <c r="H131" s="147">
        <v>130</v>
      </c>
      <c r="I131" s="148" t="s">
        <v>335</v>
      </c>
    </row>
    <row r="132" spans="1:9">
      <c r="A132" s="143" t="str">
        <f t="shared" si="9"/>
        <v>식품안전과</v>
      </c>
      <c r="B132" s="144" t="str">
        <f t="shared" si="8"/>
        <v>보건복지위원회</v>
      </c>
      <c r="C132" s="143" t="str">
        <f t="shared" si="10"/>
        <v>보건복지국</v>
      </c>
      <c r="E132" s="145" t="s">
        <v>106</v>
      </c>
      <c r="F132" s="146" t="s">
        <v>279</v>
      </c>
      <c r="G132" s="145" t="s">
        <v>395</v>
      </c>
      <c r="H132" s="147">
        <v>131</v>
      </c>
      <c r="I132" s="148" t="s">
        <v>337</v>
      </c>
    </row>
    <row r="133" spans="1:9">
      <c r="A133" s="143" t="str">
        <f t="shared" si="9"/>
        <v>사회복지담당관</v>
      </c>
      <c r="B133" s="144" t="str">
        <f t="shared" si="8"/>
        <v>보건복지위원회</v>
      </c>
      <c r="C133" s="143" t="str">
        <f t="shared" si="10"/>
        <v>복지여성실</v>
      </c>
      <c r="E133" s="145" t="s">
        <v>69</v>
      </c>
      <c r="F133" s="146" t="s">
        <v>82</v>
      </c>
      <c r="G133" s="145" t="s">
        <v>395</v>
      </c>
      <c r="H133" s="147">
        <v>132</v>
      </c>
      <c r="I133" s="148" t="s">
        <v>344</v>
      </c>
    </row>
    <row r="134" spans="1:9">
      <c r="A134" s="143" t="str">
        <f t="shared" si="9"/>
        <v>보건위생담당관</v>
      </c>
      <c r="B134" s="144" t="str">
        <f t="shared" si="8"/>
        <v>보건복지위원회</v>
      </c>
      <c r="C134" s="143" t="str">
        <f t="shared" si="10"/>
        <v>복지여성실</v>
      </c>
      <c r="E134" s="145" t="s">
        <v>69</v>
      </c>
      <c r="F134" s="146" t="s">
        <v>302</v>
      </c>
      <c r="G134" s="145" t="s">
        <v>395</v>
      </c>
      <c r="H134" s="147">
        <v>133</v>
      </c>
      <c r="I134" s="148" t="s">
        <v>345</v>
      </c>
    </row>
    <row r="135" spans="1:9">
      <c r="A135" s="143" t="str">
        <f t="shared" si="9"/>
        <v>보건환경연구원(총무과)</v>
      </c>
      <c r="B135" s="144" t="str">
        <f t="shared" si="8"/>
        <v>보건복지위원회</v>
      </c>
      <c r="C135" s="143" t="str">
        <f t="shared" si="10"/>
        <v>보건환경연구원</v>
      </c>
      <c r="E135" s="145" t="s">
        <v>115</v>
      </c>
      <c r="F135" s="146" t="s">
        <v>379</v>
      </c>
      <c r="G135" s="145" t="s">
        <v>395</v>
      </c>
      <c r="H135" s="147">
        <v>134</v>
      </c>
      <c r="I135" s="148" t="s">
        <v>353</v>
      </c>
    </row>
    <row r="136" spans="1:9">
      <c r="A136" s="143" t="str">
        <f t="shared" si="9"/>
        <v>보건연구부</v>
      </c>
      <c r="B136" s="144" t="str">
        <f t="shared" si="8"/>
        <v>보건복지위원회</v>
      </c>
      <c r="C136" s="143" t="str">
        <f t="shared" si="10"/>
        <v>보건환경연구원</v>
      </c>
      <c r="E136" s="145" t="s">
        <v>115</v>
      </c>
      <c r="F136" s="146" t="s">
        <v>396</v>
      </c>
      <c r="G136" s="145" t="s">
        <v>395</v>
      </c>
      <c r="H136" s="147">
        <v>135</v>
      </c>
      <c r="I136" s="148" t="s">
        <v>355</v>
      </c>
    </row>
    <row r="137" spans="1:9">
      <c r="A137" s="155" t="str">
        <f t="shared" si="9"/>
        <v>북부지원</v>
      </c>
      <c r="B137" s="156" t="str">
        <f t="shared" si="8"/>
        <v>보건복지위원회</v>
      </c>
      <c r="C137" s="155" t="str">
        <f t="shared" si="10"/>
        <v>보건환경연구원</v>
      </c>
      <c r="D137" s="157"/>
      <c r="E137" s="158" t="s">
        <v>115</v>
      </c>
      <c r="F137" s="159" t="s">
        <v>397</v>
      </c>
      <c r="G137" s="158" t="s">
        <v>395</v>
      </c>
      <c r="H137" s="160">
        <v>136</v>
      </c>
      <c r="I137" s="161" t="s">
        <v>357</v>
      </c>
    </row>
    <row r="138" spans="1:9">
      <c r="A138" s="143" t="str">
        <f t="shared" si="9"/>
        <v>수원농산물검사소</v>
      </c>
      <c r="B138" s="144" t="str">
        <f t="shared" si="8"/>
        <v>보건복지위원회</v>
      </c>
      <c r="C138" s="143" t="str">
        <f t="shared" si="10"/>
        <v>보건환경연구원</v>
      </c>
      <c r="E138" s="145" t="s">
        <v>115</v>
      </c>
      <c r="F138" s="146" t="s">
        <v>398</v>
      </c>
      <c r="G138" s="145" t="s">
        <v>395</v>
      </c>
      <c r="H138" s="147">
        <v>137</v>
      </c>
      <c r="I138" s="148" t="s">
        <v>359</v>
      </c>
    </row>
    <row r="139" spans="1:9">
      <c r="A139" s="143" t="str">
        <f t="shared" si="9"/>
        <v>철도물류정책과</v>
      </c>
      <c r="B139" s="144" t="str">
        <f t="shared" si="8"/>
        <v>건설교통위원회</v>
      </c>
      <c r="C139" s="143" t="str">
        <f t="shared" si="10"/>
        <v>철도국</v>
      </c>
      <c r="E139" s="145" t="s">
        <v>199</v>
      </c>
      <c r="F139" s="146" t="s">
        <v>200</v>
      </c>
      <c r="G139" s="145" t="s">
        <v>10</v>
      </c>
      <c r="H139" s="147">
        <v>138</v>
      </c>
      <c r="I139" s="148" t="s">
        <v>363</v>
      </c>
    </row>
    <row r="140" spans="1:9">
      <c r="A140" s="143" t="str">
        <f t="shared" si="9"/>
        <v>광역도시철도과</v>
      </c>
      <c r="B140" s="144" t="str">
        <f t="shared" si="8"/>
        <v>건설교통위원회</v>
      </c>
      <c r="C140" s="143" t="str">
        <f t="shared" si="10"/>
        <v>철도국</v>
      </c>
      <c r="E140" s="145" t="s">
        <v>199</v>
      </c>
      <c r="F140" s="146" t="s">
        <v>202</v>
      </c>
      <c r="G140" s="145" t="s">
        <v>10</v>
      </c>
      <c r="H140" s="147">
        <v>139</v>
      </c>
      <c r="I140" s="148" t="s">
        <v>365</v>
      </c>
    </row>
    <row r="141" spans="1:9">
      <c r="A141" s="143" t="str">
        <f t="shared" si="9"/>
        <v>철도건설과</v>
      </c>
      <c r="B141" s="144" t="str">
        <f t="shared" si="8"/>
        <v>건설교통위원회</v>
      </c>
      <c r="C141" s="143" t="str">
        <f t="shared" si="10"/>
        <v>철도국</v>
      </c>
      <c r="E141" s="145" t="s">
        <v>199</v>
      </c>
      <c r="F141" s="146" t="s">
        <v>204</v>
      </c>
      <c r="G141" s="145" t="s">
        <v>10</v>
      </c>
      <c r="H141" s="147">
        <v>140</v>
      </c>
      <c r="I141" s="148" t="s">
        <v>367</v>
      </c>
    </row>
    <row r="142" spans="1:9">
      <c r="A142" s="143" t="str">
        <f t="shared" si="9"/>
        <v>교통정책과</v>
      </c>
      <c r="B142" s="144" t="str">
        <f t="shared" si="8"/>
        <v>건설교통위원회</v>
      </c>
      <c r="C142" s="143" t="str">
        <f t="shared" si="10"/>
        <v>교통국</v>
      </c>
      <c r="E142" s="145" t="s">
        <v>351</v>
      </c>
      <c r="F142" s="146" t="s">
        <v>352</v>
      </c>
      <c r="G142" s="145" t="s">
        <v>10</v>
      </c>
      <c r="H142" s="147">
        <v>141</v>
      </c>
      <c r="I142" s="148" t="s">
        <v>371</v>
      </c>
    </row>
    <row r="143" spans="1:9">
      <c r="A143" s="143" t="str">
        <f t="shared" si="9"/>
        <v>버스정책과</v>
      </c>
      <c r="B143" s="144" t="str">
        <f t="shared" si="8"/>
        <v>건설교통위원회</v>
      </c>
      <c r="C143" s="143" t="str">
        <f t="shared" si="10"/>
        <v>교통국</v>
      </c>
      <c r="E143" s="145" t="s">
        <v>351</v>
      </c>
      <c r="F143" s="146" t="s">
        <v>354</v>
      </c>
      <c r="G143" s="145" t="s">
        <v>10</v>
      </c>
      <c r="H143" s="147">
        <v>142</v>
      </c>
      <c r="I143" s="148" t="s">
        <v>372</v>
      </c>
    </row>
    <row r="144" spans="1:9">
      <c r="A144" s="143" t="str">
        <f t="shared" si="9"/>
        <v>굿모닝버스추진단</v>
      </c>
      <c r="B144" s="144" t="str">
        <f t="shared" si="8"/>
        <v>건설교통위원회</v>
      </c>
      <c r="C144" s="143" t="str">
        <f t="shared" si="10"/>
        <v>교통국</v>
      </c>
      <c r="E144" s="145" t="s">
        <v>351</v>
      </c>
      <c r="F144" s="146" t="s">
        <v>356</v>
      </c>
      <c r="G144" s="145" t="s">
        <v>10</v>
      </c>
      <c r="H144" s="147">
        <v>143</v>
      </c>
      <c r="I144" s="148" t="s">
        <v>373</v>
      </c>
    </row>
    <row r="145" spans="1:9">
      <c r="A145" s="143" t="str">
        <f t="shared" si="9"/>
        <v>택시정책과</v>
      </c>
      <c r="B145" s="144" t="str">
        <f t="shared" si="8"/>
        <v>건설교통위원회</v>
      </c>
      <c r="C145" s="143" t="str">
        <f t="shared" si="10"/>
        <v>교통국</v>
      </c>
      <c r="E145" s="145" t="s">
        <v>351</v>
      </c>
      <c r="F145" s="146" t="s">
        <v>358</v>
      </c>
      <c r="G145" s="145" t="s">
        <v>10</v>
      </c>
      <c r="H145" s="147">
        <v>144</v>
      </c>
      <c r="I145" s="148" t="s">
        <v>374</v>
      </c>
    </row>
    <row r="146" spans="1:9">
      <c r="A146" s="143" t="str">
        <f t="shared" si="9"/>
        <v>교통정보센터</v>
      </c>
      <c r="B146" s="144" t="str">
        <f t="shared" si="8"/>
        <v>건설교통위원회</v>
      </c>
      <c r="C146" s="143" t="str">
        <f t="shared" si="10"/>
        <v>교통국</v>
      </c>
      <c r="E146" s="145" t="s">
        <v>351</v>
      </c>
      <c r="F146" s="146" t="s">
        <v>360</v>
      </c>
      <c r="G146" s="145" t="s">
        <v>10</v>
      </c>
      <c r="H146" s="147">
        <v>145</v>
      </c>
      <c r="I146" s="148" t="s">
        <v>375</v>
      </c>
    </row>
    <row r="147" spans="1:9">
      <c r="A147" s="143" t="str">
        <f t="shared" si="9"/>
        <v>건설안전과</v>
      </c>
      <c r="B147" s="144" t="str">
        <f t="shared" si="8"/>
        <v>건설교통위원회</v>
      </c>
      <c r="C147" s="143" t="str">
        <f t="shared" si="10"/>
        <v>건설국</v>
      </c>
      <c r="E147" s="145" t="s">
        <v>361</v>
      </c>
      <c r="F147" s="146" t="s">
        <v>362</v>
      </c>
      <c r="G147" s="145" t="s">
        <v>10</v>
      </c>
      <c r="H147" s="147">
        <v>146</v>
      </c>
      <c r="I147" s="148" t="s">
        <v>377</v>
      </c>
    </row>
    <row r="148" spans="1:9">
      <c r="A148" s="143" t="str">
        <f t="shared" si="9"/>
        <v>도로정책과</v>
      </c>
      <c r="B148" s="144" t="str">
        <f t="shared" si="8"/>
        <v>건설교통위원회</v>
      </c>
      <c r="C148" s="143" t="str">
        <f t="shared" si="10"/>
        <v>건설국</v>
      </c>
      <c r="E148" s="145" t="s">
        <v>361</v>
      </c>
      <c r="F148" s="146" t="s">
        <v>364</v>
      </c>
      <c r="G148" s="145" t="s">
        <v>10</v>
      </c>
      <c r="H148" s="147">
        <v>147</v>
      </c>
      <c r="I148" s="148" t="s">
        <v>475</v>
      </c>
    </row>
    <row r="149" spans="1:9">
      <c r="A149" s="143" t="str">
        <f t="shared" si="9"/>
        <v>하천과</v>
      </c>
      <c r="B149" s="144" t="str">
        <f t="shared" si="8"/>
        <v>건설교통위원회</v>
      </c>
      <c r="C149" s="143" t="str">
        <f t="shared" si="10"/>
        <v>건설국</v>
      </c>
      <c r="E149" s="145" t="s">
        <v>361</v>
      </c>
      <c r="F149" s="146" t="s">
        <v>366</v>
      </c>
      <c r="G149" s="145" t="s">
        <v>10</v>
      </c>
      <c r="H149" s="147">
        <v>148</v>
      </c>
      <c r="I149" s="148" t="s">
        <v>476</v>
      </c>
    </row>
    <row r="150" spans="1:9">
      <c r="A150" s="143" t="str">
        <f t="shared" si="9"/>
        <v>건설기술과</v>
      </c>
      <c r="B150" s="144" t="str">
        <f t="shared" si="8"/>
        <v>건설교통위원회</v>
      </c>
      <c r="C150" s="143" t="str">
        <f t="shared" si="10"/>
        <v>건설국</v>
      </c>
      <c r="E150" s="145" t="s">
        <v>361</v>
      </c>
      <c r="F150" s="146" t="s">
        <v>368</v>
      </c>
      <c r="G150" s="145" t="s">
        <v>10</v>
      </c>
      <c r="H150" s="147">
        <v>149</v>
      </c>
      <c r="I150" s="148" t="s">
        <v>477</v>
      </c>
    </row>
    <row r="151" spans="1:9">
      <c r="A151" s="143" t="str">
        <f t="shared" si="9"/>
        <v>관리과</v>
      </c>
      <c r="B151" s="144" t="str">
        <f t="shared" si="8"/>
        <v>건설교통위원회</v>
      </c>
      <c r="C151" s="143" t="str">
        <f t="shared" si="10"/>
        <v>건설본부</v>
      </c>
      <c r="E151" s="145" t="s">
        <v>116</v>
      </c>
      <c r="F151" s="146" t="s">
        <v>409</v>
      </c>
      <c r="G151" s="145" t="s">
        <v>10</v>
      </c>
      <c r="H151" s="147">
        <v>150</v>
      </c>
      <c r="I151" s="148" t="s">
        <v>380</v>
      </c>
    </row>
    <row r="152" spans="1:9">
      <c r="A152" s="143" t="str">
        <f t="shared" si="9"/>
        <v>도로건설과</v>
      </c>
      <c r="B152" s="144" t="str">
        <f t="shared" si="8"/>
        <v>건설교통위원회</v>
      </c>
      <c r="C152" s="143" t="str">
        <f t="shared" si="10"/>
        <v>건설본부</v>
      </c>
      <c r="E152" s="145" t="s">
        <v>116</v>
      </c>
      <c r="F152" s="146" t="s">
        <v>410</v>
      </c>
      <c r="G152" s="145" t="s">
        <v>10</v>
      </c>
      <c r="H152" s="147">
        <v>151</v>
      </c>
      <c r="I152" s="148" t="s">
        <v>381</v>
      </c>
    </row>
    <row r="153" spans="1:9">
      <c r="A153" s="143" t="str">
        <f t="shared" si="9"/>
        <v>북부도로과</v>
      </c>
      <c r="B153" s="144" t="str">
        <f t="shared" si="8"/>
        <v>건설교통위원회</v>
      </c>
      <c r="C153" s="143" t="str">
        <f t="shared" si="10"/>
        <v>건설본부</v>
      </c>
      <c r="E153" s="145" t="s">
        <v>116</v>
      </c>
      <c r="F153" s="146" t="s">
        <v>411</v>
      </c>
      <c r="G153" s="145" t="s">
        <v>10</v>
      </c>
      <c r="H153" s="147">
        <v>152</v>
      </c>
      <c r="I153" s="148" t="s">
        <v>382</v>
      </c>
    </row>
    <row r="154" spans="1:9">
      <c r="A154" s="143" t="str">
        <f t="shared" si="9"/>
        <v>건축시설과</v>
      </c>
      <c r="B154" s="144" t="str">
        <f t="shared" si="8"/>
        <v>건설교통위원회</v>
      </c>
      <c r="C154" s="143" t="str">
        <f t="shared" si="10"/>
        <v>건설본부</v>
      </c>
      <c r="E154" s="145" t="s">
        <v>116</v>
      </c>
      <c r="F154" s="146" t="s">
        <v>412</v>
      </c>
      <c r="G154" s="145" t="s">
        <v>10</v>
      </c>
      <c r="H154" s="147">
        <v>153</v>
      </c>
      <c r="I154" s="148" t="s">
        <v>383</v>
      </c>
    </row>
    <row r="155" spans="1:9">
      <c r="A155" s="143" t="str">
        <f t="shared" si="9"/>
        <v>신청사건립추진단</v>
      </c>
      <c r="B155" s="144" t="str">
        <f t="shared" si="8"/>
        <v>건설교통위원회</v>
      </c>
      <c r="C155" s="143" t="str">
        <f t="shared" si="10"/>
        <v>건설본부</v>
      </c>
      <c r="E155" s="145" t="s">
        <v>116</v>
      </c>
      <c r="F155" s="146" t="s">
        <v>413</v>
      </c>
      <c r="G155" s="145" t="s">
        <v>10</v>
      </c>
      <c r="H155" s="147">
        <v>154</v>
      </c>
      <c r="I155" s="148" t="s">
        <v>384</v>
      </c>
    </row>
    <row r="156" spans="1:9">
      <c r="A156" s="143" t="str">
        <f t="shared" si="9"/>
        <v>지역정책과</v>
      </c>
      <c r="B156" s="144" t="str">
        <f t="shared" si="8"/>
        <v>도시환경위원회</v>
      </c>
      <c r="C156" s="143" t="str">
        <f t="shared" si="10"/>
        <v>도시주택실</v>
      </c>
      <c r="E156" s="145" t="s">
        <v>103</v>
      </c>
      <c r="F156" s="146" t="s">
        <v>146</v>
      </c>
      <c r="G156" s="145" t="s">
        <v>11</v>
      </c>
      <c r="H156" s="147">
        <v>155</v>
      </c>
      <c r="I156" s="148" t="s">
        <v>386</v>
      </c>
    </row>
    <row r="157" spans="1:9">
      <c r="A157" s="143" t="str">
        <f t="shared" si="9"/>
        <v>도시정책과</v>
      </c>
      <c r="B157" s="144" t="str">
        <f t="shared" si="8"/>
        <v>도시환경위원회</v>
      </c>
      <c r="C157" s="143" t="str">
        <f t="shared" si="10"/>
        <v>도시주택실</v>
      </c>
      <c r="E157" s="145" t="s">
        <v>103</v>
      </c>
      <c r="F157" s="146" t="s">
        <v>148</v>
      </c>
      <c r="G157" s="145" t="s">
        <v>11</v>
      </c>
      <c r="H157" s="147">
        <v>156</v>
      </c>
      <c r="I157" s="148" t="s">
        <v>478</v>
      </c>
    </row>
    <row r="158" spans="1:9">
      <c r="A158" s="143" t="str">
        <f t="shared" si="9"/>
        <v>도시주택과</v>
      </c>
      <c r="B158" s="144" t="str">
        <f t="shared" si="8"/>
        <v>도시환경위원회</v>
      </c>
      <c r="C158" s="143" t="str">
        <f t="shared" si="10"/>
        <v>도시주택실</v>
      </c>
      <c r="E158" s="145" t="s">
        <v>103</v>
      </c>
      <c r="F158" s="146" t="s">
        <v>150</v>
      </c>
      <c r="G158" s="145" t="s">
        <v>11</v>
      </c>
      <c r="H158" s="147">
        <v>157</v>
      </c>
      <c r="I158" s="148" t="s">
        <v>479</v>
      </c>
    </row>
    <row r="159" spans="1:9">
      <c r="A159" s="143" t="str">
        <f t="shared" si="9"/>
        <v>주택정책과</v>
      </c>
      <c r="B159" s="144" t="str">
        <f t="shared" si="8"/>
        <v>도시환경위원회</v>
      </c>
      <c r="C159" s="143" t="str">
        <f t="shared" si="10"/>
        <v>도시주택실</v>
      </c>
      <c r="E159" s="145" t="s">
        <v>103</v>
      </c>
      <c r="F159" s="146" t="s">
        <v>151</v>
      </c>
      <c r="G159" s="145" t="s">
        <v>11</v>
      </c>
      <c r="H159" s="147">
        <v>158</v>
      </c>
      <c r="I159" s="148" t="s">
        <v>480</v>
      </c>
    </row>
    <row r="160" spans="1:9">
      <c r="A160" s="143" t="str">
        <f t="shared" si="9"/>
        <v>건축디자인과</v>
      </c>
      <c r="B160" s="144" t="str">
        <f t="shared" si="8"/>
        <v>도시환경위원회</v>
      </c>
      <c r="C160" s="143" t="str">
        <f t="shared" si="10"/>
        <v>도시주택실</v>
      </c>
      <c r="E160" s="145" t="s">
        <v>103</v>
      </c>
      <c r="F160" s="146" t="s">
        <v>152</v>
      </c>
      <c r="G160" s="145" t="s">
        <v>11</v>
      </c>
      <c r="H160" s="147">
        <v>159</v>
      </c>
      <c r="I160" s="148" t="s">
        <v>481</v>
      </c>
    </row>
    <row r="161" spans="1:9">
      <c r="A161" s="143" t="str">
        <f t="shared" si="9"/>
        <v>공공택지과</v>
      </c>
      <c r="B161" s="144" t="str">
        <f t="shared" si="8"/>
        <v>도시환경위원회</v>
      </c>
      <c r="C161" s="143" t="str">
        <f t="shared" si="10"/>
        <v>도시주택실</v>
      </c>
      <c r="E161" s="145" t="s">
        <v>103</v>
      </c>
      <c r="F161" s="146" t="s">
        <v>153</v>
      </c>
      <c r="G161" s="145" t="s">
        <v>11</v>
      </c>
      <c r="H161" s="147">
        <v>160</v>
      </c>
      <c r="I161" s="148" t="s">
        <v>482</v>
      </c>
    </row>
    <row r="162" spans="1:9">
      <c r="A162" s="143" t="str">
        <f t="shared" si="9"/>
        <v>토지정보과</v>
      </c>
      <c r="B162" s="144" t="str">
        <f t="shared" ref="B162:B188" si="11">G162</f>
        <v>도시환경위원회</v>
      </c>
      <c r="C162" s="143" t="str">
        <f t="shared" si="10"/>
        <v>도시주택실</v>
      </c>
      <c r="E162" s="145" t="s">
        <v>103</v>
      </c>
      <c r="F162" s="146" t="s">
        <v>154</v>
      </c>
      <c r="G162" s="145" t="s">
        <v>11</v>
      </c>
      <c r="H162" s="147">
        <v>161</v>
      </c>
      <c r="I162" s="148" t="s">
        <v>483</v>
      </c>
    </row>
    <row r="163" spans="1:9">
      <c r="A163" s="143" t="str">
        <f t="shared" si="9"/>
        <v>도시개발과</v>
      </c>
      <c r="B163" s="144" t="str">
        <f t="shared" si="11"/>
        <v>도시환경위원회</v>
      </c>
      <c r="C163" s="143" t="str">
        <f t="shared" si="10"/>
        <v>도시주택실</v>
      </c>
      <c r="E163" s="145" t="s">
        <v>103</v>
      </c>
      <c r="F163" s="146" t="s">
        <v>155</v>
      </c>
      <c r="G163" s="145" t="s">
        <v>11</v>
      </c>
      <c r="H163" s="147">
        <v>162</v>
      </c>
      <c r="I163" s="148" t="s">
        <v>484</v>
      </c>
    </row>
    <row r="164" spans="1:9">
      <c r="A164" s="143" t="str">
        <f t="shared" si="9"/>
        <v>도시재생과</v>
      </c>
      <c r="B164" s="144" t="str">
        <f t="shared" si="11"/>
        <v>도시환경위원회</v>
      </c>
      <c r="C164" s="143" t="str">
        <f t="shared" si="10"/>
        <v>도시주택실</v>
      </c>
      <c r="E164" s="145" t="s">
        <v>103</v>
      </c>
      <c r="F164" s="146" t="s">
        <v>156</v>
      </c>
      <c r="G164" s="145" t="s">
        <v>11</v>
      </c>
      <c r="H164" s="147">
        <v>163</v>
      </c>
      <c r="I164" s="148" t="s">
        <v>485</v>
      </c>
    </row>
    <row r="165" spans="1:9">
      <c r="A165" s="143" t="str">
        <f t="shared" si="9"/>
        <v>도시계획상임기획단</v>
      </c>
      <c r="B165" s="144" t="str">
        <f t="shared" si="11"/>
        <v>도시환경위원회</v>
      </c>
      <c r="C165" s="143" t="str">
        <f t="shared" si="10"/>
        <v>도시주택실</v>
      </c>
      <c r="E165" s="145" t="s">
        <v>103</v>
      </c>
      <c r="F165" s="146" t="s">
        <v>157</v>
      </c>
      <c r="G165" s="145" t="s">
        <v>11</v>
      </c>
      <c r="H165" s="147">
        <v>164</v>
      </c>
      <c r="I165" s="148" t="s">
        <v>486</v>
      </c>
    </row>
    <row r="166" spans="1:9">
      <c r="A166" s="143" t="str">
        <f t="shared" si="9"/>
        <v>환경정책과</v>
      </c>
      <c r="B166" s="144" t="str">
        <f t="shared" si="11"/>
        <v>도시환경위원회</v>
      </c>
      <c r="C166" s="143" t="str">
        <f t="shared" si="10"/>
        <v>환경국</v>
      </c>
      <c r="E166" s="145" t="s">
        <v>107</v>
      </c>
      <c r="F166" s="146" t="s">
        <v>280</v>
      </c>
      <c r="G166" s="145" t="s">
        <v>11</v>
      </c>
      <c r="H166" s="147">
        <v>165</v>
      </c>
      <c r="I166" s="148" t="s">
        <v>388</v>
      </c>
    </row>
    <row r="167" spans="1:9">
      <c r="A167" s="143" t="str">
        <f t="shared" si="9"/>
        <v>기후대기과</v>
      </c>
      <c r="B167" s="144" t="str">
        <f t="shared" si="11"/>
        <v>도시환경위원회</v>
      </c>
      <c r="C167" s="143" t="str">
        <f t="shared" si="10"/>
        <v>환경국</v>
      </c>
      <c r="E167" s="145" t="s">
        <v>107</v>
      </c>
      <c r="F167" s="146" t="s">
        <v>282</v>
      </c>
      <c r="G167" s="145" t="s">
        <v>11</v>
      </c>
      <c r="H167" s="147">
        <v>166</v>
      </c>
      <c r="I167" s="148" t="s">
        <v>389</v>
      </c>
    </row>
    <row r="168" spans="1:9">
      <c r="A168" s="143" t="str">
        <f t="shared" si="9"/>
        <v>환경안전관리과</v>
      </c>
      <c r="B168" s="144" t="str">
        <f t="shared" si="11"/>
        <v>도시환경위원회</v>
      </c>
      <c r="C168" s="143" t="str">
        <f t="shared" si="10"/>
        <v>환경국</v>
      </c>
      <c r="E168" s="145" t="s">
        <v>107</v>
      </c>
      <c r="F168" s="146" t="s">
        <v>283</v>
      </c>
      <c r="G168" s="145" t="s">
        <v>11</v>
      </c>
      <c r="H168" s="147">
        <v>167</v>
      </c>
      <c r="I168" s="148" t="s">
        <v>390</v>
      </c>
    </row>
    <row r="169" spans="1:9">
      <c r="A169" s="143" t="str">
        <f t="shared" si="9"/>
        <v>자원순환과</v>
      </c>
      <c r="B169" s="144" t="str">
        <f t="shared" si="11"/>
        <v>도시환경위원회</v>
      </c>
      <c r="C169" s="143" t="str">
        <f t="shared" si="10"/>
        <v>환경국</v>
      </c>
      <c r="E169" s="145" t="s">
        <v>107</v>
      </c>
      <c r="F169" s="146" t="s">
        <v>284</v>
      </c>
      <c r="G169" s="145" t="s">
        <v>11</v>
      </c>
      <c r="H169" s="147">
        <v>168</v>
      </c>
      <c r="I169" s="148" t="s">
        <v>391</v>
      </c>
    </row>
    <row r="170" spans="1:9">
      <c r="A170" s="143" t="str">
        <f t="shared" si="9"/>
        <v>북부환경관리과</v>
      </c>
      <c r="B170" s="144" t="str">
        <f t="shared" si="11"/>
        <v>도시환경위원회</v>
      </c>
      <c r="C170" s="143" t="str">
        <f t="shared" si="10"/>
        <v>환경국</v>
      </c>
      <c r="E170" s="145" t="s">
        <v>107</v>
      </c>
      <c r="F170" s="146" t="s">
        <v>285</v>
      </c>
      <c r="G170" s="145" t="s">
        <v>11</v>
      </c>
      <c r="H170" s="147">
        <v>169</v>
      </c>
      <c r="I170" s="148" t="s">
        <v>392</v>
      </c>
    </row>
    <row r="171" spans="1:9">
      <c r="A171" s="143" t="str">
        <f t="shared" si="9"/>
        <v>공단환경관리사업소</v>
      </c>
      <c r="B171" s="144" t="str">
        <f t="shared" si="11"/>
        <v>도시환경위원회</v>
      </c>
      <c r="C171" s="143" t="str">
        <f t="shared" si="10"/>
        <v>환경국</v>
      </c>
      <c r="E171" s="145" t="s">
        <v>107</v>
      </c>
      <c r="F171" s="146" t="s">
        <v>286</v>
      </c>
      <c r="G171" s="145" t="s">
        <v>11</v>
      </c>
      <c r="H171" s="147">
        <v>170</v>
      </c>
      <c r="I171" s="148" t="s">
        <v>487</v>
      </c>
    </row>
    <row r="172" spans="1:9">
      <c r="A172" s="143" t="str">
        <f t="shared" si="9"/>
        <v>공원녹지과</v>
      </c>
      <c r="B172" s="144" t="str">
        <f t="shared" si="11"/>
        <v>도시환경위원회</v>
      </c>
      <c r="C172" s="143" t="str">
        <f t="shared" si="10"/>
        <v>축산산림국</v>
      </c>
      <c r="E172" s="145" t="s">
        <v>66</v>
      </c>
      <c r="F172" s="146" t="s">
        <v>347</v>
      </c>
      <c r="G172" s="145" t="s">
        <v>11</v>
      </c>
      <c r="H172" s="147">
        <v>171</v>
      </c>
      <c r="I172" s="148" t="s">
        <v>488</v>
      </c>
    </row>
    <row r="173" spans="1:9">
      <c r="A173" s="143" t="str">
        <f t="shared" si="9"/>
        <v>대기연구부</v>
      </c>
      <c r="B173" s="144" t="str">
        <f t="shared" si="11"/>
        <v>도시환경위원회</v>
      </c>
      <c r="C173" s="143" t="str">
        <f t="shared" si="10"/>
        <v>보건환경연구원</v>
      </c>
      <c r="E173" s="145" t="s">
        <v>115</v>
      </c>
      <c r="F173" s="146" t="s">
        <v>414</v>
      </c>
      <c r="G173" s="145" t="s">
        <v>11</v>
      </c>
      <c r="H173" s="147">
        <v>172</v>
      </c>
      <c r="I173" s="148" t="s">
        <v>489</v>
      </c>
    </row>
    <row r="174" spans="1:9">
      <c r="A174" s="143" t="str">
        <f t="shared" si="9"/>
        <v>수질연구부</v>
      </c>
      <c r="B174" s="144" t="str">
        <f t="shared" si="11"/>
        <v>도시환경위원회</v>
      </c>
      <c r="C174" s="143" t="str">
        <f t="shared" si="10"/>
        <v>보건환경연구원</v>
      </c>
      <c r="E174" s="145" t="s">
        <v>115</v>
      </c>
      <c r="F174" s="146" t="s">
        <v>415</v>
      </c>
      <c r="G174" s="145" t="s">
        <v>11</v>
      </c>
      <c r="H174" s="147">
        <v>173</v>
      </c>
      <c r="I174" s="148" t="s">
        <v>490</v>
      </c>
    </row>
    <row r="175" spans="1:9">
      <c r="A175" s="155" t="str">
        <f t="shared" si="9"/>
        <v>북부지원</v>
      </c>
      <c r="B175" s="156" t="str">
        <f t="shared" ref="B175" si="12">G175</f>
        <v>도시환경위원회</v>
      </c>
      <c r="C175" s="155" t="str">
        <f t="shared" si="10"/>
        <v>보건환경연구원</v>
      </c>
      <c r="D175" s="157"/>
      <c r="E175" s="158" t="s">
        <v>115</v>
      </c>
      <c r="F175" s="159" t="s">
        <v>397</v>
      </c>
      <c r="G175" s="158" t="s">
        <v>11</v>
      </c>
      <c r="H175" s="160" t="s">
        <v>544</v>
      </c>
      <c r="I175" s="161">
        <v>2903</v>
      </c>
    </row>
    <row r="176" spans="1:9">
      <c r="A176" s="143" t="str">
        <f t="shared" si="9"/>
        <v>수자원본부</v>
      </c>
      <c r="B176" s="144" t="str">
        <f t="shared" si="11"/>
        <v>도시환경위원회</v>
      </c>
      <c r="C176" s="143" t="str">
        <f t="shared" si="10"/>
        <v>수자원본부</v>
      </c>
      <c r="E176" s="145" t="s">
        <v>385</v>
      </c>
      <c r="F176" s="146" t="s">
        <v>385</v>
      </c>
      <c r="G176" s="145" t="s">
        <v>11</v>
      </c>
      <c r="H176" s="147">
        <v>174</v>
      </c>
      <c r="I176" s="148" t="s">
        <v>491</v>
      </c>
    </row>
    <row r="177" spans="1:9">
      <c r="A177" s="143" t="str">
        <f t="shared" si="9"/>
        <v>교육정책과</v>
      </c>
      <c r="B177" s="144" t="str">
        <f t="shared" si="11"/>
        <v>여성가족교육협력위원회</v>
      </c>
      <c r="C177" s="143" t="str">
        <f t="shared" si="10"/>
        <v>교육협력국</v>
      </c>
      <c r="E177" s="145" t="s">
        <v>170</v>
      </c>
      <c r="F177" s="146" t="s">
        <v>171</v>
      </c>
      <c r="G177" s="145" t="s">
        <v>416</v>
      </c>
      <c r="H177" s="147">
        <v>175</v>
      </c>
      <c r="I177" s="148" t="s">
        <v>492</v>
      </c>
    </row>
    <row r="178" spans="1:9">
      <c r="A178" s="143" t="str">
        <f t="shared" si="9"/>
        <v>교육협력과</v>
      </c>
      <c r="B178" s="144" t="str">
        <f t="shared" si="11"/>
        <v>여성가족교육협력위원회</v>
      </c>
      <c r="C178" s="143" t="str">
        <f t="shared" si="10"/>
        <v>교육협력국</v>
      </c>
      <c r="E178" s="145" t="s">
        <v>170</v>
      </c>
      <c r="F178" s="146" t="s">
        <v>173</v>
      </c>
      <c r="G178" s="145" t="s">
        <v>416</v>
      </c>
      <c r="H178" s="147">
        <v>176</v>
      </c>
      <c r="I178" s="148" t="s">
        <v>493</v>
      </c>
    </row>
    <row r="179" spans="1:9">
      <c r="A179" s="143" t="str">
        <f t="shared" si="9"/>
        <v>도서관정책과</v>
      </c>
      <c r="B179" s="144" t="str">
        <f t="shared" si="11"/>
        <v>여성가족교육협력위원회</v>
      </c>
      <c r="C179" s="143" t="str">
        <f t="shared" si="10"/>
        <v>교육협력국</v>
      </c>
      <c r="E179" s="145" t="s">
        <v>170</v>
      </c>
      <c r="F179" s="146" t="s">
        <v>175</v>
      </c>
      <c r="G179" s="145" t="s">
        <v>416</v>
      </c>
      <c r="H179" s="147">
        <v>177</v>
      </c>
      <c r="I179" s="148" t="s">
        <v>494</v>
      </c>
    </row>
    <row r="180" spans="1:9">
      <c r="A180" s="143" t="str">
        <f t="shared" si="9"/>
        <v>여성가족과</v>
      </c>
      <c r="B180" s="144" t="str">
        <f t="shared" si="11"/>
        <v>여성가족교육협력위원회</v>
      </c>
      <c r="C180" s="143" t="str">
        <f t="shared" si="10"/>
        <v>여성가족국</v>
      </c>
      <c r="E180" s="145" t="s">
        <v>108</v>
      </c>
      <c r="F180" s="146" t="s">
        <v>85</v>
      </c>
      <c r="G180" s="145" t="s">
        <v>416</v>
      </c>
      <c r="H180" s="147">
        <v>178</v>
      </c>
      <c r="I180" s="148" t="s">
        <v>495</v>
      </c>
    </row>
    <row r="181" spans="1:9">
      <c r="A181" s="143" t="str">
        <f t="shared" si="9"/>
        <v>보육정책과</v>
      </c>
      <c r="B181" s="144" t="str">
        <f t="shared" si="11"/>
        <v>여성가족교육협력위원회</v>
      </c>
      <c r="C181" s="143" t="str">
        <f t="shared" si="10"/>
        <v>여성가족국</v>
      </c>
      <c r="E181" s="145" t="s">
        <v>108</v>
      </c>
      <c r="F181" s="146" t="s">
        <v>288</v>
      </c>
      <c r="G181" s="145" t="s">
        <v>416</v>
      </c>
      <c r="H181" s="147">
        <v>179</v>
      </c>
      <c r="I181" s="148" t="s">
        <v>496</v>
      </c>
    </row>
    <row r="182" spans="1:9">
      <c r="A182" s="143" t="str">
        <f t="shared" si="9"/>
        <v>아동청소년과</v>
      </c>
      <c r="B182" s="144" t="str">
        <f t="shared" si="11"/>
        <v>여성가족교육협력위원회</v>
      </c>
      <c r="C182" s="143" t="str">
        <f t="shared" si="10"/>
        <v>여성가족국</v>
      </c>
      <c r="E182" s="145" t="s">
        <v>108</v>
      </c>
      <c r="F182" s="146" t="s">
        <v>290</v>
      </c>
      <c r="G182" s="145" t="s">
        <v>416</v>
      </c>
      <c r="H182" s="147">
        <v>180</v>
      </c>
      <c r="I182" s="148" t="s">
        <v>497</v>
      </c>
    </row>
    <row r="183" spans="1:9">
      <c r="A183" s="143" t="str">
        <f t="shared" si="9"/>
        <v>다문화가족과</v>
      </c>
      <c r="B183" s="144" t="str">
        <f t="shared" si="11"/>
        <v>여성가족교육협력위원회</v>
      </c>
      <c r="C183" s="143" t="str">
        <f t="shared" si="10"/>
        <v>여성가족국</v>
      </c>
      <c r="E183" s="145" t="s">
        <v>108</v>
      </c>
      <c r="F183" s="146" t="s">
        <v>292</v>
      </c>
      <c r="G183" s="145" t="s">
        <v>416</v>
      </c>
      <c r="H183" s="147">
        <v>181</v>
      </c>
      <c r="I183" s="148" t="s">
        <v>498</v>
      </c>
    </row>
    <row r="184" spans="1:9">
      <c r="A184" s="143" t="str">
        <f t="shared" si="9"/>
        <v>여성비전센터</v>
      </c>
      <c r="B184" s="144" t="str">
        <f t="shared" si="11"/>
        <v>여성가족교육협력위원회</v>
      </c>
      <c r="C184" s="143" t="str">
        <f t="shared" si="10"/>
        <v>여성가족국</v>
      </c>
      <c r="E184" s="145" t="s">
        <v>108</v>
      </c>
      <c r="F184" s="146" t="s">
        <v>294</v>
      </c>
      <c r="G184" s="145" t="s">
        <v>416</v>
      </c>
      <c r="H184" s="147">
        <v>182</v>
      </c>
      <c r="I184" s="148" t="s">
        <v>499</v>
      </c>
    </row>
    <row r="185" spans="1:9">
      <c r="A185" s="143" t="str">
        <f t="shared" si="9"/>
        <v>여성능력개발센터</v>
      </c>
      <c r="B185" s="144" t="str">
        <f t="shared" si="11"/>
        <v>여성가족교육협력위원회</v>
      </c>
      <c r="C185" s="143" t="str">
        <f t="shared" si="10"/>
        <v>여성가족국</v>
      </c>
      <c r="E185" s="145" t="s">
        <v>108</v>
      </c>
      <c r="F185" s="146" t="s">
        <v>296</v>
      </c>
      <c r="G185" s="145" t="s">
        <v>416</v>
      </c>
      <c r="H185" s="147">
        <v>183</v>
      </c>
      <c r="I185" s="148" t="s">
        <v>500</v>
      </c>
    </row>
    <row r="186" spans="1:9">
      <c r="A186" s="143" t="str">
        <f t="shared" si="9"/>
        <v>가족여성담당관</v>
      </c>
      <c r="B186" s="144" t="str">
        <f t="shared" si="11"/>
        <v>여성가족교육협력위원회</v>
      </c>
      <c r="C186" s="143" t="str">
        <f t="shared" si="10"/>
        <v>복지여성실</v>
      </c>
      <c r="E186" s="145" t="s">
        <v>69</v>
      </c>
      <c r="F186" s="146" t="s">
        <v>84</v>
      </c>
      <c r="G186" s="145" t="s">
        <v>416</v>
      </c>
      <c r="H186" s="147">
        <v>184</v>
      </c>
      <c r="I186" s="148" t="s">
        <v>501</v>
      </c>
    </row>
    <row r="187" spans="1:9">
      <c r="A187" s="143" t="str">
        <f t="shared" si="9"/>
        <v>보육청소년담당관</v>
      </c>
      <c r="B187" s="144" t="str">
        <f t="shared" si="11"/>
        <v>여성가족교육협력위원회</v>
      </c>
      <c r="C187" s="143" t="str">
        <f t="shared" si="10"/>
        <v>복지여성실</v>
      </c>
      <c r="E187" s="145" t="s">
        <v>69</v>
      </c>
      <c r="F187" s="146" t="s">
        <v>300</v>
      </c>
      <c r="G187" s="145" t="s">
        <v>416</v>
      </c>
      <c r="H187" s="147">
        <v>185</v>
      </c>
      <c r="I187" s="148" t="s">
        <v>502</v>
      </c>
    </row>
    <row r="188" spans="1:9">
      <c r="A188" s="143" t="str">
        <f t="shared" si="9"/>
        <v>북부여성비전센터</v>
      </c>
      <c r="B188" s="144" t="str">
        <f t="shared" si="11"/>
        <v>여성가족교육협력위원회</v>
      </c>
      <c r="C188" s="143" t="str">
        <f t="shared" si="10"/>
        <v>복지여성실</v>
      </c>
      <c r="E188" s="145" t="s">
        <v>69</v>
      </c>
      <c r="F188" s="145" t="s">
        <v>70</v>
      </c>
      <c r="G188" s="145" t="s">
        <v>416</v>
      </c>
      <c r="H188" s="147">
        <v>186</v>
      </c>
      <c r="I188" s="148" t="s">
        <v>503</v>
      </c>
    </row>
  </sheetData>
  <phoneticPr fontId="2" type="noConversion"/>
  <conditionalFormatting sqref="H1:I1 A1 C1">
    <cfRule type="containsText" dxfId="74" priority="5" operator="containsText" text="@@">
      <formula>NOT(ISERROR(SEARCH("@@",A1)))</formula>
    </cfRule>
  </conditionalFormatting>
  <conditionalFormatting sqref="B1">
    <cfRule type="containsText" dxfId="73" priority="4" operator="containsText" text="@@">
      <formula>NOT(ISERROR(SEARCH("@@",B1)))</formula>
    </cfRule>
  </conditionalFormatting>
  <conditionalFormatting sqref="F1">
    <cfRule type="containsText" dxfId="72" priority="3" operator="containsText" text="@@">
      <formula>NOT(ISERROR(SEARCH("@@",F1)))</formula>
    </cfRule>
  </conditionalFormatting>
  <conditionalFormatting sqref="E1">
    <cfRule type="containsText" dxfId="71" priority="2" operator="containsText" text="@@">
      <formula>NOT(ISERROR(SEARCH("@@",E1)))</formula>
    </cfRule>
  </conditionalFormatting>
  <conditionalFormatting sqref="G1">
    <cfRule type="containsText" dxfId="70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29" customWidth="1"/>
    <col min="2" max="2" width="13.625" style="29" customWidth="1"/>
    <col min="3" max="3" width="7.625" style="29" customWidth="1"/>
    <col min="4" max="4" width="13.625" style="29" customWidth="1"/>
    <col min="5" max="5" width="7.625" style="32" customWidth="1"/>
    <col min="6" max="6" width="13.625" style="32" customWidth="1"/>
    <col min="7" max="7" width="3.375" style="29" customWidth="1"/>
    <col min="8" max="8" width="18.875" style="29" customWidth="1"/>
    <col min="9" max="9" width="13.625" style="29" customWidth="1"/>
    <col min="10" max="10" width="7.625" style="29" customWidth="1"/>
    <col min="11" max="11" width="13.625" style="29" customWidth="1"/>
    <col min="12" max="12" width="7.625" style="32" customWidth="1"/>
    <col min="13" max="13" width="13.625" style="32" customWidth="1"/>
    <col min="14" max="14" width="9" style="29"/>
    <col min="15" max="15" width="9.25" style="29" bestFit="1" customWidth="1"/>
    <col min="16" max="16384" width="9" style="29"/>
  </cols>
  <sheetData>
    <row r="1" spans="1:13" ht="33" customHeight="1">
      <c r="A1" s="345" t="s">
        <v>542</v>
      </c>
      <c r="B1" s="345"/>
      <c r="C1" s="345"/>
      <c r="D1" s="345"/>
      <c r="E1" s="345"/>
      <c r="F1" s="345"/>
      <c r="G1" s="52"/>
      <c r="H1" s="346" t="s">
        <v>543</v>
      </c>
      <c r="I1" s="346"/>
      <c r="J1" s="344">
        <v>124682800</v>
      </c>
      <c r="K1" s="344"/>
      <c r="L1" s="344"/>
      <c r="M1" s="344"/>
    </row>
    <row r="2" spans="1:13" s="45" customFormat="1" ht="22.5" customHeight="1">
      <c r="E2" s="46"/>
      <c r="F2" s="46"/>
      <c r="L2" s="46"/>
      <c r="M2" s="46" t="s">
        <v>77</v>
      </c>
    </row>
    <row r="3" spans="1:13" ht="27.95" customHeight="1">
      <c r="A3" s="347" t="s">
        <v>75</v>
      </c>
      <c r="B3" s="349" t="s">
        <v>86</v>
      </c>
      <c r="C3" s="349"/>
      <c r="D3" s="349"/>
      <c r="E3" s="349"/>
      <c r="F3" s="349"/>
      <c r="G3" s="47"/>
      <c r="H3" s="347" t="s">
        <v>75</v>
      </c>
      <c r="I3" s="349" t="s">
        <v>87</v>
      </c>
      <c r="J3" s="349"/>
      <c r="K3" s="349"/>
      <c r="L3" s="349"/>
      <c r="M3" s="349"/>
    </row>
    <row r="4" spans="1:13" ht="27.95" customHeight="1">
      <c r="A4" s="348"/>
      <c r="B4" s="33" t="s">
        <v>73</v>
      </c>
      <c r="C4" s="33" t="s">
        <v>76</v>
      </c>
      <c r="D4" s="33" t="s">
        <v>74</v>
      </c>
      <c r="E4" s="33" t="s">
        <v>76</v>
      </c>
      <c r="F4" s="33" t="s">
        <v>556</v>
      </c>
      <c r="H4" s="348"/>
      <c r="I4" s="33" t="s">
        <v>73</v>
      </c>
      <c r="J4" s="33" t="s">
        <v>76</v>
      </c>
      <c r="K4" s="33" t="s">
        <v>74</v>
      </c>
      <c r="L4" s="33" t="s">
        <v>76</v>
      </c>
      <c r="M4" s="33" t="s">
        <v>556</v>
      </c>
    </row>
    <row r="5" spans="1:13" s="42" customFormat="1" ht="27.95" customHeight="1">
      <c r="A5" s="34" t="s">
        <v>90</v>
      </c>
      <c r="B5" s="39">
        <f>SUM(B6,B9)</f>
        <v>0</v>
      </c>
      <c r="C5" s="34" t="str">
        <f>IF(B5='16년1추 일입'!V3,"OK","@@")</f>
        <v>OK</v>
      </c>
      <c r="D5" s="39">
        <f>SUM(D6,D9)</f>
        <v>1871030</v>
      </c>
      <c r="E5" s="34" t="str">
        <f>IF(D5='16년 1추일출'!X3,"OK","@@")</f>
        <v>OK</v>
      </c>
      <c r="F5" s="34"/>
      <c r="G5" s="29"/>
      <c r="H5" s="34" t="s">
        <v>90</v>
      </c>
      <c r="I5" s="39">
        <f>SUM(I6,I9)</f>
        <v>140000000</v>
      </c>
      <c r="J5" s="34" t="str">
        <f>IF(I5='16년1추 일입'!AA3,"OK","@@")</f>
        <v>OK</v>
      </c>
      <c r="K5" s="39">
        <f>SUM(K6,K9)</f>
        <v>88071030</v>
      </c>
      <c r="L5" s="34" t="str">
        <f>IF(K5='16년 1추일출'!AC3,"OK","@@")</f>
        <v>@@</v>
      </c>
      <c r="M5" s="34"/>
    </row>
    <row r="6" spans="1:13" ht="27.95" customHeight="1">
      <c r="A6" s="30" t="s">
        <v>89</v>
      </c>
      <c r="B6" s="38">
        <f>SUM(B7:B8)</f>
        <v>0</v>
      </c>
      <c r="C6" s="30" t="str">
        <f>IF(B6='16년1추 일입'!V6,"OK","@@")</f>
        <v>OK</v>
      </c>
      <c r="D6" s="38">
        <f>SUM(D7:D8)</f>
        <v>1871030</v>
      </c>
      <c r="E6" s="30" t="str">
        <f>IF($D$6='16년 1추일출'!$X$6,"OK","@@")</f>
        <v>OK</v>
      </c>
      <c r="F6" s="30"/>
      <c r="H6" s="30" t="s">
        <v>89</v>
      </c>
      <c r="I6" s="38">
        <f>SUM(I7:I8)</f>
        <v>140000000</v>
      </c>
      <c r="J6" s="30" t="str">
        <f>IF(I6='16년1추 일입'!AA6,"OK","@@")</f>
        <v>OK</v>
      </c>
      <c r="K6" s="38">
        <f>SUM(K7:K8)</f>
        <v>88071030</v>
      </c>
      <c r="L6" s="30" t="str">
        <f>IF($K6='16년 1추일출'!$AC6,"OK","@@")</f>
        <v>@@</v>
      </c>
      <c r="M6" s="30"/>
    </row>
    <row r="7" spans="1:13" s="42" customFormat="1" ht="27.95" customHeight="1">
      <c r="A7" s="48" t="s">
        <v>540</v>
      </c>
      <c r="B7" s="49">
        <f>SUMIFS('16년1추 일입'!$V$7:$V$566,'16년1추 일입'!$T$7:$T$566,"도비")</f>
        <v>0</v>
      </c>
      <c r="C7" s="48"/>
      <c r="D7" s="49">
        <f>SUMIFS('16년 1추일출'!$X$8:$X$565,'16년 1추일출'!$V$8:$V$565,"도비")</f>
        <v>1871030</v>
      </c>
      <c r="E7" s="48"/>
      <c r="F7" s="48"/>
      <c r="H7" s="48" t="s">
        <v>540</v>
      </c>
      <c r="I7" s="49">
        <f>SUMIFS('16년1추 일입'!$AA$7:$AA$566,'16년1추 일입'!$Y$7:$Y$566,"도비")</f>
        <v>140000000</v>
      </c>
      <c r="J7" s="48"/>
      <c r="K7" s="49">
        <f>SUMIFS('16년 1추일출'!$AC$8:$AC$565,'16년 1추일출'!$AA$8:$AA$565,"도비")</f>
        <v>88071030</v>
      </c>
      <c r="L7" s="48"/>
      <c r="M7" s="48"/>
    </row>
    <row r="8" spans="1:13" s="42" customFormat="1" ht="27.95" customHeight="1">
      <c r="A8" s="48" t="s">
        <v>88</v>
      </c>
      <c r="B8" s="49">
        <f>SUMIFS('16년1추 일입'!$V$7:$V$566,'16년1추 일입'!$T$7:$T$566,"국비")+SUMIFS('16년1추 일입'!$V$7:$V$566,'16년1추 일입'!$T$7:$T$566,"지특")+SUMIFS('16년1추 일입'!$V$7:$V$566,'16년1추 일입'!$T$7:$T$566,"기금")+SUMIFS('16년1추 일입'!$V$7:$V$566,'16년1추 일입'!$T$7:$T$566,"분권")+SUMIFS('16년1추 일입'!$V$7:$V$566,'16년1추 일입'!$T$7:$T$566,"특교")</f>
        <v>0</v>
      </c>
      <c r="C8" s="48"/>
      <c r="D8" s="49">
        <f>SUMIFS('16년 1추일출'!$X$8:$X$565,'16년 1추일출'!$V$8:$V$565,"국비")+SUMIFS('16년 1추일출'!$X$8:$X$565,'16년 1추일출'!$V$8:$V$565,"지특")+SUMIFS('16년 1추일출'!$X$8:$X$565,'16년 1추일출'!$V$8:$V$565,"기금")+SUMIFS('16년 1추일출'!$X$8:$X$565,'16년 1추일출'!$V$8:$V$565,"분권")+SUMIFS('16년 1추일출'!$X$8:$X$565,'16년 1추일출'!$V$8:$V$565,"특교")</f>
        <v>0</v>
      </c>
      <c r="E8" s="48"/>
      <c r="F8" s="48"/>
      <c r="H8" s="48" t="s">
        <v>88</v>
      </c>
      <c r="I8" s="49">
        <f>SUMIFS('16년1추 일입'!$AA$7:$AA$566,'16년1추 일입'!$Y$7:$Y$566,"국비")+SUMIFS('16년1추 일입'!$AA$7:$AA$566,'16년1추 일입'!$Y$7:$Y$566,"지특")+SUMIFS('16년1추 일입'!$AA$7:$AA$566,'16년1추 일입'!$Y$7:$Y$566,"기금")+SUMIFS('16년1추 일입'!$AA$7:$AA$566,'16년1추 일입'!$Y$7:$Y$566,"분권")+SUMIFS('16년1추 일입'!$AA$7:$AA$566,'16년1추 일입'!$Y$7:$Y$566,"특교")</f>
        <v>0</v>
      </c>
      <c r="J8" s="48"/>
      <c r="K8" s="49">
        <f>SUMIFS('16년 1추일출'!$AC$8:$AC$565,'16년 1추일출'!$AA$8:$AA$565,"국비")+SUMIFS('16년 1추일출'!$AC$8:$AC$565,'16년 1추일출'!$AA$8:$AA$565,"지특")+SUMIFS('16년 1추일출'!$AC$8:$AC$565,'16년 1추일출'!$AA$8:$AA$565,"기금")+SUMIFS('16년 1추일출'!$AC$8:$AC$565,'16년 1추일출'!$AA$8:$AA$565,"분권")+SUMIFS('16년 1추일출'!$AC$8:$AC$565,'16년 1추일출'!$AA$8:$AA$565,"특교")</f>
        <v>0</v>
      </c>
      <c r="L8" s="48"/>
      <c r="M8" s="48"/>
    </row>
    <row r="9" spans="1:13" ht="27.95" customHeight="1">
      <c r="A9" s="30" t="s">
        <v>83</v>
      </c>
      <c r="B9" s="38">
        <f>SUM(B10:B14)</f>
        <v>0</v>
      </c>
      <c r="C9" s="30" t="str">
        <f>IF(B9='16년1추 일입'!U6,"OK","@@")</f>
        <v>OK</v>
      </c>
      <c r="D9" s="38">
        <f>SUM(D10:D14)</f>
        <v>0</v>
      </c>
      <c r="E9" s="30" t="str">
        <f>IF(B9=D9,"OK","@@")</f>
        <v>OK</v>
      </c>
      <c r="F9" s="174">
        <f>D9-B9</f>
        <v>0</v>
      </c>
      <c r="H9" s="30" t="s">
        <v>83</v>
      </c>
      <c r="I9" s="38">
        <f>SUM(I10:I14)</f>
        <v>0</v>
      </c>
      <c r="J9" s="30" t="str">
        <f>IF(I9='16년1추 일입'!Z6,"OK","@@")</f>
        <v>OK</v>
      </c>
      <c r="K9" s="38">
        <f>SUM(K10:K14)</f>
        <v>0</v>
      </c>
      <c r="L9" s="30" t="str">
        <f>IF(I9=K9,"OK","@@")</f>
        <v>OK</v>
      </c>
      <c r="M9" s="30"/>
    </row>
    <row r="10" spans="1:13" ht="27.95" customHeight="1">
      <c r="A10" s="40" t="s">
        <v>59</v>
      </c>
      <c r="B10" s="41">
        <f>SUMIFS('16년1추 일입'!$U$7:$U$566,'16년1추 일입'!$T$7:$T$566,'15년검증'!$A10)</f>
        <v>0</v>
      </c>
      <c r="C10" s="31"/>
      <c r="D10" s="41">
        <f>SUMIFS('16년 1추일출'!$W$8:$W$565,'16년 1추일출'!$V$8:$V$565,'15년검증'!$A10)</f>
        <v>0</v>
      </c>
      <c r="E10" s="31" t="str">
        <f t="shared" ref="E10:E14" si="0">IF(B10=D10,"OK","@@")</f>
        <v>OK</v>
      </c>
      <c r="F10" s="176">
        <f t="shared" ref="F10:F14" si="1">D10-B10</f>
        <v>0</v>
      </c>
      <c r="H10" s="40" t="s">
        <v>59</v>
      </c>
      <c r="I10" s="41">
        <f>SUMIFS('16년1추 일입'!$Z$7:$Z$566,'16년1추 일입'!$Y$7:$Y$566,'15년검증'!$A10)</f>
        <v>0</v>
      </c>
      <c r="J10" s="31"/>
      <c r="K10" s="41">
        <f>SUMIFS('16년 1추일출'!$AB$8:$AB$565,'16년 1추일출'!$AA$8:$AA$565,'15년검증'!$A10)</f>
        <v>0</v>
      </c>
      <c r="L10" s="31" t="str">
        <f t="shared" ref="L10:L14" si="2">IF(I10=K10,"OK","@@")</f>
        <v>OK</v>
      </c>
      <c r="M10" s="176">
        <f>K10-I10</f>
        <v>0</v>
      </c>
    </row>
    <row r="11" spans="1:13" ht="27.95" customHeight="1">
      <c r="A11" s="40" t="s">
        <v>521</v>
      </c>
      <c r="B11" s="41">
        <f>SUMIFS('16년1추 일입'!$U$7:$U$566,'16년1추 일입'!$T$7:$T$566,'15년검증'!$A11)</f>
        <v>0</v>
      </c>
      <c r="C11" s="31"/>
      <c r="D11" s="41">
        <f>SUMIFS('16년 1추일출'!$W$8:$W$565,'16년 1추일출'!$V$8:$V$565,'15년검증'!$A11)</f>
        <v>0</v>
      </c>
      <c r="E11" s="31" t="str">
        <f t="shared" si="0"/>
        <v>OK</v>
      </c>
      <c r="F11" s="176">
        <f t="shared" si="1"/>
        <v>0</v>
      </c>
      <c r="H11" s="40" t="s">
        <v>521</v>
      </c>
      <c r="I11" s="41">
        <f>SUMIFS('16년1추 일입'!$Z$7:$Z$566,'16년1추 일입'!$Y$7:$Y$566,'15년검증'!$A11)</f>
        <v>0</v>
      </c>
      <c r="J11" s="31"/>
      <c r="K11" s="41">
        <f>SUMIFS('16년 1추일출'!$AB$8:$AB$565,'16년 1추일출'!$AA$8:$AA$565,'15년검증'!$A11)</f>
        <v>0</v>
      </c>
      <c r="L11" s="31" t="str">
        <f t="shared" si="2"/>
        <v>OK</v>
      </c>
      <c r="M11" s="176">
        <f t="shared" ref="M11:M14" si="3">K11-I11</f>
        <v>0</v>
      </c>
    </row>
    <row r="12" spans="1:13" ht="27.95" customHeight="1">
      <c r="A12" s="40" t="s">
        <v>72</v>
      </c>
      <c r="B12" s="41">
        <f>SUMIFS('16년1추 일입'!$U$7:$U$566,'16년1추 일입'!$T$7:$T$566,'15년검증'!$A12)</f>
        <v>0</v>
      </c>
      <c r="C12" s="31"/>
      <c r="D12" s="41">
        <f>SUMIFS('16년 1추일출'!$W$8:$W$565,'16년 1추일출'!$V$8:$V$565,'15년검증'!$A12)</f>
        <v>0</v>
      </c>
      <c r="E12" s="31" t="str">
        <f t="shared" si="0"/>
        <v>OK</v>
      </c>
      <c r="F12" s="176">
        <f t="shared" si="1"/>
        <v>0</v>
      </c>
      <c r="H12" s="40" t="s">
        <v>72</v>
      </c>
      <c r="I12" s="41">
        <f>SUMIFS('16년1추 일입'!$Z$7:$Z$566,'16년1추 일입'!$Y$7:$Y$566,'15년검증'!$A12)</f>
        <v>0</v>
      </c>
      <c r="J12" s="31"/>
      <c r="K12" s="41">
        <f>SUMIFS('16년 1추일출'!$AB$8:$AB$565,'16년 1추일출'!$AA$8:$AA$565,'15년검증'!$A12)</f>
        <v>0</v>
      </c>
      <c r="L12" s="31" t="str">
        <f t="shared" si="2"/>
        <v>OK</v>
      </c>
      <c r="M12" s="176">
        <f t="shared" si="3"/>
        <v>0</v>
      </c>
    </row>
    <row r="13" spans="1:13" ht="27.95" customHeight="1">
      <c r="A13" s="40" t="s">
        <v>80</v>
      </c>
      <c r="B13" s="41">
        <f>SUMIFS('16년1추 일입'!$U$7:$U$566,'16년1추 일입'!$T$7:$T$566,'15년검증'!$A13)</f>
        <v>0</v>
      </c>
      <c r="C13" s="31"/>
      <c r="D13" s="41">
        <f>SUMIFS('16년 1추일출'!$W$8:$W$565,'16년 1추일출'!$V$8:$V$565,'15년검증'!$A13)</f>
        <v>0</v>
      </c>
      <c r="E13" s="31" t="str">
        <f t="shared" si="0"/>
        <v>OK</v>
      </c>
      <c r="F13" s="176">
        <f t="shared" si="1"/>
        <v>0</v>
      </c>
      <c r="H13" s="40" t="s">
        <v>80</v>
      </c>
      <c r="I13" s="41">
        <f>SUMIFS('16년1추 일입'!$Z$7:$Z$566,'16년1추 일입'!$Y$7:$Y$566,'15년검증'!$A13)</f>
        <v>0</v>
      </c>
      <c r="J13" s="31"/>
      <c r="K13" s="41">
        <f>SUMIFS('16년 1추일출'!$AB$8:$AB$565,'16년 1추일출'!$AA$8:$AA$565,'15년검증'!$A13)</f>
        <v>0</v>
      </c>
      <c r="L13" s="31" t="str">
        <f t="shared" si="2"/>
        <v>OK</v>
      </c>
      <c r="M13" s="176">
        <f t="shared" si="3"/>
        <v>0</v>
      </c>
    </row>
    <row r="14" spans="1:13" ht="27.95" customHeight="1">
      <c r="A14" s="40" t="s">
        <v>518</v>
      </c>
      <c r="B14" s="41">
        <f>SUMIFS('16년1추 일입'!$U$7:$U$566,'16년1추 일입'!$T$7:$T$566,'15년검증'!$A14)</f>
        <v>0</v>
      </c>
      <c r="C14" s="31"/>
      <c r="D14" s="41">
        <f>SUMIFS('16년 1추일출'!$W$8:$W$565,'16년 1추일출'!$V$8:$V$565,'15년검증'!$A14)</f>
        <v>0</v>
      </c>
      <c r="E14" s="31" t="str">
        <f t="shared" si="0"/>
        <v>OK</v>
      </c>
      <c r="F14" s="176">
        <f t="shared" si="1"/>
        <v>0</v>
      </c>
      <c r="H14" s="40" t="s">
        <v>518</v>
      </c>
      <c r="I14" s="41">
        <f>SUMIFS('16년1추 일입'!$Z$7:$Z$566,'16년1추 일입'!$Y$7:$Y$566,'15년검증'!$A14)</f>
        <v>0</v>
      </c>
      <c r="J14" s="31"/>
      <c r="K14" s="41">
        <f>SUMIFS('16년 1추일출'!$AB$8:$AB$565,'16년 1추일출'!$AA$8:$AA$565,'15년검증'!$A14)</f>
        <v>0</v>
      </c>
      <c r="L14" s="31" t="str">
        <f t="shared" si="2"/>
        <v>OK</v>
      </c>
      <c r="M14" s="176">
        <f t="shared" si="3"/>
        <v>0</v>
      </c>
    </row>
    <row r="15" spans="1:13" ht="27.95" customHeight="1"/>
    <row r="16" spans="1:13" ht="27.95" customHeight="1">
      <c r="G16" s="43"/>
      <c r="H16" s="71" t="s">
        <v>539</v>
      </c>
      <c r="I16" s="342">
        <f>IFERROR(INDEX('16년 1추일출'!AC8:AC565,MATCH("*예비비*",'16년 1추일출'!G8:G565,0)),"")</f>
        <v>-1871030</v>
      </c>
      <c r="J16" s="342"/>
      <c r="K16" s="342"/>
      <c r="L16" s="342"/>
      <c r="M16" s="342"/>
    </row>
    <row r="17" spans="1:13" ht="27.95" customHeight="1"/>
    <row r="18" spans="1:13" ht="27.95" customHeight="1">
      <c r="G18" s="43"/>
      <c r="I18" s="342">
        <f>SUM(I5-K5)</f>
        <v>51928970</v>
      </c>
      <c r="J18" s="342"/>
      <c r="K18" s="342"/>
      <c r="L18" s="342"/>
      <c r="M18" s="342"/>
    </row>
    <row r="19" spans="1:13" ht="27.95" customHeight="1">
      <c r="A19" s="43"/>
      <c r="B19" s="43"/>
      <c r="C19" s="43"/>
      <c r="D19" s="43"/>
      <c r="E19" s="44"/>
      <c r="F19" s="44"/>
      <c r="G19" s="43"/>
      <c r="H19" s="43"/>
      <c r="I19" s="43"/>
      <c r="J19" s="43"/>
      <c r="K19" s="43"/>
      <c r="L19" s="44"/>
      <c r="M19" s="44"/>
    </row>
    <row r="20" spans="1:13" ht="27.95" customHeight="1">
      <c r="G20" s="43"/>
      <c r="H20" s="154" t="s">
        <v>541</v>
      </c>
      <c r="I20" s="343">
        <f>IFERROR(SUM(J1+I16),"")</f>
        <v>122811770</v>
      </c>
      <c r="J20" s="343"/>
      <c r="K20" s="343"/>
      <c r="L20" s="343"/>
      <c r="M20" s="343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29" customWidth="1"/>
    <col min="2" max="2" width="13.625" style="29" customWidth="1"/>
    <col min="3" max="3" width="7.625" style="29" customWidth="1"/>
    <col min="4" max="4" width="13.625" style="29" customWidth="1"/>
    <col min="5" max="5" width="7.625" style="32" customWidth="1"/>
    <col min="6" max="6" width="13.625" style="32" customWidth="1"/>
    <col min="7" max="7" width="3.375" style="29" customWidth="1"/>
    <col min="8" max="8" width="18.875" style="29" customWidth="1"/>
    <col min="9" max="9" width="13.625" style="29" customWidth="1"/>
    <col min="10" max="10" width="7.625" style="29" customWidth="1"/>
    <col min="11" max="11" width="13.625" style="29" customWidth="1"/>
    <col min="12" max="12" width="7.625" style="32" customWidth="1"/>
    <col min="13" max="13" width="13.625" style="32" customWidth="1"/>
    <col min="14" max="16384" width="9" style="29"/>
  </cols>
  <sheetData>
    <row r="1" spans="1:13" ht="33" customHeight="1">
      <c r="A1" s="345" t="s">
        <v>538</v>
      </c>
      <c r="B1" s="345"/>
      <c r="C1" s="345"/>
      <c r="D1" s="345"/>
      <c r="E1" s="345"/>
      <c r="F1" s="345"/>
      <c r="G1" s="52"/>
      <c r="H1" s="346" t="s">
        <v>525</v>
      </c>
      <c r="I1" s="346"/>
      <c r="J1" s="344">
        <v>22466366</v>
      </c>
      <c r="K1" s="344"/>
      <c r="L1" s="344"/>
      <c r="M1" s="344"/>
    </row>
    <row r="2" spans="1:13" s="45" customFormat="1" ht="22.5" customHeight="1">
      <c r="E2" s="46"/>
      <c r="F2" s="46"/>
      <c r="L2" s="46"/>
      <c r="M2" s="46" t="s">
        <v>77</v>
      </c>
    </row>
    <row r="3" spans="1:13" ht="27.95" customHeight="1">
      <c r="A3" s="347" t="s">
        <v>75</v>
      </c>
      <c r="B3" s="349" t="s">
        <v>86</v>
      </c>
      <c r="C3" s="349"/>
      <c r="D3" s="349"/>
      <c r="E3" s="349"/>
      <c r="F3" s="349"/>
      <c r="G3" s="47"/>
      <c r="H3" s="350" t="s">
        <v>75</v>
      </c>
      <c r="I3" s="349" t="s">
        <v>87</v>
      </c>
      <c r="J3" s="349"/>
      <c r="K3" s="349"/>
      <c r="L3" s="349"/>
      <c r="M3" s="349"/>
    </row>
    <row r="4" spans="1:13" ht="27.95" customHeight="1">
      <c r="A4" s="348"/>
      <c r="B4" s="33" t="s">
        <v>73</v>
      </c>
      <c r="C4" s="33" t="s">
        <v>76</v>
      </c>
      <c r="D4" s="33" t="s">
        <v>74</v>
      </c>
      <c r="E4" s="33" t="s">
        <v>76</v>
      </c>
      <c r="F4" s="33" t="s">
        <v>556</v>
      </c>
      <c r="H4" s="350"/>
      <c r="I4" s="33" t="s">
        <v>73</v>
      </c>
      <c r="J4" s="33" t="s">
        <v>76</v>
      </c>
      <c r="K4" s="33" t="s">
        <v>74</v>
      </c>
      <c r="L4" s="33" t="s">
        <v>76</v>
      </c>
      <c r="M4" s="33" t="s">
        <v>556</v>
      </c>
    </row>
    <row r="5" spans="1:13" s="42" customFormat="1" ht="27.95" customHeight="1">
      <c r="A5" s="34" t="s">
        <v>90</v>
      </c>
      <c r="B5" s="39" t="e">
        <f>SUM(B6,B9)</f>
        <v>#REF!</v>
      </c>
      <c r="C5" s="34" t="e">
        <f>IF(B5=#REF!,"OK","@@")</f>
        <v>#REF!</v>
      </c>
      <c r="D5" s="39" t="e">
        <f>SUM(D6,D9)</f>
        <v>#REF!</v>
      </c>
      <c r="E5" s="34" t="e">
        <f>IF(D5=#REF!,"OK","@@")</f>
        <v>#REF!</v>
      </c>
      <c r="F5" s="173"/>
      <c r="G5" s="29"/>
      <c r="H5" s="34" t="s">
        <v>90</v>
      </c>
      <c r="I5" s="39" t="e">
        <f>SUM(I6,I9)</f>
        <v>#REF!</v>
      </c>
      <c r="J5" s="34" t="e">
        <f>IF(I5=#REF!,"OK","@@")</f>
        <v>#REF!</v>
      </c>
      <c r="K5" s="39" t="e">
        <f>SUM(K6,K9)</f>
        <v>#REF!</v>
      </c>
      <c r="L5" s="34" t="e">
        <f>IF(K5=#REF!,"OK","@@")</f>
        <v>#REF!</v>
      </c>
      <c r="M5" s="34"/>
    </row>
    <row r="6" spans="1:13" ht="27.95" customHeight="1">
      <c r="A6" s="30" t="s">
        <v>89</v>
      </c>
      <c r="B6" s="38" t="e">
        <f>SUM(B7:B8)</f>
        <v>#REF!</v>
      </c>
      <c r="C6" s="30" t="e">
        <f>IF(B6=#REF!,"OK","@@")</f>
        <v>#REF!</v>
      </c>
      <c r="D6" s="38" t="e">
        <f>SUM(D7:D8)</f>
        <v>#REF!</v>
      </c>
      <c r="E6" s="30" t="e">
        <f>IF($D$6=#REF!,"OK","@@")</f>
        <v>#REF!</v>
      </c>
      <c r="F6" s="174"/>
      <c r="H6" s="30" t="s">
        <v>89</v>
      </c>
      <c r="I6" s="38" t="e">
        <f>SUM(I7:I8)</f>
        <v>#REF!</v>
      </c>
      <c r="J6" s="30" t="e">
        <f>IF(I6=#REF!,"OK","@@")</f>
        <v>#REF!</v>
      </c>
      <c r="K6" s="38" t="e">
        <f>SUM(K7:K8)</f>
        <v>#REF!</v>
      </c>
      <c r="L6" s="30" t="e">
        <f>IF($K6=#REF!,"OK","@@")</f>
        <v>#REF!</v>
      </c>
      <c r="M6" s="30"/>
    </row>
    <row r="7" spans="1:13" s="42" customFormat="1" ht="27.95" customHeight="1">
      <c r="A7" s="48" t="s">
        <v>540</v>
      </c>
      <c r="B7" s="49" t="e">
        <f>SUMIFS(#REF!,#REF!,"도비")</f>
        <v>#REF!</v>
      </c>
      <c r="C7" s="48"/>
      <c r="D7" s="49" t="e">
        <f>SUMIFS(#REF!,#REF!,"도비")</f>
        <v>#REF!</v>
      </c>
      <c r="E7" s="48"/>
      <c r="F7" s="175"/>
      <c r="H7" s="48" t="s">
        <v>540</v>
      </c>
      <c r="I7" s="49" t="e">
        <f>SUMIFS(#REF!,#REF!,"도비")</f>
        <v>#REF!</v>
      </c>
      <c r="J7" s="48"/>
      <c r="K7" s="49" t="e">
        <f>SUMIFS(#REF!,#REF!,"도비")</f>
        <v>#REF!</v>
      </c>
      <c r="L7" s="48"/>
      <c r="M7" s="48"/>
    </row>
    <row r="8" spans="1:13" s="42" customFormat="1" ht="27.95" customHeight="1">
      <c r="A8" s="48" t="s">
        <v>88</v>
      </c>
      <c r="B8" s="49" t="e">
        <f>SUMIFS(#REF!,#REF!,"국비")+SUMIFS(#REF!,#REF!,"광특")+SUMIFS(#REF!,#REF!,"기금")+SUMIFS(#REF!,#REF!,"분권")+SUMIFS(#REF!,#REF!,"특교")</f>
        <v>#REF!</v>
      </c>
      <c r="C8" s="48"/>
      <c r="D8" s="49" t="e">
        <f>SUMIFS(#REF!,#REF!,"국비")+SUMIFS(#REF!,#REF!,"광특")+SUMIFS(#REF!,#REF!,"기금")+SUMIFS(#REF!,#REF!,"분권")+SUMIFS(#REF!,#REF!,"특교")</f>
        <v>#REF!</v>
      </c>
      <c r="E8" s="48"/>
      <c r="F8" s="175"/>
      <c r="H8" s="48" t="s">
        <v>88</v>
      </c>
      <c r="I8" s="49" t="e">
        <f>SUMIFS(#REF!,#REF!,"국비")+SUMIFS(#REF!,#REF!,"광특")+SUMIFS(#REF!,#REF!,"기금")+SUMIFS(#REF!,#REF!,"분권")+SUMIFS(#REF!,#REF!,"특교")</f>
        <v>#REF!</v>
      </c>
      <c r="J8" s="48"/>
      <c r="K8" s="49" t="e">
        <f>SUMIFS(#REF!,#REF!,"국비")+SUMIFS(#REF!,#REF!,"광특")+SUMIFS(#REF!,#REF!,"기금")+SUMIFS(#REF!,#REF!,"분권")+SUMIFS(#REF!,#REF!,"특교")</f>
        <v>#REF!</v>
      </c>
      <c r="L8" s="48"/>
      <c r="M8" s="48"/>
    </row>
    <row r="9" spans="1:13" ht="27.95" customHeight="1">
      <c r="A9" s="30" t="s">
        <v>83</v>
      </c>
      <c r="B9" s="38" t="e">
        <f>SUM(B10:B14)</f>
        <v>#REF!</v>
      </c>
      <c r="C9" s="30" t="e">
        <f>IF(B9=#REF!,"OK","@@")</f>
        <v>#REF!</v>
      </c>
      <c r="D9" s="38" t="e">
        <f>SUM(D10:D14)</f>
        <v>#REF!</v>
      </c>
      <c r="E9" s="30" t="e">
        <f>IF(B9=D9,"OK","@@")</f>
        <v>#REF!</v>
      </c>
      <c r="F9" s="174" t="e">
        <f t="shared" ref="F9" si="0">D9-B9</f>
        <v>#REF!</v>
      </c>
      <c r="H9" s="30" t="s">
        <v>83</v>
      </c>
      <c r="I9" s="38" t="e">
        <f>SUM(I10:I14)</f>
        <v>#REF!</v>
      </c>
      <c r="J9" s="30" t="e">
        <f>IF(I9=#REF!,"OK","@@")</f>
        <v>#REF!</v>
      </c>
      <c r="K9" s="38" t="e">
        <f>SUM(K10:K14)</f>
        <v>#REF!</v>
      </c>
      <c r="L9" s="30" t="e">
        <f>IF(I9=K9,"OK","@@")</f>
        <v>#REF!</v>
      </c>
      <c r="M9" s="174" t="e">
        <f>K9-I9</f>
        <v>#REF!</v>
      </c>
    </row>
    <row r="10" spans="1:13" ht="27.95" customHeight="1">
      <c r="A10" s="40" t="s">
        <v>59</v>
      </c>
      <c r="B10" s="41" t="e">
        <f>SUMIFS(#REF!,#REF!,'2추검증'!$A10)</f>
        <v>#REF!</v>
      </c>
      <c r="C10" s="31"/>
      <c r="D10" s="41" t="e">
        <f>SUMIFS(#REF!,#REF!,'2추검증'!$A10)</f>
        <v>#REF!</v>
      </c>
      <c r="E10" s="31" t="e">
        <f t="shared" ref="E10:E14" si="1">IF(B10=D10,"OK","@@")</f>
        <v>#REF!</v>
      </c>
      <c r="F10" s="176" t="e">
        <f>D10-B10</f>
        <v>#REF!</v>
      </c>
      <c r="H10" s="40" t="s">
        <v>59</v>
      </c>
      <c r="I10" s="41" t="e">
        <f>SUMIFS(#REF!,#REF!,'2추검증'!$A10)</f>
        <v>#REF!</v>
      </c>
      <c r="J10" s="31"/>
      <c r="K10" s="41" t="e">
        <f>SUMIFS(#REF!,#REF!,'2추검증'!$A10)</f>
        <v>#REF!</v>
      </c>
      <c r="L10" s="31" t="e">
        <f t="shared" ref="L10:L14" si="2">IF(I10=K10,"OK","@@")</f>
        <v>#REF!</v>
      </c>
      <c r="M10" s="176" t="e">
        <f t="shared" ref="M10:M14" si="3">K10-I10</f>
        <v>#REF!</v>
      </c>
    </row>
    <row r="11" spans="1:13" ht="27.95" customHeight="1">
      <c r="A11" s="40" t="s">
        <v>79</v>
      </c>
      <c r="B11" s="41" t="e">
        <f>SUMIFS(#REF!,#REF!,'2추검증'!$A11)</f>
        <v>#REF!</v>
      </c>
      <c r="C11" s="31"/>
      <c r="D11" s="41" t="e">
        <f>SUMIFS(#REF!,#REF!,'2추검증'!$A11)</f>
        <v>#REF!</v>
      </c>
      <c r="E11" s="31" t="e">
        <f t="shared" si="1"/>
        <v>#REF!</v>
      </c>
      <c r="F11" s="176" t="e">
        <f t="shared" ref="F11:F14" si="4">D11-B11</f>
        <v>#REF!</v>
      </c>
      <c r="H11" s="40" t="s">
        <v>79</v>
      </c>
      <c r="I11" s="41" t="e">
        <f>SUMIFS(#REF!,#REF!,'2추검증'!$A11)</f>
        <v>#REF!</v>
      </c>
      <c r="J11" s="31"/>
      <c r="K11" s="41" t="e">
        <f>SUMIFS(#REF!,#REF!,'2추검증'!$A11)</f>
        <v>#REF!</v>
      </c>
      <c r="L11" s="31" t="e">
        <f t="shared" si="2"/>
        <v>#REF!</v>
      </c>
      <c r="M11" s="176" t="e">
        <f t="shared" si="3"/>
        <v>#REF!</v>
      </c>
    </row>
    <row r="12" spans="1:13" ht="27.95" customHeight="1">
      <c r="A12" s="40" t="s">
        <v>72</v>
      </c>
      <c r="B12" s="41" t="e">
        <f>SUMIFS(#REF!,#REF!,'2추검증'!$A12)</f>
        <v>#REF!</v>
      </c>
      <c r="C12" s="31"/>
      <c r="D12" s="41" t="e">
        <f>SUMIFS(#REF!,#REF!,'2추검증'!$A12)</f>
        <v>#REF!</v>
      </c>
      <c r="E12" s="31" t="e">
        <f t="shared" si="1"/>
        <v>#REF!</v>
      </c>
      <c r="F12" s="176" t="e">
        <f t="shared" si="4"/>
        <v>#REF!</v>
      </c>
      <c r="H12" s="40" t="s">
        <v>72</v>
      </c>
      <c r="I12" s="41" t="e">
        <f>SUMIFS(#REF!,#REF!,'2추검증'!$A12)</f>
        <v>#REF!</v>
      </c>
      <c r="J12" s="31"/>
      <c r="K12" s="41" t="e">
        <f>SUMIFS(#REF!,#REF!,'2추검증'!$A12)</f>
        <v>#REF!</v>
      </c>
      <c r="L12" s="31" t="e">
        <f t="shared" si="2"/>
        <v>#REF!</v>
      </c>
      <c r="M12" s="176" t="e">
        <f t="shared" si="3"/>
        <v>#REF!</v>
      </c>
    </row>
    <row r="13" spans="1:13" ht="27.95" customHeight="1">
      <c r="A13" s="40" t="s">
        <v>80</v>
      </c>
      <c r="B13" s="41" t="e">
        <f>SUMIFS(#REF!,#REF!,'2추검증'!$A13)</f>
        <v>#REF!</v>
      </c>
      <c r="C13" s="31"/>
      <c r="D13" s="41" t="e">
        <f>SUMIFS(#REF!,#REF!,'2추검증'!$A13)</f>
        <v>#REF!</v>
      </c>
      <c r="E13" s="31" t="e">
        <f t="shared" si="1"/>
        <v>#REF!</v>
      </c>
      <c r="F13" s="176" t="e">
        <f t="shared" si="4"/>
        <v>#REF!</v>
      </c>
      <c r="H13" s="40" t="s">
        <v>80</v>
      </c>
      <c r="I13" s="41" t="e">
        <f>SUMIFS(#REF!,#REF!,'2추검증'!$A13)</f>
        <v>#REF!</v>
      </c>
      <c r="J13" s="31"/>
      <c r="K13" s="41" t="e">
        <f>SUMIFS(#REF!,#REF!,'2추검증'!$A13)</f>
        <v>#REF!</v>
      </c>
      <c r="L13" s="31" t="e">
        <f t="shared" si="2"/>
        <v>#REF!</v>
      </c>
      <c r="M13" s="176" t="e">
        <f t="shared" si="3"/>
        <v>#REF!</v>
      </c>
    </row>
    <row r="14" spans="1:13" ht="27.95" customHeight="1">
      <c r="A14" s="40" t="s">
        <v>526</v>
      </c>
      <c r="B14" s="41" t="e">
        <f>SUMIFS(#REF!,#REF!,'2추검증'!$A14)</f>
        <v>#REF!</v>
      </c>
      <c r="C14" s="31"/>
      <c r="D14" s="41" t="e">
        <f>SUMIFS(#REF!,#REF!,'2추검증'!$A14)</f>
        <v>#REF!</v>
      </c>
      <c r="E14" s="31" t="e">
        <f t="shared" si="1"/>
        <v>#REF!</v>
      </c>
      <c r="F14" s="176" t="e">
        <f t="shared" si="4"/>
        <v>#REF!</v>
      </c>
      <c r="H14" s="40" t="s">
        <v>518</v>
      </c>
      <c r="I14" s="41" t="e">
        <f>SUMIFS(#REF!,#REF!,'2추검증'!$A14)</f>
        <v>#REF!</v>
      </c>
      <c r="J14" s="31"/>
      <c r="K14" s="41" t="e">
        <f>SUMIFS(#REF!,#REF!,'2추검증'!$A14)</f>
        <v>#REF!</v>
      </c>
      <c r="L14" s="31" t="e">
        <f t="shared" si="2"/>
        <v>#REF!</v>
      </c>
      <c r="M14" s="176" t="e">
        <f t="shared" si="3"/>
        <v>#REF!</v>
      </c>
    </row>
    <row r="15" spans="1:13" ht="27.95" customHeight="1"/>
    <row r="16" spans="1:13" ht="27.95" customHeight="1">
      <c r="G16" s="43"/>
      <c r="H16" s="71" t="s">
        <v>539</v>
      </c>
      <c r="I16" s="342" t="str">
        <f>IFERROR(INDEX(#REF!,MATCH("*예비비*",#REF!,0)),"")</f>
        <v/>
      </c>
      <c r="J16" s="342"/>
      <c r="K16" s="342"/>
      <c r="L16" s="342"/>
      <c r="M16" s="342"/>
    </row>
    <row r="17" spans="1:13" ht="27.95" customHeight="1"/>
    <row r="18" spans="1:13" ht="27.95" customHeight="1">
      <c r="G18" s="43"/>
      <c r="I18" s="342" t="e">
        <f>SUM(I5-K5)</f>
        <v>#REF!</v>
      </c>
      <c r="J18" s="342"/>
      <c r="K18" s="342"/>
      <c r="L18" s="342"/>
      <c r="M18" s="342"/>
    </row>
    <row r="19" spans="1:13" ht="27.95" customHeight="1">
      <c r="A19" s="43"/>
      <c r="B19" s="43"/>
      <c r="C19" s="43"/>
      <c r="D19" s="43"/>
      <c r="E19" s="44"/>
      <c r="F19" s="44"/>
      <c r="G19" s="43"/>
      <c r="H19" s="43"/>
      <c r="I19" s="43"/>
      <c r="J19" s="43"/>
      <c r="K19" s="43"/>
      <c r="L19" s="44"/>
      <c r="M19" s="44"/>
    </row>
    <row r="20" spans="1:13" ht="27.95" customHeight="1">
      <c r="G20" s="43"/>
      <c r="H20" s="154" t="s">
        <v>541</v>
      </c>
      <c r="I20" s="343" t="str">
        <f>IFERROR(SUM(J1-I16),"")</f>
        <v/>
      </c>
      <c r="J20" s="343"/>
      <c r="K20" s="343"/>
      <c r="L20" s="343"/>
      <c r="M20" s="343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529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62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351" t="s">
        <v>57</v>
      </c>
      <c r="E16" s="351"/>
      <c r="F16" s="351"/>
      <c r="G16" s="351"/>
      <c r="H16" s="351"/>
      <c r="I16" s="351"/>
      <c r="J16" s="351"/>
      <c r="K16" s="351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529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352" t="s">
        <v>56</v>
      </c>
      <c r="B4" s="352"/>
      <c r="C4" s="352"/>
      <c r="D4" s="352"/>
      <c r="E4" s="352"/>
      <c r="F4" s="352"/>
      <c r="G4" s="352"/>
      <c r="H4" s="352"/>
      <c r="I4" s="352"/>
      <c r="J4" s="352"/>
      <c r="K4" s="352"/>
      <c r="L4" s="352"/>
      <c r="M4" s="352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351" t="s">
        <v>57</v>
      </c>
      <c r="E16" s="351"/>
      <c r="F16" s="351"/>
      <c r="G16" s="351"/>
      <c r="H16" s="351"/>
      <c r="I16" s="351"/>
      <c r="J16" s="351"/>
      <c r="K16" s="351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529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56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351" t="s">
        <v>57</v>
      </c>
      <c r="C33" s="351"/>
      <c r="D33" s="351"/>
      <c r="E33" s="351"/>
      <c r="F33" s="351"/>
      <c r="G33" s="351"/>
      <c r="H33" s="351"/>
      <c r="I33" s="351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529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56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351" t="s">
        <v>57</v>
      </c>
      <c r="C24" s="351"/>
      <c r="D24" s="351"/>
      <c r="E24" s="351"/>
      <c r="F24" s="351"/>
      <c r="G24" s="351"/>
      <c r="H24" s="351"/>
      <c r="I24" s="351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3" hidden="1" customWidth="1"/>
    <col min="10" max="10" width="16" style="73" hidden="1" customWidth="1"/>
    <col min="11" max="11" width="14.625" style="73" hidden="1" customWidth="1"/>
    <col min="12" max="12" width="21.75" style="73" hidden="1" customWidth="1"/>
    <col min="13" max="14" width="14.75" style="73" hidden="1" customWidth="1"/>
    <col min="15" max="15" width="12.25" style="73" hidden="1" customWidth="1"/>
    <col min="16" max="16" width="13.375" style="73" hidden="1" customWidth="1"/>
    <col min="17" max="16384" width="9" style="56"/>
  </cols>
  <sheetData>
    <row r="1" spans="2:16" ht="33" customHeight="1">
      <c r="B1" s="377" t="s">
        <v>530</v>
      </c>
      <c r="C1" s="378"/>
      <c r="D1" s="378"/>
      <c r="E1" s="378"/>
      <c r="F1" s="378"/>
      <c r="G1" s="378"/>
      <c r="H1" s="378"/>
    </row>
    <row r="2" spans="2:16" ht="12.75" customHeight="1">
      <c r="B2" s="74"/>
      <c r="C2" s="75"/>
      <c r="D2" s="75"/>
      <c r="E2" s="75"/>
      <c r="F2" s="75"/>
      <c r="G2" s="75"/>
      <c r="H2" s="75"/>
    </row>
    <row r="3" spans="2:16" ht="23.25" customHeight="1">
      <c r="B3" s="76" t="s">
        <v>20</v>
      </c>
      <c r="C3" s="77"/>
      <c r="D3" s="54" t="s">
        <v>120</v>
      </c>
      <c r="E3" s="54">
        <f>SUM(D7:E7)</f>
        <v>140000000</v>
      </c>
      <c r="F3" s="54" t="s">
        <v>121</v>
      </c>
      <c r="G3" s="54">
        <f>SUM(F7:G7)</f>
        <v>140000000</v>
      </c>
      <c r="H3" s="55"/>
    </row>
    <row r="4" spans="2:16" s="79" customFormat="1" ht="18" customHeight="1" thickBot="1">
      <c r="B4" s="78"/>
      <c r="H4" s="80" t="s">
        <v>21</v>
      </c>
      <c r="I4" s="81"/>
      <c r="J4" s="81"/>
      <c r="K4" s="81"/>
      <c r="L4" s="81"/>
      <c r="M4" s="82" t="s">
        <v>22</v>
      </c>
      <c r="N4" s="81"/>
      <c r="O4" s="82" t="s">
        <v>23</v>
      </c>
      <c r="P4" s="82"/>
    </row>
    <row r="5" spans="2:16" ht="33" customHeight="1">
      <c r="B5" s="379" t="s">
        <v>24</v>
      </c>
      <c r="C5" s="381" t="s">
        <v>25</v>
      </c>
      <c r="D5" s="383" t="s">
        <v>26</v>
      </c>
      <c r="E5" s="383"/>
      <c r="F5" s="383" t="s">
        <v>27</v>
      </c>
      <c r="G5" s="383"/>
      <c r="H5" s="384" t="s">
        <v>28</v>
      </c>
      <c r="I5" s="361" t="s">
        <v>29</v>
      </c>
      <c r="J5" s="361"/>
      <c r="K5" s="357" t="s">
        <v>30</v>
      </c>
      <c r="L5" s="359" t="s">
        <v>31</v>
      </c>
      <c r="M5" s="361" t="s">
        <v>32</v>
      </c>
      <c r="N5" s="362"/>
      <c r="O5" s="363" t="s">
        <v>33</v>
      </c>
      <c r="P5" s="364"/>
    </row>
    <row r="6" spans="2:16" ht="33" customHeight="1">
      <c r="B6" s="380"/>
      <c r="C6" s="382"/>
      <c r="D6" s="83" t="s">
        <v>34</v>
      </c>
      <c r="E6" s="83" t="s">
        <v>35</v>
      </c>
      <c r="F6" s="83" t="s">
        <v>34</v>
      </c>
      <c r="G6" s="83" t="s">
        <v>35</v>
      </c>
      <c r="H6" s="385"/>
      <c r="I6" s="84" t="s">
        <v>36</v>
      </c>
      <c r="J6" s="85" t="s">
        <v>37</v>
      </c>
      <c r="K6" s="358"/>
      <c r="L6" s="360"/>
      <c r="M6" s="86" t="s">
        <v>36</v>
      </c>
      <c r="N6" s="87" t="s">
        <v>37</v>
      </c>
      <c r="O6" s="365"/>
      <c r="P6" s="366"/>
    </row>
    <row r="7" spans="2:16" ht="45" customHeight="1" thickBot="1">
      <c r="B7" s="88" t="s">
        <v>38</v>
      </c>
      <c r="C7" s="89">
        <f t="shared" ref="C7:H7" si="0">SUM(C8:C18)</f>
        <v>17818538715</v>
      </c>
      <c r="D7" s="20">
        <f t="shared" si="0"/>
        <v>0</v>
      </c>
      <c r="E7" s="20">
        <f t="shared" si="0"/>
        <v>140000000</v>
      </c>
      <c r="F7" s="20">
        <f t="shared" si="0"/>
        <v>-19000000</v>
      </c>
      <c r="G7" s="20">
        <f t="shared" si="0"/>
        <v>159000000</v>
      </c>
      <c r="H7" s="90">
        <f t="shared" si="0"/>
        <v>17958538715</v>
      </c>
      <c r="I7" s="91">
        <f>E25+D25</f>
        <v>140000000</v>
      </c>
      <c r="J7" s="92">
        <f>F25+G25</f>
        <v>140000000</v>
      </c>
      <c r="K7" s="93">
        <f>I7-J7</f>
        <v>0</v>
      </c>
      <c r="L7" s="94" t="s">
        <v>39</v>
      </c>
      <c r="M7" s="95">
        <f>D24+E24</f>
        <v>140000000</v>
      </c>
      <c r="N7" s="96">
        <f>F24+G24</f>
        <v>140000000</v>
      </c>
      <c r="O7" s="97">
        <v>0</v>
      </c>
      <c r="P7" s="97">
        <v>0</v>
      </c>
    </row>
    <row r="8" spans="2:16" ht="45" hidden="1" customHeight="1" thickBot="1">
      <c r="B8" s="98" t="s">
        <v>40</v>
      </c>
      <c r="C8" s="89">
        <v>0</v>
      </c>
      <c r="D8" s="20"/>
      <c r="E8" s="20"/>
      <c r="F8" s="20"/>
      <c r="G8" s="20"/>
      <c r="H8" s="90">
        <f>C8-F8+G8</f>
        <v>0</v>
      </c>
      <c r="I8" s="99">
        <f>D7+E7</f>
        <v>140000000</v>
      </c>
      <c r="J8" s="100">
        <f>F7+G7</f>
        <v>140000000</v>
      </c>
      <c r="K8" s="101">
        <f>I8-J8</f>
        <v>0</v>
      </c>
      <c r="L8" s="102"/>
      <c r="M8" s="103"/>
      <c r="N8" s="104"/>
      <c r="O8" s="105"/>
      <c r="P8" s="105"/>
    </row>
    <row r="9" spans="2:16" ht="45" customHeight="1">
      <c r="B9" s="106" t="s">
        <v>94</v>
      </c>
      <c r="C9" s="107">
        <v>43594098</v>
      </c>
      <c r="D9" s="20">
        <f>SUMIFS('16년1추 일입'!$N$7:$N$566,'16년1추 일입'!$A$7:$A$566,'15년총괄표'!$B9)</f>
        <v>0</v>
      </c>
      <c r="E9" s="20">
        <f>SUMIFS('16년1추 일입'!$O$7:$O$566,'16년1추 일입'!$A$7:$A$566,'15년총괄표'!$B9)</f>
        <v>0</v>
      </c>
      <c r="F9" s="20">
        <f>SUMIFS('16년 1추일출'!$N$8:$N$565,'16년 1추일출'!$A$8:$A$565,'15년총괄표'!$B9)</f>
        <v>0</v>
      </c>
      <c r="G9" s="20">
        <f>SUMIFS('16년 1추일출'!$O$8:$O$565,'16년 1추일출'!$A$8:$A$565,'15년총괄표'!$B9)</f>
        <v>0</v>
      </c>
      <c r="H9" s="90">
        <f>C9+F9+G9</f>
        <v>43594098</v>
      </c>
      <c r="I9" s="375" t="s">
        <v>41</v>
      </c>
      <c r="J9" s="376"/>
      <c r="K9" s="81"/>
      <c r="N9" s="108" t="s">
        <v>42</v>
      </c>
    </row>
    <row r="10" spans="2:16" ht="45" customHeight="1" thickBot="1">
      <c r="B10" s="106" t="s">
        <v>95</v>
      </c>
      <c r="C10" s="89">
        <v>5206191432</v>
      </c>
      <c r="D10" s="20">
        <f>SUMIFS('16년1추 일입'!$N$7:$N$566,'16년1추 일입'!$A$7:$A$566,'15년총괄표'!$B10)</f>
        <v>0</v>
      </c>
      <c r="E10" s="20">
        <f>SUMIFS('16년1추 일입'!$O$7:$O$566,'16년1추 일입'!$A$7:$A$566,'15년총괄표'!$B10)</f>
        <v>0</v>
      </c>
      <c r="F10" s="20">
        <f>SUMIFS('16년 1추일출'!$N$8:$N$565,'16년 1추일출'!$A$8:$A$565,'15년총괄표'!$B10)</f>
        <v>-12921030</v>
      </c>
      <c r="G10" s="20">
        <f>SUMIFS('16년 1추일출'!$O$8:$O$565,'16년 1추일출'!$A$8:$A$565,'15년총괄표'!$B10)</f>
        <v>53800000</v>
      </c>
      <c r="H10" s="90">
        <f t="shared" ref="H10:H18" si="1">C10+F10+G10</f>
        <v>5247070402</v>
      </c>
      <c r="I10" s="109" t="e">
        <f>#REF!+#REF!</f>
        <v>#REF!</v>
      </c>
      <c r="J10" s="110" t="e">
        <f>#REF!+#REF!</f>
        <v>#REF!</v>
      </c>
      <c r="K10" s="81"/>
      <c r="N10" s="111">
        <f>M7-N7</f>
        <v>0</v>
      </c>
    </row>
    <row r="11" spans="2:16" ht="45" customHeight="1">
      <c r="B11" s="106" t="s">
        <v>96</v>
      </c>
      <c r="C11" s="89">
        <v>506163851</v>
      </c>
      <c r="D11" s="20">
        <f>SUMIFS('16년1추 일입'!$N$7:$N$566,'16년1추 일입'!$A$7:$A$566,'15년총괄표'!$B11)</f>
        <v>0</v>
      </c>
      <c r="E11" s="20">
        <f>SUMIFS('16년1추 일입'!$O$7:$O$566,'16년1추 일입'!$A$7:$A$566,'15년총괄표'!$B11)</f>
        <v>0</v>
      </c>
      <c r="F11" s="20">
        <f>SUMIFS('16년 1추일출'!$N$8:$N$565,'16년 1추일출'!$A$8:$A$565,'15년총괄표'!$B11)</f>
        <v>0</v>
      </c>
      <c r="G11" s="20">
        <f>SUMIFS('16년 1추일출'!$O$8:$O$565,'16년 1추일출'!$A$8:$A$565,'15년총괄표'!$B11)</f>
        <v>0</v>
      </c>
      <c r="H11" s="90">
        <f t="shared" si="1"/>
        <v>506163851</v>
      </c>
      <c r="J11" s="112"/>
      <c r="K11" s="113"/>
    </row>
    <row r="12" spans="2:16" ht="45" customHeight="1">
      <c r="B12" s="106" t="s">
        <v>97</v>
      </c>
      <c r="C12" s="89">
        <v>1207474631</v>
      </c>
      <c r="D12" s="20">
        <f>SUMIFS('16년1추 일입'!$N$7:$N$566,'16년1추 일입'!$A$7:$A$566,'15년총괄표'!$B12)</f>
        <v>0</v>
      </c>
      <c r="E12" s="20">
        <f>SUMIFS('16년1추 일입'!$O$7:$O$566,'16년1추 일입'!$A$7:$A$566,'15년총괄표'!$B12)</f>
        <v>140000000</v>
      </c>
      <c r="F12" s="20">
        <f>SUMIFS('16년 1추일출'!$N$8:$N$565,'16년 1추일출'!$A$8:$A$565,'15년총괄표'!$B12)</f>
        <v>0</v>
      </c>
      <c r="G12" s="20">
        <f>SUMIFS('16년 1추일출'!$O$8:$O$565,'16년 1추일출'!$A$8:$A$565,'15년총괄표'!$B12)</f>
        <v>4200000</v>
      </c>
      <c r="H12" s="90">
        <f t="shared" si="1"/>
        <v>1211674631</v>
      </c>
      <c r="J12" s="114"/>
      <c r="L12" s="115"/>
      <c r="M12" s="115"/>
    </row>
    <row r="13" spans="2:16" ht="45" customHeight="1">
      <c r="B13" s="106" t="s">
        <v>98</v>
      </c>
      <c r="C13" s="89">
        <v>309073261</v>
      </c>
      <c r="D13" s="20">
        <f>SUMIFS('16년1추 일입'!$N$7:$N$566,'16년1추 일입'!$A$7:$A$566,'15년총괄표'!$B13)</f>
        <v>0</v>
      </c>
      <c r="E13" s="20">
        <f>SUMIFS('16년1추 일입'!$O$7:$O$566,'16년1추 일입'!$A$7:$A$566,'15년총괄표'!$B13)</f>
        <v>0</v>
      </c>
      <c r="F13" s="20">
        <f>SUMIFS('16년 1추일출'!$N$8:$N$565,'16년 1추일출'!$A$8:$A$565,'15년총괄표'!$B13)</f>
        <v>0</v>
      </c>
      <c r="G13" s="20">
        <f>SUMIFS('16년 1추일출'!$O$8:$O$565,'16년 1추일출'!$A$8:$A$565,'15년총괄표'!$B13)</f>
        <v>14000000</v>
      </c>
      <c r="H13" s="90">
        <f t="shared" si="1"/>
        <v>323073261</v>
      </c>
      <c r="K13" s="15"/>
      <c r="L13" s="16"/>
      <c r="N13" s="73" t="s">
        <v>43</v>
      </c>
    </row>
    <row r="14" spans="2:16" s="118" customFormat="1" ht="45" customHeight="1">
      <c r="B14" s="106" t="s">
        <v>99</v>
      </c>
      <c r="C14" s="116">
        <v>442431566</v>
      </c>
      <c r="D14" s="20">
        <f>SUMIFS('16년1추 일입'!$N$7:$N$566,'16년1추 일입'!$A$7:$A$566,'15년총괄표'!$B14)</f>
        <v>0</v>
      </c>
      <c r="E14" s="20">
        <f>SUMIFS('16년1추 일입'!$O$7:$O$566,'16년1추 일입'!$A$7:$A$566,'15년총괄표'!$B14)</f>
        <v>0</v>
      </c>
      <c r="F14" s="20">
        <f>SUMIFS('16년 1추일출'!$N$8:$N$565,'16년 1추일출'!$A$8:$A$565,'15년총괄표'!$B14)</f>
        <v>0</v>
      </c>
      <c r="G14" s="20">
        <f>SUMIFS('16년 1추일출'!$O$8:$O$565,'16년 1추일출'!$A$8:$A$565,'15년총괄표'!$B14)</f>
        <v>0</v>
      </c>
      <c r="H14" s="90">
        <f t="shared" si="1"/>
        <v>442431566</v>
      </c>
      <c r="I14" s="117"/>
      <c r="J14" s="117"/>
      <c r="K14" s="15"/>
      <c r="L14" s="16"/>
      <c r="M14" s="103"/>
      <c r="N14" s="104">
        <f>N10-K7</f>
        <v>0</v>
      </c>
      <c r="O14" s="117"/>
      <c r="P14" s="117"/>
    </row>
    <row r="15" spans="2:16" s="118" customFormat="1" ht="45" customHeight="1">
      <c r="B15" s="106" t="s">
        <v>68</v>
      </c>
      <c r="C15" s="116">
        <v>3621498611</v>
      </c>
      <c r="D15" s="20">
        <f>SUMIFS('16년1추 일입'!$N$7:$N$566,'16년1추 일입'!$A$7:$A$566,'15년총괄표'!$B15)</f>
        <v>0</v>
      </c>
      <c r="E15" s="20">
        <f>SUMIFS('16년1추 일입'!$O$7:$O$566,'16년1추 일입'!$A$7:$A$566,'15년총괄표'!$B15)</f>
        <v>0</v>
      </c>
      <c r="F15" s="20">
        <f>SUMIFS('16년 1추일출'!$N$8:$N$565,'16년 1추일출'!$A$8:$A$565,'15년총괄표'!$B15)</f>
        <v>0</v>
      </c>
      <c r="G15" s="20">
        <f>SUMIFS('16년 1추일출'!$O$8:$O$565,'16년 1추일출'!$A$8:$A$565,'15년총괄표'!$B15)</f>
        <v>0</v>
      </c>
      <c r="H15" s="90">
        <f t="shared" si="1"/>
        <v>3621498611</v>
      </c>
      <c r="I15" s="117"/>
      <c r="J15" s="117"/>
      <c r="K15" s="15"/>
      <c r="L15" s="16"/>
      <c r="M15" s="117"/>
      <c r="N15" s="117"/>
      <c r="O15" s="117"/>
      <c r="P15" s="117"/>
    </row>
    <row r="16" spans="2:16" s="118" customFormat="1" ht="45" customHeight="1">
      <c r="B16" s="106" t="s">
        <v>100</v>
      </c>
      <c r="C16" s="116">
        <v>1291490754</v>
      </c>
      <c r="D16" s="20">
        <f>SUMIFS('16년1추 일입'!$N$7:$N$566,'16년1추 일입'!$A$7:$A$566,'15년총괄표'!$B16)</f>
        <v>0</v>
      </c>
      <c r="E16" s="20">
        <f>SUMIFS('16년1추 일입'!$O$7:$O$566,'16년1추 일입'!$A$7:$A$566,'15년총괄표'!$B16)</f>
        <v>0</v>
      </c>
      <c r="F16" s="20">
        <f>SUMIFS('16년 1추일출'!$N$8:$N$565,'16년 1추일출'!$A$8:$A$565,'15년총괄표'!$B16)</f>
        <v>-5000000</v>
      </c>
      <c r="G16" s="20">
        <f>SUMIFS('16년 1추일출'!$O$8:$O$565,'16년 1추일출'!$A$8:$A$565,'15년총괄표'!$B16)</f>
        <v>5000000</v>
      </c>
      <c r="H16" s="90">
        <f t="shared" si="1"/>
        <v>1291490754</v>
      </c>
      <c r="I16" s="117"/>
      <c r="J16" s="117"/>
      <c r="K16" s="15"/>
      <c r="L16" s="16"/>
      <c r="M16" s="117"/>
      <c r="N16" s="117"/>
      <c r="O16" s="117"/>
      <c r="P16" s="117"/>
    </row>
    <row r="17" spans="2:16" s="122" customFormat="1" ht="45" customHeight="1">
      <c r="B17" s="119" t="s">
        <v>101</v>
      </c>
      <c r="C17" s="120">
        <v>1095793534</v>
      </c>
      <c r="D17" s="20">
        <f>SUMIFS('16년1추 일입'!$N$7:$N$566,'16년1추 일입'!$A$7:$A$566,'15년총괄표'!$B17)</f>
        <v>0</v>
      </c>
      <c r="E17" s="20">
        <f>SUMIFS('16년1추 일입'!$O$7:$O$566,'16년1추 일입'!$A$7:$A$566,'15년총괄표'!$B17)</f>
        <v>0</v>
      </c>
      <c r="F17" s="20">
        <f>SUMIFS('16년 1추일출'!$N$8:$N$565,'16년 1추일출'!$A$8:$A$565,'15년총괄표'!$B17)</f>
        <v>0</v>
      </c>
      <c r="G17" s="20">
        <f>SUMIFS('16년 1추일출'!$O$8:$O$565,'16년 1추일출'!$A$8:$A$565,'15년총괄표'!$B17)</f>
        <v>0</v>
      </c>
      <c r="H17" s="90">
        <f t="shared" si="1"/>
        <v>1095793534</v>
      </c>
      <c r="I17" s="121"/>
      <c r="J17" s="121"/>
      <c r="K17" s="15"/>
      <c r="L17" s="16"/>
      <c r="M17" s="121"/>
      <c r="N17" s="121"/>
      <c r="O17" s="121"/>
      <c r="P17" s="121"/>
    </row>
    <row r="18" spans="2:16" s="118" customFormat="1" ht="45" customHeight="1" thickBot="1">
      <c r="B18" s="123" t="s">
        <v>524</v>
      </c>
      <c r="C18" s="124">
        <v>4094826977</v>
      </c>
      <c r="D18" s="21">
        <f>SUMIFS('16년1추 일입'!$N$7:$N$566,'16년1추 일입'!$A$7:$A$566,'15년총괄표'!$B18)</f>
        <v>0</v>
      </c>
      <c r="E18" s="21">
        <f>SUMIFS('16년1추 일입'!$O$7:$O$566,'16년1추 일입'!$A$7:$A$566,'15년총괄표'!$B18)</f>
        <v>0</v>
      </c>
      <c r="F18" s="21">
        <f>SUMIFS('16년 1추일출'!$N$8:$N$565,'16년 1추일출'!$A$8:$A$565,'15년총괄표'!$B18)</f>
        <v>-1078970</v>
      </c>
      <c r="G18" s="21">
        <f>SUMIFS('16년 1추일출'!$O$8:$O$565,'16년 1추일출'!$A$8:$A$565,'15년총괄표'!$B18)</f>
        <v>82000000</v>
      </c>
      <c r="H18" s="125">
        <f t="shared" si="1"/>
        <v>4175748007</v>
      </c>
      <c r="I18" s="117"/>
      <c r="J18" s="117"/>
      <c r="K18" s="15"/>
      <c r="L18" s="16"/>
      <c r="M18" s="117"/>
      <c r="N18" s="117"/>
      <c r="O18" s="117"/>
      <c r="P18" s="117"/>
    </row>
    <row r="19" spans="2:16" ht="18" customHeight="1">
      <c r="B19" s="79"/>
      <c r="C19" s="79"/>
      <c r="D19" s="79"/>
      <c r="E19" s="79"/>
      <c r="F19" s="79"/>
      <c r="G19" s="79"/>
      <c r="H19" s="79"/>
      <c r="K19" s="15"/>
      <c r="L19" s="16"/>
    </row>
    <row r="20" spans="2:16" ht="20.25">
      <c r="B20" s="126" t="s">
        <v>44</v>
      </c>
      <c r="C20" s="76"/>
      <c r="D20" s="76"/>
      <c r="E20" s="76"/>
      <c r="F20" s="76"/>
      <c r="G20" s="76"/>
      <c r="H20" s="127"/>
      <c r="K20" s="15"/>
      <c r="L20" s="16"/>
    </row>
    <row r="21" spans="2:16" ht="19.5" thickBot="1">
      <c r="B21" s="78"/>
      <c r="C21" s="79"/>
      <c r="D21" s="79"/>
      <c r="E21" s="79"/>
      <c r="F21" s="79"/>
      <c r="G21" s="79"/>
      <c r="H21" s="80" t="s">
        <v>14</v>
      </c>
    </row>
    <row r="22" spans="2:16" ht="33" customHeight="1">
      <c r="B22" s="367" t="s">
        <v>45</v>
      </c>
      <c r="C22" s="369" t="s">
        <v>46</v>
      </c>
      <c r="D22" s="371" t="s">
        <v>26</v>
      </c>
      <c r="E22" s="372"/>
      <c r="F22" s="371" t="s">
        <v>27</v>
      </c>
      <c r="G22" s="372"/>
      <c r="H22" s="373" t="s">
        <v>28</v>
      </c>
    </row>
    <row r="23" spans="2:16" ht="33" customHeight="1">
      <c r="B23" s="368"/>
      <c r="C23" s="370"/>
      <c r="D23" s="83" t="s">
        <v>34</v>
      </c>
      <c r="E23" s="83" t="s">
        <v>35</v>
      </c>
      <c r="F23" s="83" t="s">
        <v>34</v>
      </c>
      <c r="G23" s="83" t="s">
        <v>35</v>
      </c>
      <c r="H23" s="374"/>
      <c r="I23" s="73" t="s">
        <v>47</v>
      </c>
    </row>
    <row r="24" spans="2:16" ht="45" customHeight="1">
      <c r="B24" s="88" t="s">
        <v>48</v>
      </c>
      <c r="C24" s="89">
        <f t="shared" ref="C24:G24" si="2">SUM(C25:C26)</f>
        <v>17818538715</v>
      </c>
      <c r="D24" s="20">
        <f t="shared" si="2"/>
        <v>0</v>
      </c>
      <c r="E24" s="89">
        <f t="shared" si="2"/>
        <v>140000000</v>
      </c>
      <c r="F24" s="20">
        <f t="shared" si="2"/>
        <v>-19000000</v>
      </c>
      <c r="G24" s="89">
        <f t="shared" si="2"/>
        <v>159000000</v>
      </c>
      <c r="H24" s="90">
        <f>SUM(H25:H26)</f>
        <v>17958538715</v>
      </c>
      <c r="I24" s="81">
        <f>C24+D24+E24</f>
        <v>17958538715</v>
      </c>
      <c r="J24" s="81">
        <f>I24-H24</f>
        <v>0</v>
      </c>
      <c r="K24" s="81" t="s">
        <v>49</v>
      </c>
    </row>
    <row r="25" spans="2:16" ht="45" customHeight="1">
      <c r="B25" s="88" t="s">
        <v>15</v>
      </c>
      <c r="C25" s="89">
        <v>14504760931</v>
      </c>
      <c r="D25" s="20">
        <f>'16년1추 일입'!$N$6</f>
        <v>0</v>
      </c>
      <c r="E25" s="20">
        <f>'16년1추 일입'!$O$6</f>
        <v>140000000</v>
      </c>
      <c r="F25" s="20">
        <f>'16년 1추일출'!$N$6</f>
        <v>-19000000</v>
      </c>
      <c r="G25" s="20">
        <f>'16년 1추일출'!$O$6</f>
        <v>159000000</v>
      </c>
      <c r="H25" s="90">
        <f>C25+F25+G25</f>
        <v>14644760931</v>
      </c>
      <c r="I25" s="81">
        <f>C25+D25+E25</f>
        <v>14644760931</v>
      </c>
      <c r="J25" s="81">
        <f>I25-H25</f>
        <v>0</v>
      </c>
      <c r="K25" s="81" t="s">
        <v>49</v>
      </c>
    </row>
    <row r="26" spans="2:16" ht="45" customHeight="1" thickBot="1">
      <c r="B26" s="128" t="s">
        <v>50</v>
      </c>
      <c r="C26" s="129">
        <v>3313777784</v>
      </c>
      <c r="D26" s="21"/>
      <c r="E26" s="21"/>
      <c r="F26" s="21"/>
      <c r="G26" s="21"/>
      <c r="H26" s="125">
        <f>C26+F26+G26</f>
        <v>3313777784</v>
      </c>
      <c r="I26" s="81">
        <f>C26+D26+E26</f>
        <v>3313777784</v>
      </c>
      <c r="J26" s="81">
        <f>I26-H26</f>
        <v>0</v>
      </c>
      <c r="K26" s="81" t="s">
        <v>49</v>
      </c>
    </row>
    <row r="27" spans="2:16" ht="9" customHeight="1">
      <c r="B27" s="79"/>
      <c r="C27" s="79"/>
      <c r="D27" s="79"/>
      <c r="E27" s="79"/>
      <c r="F27" s="79"/>
      <c r="G27" s="79"/>
      <c r="H27" s="79"/>
    </row>
    <row r="28" spans="2:16" ht="20.25" hidden="1" customHeight="1"/>
    <row r="29" spans="2:16" ht="20.25" hidden="1" customHeight="1"/>
    <row r="30" spans="2:16" ht="14.25" hidden="1">
      <c r="B30" s="130" t="s">
        <v>16</v>
      </c>
      <c r="C30" s="131" t="s">
        <v>51</v>
      </c>
      <c r="D30" s="132" t="s">
        <v>52</v>
      </c>
      <c r="E30" s="131" t="s">
        <v>53</v>
      </c>
      <c r="G30" s="73"/>
      <c r="H30" s="73"/>
      <c r="O30" s="56"/>
      <c r="P30" s="56"/>
    </row>
    <row r="31" spans="2:16" ht="15" hidden="1">
      <c r="B31" s="133" t="s">
        <v>17</v>
      </c>
      <c r="C31" s="134">
        <v>39922113</v>
      </c>
      <c r="D31" s="135"/>
      <c r="E31" s="135">
        <f>SUM(C31:D31)</f>
        <v>39922113</v>
      </c>
      <c r="G31" s="73"/>
      <c r="H31" s="73"/>
      <c r="O31" s="56"/>
      <c r="P31" s="56"/>
    </row>
    <row r="32" spans="2:16" ht="15" hidden="1">
      <c r="B32" s="133" t="s">
        <v>18</v>
      </c>
      <c r="C32" s="134">
        <v>3302571667</v>
      </c>
      <c r="D32" s="134">
        <v>1780946434</v>
      </c>
      <c r="E32" s="135">
        <f t="shared" ref="E32:E41" si="3">SUM(C32:D32)</f>
        <v>5083518101</v>
      </c>
      <c r="G32" s="73"/>
      <c r="H32" s="73"/>
      <c r="O32" s="56"/>
      <c r="P32" s="56"/>
    </row>
    <row r="33" spans="2:16" ht="15" hidden="1">
      <c r="B33" s="133" t="s">
        <v>9</v>
      </c>
      <c r="C33" s="134">
        <v>155329320</v>
      </c>
      <c r="D33" s="134">
        <v>384743740</v>
      </c>
      <c r="E33" s="135">
        <f t="shared" si="3"/>
        <v>540073060</v>
      </c>
      <c r="G33" s="73"/>
      <c r="H33" s="73"/>
      <c r="O33" s="56"/>
      <c r="P33" s="56"/>
    </row>
    <row r="34" spans="2:16" ht="15" hidden="1">
      <c r="B34" s="136" t="s">
        <v>60</v>
      </c>
      <c r="C34" s="134">
        <v>1142858974</v>
      </c>
      <c r="D34" s="135"/>
      <c r="E34" s="135">
        <f t="shared" si="3"/>
        <v>1142858974</v>
      </c>
      <c r="G34" s="73"/>
      <c r="H34" s="73"/>
      <c r="O34" s="56"/>
      <c r="P34" s="56"/>
    </row>
    <row r="35" spans="2:16" ht="15" hidden="1">
      <c r="B35" s="133" t="s">
        <v>13</v>
      </c>
      <c r="C35" s="134">
        <v>224243208</v>
      </c>
      <c r="D35" s="134">
        <v>52484400</v>
      </c>
      <c r="E35" s="135">
        <f t="shared" si="3"/>
        <v>276727608</v>
      </c>
      <c r="G35" s="73"/>
      <c r="H35" s="73"/>
      <c r="O35" s="56"/>
      <c r="P35" s="56"/>
    </row>
    <row r="36" spans="2:16" ht="15" hidden="1">
      <c r="B36" s="136" t="s">
        <v>92</v>
      </c>
      <c r="C36" s="134">
        <v>466978999</v>
      </c>
      <c r="D36" s="135"/>
      <c r="E36" s="135">
        <f t="shared" si="3"/>
        <v>466978999</v>
      </c>
      <c r="G36" s="73"/>
      <c r="H36" s="73"/>
      <c r="O36" s="56"/>
      <c r="P36" s="56"/>
    </row>
    <row r="37" spans="2:16" ht="15" hidden="1">
      <c r="B37" s="136" t="s">
        <v>93</v>
      </c>
      <c r="C37" s="134">
        <v>3254006708</v>
      </c>
      <c r="D37" s="135"/>
      <c r="E37" s="135">
        <f t="shared" si="3"/>
        <v>3254006708</v>
      </c>
      <c r="G37" s="73"/>
      <c r="H37" s="73"/>
      <c r="O37" s="56"/>
      <c r="P37" s="56"/>
    </row>
    <row r="38" spans="2:16" ht="15" hidden="1">
      <c r="B38" s="133" t="s">
        <v>10</v>
      </c>
      <c r="C38" s="134">
        <v>1220859831</v>
      </c>
      <c r="D38" s="135"/>
      <c r="E38" s="135">
        <f t="shared" si="3"/>
        <v>1220859831</v>
      </c>
      <c r="G38" s="73"/>
      <c r="H38" s="73"/>
      <c r="O38" s="56"/>
      <c r="P38" s="56"/>
    </row>
    <row r="39" spans="2:16" ht="15" hidden="1">
      <c r="B39" s="133" t="s">
        <v>11</v>
      </c>
      <c r="C39" s="134">
        <v>866963933</v>
      </c>
      <c r="D39" s="134">
        <v>28360000</v>
      </c>
      <c r="E39" s="135">
        <f t="shared" si="3"/>
        <v>895323933</v>
      </c>
      <c r="G39" s="73"/>
      <c r="H39" s="73"/>
      <c r="O39" s="56"/>
      <c r="P39" s="56"/>
    </row>
    <row r="40" spans="2:16" ht="15" hidden="1">
      <c r="B40" s="133" t="s">
        <v>12</v>
      </c>
      <c r="C40" s="134">
        <v>4882582917</v>
      </c>
      <c r="D40" s="135"/>
      <c r="E40" s="135">
        <f t="shared" si="3"/>
        <v>4882582917</v>
      </c>
      <c r="G40" s="73"/>
      <c r="H40" s="73"/>
      <c r="O40" s="56"/>
      <c r="P40" s="56"/>
    </row>
    <row r="41" spans="2:16" ht="15" hidden="1">
      <c r="B41" s="133" t="s">
        <v>19</v>
      </c>
      <c r="C41" s="135">
        <f>SUM(C31:C40)</f>
        <v>15556317670</v>
      </c>
      <c r="D41" s="135">
        <f>SUM(D31:D40)</f>
        <v>2246534574</v>
      </c>
      <c r="E41" s="135">
        <f t="shared" si="3"/>
        <v>17802852244</v>
      </c>
      <c r="G41" s="73"/>
      <c r="H41" s="73"/>
      <c r="O41" s="56"/>
      <c r="P41" s="56"/>
    </row>
    <row r="42" spans="2:16" hidden="1"/>
    <row r="43" spans="2:16" hidden="1">
      <c r="B43" s="17" t="s">
        <v>54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79" customFormat="1">
      <c r="B54" s="353" t="s">
        <v>16</v>
      </c>
      <c r="C54" s="355" t="s">
        <v>549</v>
      </c>
      <c r="D54" s="353" t="s">
        <v>547</v>
      </c>
      <c r="E54" s="353" t="s">
        <v>548</v>
      </c>
      <c r="F54" s="355" t="s">
        <v>53</v>
      </c>
      <c r="I54" s="81"/>
      <c r="J54" s="81"/>
      <c r="K54" s="81"/>
      <c r="L54" s="81"/>
      <c r="M54" s="81"/>
      <c r="N54" s="81"/>
      <c r="O54" s="81"/>
      <c r="P54" s="81"/>
    </row>
    <row r="55" spans="2:16" s="79" customFormat="1">
      <c r="B55" s="354"/>
      <c r="C55" s="356"/>
      <c r="D55" s="354"/>
      <c r="E55" s="354"/>
      <c r="F55" s="356"/>
      <c r="I55" s="81"/>
      <c r="J55" s="81"/>
      <c r="K55" s="81"/>
      <c r="L55" s="81"/>
      <c r="M55" s="81"/>
      <c r="N55" s="81"/>
      <c r="O55" s="81"/>
      <c r="P55" s="81"/>
    </row>
    <row r="56" spans="2:16">
      <c r="B56" s="163" t="s">
        <v>19</v>
      </c>
      <c r="C56" s="164">
        <f>SUM(C57:C66)</f>
        <v>14504760931</v>
      </c>
      <c r="D56" s="164">
        <f>SUM(D57:D66)</f>
        <v>1174065395</v>
      </c>
      <c r="E56" s="164">
        <f>SUM(E57:E66)</f>
        <v>2139712389</v>
      </c>
      <c r="F56" s="164">
        <f>SUM(C56:E56)</f>
        <v>17818538715</v>
      </c>
    </row>
    <row r="57" spans="2:16">
      <c r="B57" s="165" t="s">
        <v>17</v>
      </c>
      <c r="C57" s="166">
        <v>43594098</v>
      </c>
      <c r="D57" s="166"/>
      <c r="E57" s="166"/>
      <c r="F57" s="164">
        <f t="shared" ref="F57:F66" si="4">SUM(C57:E57)</f>
        <v>43594098</v>
      </c>
    </row>
    <row r="58" spans="2:16">
      <c r="B58" s="165" t="s">
        <v>18</v>
      </c>
      <c r="C58" s="166">
        <v>3440363748</v>
      </c>
      <c r="D58" s="166">
        <v>24291000</v>
      </c>
      <c r="E58" s="166">
        <v>1741536684</v>
      </c>
      <c r="F58" s="164">
        <f t="shared" si="4"/>
        <v>5206191432</v>
      </c>
    </row>
    <row r="59" spans="2:16">
      <c r="B59" s="165" t="s">
        <v>9</v>
      </c>
      <c r="C59" s="166">
        <v>203612581</v>
      </c>
      <c r="D59" s="166"/>
      <c r="E59" s="166">
        <v>302551270</v>
      </c>
      <c r="F59" s="164">
        <f t="shared" si="4"/>
        <v>506163851</v>
      </c>
    </row>
    <row r="60" spans="2:16">
      <c r="B60" s="165" t="s">
        <v>551</v>
      </c>
      <c r="C60" s="166">
        <v>1207474631</v>
      </c>
      <c r="D60" s="166"/>
      <c r="E60" s="166"/>
      <c r="F60" s="164">
        <f t="shared" si="4"/>
        <v>1207474631</v>
      </c>
    </row>
    <row r="61" spans="2:16">
      <c r="B61" s="165" t="s">
        <v>13</v>
      </c>
      <c r="C61" s="166">
        <v>246448826</v>
      </c>
      <c r="D61" s="166"/>
      <c r="E61" s="166">
        <v>62624435</v>
      </c>
      <c r="F61" s="164">
        <f t="shared" si="4"/>
        <v>309073261</v>
      </c>
    </row>
    <row r="62" spans="2:16">
      <c r="B62" s="165" t="s">
        <v>63</v>
      </c>
      <c r="C62" s="166">
        <v>442431566</v>
      </c>
      <c r="D62" s="166"/>
      <c r="E62" s="166"/>
      <c r="F62" s="164">
        <f t="shared" si="4"/>
        <v>442431566</v>
      </c>
    </row>
    <row r="63" spans="2:16">
      <c r="B63" s="165" t="s">
        <v>395</v>
      </c>
      <c r="C63" s="166">
        <v>2784804193</v>
      </c>
      <c r="D63" s="166">
        <v>836694418</v>
      </c>
      <c r="E63" s="166"/>
      <c r="F63" s="164">
        <f t="shared" si="4"/>
        <v>3621498611</v>
      </c>
    </row>
    <row r="64" spans="2:16">
      <c r="B64" s="165" t="s">
        <v>10</v>
      </c>
      <c r="C64" s="166">
        <v>1163747689</v>
      </c>
      <c r="D64" s="166">
        <f>125570000+2173065</f>
        <v>127743065</v>
      </c>
      <c r="E64" s="166"/>
      <c r="F64" s="164">
        <f t="shared" si="4"/>
        <v>1291490754</v>
      </c>
    </row>
    <row r="65" spans="2:6">
      <c r="B65" s="165" t="s">
        <v>11</v>
      </c>
      <c r="C65" s="166">
        <v>1043870622</v>
      </c>
      <c r="D65" s="167">
        <f>4191000+14731912</f>
        <v>18922912</v>
      </c>
      <c r="E65" s="167">
        <v>33000000</v>
      </c>
      <c r="F65" s="164">
        <f t="shared" si="4"/>
        <v>1095793534</v>
      </c>
    </row>
    <row r="66" spans="2:6">
      <c r="B66" s="168" t="s">
        <v>416</v>
      </c>
      <c r="C66" s="166">
        <v>3928412977</v>
      </c>
      <c r="D66" s="166">
        <v>166414000</v>
      </c>
      <c r="E66" s="166"/>
      <c r="F66" s="164">
        <f t="shared" si="4"/>
        <v>4094826977</v>
      </c>
    </row>
    <row r="145" spans="9:9" ht="24">
      <c r="I145" s="113" t="s">
        <v>55</v>
      </c>
    </row>
    <row r="275" spans="9:11">
      <c r="I275" s="137"/>
      <c r="K275" s="73">
        <v>-50000</v>
      </c>
    </row>
  </sheetData>
  <mergeCells count="2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54:B55"/>
    <mergeCell ref="C54:C55"/>
    <mergeCell ref="D54:D55"/>
    <mergeCell ref="E54:E55"/>
    <mergeCell ref="F54:F5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S21" sqref="S2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3" hidden="1" customWidth="1"/>
    <col min="10" max="10" width="16" style="73" hidden="1" customWidth="1"/>
    <col min="11" max="11" width="14.625" style="73" hidden="1" customWidth="1"/>
    <col min="12" max="12" width="21.75" style="73" hidden="1" customWidth="1"/>
    <col min="13" max="14" width="14.75" style="73" hidden="1" customWidth="1"/>
    <col min="15" max="15" width="12.25" style="73" hidden="1" customWidth="1"/>
    <col min="16" max="16" width="13.375" style="73" hidden="1" customWidth="1"/>
    <col min="17" max="16384" width="9" style="56"/>
  </cols>
  <sheetData>
    <row r="1" spans="2:16" ht="33" customHeight="1">
      <c r="B1" s="377" t="s">
        <v>533</v>
      </c>
      <c r="C1" s="378"/>
      <c r="D1" s="378"/>
      <c r="E1" s="378"/>
      <c r="F1" s="378"/>
      <c r="G1" s="378"/>
      <c r="H1" s="378"/>
    </row>
    <row r="2" spans="2:16" ht="12.75" customHeight="1">
      <c r="B2" s="74"/>
      <c r="C2" s="75"/>
      <c r="D2" s="75"/>
      <c r="E2" s="75"/>
      <c r="F2" s="75"/>
      <c r="G2" s="75"/>
      <c r="H2" s="75"/>
    </row>
    <row r="3" spans="2:16" ht="23.25" customHeight="1">
      <c r="B3" s="76" t="s">
        <v>119</v>
      </c>
      <c r="C3" s="77"/>
      <c r="D3" s="138"/>
      <c r="E3" s="53">
        <f>SUM(D7:E7)</f>
        <v>140000000</v>
      </c>
      <c r="F3" s="53"/>
      <c r="G3" s="53">
        <f>SUM(F7:G7)</f>
        <v>140000000</v>
      </c>
    </row>
    <row r="4" spans="2:16" s="79" customFormat="1" ht="18" customHeight="1" thickBot="1">
      <c r="B4" s="78"/>
      <c r="H4" s="80" t="s">
        <v>21</v>
      </c>
      <c r="I4" s="81"/>
      <c r="J4" s="81"/>
      <c r="K4" s="81"/>
      <c r="L4" s="81"/>
      <c r="M4" s="82" t="s">
        <v>22</v>
      </c>
      <c r="N4" s="81"/>
      <c r="O4" s="82" t="s">
        <v>23</v>
      </c>
      <c r="P4" s="82"/>
    </row>
    <row r="5" spans="2:16" ht="24" customHeight="1">
      <c r="B5" s="379" t="s">
        <v>24</v>
      </c>
      <c r="C5" s="381" t="s">
        <v>25</v>
      </c>
      <c r="D5" s="383" t="s">
        <v>26</v>
      </c>
      <c r="E5" s="383"/>
      <c r="F5" s="383" t="s">
        <v>27</v>
      </c>
      <c r="G5" s="383"/>
      <c r="H5" s="384" t="s">
        <v>28</v>
      </c>
      <c r="I5" s="361" t="s">
        <v>29</v>
      </c>
      <c r="J5" s="361"/>
      <c r="K5" s="357" t="s">
        <v>30</v>
      </c>
      <c r="L5" s="359" t="s">
        <v>31</v>
      </c>
      <c r="M5" s="361" t="s">
        <v>32</v>
      </c>
      <c r="N5" s="362"/>
      <c r="O5" s="363" t="s">
        <v>33</v>
      </c>
      <c r="P5" s="364"/>
    </row>
    <row r="6" spans="2:16" ht="24" customHeight="1">
      <c r="B6" s="380"/>
      <c r="C6" s="382"/>
      <c r="D6" s="83" t="s">
        <v>34</v>
      </c>
      <c r="E6" s="83" t="s">
        <v>35</v>
      </c>
      <c r="F6" s="83" t="s">
        <v>34</v>
      </c>
      <c r="G6" s="83" t="s">
        <v>35</v>
      </c>
      <c r="H6" s="385"/>
      <c r="I6" s="84" t="s">
        <v>36</v>
      </c>
      <c r="J6" s="85" t="s">
        <v>37</v>
      </c>
      <c r="K6" s="358"/>
      <c r="L6" s="360"/>
      <c r="M6" s="86" t="s">
        <v>36</v>
      </c>
      <c r="N6" s="87" t="s">
        <v>37</v>
      </c>
      <c r="O6" s="365"/>
      <c r="P6" s="366"/>
    </row>
    <row r="7" spans="2:16" ht="30.75" customHeight="1" thickBot="1">
      <c r="B7" s="88" t="s">
        <v>38</v>
      </c>
      <c r="C7" s="89">
        <f t="shared" ref="C7:H7" si="0">SUM(C8:C33)</f>
        <v>17818538715</v>
      </c>
      <c r="D7" s="20">
        <f t="shared" si="0"/>
        <v>0</v>
      </c>
      <c r="E7" s="20">
        <f t="shared" si="0"/>
        <v>140000000</v>
      </c>
      <c r="F7" s="20">
        <f t="shared" si="0"/>
        <v>-19000000</v>
      </c>
      <c r="G7" s="20">
        <f t="shared" si="0"/>
        <v>159000000</v>
      </c>
      <c r="H7" s="90">
        <f t="shared" si="0"/>
        <v>17958538715</v>
      </c>
      <c r="I7" s="91" t="e">
        <f>#REF!+#REF!</f>
        <v>#REF!</v>
      </c>
      <c r="J7" s="92" t="e">
        <f>#REF!+#REF!</f>
        <v>#REF!</v>
      </c>
      <c r="K7" s="93" t="e">
        <f>I7-J7</f>
        <v>#REF!</v>
      </c>
      <c r="L7" s="94" t="s">
        <v>39</v>
      </c>
      <c r="M7" s="95" t="e">
        <f>#REF!+#REF!</f>
        <v>#REF!</v>
      </c>
      <c r="N7" s="96" t="e">
        <f>#REF!+#REF!</f>
        <v>#REF!</v>
      </c>
      <c r="O7" s="97">
        <v>0</v>
      </c>
      <c r="P7" s="97">
        <v>0</v>
      </c>
    </row>
    <row r="8" spans="2:16" ht="30.75" customHeight="1">
      <c r="B8" s="106" t="s">
        <v>110</v>
      </c>
      <c r="C8" s="107">
        <v>1230140</v>
      </c>
      <c r="D8" s="20">
        <f>SUMIFS('16년1추 일입'!$N$7:$N$566,'16년1추 일입'!$B$7:$B$566,'15년총괄표(실국별)'!$B8)</f>
        <v>0</v>
      </c>
      <c r="E8" s="20">
        <f>SUMIFS('16년1추 일입'!$O$7:$O$566,'16년1추 일입'!$B$7:$B$566,'15년총괄표(실국별)'!$B8)</f>
        <v>0</v>
      </c>
      <c r="F8" s="20">
        <f>SUMIFS('16년 1추일출'!$N$8:$N$565,'16년 1추일출'!$B$8:$B$565,'15년총괄표(실국별)'!$B8)</f>
        <v>0</v>
      </c>
      <c r="G8" s="20">
        <f>SUMIFS('16년 1추일출'!$O$8:$O$565,'16년 1추일출'!$B$8:$B$565,'15년총괄표(실국별)'!$B8)</f>
        <v>0</v>
      </c>
      <c r="H8" s="90">
        <f>C8+F8+G8</f>
        <v>1230140</v>
      </c>
      <c r="I8" s="375" t="s">
        <v>41</v>
      </c>
      <c r="J8" s="376"/>
      <c r="K8" s="81"/>
      <c r="N8" s="108" t="s">
        <v>42</v>
      </c>
    </row>
    <row r="9" spans="2:16" ht="30.75" customHeight="1" thickBot="1">
      <c r="B9" s="106" t="s">
        <v>102</v>
      </c>
      <c r="C9" s="89">
        <v>4995050831</v>
      </c>
      <c r="D9" s="20">
        <f>SUMIFS('16년1추 일입'!$N$7:$N$566,'16년1추 일입'!$B$7:$B$566,'15년총괄표(실국별)'!$B9)</f>
        <v>0</v>
      </c>
      <c r="E9" s="20">
        <f>SUMIFS('16년1추 일입'!$O$7:$O$566,'16년1추 일입'!$B$7:$B$566,'15년총괄표(실국별)'!$B9)</f>
        <v>0</v>
      </c>
      <c r="F9" s="20">
        <f>SUMIFS('16년 1추일출'!$N$8:$N$565,'16년 1추일출'!$B$8:$B$565,'15년총괄표(실국별)'!$B9)</f>
        <v>-2921030</v>
      </c>
      <c r="G9" s="20">
        <f>SUMIFS('16년 1추일출'!$O$8:$O$565,'16년 1추일출'!$B$8:$B$565,'15년총괄표(실국별)'!$B9)</f>
        <v>53800000</v>
      </c>
      <c r="H9" s="90">
        <f t="shared" ref="H9:H33" si="1">C9+F9+G9</f>
        <v>5045929801</v>
      </c>
      <c r="I9" s="109" t="e">
        <f>#REF!+#REF!</f>
        <v>#REF!</v>
      </c>
      <c r="J9" s="110" t="e">
        <f>#REF!+#REF!</f>
        <v>#REF!</v>
      </c>
      <c r="K9" s="81"/>
      <c r="N9" s="111" t="e">
        <f>#REF!-#REF!</f>
        <v>#REF!</v>
      </c>
    </row>
    <row r="10" spans="2:16" ht="30.75" customHeight="1" thickBot="1">
      <c r="B10" s="106" t="s">
        <v>103</v>
      </c>
      <c r="C10" s="89">
        <v>350475445</v>
      </c>
      <c r="D10" s="20">
        <f>SUMIFS('16년1추 일입'!$N$7:$N$566,'16년1추 일입'!$B$7:$B$566,'15년총괄표(실국별)'!$B10)</f>
        <v>0</v>
      </c>
      <c r="E10" s="20">
        <f>SUMIFS('16년1추 일입'!$O$7:$O$566,'16년1추 일입'!$B$7:$B$566,'15년총괄표(실국별)'!$B10)</f>
        <v>0</v>
      </c>
      <c r="F10" s="20">
        <f>SUMIFS('16년 1추일출'!$N$8:$N$565,'16년 1추일출'!$B$8:$B$565,'15년총괄표(실국별)'!$B10)</f>
        <v>0</v>
      </c>
      <c r="G10" s="20">
        <f>SUMIFS('16년 1추일출'!$O$8:$O$565,'16년 1추일출'!$B$8:$B$565,'15년총괄표(실국별)'!$B10)</f>
        <v>0</v>
      </c>
      <c r="H10" s="90">
        <f t="shared" si="1"/>
        <v>350475445</v>
      </c>
      <c r="I10" s="109" t="e">
        <f>#REF!+#REF!</f>
        <v>#REF!</v>
      </c>
      <c r="J10" s="110" t="e">
        <f>#REF!+#REF!</f>
        <v>#REF!</v>
      </c>
      <c r="K10" s="81"/>
      <c r="N10" s="111" t="e">
        <f>#REF!-#REF!</f>
        <v>#REF!</v>
      </c>
    </row>
    <row r="11" spans="2:16" ht="30.75" customHeight="1">
      <c r="B11" s="106" t="s">
        <v>104</v>
      </c>
      <c r="C11" s="89">
        <v>489102362</v>
      </c>
      <c r="D11" s="20">
        <f>SUMIFS('16년1추 일입'!$N$7:$N$566,'16년1추 일입'!$B$7:$B$566,'15년총괄표(실국별)'!$B11)</f>
        <v>0</v>
      </c>
      <c r="E11" s="20">
        <f>SUMIFS('16년1추 일입'!$O$7:$O$566,'16년1추 일입'!$B$7:$B$566,'15년총괄표(실국별)'!$B11)</f>
        <v>140000000</v>
      </c>
      <c r="F11" s="20">
        <f>SUMIFS('16년 1추일출'!$N$8:$N$565,'16년 1추일출'!$B$8:$B$565,'15년총괄표(실국별)'!$B11)</f>
        <v>0</v>
      </c>
      <c r="G11" s="20">
        <f>SUMIFS('16년 1추일출'!$O$8:$O$565,'16년 1추일출'!$B$8:$B$565,'15년총괄표(실국별)'!$B11)</f>
        <v>4200000</v>
      </c>
      <c r="H11" s="90">
        <f t="shared" si="1"/>
        <v>493302362</v>
      </c>
      <c r="J11" s="112"/>
      <c r="K11" s="113"/>
    </row>
    <row r="12" spans="2:16" ht="30.75" customHeight="1">
      <c r="B12" s="106" t="s">
        <v>170</v>
      </c>
      <c r="C12" s="89">
        <v>2124399774</v>
      </c>
      <c r="D12" s="20">
        <f>SUMIFS('16년1추 일입'!$N$7:$N$566,'16년1추 일입'!$B$7:$B$566,'15년총괄표(실국별)'!$B12)</f>
        <v>0</v>
      </c>
      <c r="E12" s="20">
        <f>SUMIFS('16년1추 일입'!$O$7:$O$566,'16년1추 일입'!$B$7:$B$566,'15년총괄표(실국별)'!$B12)</f>
        <v>0</v>
      </c>
      <c r="F12" s="20">
        <f>SUMIFS('16년 1추일출'!$N$8:$N$565,'16년 1추일출'!$B$8:$B$565,'15년총괄표(실국별)'!$B12)</f>
        <v>-1078970</v>
      </c>
      <c r="G12" s="20">
        <f>SUMIFS('16년 1추일출'!$O$8:$O$565,'16년 1추일출'!$B$8:$B$565,'15년총괄표(실국별)'!$B12)</f>
        <v>82000000</v>
      </c>
      <c r="H12" s="90">
        <f t="shared" si="1"/>
        <v>2205320804</v>
      </c>
      <c r="J12" s="114"/>
      <c r="L12" s="115"/>
      <c r="M12" s="115"/>
    </row>
    <row r="13" spans="2:16" ht="30.75" customHeight="1">
      <c r="B13" s="106" t="s">
        <v>105</v>
      </c>
      <c r="C13" s="89">
        <v>309073261</v>
      </c>
      <c r="D13" s="20">
        <f>SUMIFS('16년1추 일입'!$N$7:$N$566,'16년1추 일입'!$B$7:$B$566,'15년총괄표(실국별)'!$B13)</f>
        <v>0</v>
      </c>
      <c r="E13" s="20">
        <f>SUMIFS('16년1추 일입'!$O$7:$O$566,'16년1추 일입'!$B$7:$B$566,'15년총괄표(실국별)'!$B13)</f>
        <v>0</v>
      </c>
      <c r="F13" s="20">
        <f>SUMIFS('16년 1추일출'!$N$8:$N$565,'16년 1추일출'!$B$8:$B$565,'15년총괄표(실국별)'!$B13)</f>
        <v>0</v>
      </c>
      <c r="G13" s="20">
        <f>SUMIFS('16년 1추일출'!$O$8:$O$565,'16년 1추일출'!$B$8:$B$565,'15년총괄표(실국별)'!$B13)</f>
        <v>14000000</v>
      </c>
      <c r="H13" s="90">
        <f t="shared" si="1"/>
        <v>323073261</v>
      </c>
      <c r="K13" s="15"/>
      <c r="L13" s="16"/>
      <c r="N13" s="73" t="s">
        <v>43</v>
      </c>
    </row>
    <row r="14" spans="2:16" s="118" customFormat="1" ht="30.75" customHeight="1">
      <c r="B14" s="106" t="s">
        <v>64</v>
      </c>
      <c r="C14" s="116">
        <v>255604029</v>
      </c>
      <c r="D14" s="20">
        <f>SUMIFS('16년1추 일입'!$N$7:$N$566,'16년1추 일입'!$B$7:$B$566,'15년총괄표(실국별)'!$B14)</f>
        <v>0</v>
      </c>
      <c r="E14" s="20">
        <f>SUMIFS('16년1추 일입'!$O$7:$O$566,'16년1추 일입'!$B$7:$B$566,'15년총괄표(실국별)'!$B14)</f>
        <v>0</v>
      </c>
      <c r="F14" s="20">
        <f>SUMIFS('16년 1추일출'!$N$8:$N$565,'16년 1추일출'!$B$8:$B$565,'15년총괄표(실국별)'!$B14)</f>
        <v>0</v>
      </c>
      <c r="G14" s="20">
        <f>SUMIFS('16년 1추일출'!$O$8:$O$565,'16년 1추일출'!$B$8:$B$565,'15년총괄표(실국별)'!$B14)</f>
        <v>0</v>
      </c>
      <c r="H14" s="90">
        <f t="shared" si="1"/>
        <v>255604029</v>
      </c>
      <c r="I14" s="117"/>
      <c r="J14" s="117"/>
      <c r="K14" s="15"/>
      <c r="L14" s="16"/>
      <c r="M14" s="103"/>
      <c r="N14" s="104" t="e">
        <f>N10-#REF!</f>
        <v>#REF!</v>
      </c>
      <c r="O14" s="117"/>
      <c r="P14" s="117"/>
    </row>
    <row r="15" spans="2:16" s="118" customFormat="1" ht="30.75" customHeight="1">
      <c r="B15" s="106" t="s">
        <v>199</v>
      </c>
      <c r="C15" s="116">
        <v>205393587</v>
      </c>
      <c r="D15" s="20">
        <f>SUMIFS('16년1추 일입'!$N$7:$N$566,'16년1추 일입'!$B$7:$B$566,'15년총괄표(실국별)'!$B15)</f>
        <v>0</v>
      </c>
      <c r="E15" s="20">
        <f>SUMIFS('16년1추 일입'!$O$7:$O$566,'16년1추 일입'!$B$7:$B$566,'15년총괄표(실국별)'!$B15)</f>
        <v>0</v>
      </c>
      <c r="F15" s="20">
        <f>SUMIFS('16년 1추일출'!$N$8:$N$565,'16년 1추일출'!$B$8:$B$565,'15년총괄표(실국별)'!$B15)</f>
        <v>0</v>
      </c>
      <c r="G15" s="20">
        <f>SUMIFS('16년 1추일출'!$O$8:$O$565,'16년 1추일출'!$B$8:$B$565,'15년총괄표(실국별)'!$B15)</f>
        <v>0</v>
      </c>
      <c r="H15" s="90">
        <f t="shared" si="1"/>
        <v>205393587</v>
      </c>
      <c r="I15" s="117"/>
      <c r="J15" s="117"/>
      <c r="K15" s="15"/>
      <c r="L15" s="16"/>
      <c r="M15" s="117"/>
      <c r="N15" s="117"/>
      <c r="O15" s="117"/>
      <c r="P15" s="117"/>
    </row>
    <row r="16" spans="2:16" s="118" customFormat="1" ht="30.75" customHeight="1">
      <c r="B16" s="106" t="s">
        <v>206</v>
      </c>
      <c r="C16" s="116">
        <v>694104955</v>
      </c>
      <c r="D16" s="20">
        <f>SUMIFS('16년1추 일입'!$N$7:$N$566,'16년1추 일입'!$B$7:$B$566,'15년총괄표(실국별)'!$B16)</f>
        <v>0</v>
      </c>
      <c r="E16" s="20">
        <f>SUMIFS('16년1추 일입'!$O$7:$O$566,'16년1추 일입'!$B$7:$B$566,'15년총괄표(실국별)'!$B16)</f>
        <v>0</v>
      </c>
      <c r="F16" s="20">
        <f>SUMIFS('16년 1추일출'!$N$8:$N$565,'16년 1추일출'!$B$8:$B$565,'15년총괄표(실국별)'!$B16)</f>
        <v>0</v>
      </c>
      <c r="G16" s="20">
        <f>SUMIFS('16년 1추일출'!$O$8:$O$565,'16년 1추일출'!$B$8:$B$565,'15년총괄표(실국별)'!$B16)</f>
        <v>0</v>
      </c>
      <c r="H16" s="90">
        <f t="shared" si="1"/>
        <v>694104955</v>
      </c>
      <c r="I16" s="117"/>
      <c r="J16" s="117"/>
      <c r="K16" s="15"/>
      <c r="L16" s="16"/>
      <c r="M16" s="117"/>
      <c r="N16" s="117"/>
      <c r="O16" s="117"/>
      <c r="P16" s="117"/>
    </row>
    <row r="17" spans="2:16" s="122" customFormat="1" ht="30.75" customHeight="1">
      <c r="B17" s="119" t="s">
        <v>61</v>
      </c>
      <c r="C17" s="120">
        <v>30412373</v>
      </c>
      <c r="D17" s="20">
        <f>SUMIFS('16년1추 일입'!$N$7:$N$566,'16년1추 일입'!$B$7:$B$566,'15년총괄표(실국별)'!$B17)</f>
        <v>0</v>
      </c>
      <c r="E17" s="20">
        <f>SUMIFS('16년1추 일입'!$O$7:$O$566,'16년1추 일입'!$B$7:$B$566,'15년총괄표(실국별)'!$B17)</f>
        <v>0</v>
      </c>
      <c r="F17" s="20">
        <f>SUMIFS('16년 1추일출'!$N$8:$N$565,'16년 1추일출'!$B$8:$B$565,'15년총괄표(실국별)'!$B17)</f>
        <v>0</v>
      </c>
      <c r="G17" s="20">
        <f>SUMIFS('16년 1추일출'!$O$8:$O$565,'16년 1추일출'!$B$8:$B$565,'15년총괄표(실국별)'!$B17)</f>
        <v>0</v>
      </c>
      <c r="H17" s="90">
        <f t="shared" si="1"/>
        <v>30412373</v>
      </c>
      <c r="I17" s="121"/>
      <c r="J17" s="121"/>
      <c r="K17" s="15"/>
      <c r="L17" s="16"/>
      <c r="M17" s="121"/>
      <c r="N17" s="121"/>
      <c r="O17" s="121"/>
      <c r="P17" s="121"/>
    </row>
    <row r="18" spans="2:16" ht="30.75" customHeight="1" thickBot="1">
      <c r="B18" s="106" t="s">
        <v>111</v>
      </c>
      <c r="C18" s="89">
        <v>12731214</v>
      </c>
      <c r="D18" s="20">
        <f>SUMIFS('16년1추 일입'!$N$7:$N$566,'16년1추 일입'!$B$7:$B$566,'15년총괄표(실국별)'!$B18)</f>
        <v>0</v>
      </c>
      <c r="E18" s="20">
        <f>SUMIFS('16년1추 일입'!$O$7:$O$566,'16년1추 일입'!$B$7:$B$566,'15년총괄표(실국별)'!$B18)</f>
        <v>0</v>
      </c>
      <c r="F18" s="20">
        <f>SUMIFS('16년 1추일출'!$N$8:$N$565,'16년 1추일출'!$B$8:$B$565,'15년총괄표(실국별)'!$B18)</f>
        <v>0</v>
      </c>
      <c r="G18" s="20">
        <f>SUMIFS('16년 1추일출'!$O$8:$O$565,'16년 1추일출'!$B$8:$B$565,'15년총괄표(실국별)'!$B18)</f>
        <v>0</v>
      </c>
      <c r="H18" s="90">
        <f t="shared" si="1"/>
        <v>12731214</v>
      </c>
      <c r="I18" s="109" t="e">
        <f>#REF!+#REF!</f>
        <v>#REF!</v>
      </c>
      <c r="J18" s="110" t="e">
        <f>#REF!+#REF!</f>
        <v>#REF!</v>
      </c>
      <c r="K18" s="81"/>
      <c r="N18" s="111" t="e">
        <f>#REF!-#REF!</f>
        <v>#REF!</v>
      </c>
    </row>
    <row r="19" spans="2:16" ht="30.75" customHeight="1">
      <c r="B19" s="106" t="s">
        <v>109</v>
      </c>
      <c r="C19" s="89">
        <v>450511</v>
      </c>
      <c r="D19" s="20">
        <f>SUMIFS('16년1추 일입'!$N$7:$N$566,'16년1추 일입'!$B$7:$B$566,'15년총괄표(실국별)'!$B19)</f>
        <v>0</v>
      </c>
      <c r="E19" s="20">
        <f>SUMIFS('16년1추 일입'!$O$7:$O$566,'16년1추 일입'!$B$7:$B$566,'15년총괄표(실국별)'!$B19)</f>
        <v>0</v>
      </c>
      <c r="F19" s="20">
        <f>SUMIFS('16년 1추일출'!$N$8:$N$565,'16년 1추일출'!$B$8:$B$565,'15년총괄표(실국별)'!$B19)</f>
        <v>0</v>
      </c>
      <c r="G19" s="20">
        <f>SUMIFS('16년 1추일출'!$O$8:$O$565,'16년 1추일출'!$B$8:$B$565,'15년총괄표(실국별)'!$B19)</f>
        <v>0</v>
      </c>
      <c r="H19" s="90">
        <f t="shared" si="1"/>
        <v>450511</v>
      </c>
      <c r="J19" s="112"/>
      <c r="K19" s="113"/>
    </row>
    <row r="20" spans="2:16" ht="30.75" customHeight="1">
      <c r="B20" s="106" t="s">
        <v>106</v>
      </c>
      <c r="C20" s="89">
        <v>2803637639</v>
      </c>
      <c r="D20" s="20">
        <f>SUMIFS('16년1추 일입'!$N$7:$N$566,'16년1추 일입'!$B$7:$B$566,'15년총괄표(실국별)'!$B20)</f>
        <v>0</v>
      </c>
      <c r="E20" s="20">
        <f>SUMIFS('16년1추 일입'!$O$7:$O$566,'16년1추 일입'!$B$7:$B$566,'15년총괄표(실국별)'!$B20)</f>
        <v>0</v>
      </c>
      <c r="F20" s="20">
        <f>SUMIFS('16년 1추일출'!$N$8:$N$565,'16년 1추일출'!$B$8:$B$565,'15년총괄표(실국별)'!$B20)</f>
        <v>0</v>
      </c>
      <c r="G20" s="20">
        <f>SUMIFS('16년 1추일출'!$O$8:$O$565,'16년 1추일출'!$B$8:$B$565,'15년총괄표(실국별)'!$B20)</f>
        <v>0</v>
      </c>
      <c r="H20" s="90">
        <f t="shared" si="1"/>
        <v>2803637639</v>
      </c>
      <c r="J20" s="114"/>
      <c r="L20" s="115"/>
      <c r="M20" s="115"/>
    </row>
    <row r="21" spans="2:16" ht="30.75" customHeight="1">
      <c r="B21" s="106" t="s">
        <v>107</v>
      </c>
      <c r="C21" s="89">
        <v>96522924</v>
      </c>
      <c r="D21" s="20">
        <f>SUMIFS('16년1추 일입'!$N$7:$N$566,'16년1추 일입'!$B$7:$B$566,'15년총괄표(실국별)'!$B21)</f>
        <v>0</v>
      </c>
      <c r="E21" s="20">
        <f>SUMIFS('16년1추 일입'!$O$7:$O$566,'16년1추 일입'!$B$7:$B$566,'15년총괄표(실국별)'!$B21)</f>
        <v>0</v>
      </c>
      <c r="F21" s="20">
        <f>SUMIFS('16년 1추일출'!$N$8:$N$565,'16년 1추일출'!$B$8:$B$565,'15년총괄표(실국별)'!$B21)</f>
        <v>0</v>
      </c>
      <c r="G21" s="20">
        <f>SUMIFS('16년 1추일출'!$O$8:$O$565,'16년 1추일출'!$B$8:$B$565,'15년총괄표(실국별)'!$B21)</f>
        <v>0</v>
      </c>
      <c r="H21" s="90">
        <f t="shared" si="1"/>
        <v>96522924</v>
      </c>
      <c r="K21" s="15"/>
      <c r="L21" s="16"/>
      <c r="N21" s="73" t="s">
        <v>43</v>
      </c>
    </row>
    <row r="22" spans="2:16" s="118" customFormat="1" ht="30.75" customHeight="1">
      <c r="B22" s="106" t="s">
        <v>108</v>
      </c>
      <c r="C22" s="116">
        <v>1454395771</v>
      </c>
      <c r="D22" s="20">
        <f>SUMIFS('16년1추 일입'!$N$7:$N$566,'16년1추 일입'!$B$7:$B$566,'15년총괄표(실국별)'!$B22)</f>
        <v>0</v>
      </c>
      <c r="E22" s="20">
        <f>SUMIFS('16년1추 일입'!$O$7:$O$566,'16년1추 일입'!$B$7:$B$566,'15년총괄표(실국별)'!$B22)</f>
        <v>0</v>
      </c>
      <c r="F22" s="20">
        <f>SUMIFS('16년 1추일출'!$N$8:$N$565,'16년 1추일출'!$B$8:$B$565,'15년총괄표(실국별)'!$B22)</f>
        <v>0</v>
      </c>
      <c r="G22" s="20">
        <f>SUMIFS('16년 1추일출'!$O$8:$O$565,'16년 1추일출'!$B$8:$B$565,'15년총괄표(실국별)'!$B22)</f>
        <v>0</v>
      </c>
      <c r="H22" s="90">
        <f t="shared" si="1"/>
        <v>1454395771</v>
      </c>
      <c r="I22" s="117"/>
      <c r="J22" s="117"/>
      <c r="K22" s="15"/>
      <c r="L22" s="16"/>
      <c r="M22" s="103"/>
      <c r="N22" s="104" t="e">
        <f>N18-#REF!</f>
        <v>#REF!</v>
      </c>
      <c r="O22" s="117"/>
      <c r="P22" s="117"/>
    </row>
    <row r="23" spans="2:16" s="118" customFormat="1" ht="30.75" customHeight="1">
      <c r="B23" s="106" t="s">
        <v>369</v>
      </c>
      <c r="C23" s="116">
        <v>35645539</v>
      </c>
      <c r="D23" s="20">
        <f>SUMIFS('16년1추 일입'!$N$7:$N$566,'16년1추 일입'!$B$7:$B$566,'15년총괄표(실국별)'!$B23)</f>
        <v>0</v>
      </c>
      <c r="E23" s="20">
        <f>SUMIFS('16년1추 일입'!$O$7:$O$566,'16년1추 일입'!$B$7:$B$566,'15년총괄표(실국별)'!$B23)</f>
        <v>0</v>
      </c>
      <c r="F23" s="20">
        <f>SUMIFS('16년 1추일출'!$N$8:$N$565,'16년 1추일출'!$B$8:$B$565,'15년총괄표(실국별)'!$B23)</f>
        <v>0</v>
      </c>
      <c r="G23" s="20">
        <f>SUMIFS('16년 1추일출'!$O$8:$O$565,'16년 1추일출'!$B$8:$B$565,'15년총괄표(실국별)'!$B23)</f>
        <v>0</v>
      </c>
      <c r="H23" s="90">
        <f t="shared" si="1"/>
        <v>35645539</v>
      </c>
      <c r="I23" s="117"/>
      <c r="J23" s="117"/>
      <c r="K23" s="15"/>
      <c r="L23" s="16"/>
      <c r="M23" s="117"/>
      <c r="N23" s="117"/>
      <c r="O23" s="117"/>
      <c r="P23" s="117"/>
    </row>
    <row r="24" spans="2:16" s="118" customFormat="1" ht="30.75" customHeight="1">
      <c r="B24" s="106" t="s">
        <v>376</v>
      </c>
      <c r="C24" s="116">
        <v>10314647</v>
      </c>
      <c r="D24" s="20">
        <f>SUMIFS('16년1추 일입'!$N$7:$N$566,'16년1추 일입'!$B$7:$B$566,'15년총괄표(실국별)'!$B24)</f>
        <v>0</v>
      </c>
      <c r="E24" s="20">
        <f>SUMIFS('16년1추 일입'!$O$7:$O$566,'16년1추 일입'!$B$7:$B$566,'15년총괄표(실국별)'!$B24)</f>
        <v>0</v>
      </c>
      <c r="F24" s="20">
        <f>SUMIFS('16년 1추일출'!$N$8:$N$565,'16년 1추일출'!$B$8:$B$565,'15년총괄표(실국별)'!$B24)</f>
        <v>0</v>
      </c>
      <c r="G24" s="20">
        <f>SUMIFS('16년 1추일출'!$O$8:$O$565,'16년 1추일출'!$B$8:$B$565,'15년총괄표(실국별)'!$B24)</f>
        <v>0</v>
      </c>
      <c r="H24" s="90">
        <f t="shared" si="1"/>
        <v>10314647</v>
      </c>
      <c r="I24" s="117"/>
      <c r="J24" s="117"/>
      <c r="K24" s="15"/>
      <c r="L24" s="16"/>
      <c r="M24" s="117"/>
      <c r="N24" s="117"/>
      <c r="O24" s="117"/>
      <c r="P24" s="117"/>
    </row>
    <row r="25" spans="2:16" s="122" customFormat="1" ht="30.75" customHeight="1">
      <c r="B25" s="119" t="s">
        <v>378</v>
      </c>
      <c r="C25" s="120">
        <v>8202067</v>
      </c>
      <c r="D25" s="20">
        <f>SUMIFS('16년1추 일입'!$N$7:$N$566,'16년1추 일입'!$B$7:$B$566,'15년총괄표(실국별)'!$B25)</f>
        <v>0</v>
      </c>
      <c r="E25" s="20">
        <f>SUMIFS('16년1추 일입'!$O$7:$O$566,'16년1추 일입'!$B$7:$B$566,'15년총괄표(실국별)'!$B25)</f>
        <v>0</v>
      </c>
      <c r="F25" s="20">
        <f>SUMIFS('16년 1추일출'!$N$8:$N$565,'16년 1추일출'!$B$8:$B$565,'15년총괄표(실국별)'!$B25)</f>
        <v>0</v>
      </c>
      <c r="G25" s="20">
        <f>SUMIFS('16년 1추일출'!$O$8:$O$565,'16년 1추일출'!$B$8:$B$565,'15년총괄표(실국별)'!$B25)</f>
        <v>0</v>
      </c>
      <c r="H25" s="90">
        <f t="shared" si="1"/>
        <v>8202067</v>
      </c>
      <c r="I25" s="121"/>
      <c r="J25" s="121"/>
      <c r="K25" s="15"/>
      <c r="L25" s="16"/>
      <c r="M25" s="121"/>
      <c r="N25" s="121"/>
      <c r="O25" s="121"/>
      <c r="P25" s="121"/>
    </row>
    <row r="26" spans="2:16" ht="30.75" customHeight="1" thickBot="1">
      <c r="B26" s="106" t="s">
        <v>385</v>
      </c>
      <c r="C26" s="89">
        <v>631831527</v>
      </c>
      <c r="D26" s="20">
        <f>SUMIFS('16년1추 일입'!$N$7:$N$566,'16년1추 일입'!$B$7:$B$566,'15년총괄표(실국별)'!$B26)</f>
        <v>0</v>
      </c>
      <c r="E26" s="20">
        <f>SUMIFS('16년1추 일입'!$O$7:$O$566,'16년1추 일입'!$B$7:$B$566,'15년총괄표(실국별)'!$B26)</f>
        <v>0</v>
      </c>
      <c r="F26" s="20">
        <f>SUMIFS('16년 1추일출'!$N$8:$N$565,'16년 1추일출'!$B$8:$B$565,'15년총괄표(실국별)'!$B26)</f>
        <v>0</v>
      </c>
      <c r="G26" s="20">
        <f>SUMIFS('16년 1추일출'!$O$8:$O$565,'16년 1추일출'!$B$8:$B$565,'15년총괄표(실국별)'!$B26)</f>
        <v>0</v>
      </c>
      <c r="H26" s="90">
        <f t="shared" si="1"/>
        <v>631831527</v>
      </c>
      <c r="I26" s="109" t="e">
        <f>#REF!+#REF!</f>
        <v>#REF!</v>
      </c>
      <c r="J26" s="110" t="e">
        <f>#REF!+#REF!</f>
        <v>#REF!</v>
      </c>
      <c r="K26" s="81"/>
      <c r="N26" s="111">
        <f>M2-N2</f>
        <v>0</v>
      </c>
    </row>
    <row r="27" spans="2:16" ht="30.75" customHeight="1">
      <c r="B27" s="106" t="s">
        <v>69</v>
      </c>
      <c r="C27" s="89">
        <v>1328409175</v>
      </c>
      <c r="D27" s="20">
        <f>SUMIFS('16년1추 일입'!$N$7:$N$566,'16년1추 일입'!$B$7:$B$566,'15년총괄표(실국별)'!$B27)</f>
        <v>0</v>
      </c>
      <c r="E27" s="20">
        <f>SUMIFS('16년1추 일입'!$O$7:$O$566,'16년1추 일입'!$B$7:$B$566,'15년총괄표(실국별)'!$B27)</f>
        <v>0</v>
      </c>
      <c r="F27" s="20">
        <f>SUMIFS('16년 1추일출'!$N$8:$N$565,'16년 1추일출'!$B$8:$B$565,'15년총괄표(실국별)'!$B27)</f>
        <v>0</v>
      </c>
      <c r="G27" s="20">
        <f>SUMIFS('16년 1추일출'!$O$8:$O$565,'16년 1추일출'!$B$8:$B$565,'15년총괄표(실국별)'!$B27)</f>
        <v>0</v>
      </c>
      <c r="H27" s="90">
        <f t="shared" si="1"/>
        <v>1328409175</v>
      </c>
      <c r="J27" s="112"/>
      <c r="K27" s="113"/>
    </row>
    <row r="28" spans="2:16" ht="30.75" customHeight="1">
      <c r="B28" s="106" t="s">
        <v>308</v>
      </c>
      <c r="C28" s="89">
        <v>223863128</v>
      </c>
      <c r="D28" s="20">
        <f>SUMIFS('16년1추 일입'!$N$7:$N$566,'16년1추 일입'!$B$7:$B$566,'15년총괄표(실국별)'!$B28)</f>
        <v>0</v>
      </c>
      <c r="E28" s="20">
        <f>SUMIFS('16년1추 일입'!$O$7:$O$566,'16년1추 일입'!$B$7:$B$566,'15년총괄표(실국별)'!$B28)</f>
        <v>0</v>
      </c>
      <c r="F28" s="20">
        <f>SUMIFS('16년 1추일출'!$N$8:$N$565,'16년 1추일출'!$B$8:$B$565,'15년총괄표(실국별)'!$B28)</f>
        <v>-10000000</v>
      </c>
      <c r="G28" s="20">
        <f>SUMIFS('16년 1추일출'!$O$8:$O$565,'16년 1추일출'!$B$8:$B$565,'15년총괄표(실국별)'!$B28)</f>
        <v>0</v>
      </c>
      <c r="H28" s="90">
        <f t="shared" si="1"/>
        <v>213863128</v>
      </c>
      <c r="J28" s="114"/>
      <c r="L28" s="115"/>
      <c r="M28" s="115"/>
    </row>
    <row r="29" spans="2:16" ht="30.75" customHeight="1">
      <c r="B29" s="106" t="s">
        <v>323</v>
      </c>
      <c r="C29" s="89">
        <v>506163851</v>
      </c>
      <c r="D29" s="20">
        <f>SUMIFS('16년1추 일입'!$N$7:$N$566,'16년1추 일입'!$B$7:$B$566,'15년총괄표(실국별)'!$B29)</f>
        <v>0</v>
      </c>
      <c r="E29" s="20">
        <f>SUMIFS('16년1추 일입'!$O$7:$O$566,'16년1추 일입'!$B$7:$B$566,'15년총괄표(실국별)'!$B29)</f>
        <v>0</v>
      </c>
      <c r="F29" s="20">
        <f>SUMIFS('16년 1추일출'!$N$8:$N$565,'16년 1추일출'!$B$8:$B$565,'15년총괄표(실국별)'!$B29)</f>
        <v>0</v>
      </c>
      <c r="G29" s="20">
        <f>SUMIFS('16년 1추일출'!$O$8:$O$565,'16년 1추일출'!$B$8:$B$565,'15년총괄표(실국별)'!$B29)</f>
        <v>0</v>
      </c>
      <c r="H29" s="90">
        <f t="shared" si="1"/>
        <v>506163851</v>
      </c>
      <c r="K29" s="15"/>
      <c r="L29" s="16"/>
      <c r="N29" s="73" t="s">
        <v>43</v>
      </c>
    </row>
    <row r="30" spans="2:16" s="118" customFormat="1" ht="30.75" customHeight="1">
      <c r="B30" s="106" t="s">
        <v>66</v>
      </c>
      <c r="C30" s="116">
        <v>165426798</v>
      </c>
      <c r="D30" s="20">
        <f>SUMIFS('16년1추 일입'!$N$7:$N$566,'16년1추 일입'!$B$7:$B$566,'15년총괄표(실국별)'!$B30)</f>
        <v>0</v>
      </c>
      <c r="E30" s="20">
        <f>SUMIFS('16년1추 일입'!$O$7:$O$566,'16년1추 일입'!$B$7:$B$566,'15년총괄표(실국별)'!$B30)</f>
        <v>0</v>
      </c>
      <c r="F30" s="20">
        <f>SUMIFS('16년 1추일출'!$N$8:$N$565,'16년 1추일출'!$B$8:$B$565,'15년총괄표(실국별)'!$B30)</f>
        <v>0</v>
      </c>
      <c r="G30" s="20">
        <f>SUMIFS('16년 1추일출'!$O$8:$O$565,'16년 1추일출'!$B$8:$B$565,'15년총괄표(실국별)'!$B30)</f>
        <v>0</v>
      </c>
      <c r="H30" s="90">
        <f t="shared" si="1"/>
        <v>165426798</v>
      </c>
      <c r="I30" s="117"/>
      <c r="J30" s="117"/>
      <c r="K30" s="15"/>
      <c r="L30" s="16"/>
      <c r="M30" s="103"/>
      <c r="N30" s="104">
        <f>N26-K2</f>
        <v>0</v>
      </c>
      <c r="O30" s="117"/>
      <c r="P30" s="117"/>
    </row>
    <row r="31" spans="2:16" ht="30.75" customHeight="1" thickBot="1">
      <c r="B31" s="106" t="s">
        <v>351</v>
      </c>
      <c r="C31" s="89">
        <v>466950444</v>
      </c>
      <c r="D31" s="20">
        <f>SUMIFS('16년1추 일입'!$N$7:$N$566,'16년1추 일입'!$B$7:$B$566,'15년총괄표(실국별)'!$B31)</f>
        <v>0</v>
      </c>
      <c r="E31" s="20">
        <f>SUMIFS('16년1추 일입'!$O$7:$O$566,'16년1추 일입'!$B$7:$B$566,'15년총괄표(실국별)'!$B31)</f>
        <v>0</v>
      </c>
      <c r="F31" s="20">
        <f>SUMIFS('16년 1추일출'!$N$8:$N$565,'16년 1추일출'!$B$8:$B$565,'15년총괄표(실국별)'!$B31)</f>
        <v>0</v>
      </c>
      <c r="G31" s="20">
        <f>SUMIFS('16년 1추일출'!$O$8:$O$565,'16년 1추일출'!$B$8:$B$565,'15년총괄표(실국별)'!$B31)</f>
        <v>0</v>
      </c>
      <c r="H31" s="90">
        <f t="shared" si="1"/>
        <v>466950444</v>
      </c>
      <c r="I31" s="109" t="e">
        <f>#REF!+#REF!</f>
        <v>#REF!</v>
      </c>
      <c r="J31" s="110" t="e">
        <f>#REF!+#REF!</f>
        <v>#REF!</v>
      </c>
      <c r="K31" s="81"/>
      <c r="N31" s="111" t="e">
        <f>M7-N7</f>
        <v>#REF!</v>
      </c>
    </row>
    <row r="32" spans="2:16" ht="30.75" customHeight="1">
      <c r="B32" s="106" t="s">
        <v>361</v>
      </c>
      <c r="C32" s="89">
        <v>570450422</v>
      </c>
      <c r="D32" s="20">
        <f>SUMIFS('16년1추 일입'!$N$7:$N$566,'16년1추 일입'!$B$7:$B$566,'15년총괄표(실국별)'!$B32)</f>
        <v>0</v>
      </c>
      <c r="E32" s="20">
        <f>SUMIFS('16년1추 일입'!$O$7:$O$566,'16년1추 일입'!$B$7:$B$566,'15년총괄표(실국별)'!$B32)</f>
        <v>0</v>
      </c>
      <c r="F32" s="20">
        <f>SUMIFS('16년 1추일출'!$N$8:$N$565,'16년 1추일출'!$B$8:$B$565,'15년총괄표(실국별)'!$B32)</f>
        <v>-5000000</v>
      </c>
      <c r="G32" s="20">
        <f>SUMIFS('16년 1추일출'!$O$8:$O$565,'16년 1추일출'!$B$8:$B$565,'15년총괄표(실국별)'!$B32)</f>
        <v>5000000</v>
      </c>
      <c r="H32" s="90">
        <f t="shared" si="1"/>
        <v>570450422</v>
      </c>
      <c r="J32" s="112"/>
      <c r="K32" s="113"/>
    </row>
    <row r="33" spans="2:16" ht="30.75" customHeight="1" thickBot="1">
      <c r="B33" s="123" t="s">
        <v>387</v>
      </c>
      <c r="C33" s="129">
        <v>48696301</v>
      </c>
      <c r="D33" s="21">
        <f>SUMIFS('16년1추 일입'!$N$7:$N$566,'16년1추 일입'!$B$7:$B$566,'15년총괄표(실국별)'!$B33)</f>
        <v>0</v>
      </c>
      <c r="E33" s="21">
        <f>SUMIFS('16년1추 일입'!$O$7:$O$566,'16년1추 일입'!$B$7:$B$566,'15년총괄표(실국별)'!$B33)</f>
        <v>0</v>
      </c>
      <c r="F33" s="21">
        <f>SUMIFS('16년 1추일출'!$N$8:$N$565,'16년 1추일출'!$B$8:$B$565,'15년총괄표(실국별)'!$B33)</f>
        <v>0</v>
      </c>
      <c r="G33" s="21">
        <f>SUMIFS('16년 1추일출'!$O$8:$O$565,'16년 1추일출'!$B$8:$B$565,'15년총괄표(실국별)'!$B33)</f>
        <v>0</v>
      </c>
      <c r="H33" s="125">
        <f t="shared" si="1"/>
        <v>48696301</v>
      </c>
      <c r="J33" s="114"/>
      <c r="L33" s="115"/>
      <c r="M33" s="115"/>
    </row>
    <row r="34" spans="2:16" ht="18" customHeight="1">
      <c r="B34" s="79"/>
      <c r="C34" s="79"/>
      <c r="D34" s="79"/>
      <c r="E34" s="79"/>
      <c r="F34" s="79"/>
      <c r="G34" s="79"/>
      <c r="H34" s="79"/>
      <c r="K34" s="15"/>
      <c r="L34" s="16"/>
    </row>
    <row r="35" spans="2:16" ht="20.25" customHeight="1"/>
    <row r="36" spans="2:16" ht="20.25" customHeight="1"/>
    <row r="37" spans="2:16" s="79" customFormat="1">
      <c r="B37" s="165" t="s">
        <v>550</v>
      </c>
      <c r="C37" s="169" t="s">
        <v>549</v>
      </c>
      <c r="D37" s="165" t="s">
        <v>547</v>
      </c>
      <c r="E37" s="165" t="s">
        <v>548</v>
      </c>
      <c r="F37" s="169" t="s">
        <v>53</v>
      </c>
      <c r="G37" s="81"/>
      <c r="H37" s="81"/>
      <c r="I37" s="81"/>
      <c r="J37" s="81"/>
      <c r="K37" s="81"/>
      <c r="L37" s="81"/>
      <c r="M37" s="81"/>
      <c r="N37" s="81"/>
    </row>
    <row r="38" spans="2:16" s="79" customFormat="1">
      <c r="B38" s="165" t="s">
        <v>19</v>
      </c>
      <c r="C38" s="170">
        <f>SUM(C39:C64)</f>
        <v>14504760931</v>
      </c>
      <c r="D38" s="170">
        <f>SUM(D39:D64)</f>
        <v>1174065395</v>
      </c>
      <c r="E38" s="170">
        <f>SUM(E39:E64)</f>
        <v>2139712389</v>
      </c>
      <c r="F38" s="170">
        <f>SUM(C38:E38)</f>
        <v>17818538715</v>
      </c>
      <c r="I38" s="81"/>
      <c r="J38" s="81"/>
      <c r="K38" s="81"/>
      <c r="L38" s="81"/>
      <c r="M38" s="81"/>
      <c r="N38" s="81"/>
      <c r="O38" s="81"/>
      <c r="P38" s="81"/>
    </row>
    <row r="39" spans="2:16" s="79" customFormat="1">
      <c r="B39" s="165" t="s">
        <v>110</v>
      </c>
      <c r="C39" s="171">
        <v>1230140</v>
      </c>
      <c r="D39" s="171"/>
      <c r="E39" s="171"/>
      <c r="F39" s="170">
        <f t="shared" ref="F39:F64" si="2">SUM(C39:E39)</f>
        <v>1230140</v>
      </c>
      <c r="G39" s="81"/>
      <c r="H39" s="81"/>
      <c r="I39" s="81"/>
      <c r="J39" s="81"/>
      <c r="K39" s="81"/>
      <c r="L39" s="81"/>
      <c r="M39" s="81"/>
      <c r="N39" s="81"/>
    </row>
    <row r="40" spans="2:16" s="79" customFormat="1">
      <c r="B40" s="165" t="s">
        <v>102</v>
      </c>
      <c r="C40" s="171">
        <v>3253514147</v>
      </c>
      <c r="D40" s="171"/>
      <c r="E40" s="171">
        <v>1741536684</v>
      </c>
      <c r="F40" s="170">
        <f t="shared" si="2"/>
        <v>4995050831</v>
      </c>
      <c r="H40" s="81"/>
      <c r="I40" s="81"/>
      <c r="J40" s="81"/>
      <c r="K40" s="81"/>
      <c r="L40" s="81"/>
      <c r="M40" s="81"/>
      <c r="N40" s="81"/>
    </row>
    <row r="41" spans="2:16" s="79" customFormat="1">
      <c r="B41" s="165" t="s">
        <v>103</v>
      </c>
      <c r="C41" s="171">
        <v>302743533</v>
      </c>
      <c r="D41" s="171">
        <v>14731912</v>
      </c>
      <c r="E41" s="171">
        <v>33000000</v>
      </c>
      <c r="F41" s="170">
        <f t="shared" si="2"/>
        <v>350475445</v>
      </c>
      <c r="H41" s="81"/>
      <c r="I41" s="81"/>
      <c r="J41" s="81"/>
      <c r="K41" s="81"/>
      <c r="L41" s="81"/>
      <c r="M41" s="81"/>
      <c r="N41" s="81"/>
    </row>
    <row r="42" spans="2:16" s="79" customFormat="1">
      <c r="B42" s="165" t="s">
        <v>104</v>
      </c>
      <c r="C42" s="171">
        <v>489102362</v>
      </c>
      <c r="D42" s="171"/>
      <c r="E42" s="171"/>
      <c r="F42" s="170">
        <f t="shared" si="2"/>
        <v>489102362</v>
      </c>
      <c r="G42" s="81"/>
      <c r="H42" s="81"/>
      <c r="I42" s="81"/>
      <c r="J42" s="81"/>
      <c r="K42" s="81"/>
      <c r="L42" s="81"/>
      <c r="M42" s="81"/>
      <c r="N42" s="81"/>
    </row>
    <row r="43" spans="2:16" s="79" customFormat="1">
      <c r="B43" s="165" t="s">
        <v>170</v>
      </c>
      <c r="C43" s="171">
        <v>1957985774</v>
      </c>
      <c r="D43" s="171">
        <v>166414000</v>
      </c>
      <c r="E43" s="171"/>
      <c r="F43" s="170">
        <f t="shared" si="2"/>
        <v>2124399774</v>
      </c>
      <c r="H43" s="81"/>
      <c r="I43" s="81"/>
      <c r="J43" s="81"/>
      <c r="K43" s="81"/>
      <c r="L43" s="81"/>
      <c r="M43" s="81"/>
      <c r="N43" s="81"/>
    </row>
    <row r="44" spans="2:16" s="79" customFormat="1">
      <c r="B44" s="165" t="s">
        <v>105</v>
      </c>
      <c r="C44" s="171">
        <v>246448826</v>
      </c>
      <c r="D44" s="171"/>
      <c r="E44" s="171">
        <v>62624435</v>
      </c>
      <c r="F44" s="170">
        <f t="shared" si="2"/>
        <v>309073261</v>
      </c>
      <c r="G44" s="81"/>
      <c r="H44" s="81"/>
      <c r="I44" s="81"/>
      <c r="J44" s="81"/>
      <c r="K44" s="81"/>
      <c r="L44" s="81"/>
      <c r="M44" s="81"/>
      <c r="N44" s="81"/>
    </row>
    <row r="45" spans="2:16" s="79" customFormat="1">
      <c r="B45" s="165" t="s">
        <v>64</v>
      </c>
      <c r="C45" s="171">
        <v>255604029</v>
      </c>
      <c r="D45" s="171"/>
      <c r="E45" s="171"/>
      <c r="F45" s="170">
        <f t="shared" si="2"/>
        <v>255604029</v>
      </c>
      <c r="G45" s="81"/>
      <c r="H45" s="81"/>
      <c r="I45" s="81"/>
      <c r="J45" s="81"/>
      <c r="K45" s="81"/>
      <c r="L45" s="81"/>
      <c r="M45" s="81"/>
      <c r="N45" s="81"/>
    </row>
    <row r="46" spans="2:16" s="79" customFormat="1">
      <c r="B46" s="165" t="s">
        <v>199</v>
      </c>
      <c r="C46" s="171">
        <v>205393587</v>
      </c>
      <c r="D46" s="171"/>
      <c r="E46" s="171"/>
      <c r="F46" s="170">
        <f t="shared" si="2"/>
        <v>205393587</v>
      </c>
      <c r="G46" s="81"/>
      <c r="H46" s="81"/>
      <c r="I46" s="81"/>
      <c r="J46" s="81"/>
      <c r="K46" s="81"/>
      <c r="L46" s="81"/>
      <c r="M46" s="81"/>
      <c r="N46" s="81"/>
    </row>
    <row r="47" spans="2:16" s="79" customFormat="1">
      <c r="B47" s="165" t="s">
        <v>206</v>
      </c>
      <c r="C47" s="171">
        <f>635730961+1074501+3040529+54258964</f>
        <v>694104955</v>
      </c>
      <c r="D47" s="171"/>
      <c r="E47" s="171"/>
      <c r="F47" s="170">
        <f t="shared" si="2"/>
        <v>694104955</v>
      </c>
      <c r="I47" s="81"/>
      <c r="J47" s="81"/>
      <c r="K47" s="81"/>
      <c r="L47" s="81"/>
      <c r="M47" s="81"/>
      <c r="N47" s="81"/>
    </row>
    <row r="48" spans="2:16" s="79" customFormat="1">
      <c r="B48" s="168" t="s">
        <v>61</v>
      </c>
      <c r="C48" s="171">
        <v>30412373</v>
      </c>
      <c r="D48" s="171"/>
      <c r="E48" s="171"/>
      <c r="F48" s="170">
        <f t="shared" si="2"/>
        <v>30412373</v>
      </c>
      <c r="G48" s="81"/>
      <c r="H48" s="81"/>
      <c r="I48" s="81"/>
      <c r="J48" s="81"/>
      <c r="K48" s="81"/>
      <c r="L48" s="81"/>
      <c r="M48" s="81"/>
      <c r="N48" s="81"/>
    </row>
    <row r="49" spans="2:16" s="79" customFormat="1">
      <c r="B49" s="165" t="s">
        <v>111</v>
      </c>
      <c r="C49" s="171">
        <v>12731214</v>
      </c>
      <c r="D49" s="171"/>
      <c r="E49" s="171"/>
      <c r="F49" s="170">
        <f t="shared" si="2"/>
        <v>12731214</v>
      </c>
      <c r="G49" s="81"/>
      <c r="H49" s="81"/>
      <c r="I49" s="81"/>
      <c r="J49" s="81"/>
      <c r="K49" s="81"/>
      <c r="L49" s="81"/>
      <c r="M49" s="81"/>
      <c r="N49" s="81"/>
    </row>
    <row r="50" spans="2:16" s="79" customFormat="1">
      <c r="B50" s="165" t="s">
        <v>109</v>
      </c>
      <c r="C50" s="171">
        <v>450511</v>
      </c>
      <c r="D50" s="171"/>
      <c r="E50" s="171"/>
      <c r="F50" s="170">
        <f t="shared" si="2"/>
        <v>450511</v>
      </c>
      <c r="I50" s="81"/>
      <c r="J50" s="81"/>
      <c r="K50" s="81"/>
      <c r="L50" s="81"/>
      <c r="M50" s="81"/>
      <c r="N50" s="81"/>
      <c r="O50" s="81"/>
      <c r="P50" s="81"/>
    </row>
    <row r="51" spans="2:16" s="79" customFormat="1">
      <c r="B51" s="165" t="s">
        <v>106</v>
      </c>
      <c r="C51" s="171">
        <v>1966943221</v>
      </c>
      <c r="D51" s="171">
        <v>836694418</v>
      </c>
      <c r="E51" s="171"/>
      <c r="F51" s="170">
        <f t="shared" si="2"/>
        <v>2803637639</v>
      </c>
      <c r="I51" s="81"/>
      <c r="J51" s="81"/>
      <c r="K51" s="81"/>
      <c r="L51" s="81"/>
      <c r="M51" s="81"/>
      <c r="N51" s="81"/>
      <c r="O51" s="81"/>
      <c r="P51" s="81"/>
    </row>
    <row r="52" spans="2:16" s="79" customFormat="1">
      <c r="B52" s="165" t="s">
        <v>107</v>
      </c>
      <c r="C52" s="171">
        <v>96522924</v>
      </c>
      <c r="D52" s="171"/>
      <c r="E52" s="171"/>
      <c r="F52" s="170">
        <f t="shared" si="2"/>
        <v>96522924</v>
      </c>
      <c r="I52" s="81"/>
      <c r="J52" s="81"/>
      <c r="K52" s="81"/>
      <c r="L52" s="81"/>
      <c r="M52" s="81"/>
      <c r="N52" s="81"/>
      <c r="O52" s="81"/>
      <c r="P52" s="81"/>
    </row>
    <row r="53" spans="2:16" s="79" customFormat="1">
      <c r="B53" s="165" t="s">
        <v>108</v>
      </c>
      <c r="C53" s="171">
        <v>1454395771</v>
      </c>
      <c r="D53" s="171"/>
      <c r="E53" s="171"/>
      <c r="F53" s="170">
        <f t="shared" si="2"/>
        <v>1454395771</v>
      </c>
      <c r="I53" s="81"/>
      <c r="J53" s="81"/>
      <c r="K53" s="81"/>
      <c r="L53" s="81"/>
      <c r="M53" s="81"/>
      <c r="N53" s="81"/>
      <c r="O53" s="81"/>
      <c r="P53" s="81"/>
    </row>
    <row r="54" spans="2:16" s="79" customFormat="1">
      <c r="B54" s="165" t="s">
        <v>369</v>
      </c>
      <c r="C54" s="171">
        <v>35645539</v>
      </c>
      <c r="D54" s="171"/>
      <c r="E54" s="171"/>
      <c r="F54" s="170">
        <f t="shared" si="2"/>
        <v>35645539</v>
      </c>
      <c r="I54" s="81"/>
      <c r="J54" s="81"/>
      <c r="K54" s="81"/>
      <c r="L54" s="81"/>
      <c r="M54" s="81"/>
      <c r="N54" s="81"/>
      <c r="O54" s="81"/>
      <c r="P54" s="81"/>
    </row>
    <row r="55" spans="2:16" s="79" customFormat="1">
      <c r="B55" s="165" t="s">
        <v>376</v>
      </c>
      <c r="C55" s="171">
        <v>10314647</v>
      </c>
      <c r="D55" s="171"/>
      <c r="E55" s="171"/>
      <c r="F55" s="170">
        <f t="shared" si="2"/>
        <v>10314647</v>
      </c>
      <c r="I55" s="81"/>
      <c r="J55" s="81"/>
      <c r="K55" s="81"/>
      <c r="L55" s="81"/>
      <c r="M55" s="81"/>
      <c r="N55" s="81"/>
      <c r="O55" s="81"/>
      <c r="P55" s="81"/>
    </row>
    <row r="56" spans="2:16" s="79" customFormat="1">
      <c r="B56" s="168" t="s">
        <v>378</v>
      </c>
      <c r="C56" s="171">
        <v>8202067</v>
      </c>
      <c r="D56" s="171"/>
      <c r="E56" s="171"/>
      <c r="F56" s="170">
        <f t="shared" si="2"/>
        <v>8202067</v>
      </c>
      <c r="I56" s="81"/>
      <c r="J56" s="81"/>
      <c r="K56" s="81"/>
      <c r="L56" s="81"/>
      <c r="M56" s="81"/>
      <c r="N56" s="81"/>
      <c r="O56" s="81"/>
      <c r="P56" s="81"/>
    </row>
    <row r="57" spans="2:16" s="79" customFormat="1">
      <c r="B57" s="165" t="s">
        <v>385</v>
      </c>
      <c r="C57" s="171">
        <v>627640527</v>
      </c>
      <c r="D57" s="171">
        <v>4191000</v>
      </c>
      <c r="E57" s="171"/>
      <c r="F57" s="170">
        <f t="shared" si="2"/>
        <v>631831527</v>
      </c>
      <c r="I57" s="81"/>
      <c r="J57" s="81"/>
      <c r="K57" s="81"/>
      <c r="L57" s="81"/>
      <c r="M57" s="81"/>
      <c r="N57" s="81"/>
      <c r="O57" s="81"/>
      <c r="P57" s="81"/>
    </row>
    <row r="58" spans="2:16" s="79" customFormat="1">
      <c r="B58" s="165" t="s">
        <v>69</v>
      </c>
      <c r="C58" s="171">
        <v>1328409175</v>
      </c>
      <c r="D58" s="171"/>
      <c r="E58" s="171"/>
      <c r="F58" s="170">
        <f t="shared" si="2"/>
        <v>1328409175</v>
      </c>
      <c r="I58" s="81"/>
      <c r="J58" s="81"/>
      <c r="K58" s="81"/>
      <c r="L58" s="81"/>
      <c r="M58" s="81"/>
      <c r="N58" s="81"/>
      <c r="O58" s="81"/>
      <c r="P58" s="81"/>
    </row>
    <row r="59" spans="2:16" s="79" customFormat="1">
      <c r="B59" s="165" t="s">
        <v>308</v>
      </c>
      <c r="C59" s="171">
        <v>199572128</v>
      </c>
      <c r="D59" s="171">
        <v>24291000</v>
      </c>
      <c r="E59" s="171"/>
      <c r="F59" s="170">
        <f t="shared" si="2"/>
        <v>223863128</v>
      </c>
      <c r="I59" s="81"/>
      <c r="J59" s="81"/>
      <c r="K59" s="81"/>
      <c r="L59" s="81"/>
      <c r="M59" s="81"/>
      <c r="N59" s="81"/>
      <c r="O59" s="81"/>
      <c r="P59" s="81"/>
    </row>
    <row r="60" spans="2:16" s="79" customFormat="1">
      <c r="B60" s="165" t="s">
        <v>323</v>
      </c>
      <c r="C60" s="171">
        <v>203612581</v>
      </c>
      <c r="D60" s="171"/>
      <c r="E60" s="171">
        <v>302551270</v>
      </c>
      <c r="F60" s="170">
        <f t="shared" si="2"/>
        <v>506163851</v>
      </c>
      <c r="I60" s="81"/>
      <c r="J60" s="81"/>
      <c r="K60" s="81"/>
      <c r="L60" s="81"/>
      <c r="M60" s="81"/>
      <c r="N60" s="81"/>
      <c r="O60" s="81"/>
      <c r="P60" s="81"/>
    </row>
    <row r="61" spans="2:16" s="79" customFormat="1">
      <c r="B61" s="165" t="s">
        <v>66</v>
      </c>
      <c r="C61" s="171">
        <v>165426798</v>
      </c>
      <c r="D61" s="171"/>
      <c r="E61" s="171"/>
      <c r="F61" s="170">
        <f t="shared" si="2"/>
        <v>165426798</v>
      </c>
      <c r="I61" s="81"/>
      <c r="J61" s="81"/>
      <c r="K61" s="81"/>
      <c r="L61" s="81"/>
      <c r="M61" s="81"/>
      <c r="N61" s="81"/>
      <c r="O61" s="81"/>
      <c r="P61" s="81"/>
    </row>
    <row r="62" spans="2:16" s="79" customFormat="1">
      <c r="B62" s="165" t="s">
        <v>351</v>
      </c>
      <c r="C62" s="171">
        <v>341380444</v>
      </c>
      <c r="D62" s="171">
        <v>125570000</v>
      </c>
      <c r="E62" s="171"/>
      <c r="F62" s="170">
        <f t="shared" si="2"/>
        <v>466950444</v>
      </c>
      <c r="I62" s="81"/>
      <c r="J62" s="81"/>
      <c r="K62" s="81"/>
      <c r="L62" s="81"/>
      <c r="M62" s="81"/>
      <c r="N62" s="81"/>
      <c r="O62" s="81"/>
      <c r="P62" s="81"/>
    </row>
    <row r="63" spans="2:16" s="79" customFormat="1">
      <c r="B63" s="165" t="s">
        <v>361</v>
      </c>
      <c r="C63" s="171">
        <v>568277357</v>
      </c>
      <c r="D63" s="171">
        <v>2173065</v>
      </c>
      <c r="E63" s="171"/>
      <c r="F63" s="170">
        <f t="shared" si="2"/>
        <v>570450422</v>
      </c>
      <c r="I63" s="81"/>
      <c r="J63" s="81"/>
      <c r="K63" s="81"/>
      <c r="L63" s="81"/>
      <c r="M63" s="81"/>
      <c r="N63" s="81"/>
      <c r="O63" s="81"/>
      <c r="P63" s="81"/>
    </row>
    <row r="64" spans="2:16" s="79" customFormat="1">
      <c r="B64" s="165" t="s">
        <v>387</v>
      </c>
      <c r="C64" s="171">
        <v>48696301</v>
      </c>
      <c r="D64" s="171"/>
      <c r="E64" s="171"/>
      <c r="F64" s="170">
        <f t="shared" si="2"/>
        <v>48696301</v>
      </c>
      <c r="I64" s="81"/>
      <c r="J64" s="81"/>
      <c r="K64" s="81"/>
      <c r="L64" s="81"/>
      <c r="M64" s="81"/>
      <c r="N64" s="81"/>
      <c r="O64" s="81"/>
      <c r="P64" s="81"/>
    </row>
    <row r="164" spans="1:20" s="73" customFormat="1" ht="24">
      <c r="A164" s="56"/>
      <c r="B164" s="56"/>
      <c r="C164" s="56"/>
      <c r="D164" s="56"/>
      <c r="E164" s="56"/>
      <c r="F164" s="56"/>
      <c r="G164" s="56"/>
      <c r="H164" s="56"/>
      <c r="I164" s="113" t="s">
        <v>55</v>
      </c>
      <c r="Q164" s="56"/>
      <c r="R164" s="56"/>
      <c r="S164" s="56"/>
      <c r="T164" s="56"/>
    </row>
    <row r="294" spans="1:20" s="73" customFormat="1">
      <c r="A294" s="56"/>
      <c r="B294" s="56"/>
      <c r="C294" s="56"/>
      <c r="D294" s="56"/>
      <c r="E294" s="56"/>
      <c r="F294" s="56"/>
      <c r="G294" s="56"/>
      <c r="H294" s="56"/>
      <c r="I294" s="137"/>
      <c r="K294" s="73">
        <v>-50000</v>
      </c>
      <c r="Q294" s="56"/>
      <c r="R294" s="56"/>
      <c r="S294" s="56"/>
      <c r="T294" s="56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workbookViewId="0">
      <selection activeCell="F8" sqref="F8"/>
    </sheetView>
  </sheetViews>
  <sheetFormatPr defaultRowHeight="30" customHeight="1"/>
  <cols>
    <col min="1" max="1" width="7.625" customWidth="1"/>
  </cols>
  <sheetData>
    <row r="1" spans="1:13" ht="24.95" customHeight="1">
      <c r="A1" s="266"/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</row>
    <row r="2" spans="1:13" ht="24.95" customHeight="1">
      <c r="A2" s="266"/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</row>
    <row r="3" spans="1:13" ht="24.95" customHeight="1">
      <c r="A3" s="266"/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</row>
    <row r="4" spans="1:13" s="269" customFormat="1" ht="60" customHeight="1">
      <c r="A4" s="267" t="s">
        <v>679</v>
      </c>
      <c r="B4" s="268"/>
      <c r="C4" s="268"/>
      <c r="D4" s="268"/>
      <c r="E4" s="268"/>
      <c r="F4" s="268"/>
      <c r="G4" s="268"/>
      <c r="H4" s="268"/>
      <c r="I4" s="268"/>
      <c r="J4" s="268"/>
      <c r="K4" s="268"/>
      <c r="L4" s="268"/>
      <c r="M4" s="268"/>
    </row>
    <row r="5" spans="1:13" ht="45" customHeight="1">
      <c r="A5" s="266"/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</row>
    <row r="6" spans="1:13" ht="45" customHeight="1">
      <c r="B6" s="270" t="s">
        <v>618</v>
      </c>
      <c r="C6" s="266"/>
      <c r="D6" s="266"/>
      <c r="E6" s="266"/>
      <c r="F6" s="266"/>
      <c r="G6" s="266"/>
      <c r="H6" s="266"/>
      <c r="I6" s="266"/>
      <c r="J6" s="266"/>
      <c r="K6" s="266"/>
      <c r="L6" s="266"/>
      <c r="M6" s="266"/>
    </row>
    <row r="7" spans="1:13" ht="45" customHeight="1">
      <c r="A7" s="266"/>
      <c r="B7" s="271"/>
      <c r="C7" s="266"/>
      <c r="D7" s="266"/>
      <c r="E7" s="266"/>
      <c r="F7" s="266"/>
      <c r="G7" s="266"/>
      <c r="H7" s="266"/>
      <c r="I7" s="266"/>
      <c r="J7" s="266"/>
      <c r="K7" s="266"/>
      <c r="L7" s="266"/>
      <c r="M7" s="266"/>
    </row>
    <row r="8" spans="1:13" ht="45" customHeight="1">
      <c r="A8" s="266"/>
      <c r="B8" s="271"/>
      <c r="C8" s="266"/>
      <c r="D8" s="266"/>
      <c r="E8" s="266"/>
      <c r="F8" s="266"/>
      <c r="G8" s="266"/>
      <c r="H8" s="266"/>
      <c r="I8" s="266"/>
      <c r="J8" s="266"/>
      <c r="K8" s="266"/>
      <c r="L8" s="266"/>
      <c r="M8" s="266"/>
    </row>
    <row r="9" spans="1:13" ht="30" customHeight="1">
      <c r="A9" s="266"/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6"/>
    </row>
    <row r="10" spans="1:13" ht="30" customHeight="1">
      <c r="A10" s="266"/>
      <c r="B10" s="266"/>
      <c r="C10" s="266"/>
      <c r="D10" s="266"/>
      <c r="E10" s="266"/>
      <c r="F10" s="266"/>
      <c r="G10" s="266"/>
      <c r="H10" s="266"/>
      <c r="I10" s="266"/>
      <c r="J10" s="266"/>
      <c r="K10" s="266"/>
      <c r="L10" s="266"/>
      <c r="M10" s="266"/>
    </row>
    <row r="11" spans="1:13" ht="30" customHeight="1">
      <c r="A11" s="266"/>
      <c r="B11" s="266"/>
      <c r="C11" s="266"/>
      <c r="D11" s="266"/>
      <c r="E11" s="266"/>
      <c r="F11" s="266"/>
      <c r="G11" s="266"/>
      <c r="H11" s="266"/>
      <c r="I11" s="266"/>
      <c r="J11" s="266"/>
      <c r="K11" s="266"/>
      <c r="L11" s="266"/>
      <c r="M11" s="266"/>
    </row>
    <row r="12" spans="1:13" ht="45" customHeight="1">
      <c r="A12" s="272" t="s">
        <v>678</v>
      </c>
      <c r="B12" s="266"/>
      <c r="C12" s="266"/>
      <c r="D12" s="266"/>
      <c r="E12" s="266"/>
      <c r="F12" s="266"/>
      <c r="G12" s="266"/>
      <c r="H12" s="266"/>
      <c r="I12" s="266"/>
      <c r="J12" s="266"/>
      <c r="K12" s="266"/>
      <c r="L12" s="266"/>
      <c r="M12" s="266"/>
    </row>
  </sheetData>
  <phoneticPr fontId="2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N66"/>
  <sheetViews>
    <sheetView workbookViewId="0">
      <selection activeCell="I26" sqref="I26"/>
    </sheetView>
  </sheetViews>
  <sheetFormatPr defaultRowHeight="20.100000000000001" customHeight="1"/>
  <cols>
    <col min="1" max="1" width="22.625" customWidth="1"/>
    <col min="2" max="2" width="17.125" customWidth="1"/>
    <col min="3" max="6" width="15.125" customWidth="1"/>
    <col min="7" max="7" width="17.125" customWidth="1"/>
    <col min="8" max="8" width="3.625" style="275" customWidth="1"/>
    <col min="9" max="13" width="15.625" customWidth="1"/>
  </cols>
  <sheetData>
    <row r="1" spans="1:13" ht="30" customHeight="1">
      <c r="A1" s="273" t="s">
        <v>619</v>
      </c>
      <c r="B1" s="266"/>
      <c r="C1" s="266"/>
      <c r="D1" s="266"/>
      <c r="E1" s="266"/>
      <c r="F1" s="266"/>
      <c r="G1" s="266"/>
      <c r="H1" s="274"/>
    </row>
    <row r="2" spans="1:13" ht="9.9499999999999993" customHeight="1"/>
    <row r="3" spans="1:13" ht="20.100000000000001" customHeight="1">
      <c r="A3" s="276" t="s">
        <v>575</v>
      </c>
      <c r="C3" s="277" t="s">
        <v>576</v>
      </c>
      <c r="D3" s="278">
        <f>SUM(C7:D7)</f>
        <v>144000000</v>
      </c>
      <c r="E3" s="277" t="s">
        <v>121</v>
      </c>
      <c r="F3" s="278">
        <f>SUM(E7:F7)</f>
        <v>144000000</v>
      </c>
    </row>
    <row r="4" spans="1:13" ht="15" customHeight="1" thickBot="1">
      <c r="C4" s="279"/>
      <c r="D4" s="279"/>
      <c r="E4" s="280" t="s">
        <v>577</v>
      </c>
      <c r="F4" s="279"/>
      <c r="G4" s="281" t="s">
        <v>77</v>
      </c>
      <c r="H4" s="282"/>
    </row>
    <row r="5" spans="1:13" ht="18" customHeight="1">
      <c r="A5" s="386" t="s">
        <v>578</v>
      </c>
      <c r="B5" s="388" t="s">
        <v>579</v>
      </c>
      <c r="C5" s="388" t="s">
        <v>580</v>
      </c>
      <c r="D5" s="388"/>
      <c r="E5" s="388" t="s">
        <v>581</v>
      </c>
      <c r="F5" s="388"/>
      <c r="G5" s="390" t="s">
        <v>582</v>
      </c>
      <c r="H5" s="283"/>
      <c r="I5" s="284" t="s">
        <v>583</v>
      </c>
      <c r="J5" s="285"/>
      <c r="K5" s="285"/>
      <c r="L5" s="285"/>
      <c r="M5" s="285"/>
    </row>
    <row r="6" spans="1:13" ht="18" customHeight="1">
      <c r="A6" s="387"/>
      <c r="B6" s="389"/>
      <c r="C6" s="286" t="s">
        <v>584</v>
      </c>
      <c r="D6" s="286" t="s">
        <v>585</v>
      </c>
      <c r="E6" s="286" t="s">
        <v>584</v>
      </c>
      <c r="F6" s="286" t="s">
        <v>585</v>
      </c>
      <c r="G6" s="391"/>
      <c r="H6" s="283"/>
      <c r="I6" s="287" t="s">
        <v>578</v>
      </c>
      <c r="J6" s="287" t="s">
        <v>73</v>
      </c>
      <c r="K6" s="287" t="s">
        <v>74</v>
      </c>
      <c r="L6" s="287" t="s">
        <v>586</v>
      </c>
      <c r="M6" s="287" t="s">
        <v>587</v>
      </c>
    </row>
    <row r="7" spans="1:13" ht="21.95" customHeight="1">
      <c r="A7" s="288" t="s">
        <v>588</v>
      </c>
      <c r="B7" s="289">
        <f>SUM(B8:B17)</f>
        <v>19097508620</v>
      </c>
      <c r="C7" s="289">
        <f t="shared" ref="C7:G7" si="0">SUM(C8:C17)</f>
        <v>-10000000</v>
      </c>
      <c r="D7" s="289">
        <f t="shared" si="0"/>
        <v>154000000</v>
      </c>
      <c r="E7" s="289">
        <f t="shared" si="0"/>
        <v>-29000000</v>
      </c>
      <c r="F7" s="289">
        <f t="shared" si="0"/>
        <v>173000000</v>
      </c>
      <c r="G7" s="290">
        <f t="shared" si="0"/>
        <v>19241508620</v>
      </c>
      <c r="H7" s="291"/>
      <c r="I7" s="292" t="s">
        <v>588</v>
      </c>
      <c r="J7" s="293">
        <f>SUM(J8:J9)</f>
        <v>144000000</v>
      </c>
      <c r="K7" s="293">
        <f>SUM(K8:K9)</f>
        <v>144000000</v>
      </c>
      <c r="L7" s="293">
        <f>J7-K7</f>
        <v>0</v>
      </c>
      <c r="M7" s="294"/>
    </row>
    <row r="8" spans="1:13" ht="21.95" customHeight="1">
      <c r="A8" s="295" t="s">
        <v>509</v>
      </c>
      <c r="B8" s="340">
        <v>56153139</v>
      </c>
      <c r="C8" s="180">
        <f>SUMIFS('16년1추 일입'!$N$7:$N$15,'16년1추 일입'!$A$7:$A$15,$A8)+SUMIFS('16년 1추특입'!$N$7:$N$12,'16년 1추특입'!$A$7:$A$12,$A8)</f>
        <v>0</v>
      </c>
      <c r="D8" s="180">
        <f>SUMIFS('16년1추 일입'!$O$7:$O$15,'16년1추 일입'!$A$7:$A$15,$A8)+SUMIFS('16년 1추특입'!$O$7:$O$12,'16년 1추특입'!$A$7:$A$12,$A8)</f>
        <v>0</v>
      </c>
      <c r="E8" s="180">
        <f>SUMIFS('16년 1추일출'!$N$7:$N$28,'16년 1추일출'!$A$7:$A$28,$A8)+SUMIFS('16년 1추특출'!$N$7:$N$12,'16년 1추특출'!$A$7:$A$12,$A8)</f>
        <v>0</v>
      </c>
      <c r="F8" s="180">
        <f>SUMIFS('16년 1추일출'!$O$7:$O$28,'16년 1추일출'!$A$7:$A$28,$A8)+SUMIFS('16년 1추특출'!$O$7:$O$12,'16년 1추특출'!$A$7:$A$12,$A8)</f>
        <v>0</v>
      </c>
      <c r="G8" s="296">
        <f t="shared" ref="G8:G17" si="1">B8+E8+F8</f>
        <v>56153139</v>
      </c>
      <c r="H8" s="291"/>
      <c r="I8" s="297" t="s">
        <v>589</v>
      </c>
      <c r="J8" s="278">
        <f>SUM(C24:D24)</f>
        <v>140000000</v>
      </c>
      <c r="K8" s="278">
        <f t="shared" ref="K8:K9" si="2">SUM(E24:F24)</f>
        <v>140000000</v>
      </c>
      <c r="L8" s="278">
        <f>J8-K8</f>
        <v>0</v>
      </c>
      <c r="M8" s="392"/>
    </row>
    <row r="9" spans="1:13" ht="21.95" customHeight="1">
      <c r="A9" s="295" t="s">
        <v>510</v>
      </c>
      <c r="B9" s="340">
        <v>5482100057</v>
      </c>
      <c r="C9" s="180">
        <f>SUMIFS('16년1추 일입'!$N$7:$N$15,'16년1추 일입'!$A$7:$A$15,$A9)+SUMIFS('16년 1추특입'!$N$7:$N$12,'16년 1추특입'!$A$7:$A$12,$A9)</f>
        <v>-10000000</v>
      </c>
      <c r="D9" s="180">
        <f>SUMIFS('16년1추 일입'!$O$7:$O$15,'16년1추 일입'!$A$7:$A$15,$A9)+SUMIFS('16년 1추특입'!$O$7:$O$12,'16년 1추특입'!$A$7:$A$12,$A9)</f>
        <v>0</v>
      </c>
      <c r="E9" s="180">
        <f>SUMIFS('16년 1추일출'!$N$7:$N$28,'16년 1추일출'!$A$7:$A$28,$A9)+SUMIFS('16년 1추특출'!$N$7:$N$12,'16년 1추특출'!$A$7:$A$12,$A9)</f>
        <v>-22921030</v>
      </c>
      <c r="F9" s="180">
        <f>SUMIFS('16년 1추일출'!$O$7:$O$28,'16년 1추일출'!$A$7:$A$28,$A9)+SUMIFS('16년 1추특출'!$O$7:$O$12,'16년 1추특출'!$A$7:$A$12,$A9)</f>
        <v>53800000</v>
      </c>
      <c r="G9" s="296">
        <f t="shared" si="1"/>
        <v>5512979027</v>
      </c>
      <c r="H9" s="291"/>
      <c r="I9" s="297" t="s">
        <v>590</v>
      </c>
      <c r="J9" s="278">
        <f t="shared" ref="J9" si="3">SUM(C25:D25)</f>
        <v>4000000</v>
      </c>
      <c r="K9" s="278">
        <f t="shared" si="2"/>
        <v>4000000</v>
      </c>
      <c r="L9" s="278">
        <f>J9-K9</f>
        <v>0</v>
      </c>
      <c r="M9" s="393"/>
    </row>
    <row r="10" spans="1:13" ht="21.95" customHeight="1">
      <c r="A10" s="295" t="s">
        <v>511</v>
      </c>
      <c r="B10" s="340">
        <v>522015656</v>
      </c>
      <c r="C10" s="180">
        <f>SUMIFS('16년1추 일입'!$N$7:$N$15,'16년1추 일입'!$A$7:$A$15,$A10)+SUMIFS('16년 1추특입'!$N$7:$N$12,'16년 1추특입'!$A$7:$A$12,$A10)</f>
        <v>0</v>
      </c>
      <c r="D10" s="180">
        <f>SUMIFS('16년1추 일입'!$O$7:$O$15,'16년1추 일입'!$A$7:$A$15,$A10)+SUMIFS('16년 1추특입'!$O$7:$O$12,'16년 1추특입'!$A$7:$A$12,$A10)</f>
        <v>0</v>
      </c>
      <c r="E10" s="180">
        <f>SUMIFS('16년 1추일출'!$N$7:$N$28,'16년 1추일출'!$A$7:$A$28,$A10)+SUMIFS('16년 1추특출'!$N$7:$N$12,'16년 1추특출'!$A$7:$A$12,$A10)</f>
        <v>0</v>
      </c>
      <c r="F10" s="180">
        <f>SUMIFS('16년 1추일출'!$O$7:$O$28,'16년 1추일출'!$A$7:$A$28,$A10)+SUMIFS('16년 1추특출'!$O$7:$O$12,'16년 1추특출'!$A$7:$A$12,$A10)</f>
        <v>0</v>
      </c>
      <c r="G10" s="296">
        <f t="shared" si="1"/>
        <v>522015656</v>
      </c>
      <c r="H10" s="291"/>
    </row>
    <row r="11" spans="1:13" ht="21.95" customHeight="1">
      <c r="A11" s="295" t="s">
        <v>91</v>
      </c>
      <c r="B11" s="340">
        <v>1445519843</v>
      </c>
      <c r="C11" s="180">
        <f>SUMIFS('16년1추 일입'!$N$7:$N$15,'16년1추 일입'!$A$7:$A$15,$A11)+SUMIFS('16년 1추특입'!$N$7:$N$12,'16년 1추특입'!$A$7:$A$12,$A11)</f>
        <v>0</v>
      </c>
      <c r="D11" s="180">
        <f>SUMIFS('16년1추 일입'!$O$7:$O$15,'16년1추 일입'!$A$7:$A$15,$A11)+SUMIFS('16년 1추특입'!$O$7:$O$12,'16년 1추특입'!$A$7:$A$12,$A11)</f>
        <v>140000000</v>
      </c>
      <c r="E11" s="180">
        <f>SUMIFS('16년 1추일출'!$N$7:$N$28,'16년 1추일출'!$A$7:$A$28,$A11)+SUMIFS('16년 1추특출'!$N$7:$N$12,'16년 1추특출'!$A$7:$A$12,$A11)</f>
        <v>0</v>
      </c>
      <c r="F11" s="180">
        <f>SUMIFS('16년 1추일출'!$O$7:$O$28,'16년 1추일출'!$A$7:$A$28,$A11)+SUMIFS('16년 1추특출'!$O$7:$O$12,'16년 1추특출'!$A$7:$A$12,$A11)</f>
        <v>4200000</v>
      </c>
      <c r="G11" s="296">
        <f t="shared" si="1"/>
        <v>1449719843</v>
      </c>
      <c r="H11" s="291"/>
      <c r="I11" s="298"/>
      <c r="J11" s="298"/>
      <c r="K11" s="298"/>
      <c r="L11" s="281"/>
    </row>
    <row r="12" spans="1:13" ht="21.95" customHeight="1">
      <c r="A12" s="295" t="s">
        <v>512</v>
      </c>
      <c r="B12" s="340">
        <v>364940130</v>
      </c>
      <c r="C12" s="180">
        <f>SUMIFS('16년1추 일입'!$N$7:$N$15,'16년1추 일입'!$A$7:$A$15,$A12)+SUMIFS('16년 1추특입'!$N$7:$N$12,'16년 1추특입'!$A$7:$A$12,$A12)</f>
        <v>0</v>
      </c>
      <c r="D12" s="180">
        <f>SUMIFS('16년1추 일입'!$O$7:$O$15,'16년1추 일입'!$A$7:$A$15,$A12)+SUMIFS('16년 1추특입'!$O$7:$O$12,'16년 1추특입'!$A$7:$A$12,$A12)</f>
        <v>14000000</v>
      </c>
      <c r="E12" s="180">
        <f>SUMIFS('16년 1추일출'!$N$7:$N$28,'16년 1추일출'!$A$7:$A$28,$A12)+SUMIFS('16년 1추특출'!$N$7:$N$12,'16년 1추특출'!$A$7:$A$12,$A12)</f>
        <v>0</v>
      </c>
      <c r="F12" s="180">
        <f>SUMIFS('16년 1추일출'!$O$7:$O$28,'16년 1추일출'!$A$7:$A$28,$A12)+SUMIFS('16년 1추특출'!$O$7:$O$12,'16년 1추특출'!$A$7:$A$12,$A12)</f>
        <v>28000000</v>
      </c>
      <c r="G12" s="296">
        <f t="shared" si="1"/>
        <v>392940130</v>
      </c>
      <c r="H12" s="291"/>
      <c r="I12" s="297"/>
      <c r="J12" s="181"/>
      <c r="K12" s="181"/>
      <c r="L12" s="181"/>
    </row>
    <row r="13" spans="1:13" ht="21.95" customHeight="1">
      <c r="A13" s="295" t="s">
        <v>92</v>
      </c>
      <c r="B13" s="340">
        <v>499643803</v>
      </c>
      <c r="C13" s="180">
        <f>SUMIFS('16년1추 일입'!$N$7:$N$15,'16년1추 일입'!$A$7:$A$15,$A13)+SUMIFS('16년 1추특입'!$N$7:$N$12,'16년 1추특입'!$A$7:$A$12,$A13)</f>
        <v>0</v>
      </c>
      <c r="D13" s="180">
        <f>SUMIFS('16년1추 일입'!$O$7:$O$15,'16년1추 일입'!$A$7:$A$15,$A13)+SUMIFS('16년 1추특입'!$O$7:$O$12,'16년 1추특입'!$A$7:$A$12,$A13)</f>
        <v>0</v>
      </c>
      <c r="E13" s="180">
        <f>SUMIFS('16년 1추일출'!$N$7:$N$28,'16년 1추일출'!$A$7:$A$28,$A13)+SUMIFS('16년 1추특출'!$N$7:$N$12,'16년 1추특출'!$A$7:$A$12,$A13)</f>
        <v>0</v>
      </c>
      <c r="F13" s="180">
        <f>SUMIFS('16년 1추일출'!$O$7:$O$28,'16년 1추일출'!$A$7:$A$28,$A13)+SUMIFS('16년 1추특출'!$O$7:$O$12,'16년 1추특출'!$A$7:$A$12,$A13)</f>
        <v>0</v>
      </c>
      <c r="G13" s="296">
        <f t="shared" si="1"/>
        <v>499643803</v>
      </c>
      <c r="H13" s="291"/>
      <c r="I13" s="297"/>
      <c r="J13" s="278"/>
      <c r="K13" s="278"/>
      <c r="L13" s="278"/>
    </row>
    <row r="14" spans="1:13" ht="21.95" customHeight="1">
      <c r="A14" s="295" t="s">
        <v>93</v>
      </c>
      <c r="B14" s="340">
        <v>3966689029</v>
      </c>
      <c r="C14" s="180">
        <f>SUMIFS('16년1추 일입'!$N$7:$N$15,'16년1추 일입'!$A$7:$A$15,$A14)+SUMIFS('16년 1추특입'!$N$7:$N$12,'16년 1추특입'!$A$7:$A$12,$A14)</f>
        <v>0</v>
      </c>
      <c r="D14" s="180">
        <f>SUMIFS('16년1추 일입'!$O$7:$O$15,'16년1추 일입'!$A$7:$A$15,$A14)+SUMIFS('16년 1추특입'!$O$7:$O$12,'16년 1추특입'!$A$7:$A$12,$A14)</f>
        <v>0</v>
      </c>
      <c r="E14" s="180">
        <f>SUMIFS('16년 1추일출'!$N$7:$N$28,'16년 1추일출'!$A$7:$A$28,$A14)+SUMIFS('16년 1추특출'!$N$7:$N$12,'16년 1추특출'!$A$7:$A$12,$A14)</f>
        <v>0</v>
      </c>
      <c r="F14" s="180">
        <f>SUMIFS('16년 1추일출'!$O$7:$O$28,'16년 1추일출'!$A$7:$A$28,$A14)+SUMIFS('16년 1추특출'!$O$7:$O$12,'16년 1추특출'!$A$7:$A$12,$A14)</f>
        <v>0</v>
      </c>
      <c r="G14" s="296">
        <f t="shared" si="1"/>
        <v>3966689029</v>
      </c>
      <c r="H14" s="291"/>
      <c r="I14" s="328" t="s">
        <v>75</v>
      </c>
      <c r="J14" s="328" t="s">
        <v>591</v>
      </c>
      <c r="K14" s="328" t="s">
        <v>592</v>
      </c>
      <c r="L14" s="328" t="s">
        <v>593</v>
      </c>
    </row>
    <row r="15" spans="1:13" ht="21.95" customHeight="1">
      <c r="A15" s="295" t="s">
        <v>513</v>
      </c>
      <c r="B15" s="340">
        <v>1408356074</v>
      </c>
      <c r="C15" s="180">
        <f>SUMIFS('16년1추 일입'!$N$7:$N$15,'16년1추 일입'!$A$7:$A$15,$A15)+SUMIFS('16년 1추특입'!$N$7:$N$12,'16년 1추특입'!$A$7:$A$12,$A15)</f>
        <v>0</v>
      </c>
      <c r="D15" s="180">
        <f>SUMIFS('16년1추 일입'!$O$7:$O$15,'16년1추 일입'!$A$7:$A$15,$A15)+SUMIFS('16년 1추특입'!$O$7:$O$12,'16년 1추특입'!$A$7:$A$12,$A15)</f>
        <v>0</v>
      </c>
      <c r="E15" s="180">
        <f>SUMIFS('16년 1추일출'!$N$7:$N$28,'16년 1추일출'!$A$7:$A$28,$A15)+SUMIFS('16년 1추특출'!$N$7:$N$12,'16년 1추특출'!$A$7:$A$12,$A15)</f>
        <v>-5000000</v>
      </c>
      <c r="F15" s="180">
        <f>SUMIFS('16년 1추일출'!$O$7:$O$28,'16년 1추일출'!$A$7:$A$28,$A15)+SUMIFS('16년 1추특출'!$O$7:$O$12,'16년 1추특출'!$A$7:$A$12,$A15)</f>
        <v>5000000</v>
      </c>
      <c r="G15" s="296">
        <f t="shared" si="1"/>
        <v>1408356074</v>
      </c>
      <c r="H15" s="291"/>
      <c r="I15" s="328" t="s">
        <v>594</v>
      </c>
      <c r="J15" s="329">
        <v>30000000</v>
      </c>
      <c r="K15" s="329"/>
      <c r="L15" s="329"/>
    </row>
    <row r="16" spans="1:13" ht="21.95" customHeight="1">
      <c r="A16" s="299" t="s">
        <v>514</v>
      </c>
      <c r="B16" s="340">
        <v>975016046</v>
      </c>
      <c r="C16" s="180">
        <f>SUMIFS('16년1추 일입'!$N$7:$N$15,'16년1추 일입'!$A$7:$A$15,$A16)+SUMIFS('16년 1추특입'!$N$7:$N$12,'16년 1추특입'!$A$7:$A$12,$A16)</f>
        <v>0</v>
      </c>
      <c r="D16" s="180">
        <f>SUMIFS('16년1추 일입'!$O$7:$O$15,'16년1추 일입'!$A$7:$A$15,$A16)+SUMIFS('16년 1추특입'!$O$7:$O$12,'16년 1추특입'!$A$7:$A$12,$A16)</f>
        <v>0</v>
      </c>
      <c r="E16" s="180">
        <f>SUMIFS('16년 1추일출'!$N$7:$N$28,'16년 1추일출'!$A$7:$A$28,$A16)+SUMIFS('16년 1추특출'!$N$7:$N$12,'16년 1추특출'!$A$7:$A$12,$A16)</f>
        <v>0</v>
      </c>
      <c r="F16" s="180">
        <f>SUMIFS('16년 1추일출'!$O$7:$O$28,'16년 1추일출'!$A$7:$A$28,$A16)+SUMIFS('16년 1추특출'!$O$7:$O$12,'16년 1추특출'!$A$7:$A$12,$A16)</f>
        <v>0</v>
      </c>
      <c r="G16" s="296">
        <f t="shared" si="1"/>
        <v>975016046</v>
      </c>
      <c r="H16" s="291"/>
      <c r="I16" s="330"/>
      <c r="J16" s="339"/>
      <c r="K16" s="330"/>
      <c r="L16" s="330"/>
    </row>
    <row r="17" spans="1:14" ht="21.95" customHeight="1" thickBot="1">
      <c r="A17" s="300" t="s">
        <v>515</v>
      </c>
      <c r="B17" s="341">
        <v>4377074843</v>
      </c>
      <c r="C17" s="301">
        <f>SUMIFS('16년1추 일입'!$N$7:$N$15,'16년1추 일입'!$A$7:$A$15,$A17)+SUMIFS('16년 1추특입'!$N$7:$N$12,'16년 1추특입'!$A$7:$A$12,$A17)</f>
        <v>0</v>
      </c>
      <c r="D17" s="301">
        <f>SUMIFS('16년1추 일입'!$O$7:$O$15,'16년1추 일입'!$A$7:$A$15,$A17)+SUMIFS('16년 1추특입'!$O$7:$O$12,'16년 1추특입'!$A$7:$A$12,$A17)</f>
        <v>0</v>
      </c>
      <c r="E17" s="301">
        <f>SUMIFS('16년 1추일출'!$N$7:$N$28,'16년 1추일출'!$A$7:$A$28,$A17)+SUMIFS('16년 1추특출'!$N$7:$N$12,'16년 1추특출'!$A$7:$A$12,$A17)</f>
        <v>-1078970</v>
      </c>
      <c r="F17" s="301">
        <f>SUMIFS('16년 1추일출'!$O$7:$O$28,'16년 1추일출'!$A$7:$A$28,$A17)+SUMIFS('16년 1추특출'!$O$7:$O$12,'16년 1추특출'!$A$7:$A$12,$A17)</f>
        <v>82000000</v>
      </c>
      <c r="G17" s="302">
        <f t="shared" si="1"/>
        <v>4457995873</v>
      </c>
      <c r="H17" s="291"/>
      <c r="I17" s="330"/>
      <c r="J17" s="330"/>
      <c r="K17" s="330"/>
      <c r="L17" s="330"/>
    </row>
    <row r="18" spans="1:14" ht="20.100000000000001" customHeight="1">
      <c r="I18" s="330"/>
      <c r="J18" s="330"/>
      <c r="K18" s="330"/>
      <c r="L18" s="330"/>
    </row>
    <row r="19" spans="1:14" ht="20.100000000000001" customHeight="1">
      <c r="A19" s="276" t="s">
        <v>595</v>
      </c>
      <c r="I19" s="330"/>
      <c r="J19" s="330"/>
      <c r="K19" s="330"/>
      <c r="L19" s="330"/>
    </row>
    <row r="20" spans="1:14" ht="15" customHeight="1" thickBot="1">
      <c r="G20" s="281" t="s">
        <v>77</v>
      </c>
      <c r="H20" s="282"/>
      <c r="I20" s="330"/>
      <c r="J20" s="339"/>
      <c r="K20" s="330"/>
      <c r="L20" s="330"/>
    </row>
    <row r="21" spans="1:14" ht="18" customHeight="1">
      <c r="A21" s="386" t="s">
        <v>578</v>
      </c>
      <c r="B21" s="388" t="s">
        <v>579</v>
      </c>
      <c r="C21" s="388" t="s">
        <v>580</v>
      </c>
      <c r="D21" s="388"/>
      <c r="E21" s="388" t="s">
        <v>581</v>
      </c>
      <c r="F21" s="388"/>
      <c r="G21" s="390" t="s">
        <v>582</v>
      </c>
      <c r="H21" s="283"/>
      <c r="I21" s="331"/>
      <c r="J21" s="332"/>
      <c r="K21" s="333"/>
      <c r="L21" s="330"/>
    </row>
    <row r="22" spans="1:14" ht="18" customHeight="1">
      <c r="A22" s="387"/>
      <c r="B22" s="389"/>
      <c r="C22" s="286" t="s">
        <v>584</v>
      </c>
      <c r="D22" s="286" t="s">
        <v>585</v>
      </c>
      <c r="E22" s="286" t="s">
        <v>584</v>
      </c>
      <c r="F22" s="286" t="s">
        <v>585</v>
      </c>
      <c r="G22" s="391"/>
      <c r="H22" s="283"/>
      <c r="I22" s="334"/>
      <c r="J22" s="331"/>
      <c r="K22" s="333"/>
      <c r="L22" s="330"/>
    </row>
    <row r="23" spans="1:14" ht="21.95" customHeight="1">
      <c r="A23" s="288" t="s">
        <v>588</v>
      </c>
      <c r="B23" s="289">
        <f>SUM(B24:B25)</f>
        <v>19097508620</v>
      </c>
      <c r="C23" s="289">
        <f t="shared" ref="C23:G23" si="4">SUM(C24:C25)</f>
        <v>-10000000</v>
      </c>
      <c r="D23" s="289">
        <f t="shared" si="4"/>
        <v>154000000</v>
      </c>
      <c r="E23" s="289">
        <f t="shared" si="4"/>
        <v>-29000000</v>
      </c>
      <c r="F23" s="289">
        <f t="shared" si="4"/>
        <v>173000000</v>
      </c>
      <c r="G23" s="290">
        <f t="shared" si="4"/>
        <v>19241508620</v>
      </c>
      <c r="H23" s="291"/>
      <c r="I23" s="333"/>
      <c r="J23" s="333"/>
      <c r="K23" s="333"/>
      <c r="L23" s="330"/>
    </row>
    <row r="24" spans="1:14" ht="21.95" customHeight="1">
      <c r="A24" s="295" t="s">
        <v>589</v>
      </c>
      <c r="B24" s="180">
        <v>15567362577</v>
      </c>
      <c r="C24" s="180">
        <f>'16년1추 일입'!N6</f>
        <v>0</v>
      </c>
      <c r="D24" s="180">
        <f>'16년1추 일입'!O6</f>
        <v>140000000</v>
      </c>
      <c r="E24" s="180">
        <f>'16년 1추일출'!N6</f>
        <v>-19000000</v>
      </c>
      <c r="F24" s="180">
        <f>'16년 1추일출'!O6</f>
        <v>159000000</v>
      </c>
      <c r="G24" s="296">
        <f>B24+E24+F24</f>
        <v>15707362577</v>
      </c>
      <c r="H24" s="291"/>
      <c r="I24" s="333"/>
      <c r="J24" s="333"/>
      <c r="K24" s="333"/>
      <c r="L24" s="330"/>
    </row>
    <row r="25" spans="1:14" ht="21.95" customHeight="1" thickBot="1">
      <c r="A25" s="300" t="s">
        <v>596</v>
      </c>
      <c r="B25" s="301">
        <v>3530146043</v>
      </c>
      <c r="C25" s="301">
        <f>'16년 1추특입'!N6</f>
        <v>-10000000</v>
      </c>
      <c r="D25" s="301">
        <f>'16년 1추특입'!O6</f>
        <v>14000000</v>
      </c>
      <c r="E25" s="301">
        <f>'16년 1추특출'!N6</f>
        <v>-10000000</v>
      </c>
      <c r="F25" s="301">
        <f>'16년 1추특출'!O6</f>
        <v>14000000</v>
      </c>
      <c r="G25" s="302">
        <f t="shared" ref="G25" si="5">B25+E25+F25</f>
        <v>3534146043</v>
      </c>
      <c r="H25" s="291"/>
      <c r="I25" s="333"/>
      <c r="J25" s="333"/>
      <c r="K25" s="333"/>
      <c r="L25" s="330"/>
    </row>
    <row r="26" spans="1:14" ht="20.100000000000001" customHeight="1">
      <c r="I26" s="330"/>
      <c r="J26" s="339"/>
      <c r="K26" s="330"/>
      <c r="L26" s="330"/>
    </row>
    <row r="27" spans="1:14" ht="20.100000000000001" customHeight="1">
      <c r="I27" s="330"/>
      <c r="J27" s="330"/>
      <c r="K27" s="330"/>
      <c r="L27" s="330"/>
    </row>
    <row r="28" spans="1:14" ht="20.100000000000001" hidden="1" customHeight="1">
      <c r="A28" s="284" t="s">
        <v>597</v>
      </c>
      <c r="I28" s="330"/>
      <c r="J28" s="330"/>
      <c r="K28" s="330"/>
      <c r="L28" s="330"/>
    </row>
    <row r="29" spans="1:14" ht="20.100000000000001" hidden="1" customHeight="1">
      <c r="A29" s="287" t="s">
        <v>598</v>
      </c>
      <c r="B29" s="287" t="s">
        <v>599</v>
      </c>
      <c r="C29" s="287" t="s">
        <v>600</v>
      </c>
      <c r="D29" s="287" t="s">
        <v>601</v>
      </c>
      <c r="E29" s="287" t="s">
        <v>602</v>
      </c>
      <c r="F29" s="287" t="s">
        <v>603</v>
      </c>
      <c r="I29" s="335"/>
      <c r="J29" s="335"/>
      <c r="K29" s="335"/>
      <c r="L29" s="335"/>
      <c r="M29" s="327"/>
      <c r="N29" s="327"/>
    </row>
    <row r="30" spans="1:14" ht="20.100000000000001" hidden="1" customHeight="1">
      <c r="A30" s="292" t="s">
        <v>599</v>
      </c>
      <c r="B30" s="289">
        <f>SUM(B31:B40)</f>
        <v>192153139</v>
      </c>
      <c r="C30" s="289">
        <f t="shared" ref="C30:F30" si="6">SUM(C31:C40)</f>
        <v>192153139</v>
      </c>
      <c r="D30" s="289">
        <f t="shared" si="6"/>
        <v>142153139</v>
      </c>
      <c r="E30" s="289">
        <f t="shared" si="6"/>
        <v>50000000</v>
      </c>
      <c r="F30" s="289">
        <f t="shared" si="6"/>
        <v>0</v>
      </c>
      <c r="I30" s="335"/>
      <c r="J30" s="336"/>
      <c r="K30" s="336"/>
      <c r="L30" s="336"/>
      <c r="M30" s="291"/>
      <c r="N30" s="291"/>
    </row>
    <row r="31" spans="1:14" ht="20.100000000000001" hidden="1" customHeight="1">
      <c r="A31" s="303" t="s">
        <v>604</v>
      </c>
      <c r="B31" s="278">
        <f t="shared" ref="B31:B40" si="7">SUM(D31+E31+F31)</f>
        <v>56153139</v>
      </c>
      <c r="C31" s="278">
        <f t="shared" ref="C31:C40" si="8">SUM(D31:E31)</f>
        <v>56153139</v>
      </c>
      <c r="D31" s="325">
        <v>56153139</v>
      </c>
      <c r="E31" s="278"/>
      <c r="F31" s="278"/>
      <c r="I31" s="337"/>
      <c r="J31" s="338"/>
      <c r="K31" s="338"/>
      <c r="L31" s="338"/>
      <c r="M31" s="326"/>
      <c r="N31" s="326"/>
    </row>
    <row r="32" spans="1:14" ht="20.100000000000001" hidden="1" customHeight="1">
      <c r="A32" s="303" t="s">
        <v>605</v>
      </c>
      <c r="B32" s="278">
        <f t="shared" si="7"/>
        <v>54654130</v>
      </c>
      <c r="C32" s="278">
        <f t="shared" si="8"/>
        <v>54654130</v>
      </c>
      <c r="D32" s="278">
        <v>4654130</v>
      </c>
      <c r="E32" s="278">
        <v>50000000</v>
      </c>
      <c r="F32" s="278"/>
      <c r="I32" s="337"/>
      <c r="J32" s="338"/>
      <c r="K32" s="338"/>
      <c r="L32" s="338"/>
      <c r="M32" s="326"/>
      <c r="N32" s="326"/>
    </row>
    <row r="33" spans="1:14" ht="20.100000000000001" hidden="1" customHeight="1">
      <c r="A33" s="303" t="s">
        <v>606</v>
      </c>
      <c r="B33" s="278">
        <f t="shared" si="7"/>
        <v>25850000</v>
      </c>
      <c r="C33" s="278">
        <f t="shared" si="8"/>
        <v>25850000</v>
      </c>
      <c r="D33" s="278">
        <v>25850000</v>
      </c>
      <c r="E33" s="278"/>
      <c r="F33" s="278"/>
      <c r="I33" s="337"/>
      <c r="J33" s="338"/>
      <c r="K33" s="338"/>
      <c r="L33" s="338"/>
      <c r="M33" s="326"/>
      <c r="N33" s="326"/>
    </row>
    <row r="34" spans="1:14" ht="20.100000000000001" hidden="1" customHeight="1">
      <c r="A34" s="303" t="s">
        <v>607</v>
      </c>
      <c r="B34" s="278">
        <f t="shared" si="7"/>
        <v>2580000</v>
      </c>
      <c r="C34" s="278">
        <f t="shared" si="8"/>
        <v>2580000</v>
      </c>
      <c r="D34" s="278">
        <v>2580000</v>
      </c>
      <c r="E34" s="278"/>
      <c r="F34" s="278"/>
      <c r="I34" s="337"/>
      <c r="J34" s="338"/>
      <c r="K34" s="338"/>
      <c r="L34" s="338"/>
      <c r="M34" s="326"/>
      <c r="N34" s="326"/>
    </row>
    <row r="35" spans="1:14" ht="20.100000000000001" hidden="1" customHeight="1">
      <c r="A35" s="303" t="s">
        <v>608</v>
      </c>
      <c r="B35" s="278">
        <f t="shared" si="7"/>
        <v>6000000</v>
      </c>
      <c r="C35" s="278">
        <f t="shared" si="8"/>
        <v>6000000</v>
      </c>
      <c r="D35" s="278">
        <v>6000000</v>
      </c>
      <c r="E35" s="278"/>
      <c r="F35" s="278"/>
      <c r="I35" s="337"/>
      <c r="J35" s="338"/>
      <c r="K35" s="338"/>
      <c r="L35" s="338"/>
      <c r="M35" s="326"/>
      <c r="N35" s="326"/>
    </row>
    <row r="36" spans="1:14" ht="20.100000000000001" hidden="1" customHeight="1">
      <c r="A36" s="303" t="s">
        <v>609</v>
      </c>
      <c r="B36" s="278">
        <f t="shared" si="7"/>
        <v>3075870</v>
      </c>
      <c r="C36" s="278">
        <f t="shared" si="8"/>
        <v>3075870</v>
      </c>
      <c r="D36" s="278">
        <v>3075870</v>
      </c>
      <c r="E36" s="278"/>
      <c r="F36" s="278"/>
      <c r="I36" s="337"/>
      <c r="J36" s="338"/>
      <c r="K36" s="338"/>
      <c r="L36" s="338"/>
      <c r="M36" s="326"/>
      <c r="N36" s="326"/>
    </row>
    <row r="37" spans="1:14" ht="20.100000000000001" hidden="1" customHeight="1">
      <c r="A37" s="303" t="s">
        <v>610</v>
      </c>
      <c r="B37" s="278">
        <f t="shared" si="7"/>
        <v>0</v>
      </c>
      <c r="C37" s="278">
        <f t="shared" si="8"/>
        <v>0</v>
      </c>
      <c r="D37" s="278"/>
      <c r="E37" s="278"/>
      <c r="F37" s="278"/>
      <c r="I37" s="337"/>
      <c r="J37" s="338"/>
      <c r="K37" s="338"/>
      <c r="L37" s="338"/>
      <c r="M37" s="326"/>
      <c r="N37" s="326"/>
    </row>
    <row r="38" spans="1:14" ht="20.100000000000001" hidden="1" customHeight="1">
      <c r="A38" s="303" t="s">
        <v>611</v>
      </c>
      <c r="B38" s="278">
        <f t="shared" si="7"/>
        <v>31000000</v>
      </c>
      <c r="C38" s="278">
        <f t="shared" si="8"/>
        <v>31000000</v>
      </c>
      <c r="D38" s="278">
        <v>31000000</v>
      </c>
      <c r="E38" s="278"/>
      <c r="F38" s="278"/>
      <c r="I38" s="337"/>
      <c r="J38" s="338"/>
      <c r="K38" s="338"/>
      <c r="L38" s="338"/>
      <c r="M38" s="326"/>
      <c r="N38" s="326"/>
    </row>
    <row r="39" spans="1:14" ht="20.100000000000001" hidden="1" customHeight="1">
      <c r="A39" s="303" t="s">
        <v>612</v>
      </c>
      <c r="B39" s="278">
        <f t="shared" si="7"/>
        <v>0</v>
      </c>
      <c r="C39" s="278">
        <f t="shared" si="8"/>
        <v>0</v>
      </c>
      <c r="D39" s="278"/>
      <c r="E39" s="278"/>
      <c r="F39" s="278"/>
      <c r="I39" s="337"/>
      <c r="J39" s="338"/>
      <c r="K39" s="338"/>
      <c r="L39" s="338"/>
      <c r="M39" s="326"/>
      <c r="N39" s="326"/>
    </row>
    <row r="40" spans="1:14" ht="20.100000000000001" hidden="1" customHeight="1">
      <c r="A40" s="303" t="s">
        <v>515</v>
      </c>
      <c r="B40" s="278">
        <f t="shared" si="7"/>
        <v>12840000</v>
      </c>
      <c r="C40" s="278">
        <f t="shared" si="8"/>
        <v>12840000</v>
      </c>
      <c r="D40" s="278">
        <v>12840000</v>
      </c>
      <c r="E40" s="278"/>
      <c r="F40" s="278"/>
      <c r="I40" s="337"/>
      <c r="J40" s="338"/>
      <c r="K40" s="338"/>
      <c r="L40" s="338"/>
      <c r="M40" s="326"/>
      <c r="N40" s="326"/>
    </row>
    <row r="41" spans="1:14" ht="20.100000000000001" hidden="1" customHeight="1">
      <c r="I41" s="330"/>
      <c r="J41" s="330"/>
      <c r="K41" s="330"/>
      <c r="L41" s="330"/>
    </row>
    <row r="42" spans="1:14" ht="20.100000000000001" hidden="1" customHeight="1">
      <c r="A42" s="304" t="s">
        <v>613</v>
      </c>
      <c r="B42" s="278"/>
      <c r="C42" s="278"/>
      <c r="I42" s="330"/>
      <c r="J42" s="330"/>
      <c r="K42" s="330"/>
      <c r="L42" s="330"/>
    </row>
    <row r="43" spans="1:14" ht="20.100000000000001" customHeight="1">
      <c r="B43" s="29">
        <f>SUM(B7-B23)</f>
        <v>0</v>
      </c>
      <c r="I43" s="330"/>
      <c r="J43" s="330"/>
      <c r="K43" s="330"/>
      <c r="L43" s="330"/>
    </row>
    <row r="44" spans="1:14" ht="20.100000000000001" customHeight="1">
      <c r="I44" s="330"/>
      <c r="J44" s="330"/>
      <c r="K44" s="330"/>
      <c r="L44" s="330"/>
    </row>
    <row r="45" spans="1:14" ht="20.100000000000001" customHeight="1">
      <c r="I45" s="330"/>
      <c r="J45" s="330"/>
      <c r="K45" s="330"/>
      <c r="L45" s="330"/>
    </row>
    <row r="46" spans="1:14" ht="20.100000000000001" customHeight="1">
      <c r="I46" s="330"/>
      <c r="J46" s="330"/>
      <c r="K46" s="339"/>
      <c r="L46" s="330"/>
    </row>
    <row r="47" spans="1:14" ht="20.100000000000001" customHeight="1">
      <c r="I47" s="330"/>
      <c r="J47" s="330"/>
      <c r="K47" s="330"/>
      <c r="L47" s="330"/>
    </row>
    <row r="48" spans="1:14" ht="20.100000000000001" customHeight="1">
      <c r="I48" s="330"/>
      <c r="J48" s="330"/>
      <c r="K48" s="330"/>
      <c r="L48" s="330"/>
    </row>
    <row r="49" spans="9:12" ht="20.100000000000001" customHeight="1">
      <c r="I49" s="330"/>
      <c r="J49" s="330"/>
      <c r="K49" s="330"/>
      <c r="L49" s="330"/>
    </row>
    <row r="50" spans="9:12" ht="20.100000000000001" customHeight="1">
      <c r="I50" s="330"/>
      <c r="J50" s="330"/>
      <c r="K50" s="330"/>
      <c r="L50" s="330"/>
    </row>
    <row r="51" spans="9:12" ht="20.100000000000001" customHeight="1">
      <c r="I51" s="330"/>
      <c r="J51" s="330"/>
      <c r="K51" s="330"/>
      <c r="L51" s="330"/>
    </row>
    <row r="52" spans="9:12" ht="20.100000000000001" customHeight="1">
      <c r="I52" s="330"/>
      <c r="J52" s="330"/>
      <c r="K52" s="330"/>
      <c r="L52" s="330"/>
    </row>
    <row r="53" spans="9:12" ht="20.100000000000001" customHeight="1">
      <c r="I53" s="330"/>
      <c r="J53" s="330"/>
      <c r="K53" s="330"/>
      <c r="L53" s="330"/>
    </row>
    <row r="54" spans="9:12" ht="20.100000000000001" customHeight="1">
      <c r="I54" s="330"/>
      <c r="J54" s="330"/>
      <c r="K54" s="330"/>
      <c r="L54" s="330"/>
    </row>
    <row r="55" spans="9:12" ht="20.100000000000001" customHeight="1">
      <c r="I55" s="330"/>
      <c r="J55" s="330"/>
      <c r="K55" s="330"/>
      <c r="L55" s="330"/>
    </row>
    <row r="56" spans="9:12" ht="20.100000000000001" customHeight="1">
      <c r="I56" s="330"/>
      <c r="J56" s="330"/>
      <c r="K56" s="330"/>
      <c r="L56" s="330"/>
    </row>
    <row r="57" spans="9:12" ht="20.100000000000001" customHeight="1">
      <c r="I57" s="330"/>
      <c r="J57" s="330"/>
      <c r="K57" s="330"/>
      <c r="L57" s="330"/>
    </row>
    <row r="58" spans="9:12" ht="20.100000000000001" customHeight="1">
      <c r="I58" s="330"/>
      <c r="J58" s="330"/>
      <c r="K58" s="330"/>
      <c r="L58" s="330"/>
    </row>
    <row r="59" spans="9:12" ht="20.100000000000001" customHeight="1">
      <c r="I59" s="330"/>
      <c r="J59" s="330"/>
      <c r="K59" s="330"/>
      <c r="L59" s="330"/>
    </row>
    <row r="60" spans="9:12" ht="20.100000000000001" customHeight="1">
      <c r="I60" s="330"/>
      <c r="J60" s="330"/>
      <c r="K60" s="330"/>
      <c r="L60" s="330"/>
    </row>
    <row r="61" spans="9:12" ht="20.100000000000001" customHeight="1">
      <c r="I61" s="330"/>
      <c r="J61" s="330"/>
      <c r="K61" s="330"/>
      <c r="L61" s="330"/>
    </row>
    <row r="62" spans="9:12" ht="20.100000000000001" customHeight="1">
      <c r="I62" s="330"/>
      <c r="J62" s="330"/>
      <c r="K62" s="330"/>
      <c r="L62" s="330"/>
    </row>
    <row r="63" spans="9:12" ht="20.100000000000001" customHeight="1">
      <c r="I63" s="330"/>
      <c r="J63" s="330"/>
      <c r="K63" s="330"/>
      <c r="L63" s="330"/>
    </row>
    <row r="64" spans="9:12" ht="20.100000000000001" customHeight="1">
      <c r="I64" s="330"/>
      <c r="J64" s="330"/>
      <c r="K64" s="330"/>
      <c r="L64" s="330"/>
    </row>
    <row r="65" spans="9:12" ht="20.100000000000001" customHeight="1">
      <c r="I65" s="330"/>
      <c r="J65" s="330"/>
      <c r="K65" s="330"/>
      <c r="L65" s="330"/>
    </row>
    <row r="66" spans="9:12" ht="20.100000000000001" customHeight="1">
      <c r="I66" s="330"/>
      <c r="J66" s="330"/>
      <c r="K66" s="330"/>
      <c r="L66" s="330"/>
    </row>
  </sheetData>
  <mergeCells count="11">
    <mergeCell ref="M8:M9"/>
    <mergeCell ref="A5:A6"/>
    <mergeCell ref="B5:B6"/>
    <mergeCell ref="C5:D5"/>
    <mergeCell ref="E5:F5"/>
    <mergeCell ref="G5:G6"/>
    <mergeCell ref="A21:A22"/>
    <mergeCell ref="B21:B22"/>
    <mergeCell ref="C21:D21"/>
    <mergeCell ref="E21:F21"/>
    <mergeCell ref="G21:G22"/>
  </mergeCells>
  <phoneticPr fontId="2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P15"/>
  <sheetViews>
    <sheetView showGridLines="0" view="pageBreakPreview" zoomScale="80" zoomScaleNormal="80" zoomScaleSheetLayoutView="80" workbookViewId="0">
      <pane xSplit="3" ySplit="6" topLeftCell="D7" activePane="bottomRight" state="frozen"/>
      <selection activeCell="Y2" sqref="Y2"/>
      <selection pane="topRight" activeCell="Y2" sqref="Y2"/>
      <selection pane="bottomLeft" activeCell="Y2" sqref="Y2"/>
      <selection pane="bottomRight" activeCell="G8" sqref="G8"/>
    </sheetView>
  </sheetViews>
  <sheetFormatPr defaultColWidth="8.75" defaultRowHeight="13.5"/>
  <cols>
    <col min="1" max="1" width="12.75" style="36" customWidth="1"/>
    <col min="2" max="2" width="12" style="36" customWidth="1"/>
    <col min="3" max="3" width="12.25" style="36" customWidth="1"/>
    <col min="4" max="4" width="7.625" style="11" customWidth="1"/>
    <col min="5" max="5" width="7.125" style="11" customWidth="1"/>
    <col min="6" max="6" width="7.125" style="178" customWidth="1"/>
    <col min="7" max="7" width="35.75" style="36" customWidth="1"/>
    <col min="8" max="8" width="11.625" style="36" customWidth="1"/>
    <col min="9" max="10" width="11.625" style="223" customWidth="1"/>
    <col min="11" max="16" width="11.625" style="36" customWidth="1"/>
    <col min="17" max="17" width="8.375" style="11" hidden="1" customWidth="1"/>
    <col min="18" max="18" width="37.625" style="36" customWidth="1"/>
    <col min="19" max="19" width="3" style="36" customWidth="1"/>
    <col min="20" max="20" width="6.125" style="23" customWidth="1"/>
    <col min="21" max="21" width="11.625" style="36" customWidth="1"/>
    <col min="22" max="22" width="11.125" style="36" customWidth="1"/>
    <col min="23" max="23" width="6" style="11" customWidth="1"/>
    <col min="24" max="24" width="3" style="36" customWidth="1"/>
    <col min="25" max="25" width="6.125" style="240" customWidth="1"/>
    <col min="26" max="26" width="11.625" style="36" customWidth="1"/>
    <col min="27" max="27" width="11.125" style="36" customWidth="1"/>
    <col min="28" max="28" width="6" style="11" customWidth="1"/>
    <col min="29" max="29" width="3" style="36" customWidth="1"/>
    <col min="30" max="30" width="9.375" style="238" bestFit="1" customWidth="1"/>
    <col min="31" max="31" width="3" style="36" customWidth="1"/>
    <col min="32" max="32" width="9.375" style="215" bestFit="1" customWidth="1"/>
    <col min="33" max="33" width="3" style="212" customWidth="1"/>
    <col min="34" max="34" width="6.125" style="178" customWidth="1"/>
    <col min="35" max="35" width="3" style="212" customWidth="1"/>
    <col min="36" max="36" width="11.625" style="178" customWidth="1"/>
    <col min="37" max="37" width="5.625" style="178" bestFit="1" customWidth="1"/>
    <col min="38" max="38" width="5.625" style="217" bestFit="1" customWidth="1"/>
    <col min="39" max="39" width="3" style="212" customWidth="1"/>
    <col min="40" max="40" width="11.625" style="178" customWidth="1"/>
    <col min="41" max="41" width="5.625" style="178" bestFit="1" customWidth="1"/>
    <col min="42" max="42" width="5.625" style="217" bestFit="1" customWidth="1"/>
    <col min="43" max="16384" width="8.75" style="36"/>
  </cols>
  <sheetData>
    <row r="1" spans="1:42" ht="32.25" customHeight="1">
      <c r="A1" s="410" t="s">
        <v>615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</row>
    <row r="2" spans="1:42" ht="20.25">
      <c r="A2" s="12" t="s">
        <v>6</v>
      </c>
      <c r="B2" s="12"/>
      <c r="C2" s="12"/>
      <c r="D2" s="57"/>
      <c r="E2" s="57"/>
      <c r="F2" s="194"/>
      <c r="G2" s="12"/>
      <c r="N2" s="24"/>
      <c r="O2" s="24"/>
      <c r="U2" s="24" t="s">
        <v>71</v>
      </c>
      <c r="V2" s="25"/>
      <c r="Z2" s="24" t="s">
        <v>71</v>
      </c>
      <c r="AA2" s="25"/>
    </row>
    <row r="3" spans="1:42" ht="20.25">
      <c r="K3" s="61">
        <f>COUNTA(K7:K15)-10</f>
        <v>-10</v>
      </c>
      <c r="L3" s="61">
        <f>COUNTA(L7:L15)-10</f>
        <v>-10</v>
      </c>
      <c r="M3" s="62"/>
      <c r="N3" s="61">
        <f>COUNTA(N7:N15)-10</f>
        <v>-10</v>
      </c>
      <c r="O3" s="61">
        <f>COUNTA(O7:O15)-10</f>
        <v>-9</v>
      </c>
      <c r="P3" s="23"/>
      <c r="Q3" s="28"/>
      <c r="R3" s="58" t="s">
        <v>8</v>
      </c>
      <c r="U3" s="25" t="str">
        <f>IF(U6='16년 1추일출'!$W$6,"OK","@@")</f>
        <v>OK</v>
      </c>
      <c r="V3" s="36">
        <f>SUM(U6:V6)</f>
        <v>0</v>
      </c>
      <c r="W3" s="25" t="str">
        <f>IF(COUNTIF(W6:W837,"@@")&gt;0,"@@","OK")</f>
        <v>OK</v>
      </c>
      <c r="Z3" s="25" t="str">
        <f>IF(Z6='16년 1추일출'!$AB$6,"OK","@@")</f>
        <v>OK</v>
      </c>
      <c r="AA3" s="36">
        <f>SUM(Z6:AA6)</f>
        <v>140000000</v>
      </c>
      <c r="AB3" s="25" t="str">
        <f>IF(COUNTIF(AB6:AB837,"@@")&gt;0,"@@","OK")</f>
        <v>OK</v>
      </c>
      <c r="AF3" s="197"/>
      <c r="AJ3" s="186" t="str">
        <f>IF(U6=AJ6,"OK","@@")</f>
        <v>OK</v>
      </c>
      <c r="AN3" s="186" t="str">
        <f>IF(Z6=AN6,"OK","@@")</f>
        <v>OK</v>
      </c>
    </row>
    <row r="4" spans="1:42" ht="30" customHeight="1">
      <c r="A4" s="411" t="s">
        <v>528</v>
      </c>
      <c r="B4" s="411" t="s">
        <v>123</v>
      </c>
      <c r="C4" s="411" t="s">
        <v>4</v>
      </c>
      <c r="D4" s="408" t="s">
        <v>124</v>
      </c>
      <c r="E4" s="408" t="s">
        <v>571</v>
      </c>
      <c r="F4" s="414" t="s">
        <v>572</v>
      </c>
      <c r="G4" s="411" t="s">
        <v>125</v>
      </c>
      <c r="H4" s="414" t="s">
        <v>621</v>
      </c>
      <c r="I4" s="408" t="s">
        <v>623</v>
      </c>
      <c r="J4" s="408" t="s">
        <v>622</v>
      </c>
      <c r="K4" s="415" t="s">
        <v>545</v>
      </c>
      <c r="L4" s="402"/>
      <c r="M4" s="416" t="s">
        <v>627</v>
      </c>
      <c r="N4" s="418" t="s">
        <v>546</v>
      </c>
      <c r="O4" s="405"/>
      <c r="P4" s="419" t="s">
        <v>628</v>
      </c>
      <c r="Q4" s="421" t="s">
        <v>573</v>
      </c>
      <c r="R4" s="396" t="s">
        <v>122</v>
      </c>
      <c r="T4" s="399" t="s">
        <v>5</v>
      </c>
      <c r="U4" s="401" t="s">
        <v>7</v>
      </c>
      <c r="V4" s="402"/>
      <c r="W4" s="402"/>
      <c r="Y4" s="403" t="s">
        <v>5</v>
      </c>
      <c r="Z4" s="405" t="s">
        <v>78</v>
      </c>
      <c r="AA4" s="405"/>
      <c r="AB4" s="405"/>
      <c r="AD4" s="397" t="s">
        <v>561</v>
      </c>
      <c r="AF4" s="406" t="s">
        <v>562</v>
      </c>
      <c r="AH4" s="406" t="s">
        <v>560</v>
      </c>
      <c r="AJ4" s="394" t="s">
        <v>566</v>
      </c>
      <c r="AK4" s="394"/>
      <c r="AL4" s="394"/>
      <c r="AN4" s="395" t="s">
        <v>569</v>
      </c>
      <c r="AO4" s="395"/>
      <c r="AP4" s="395"/>
    </row>
    <row r="5" spans="1:42" ht="18" customHeight="1">
      <c r="A5" s="412"/>
      <c r="B5" s="412"/>
      <c r="C5" s="412"/>
      <c r="D5" s="412"/>
      <c r="E5" s="413"/>
      <c r="F5" s="414"/>
      <c r="G5" s="412"/>
      <c r="H5" s="396"/>
      <c r="I5" s="409"/>
      <c r="J5" s="409"/>
      <c r="K5" s="308" t="s">
        <v>0</v>
      </c>
      <c r="L5" s="308" t="s">
        <v>1</v>
      </c>
      <c r="M5" s="417"/>
      <c r="N5" s="195" t="s">
        <v>0</v>
      </c>
      <c r="O5" s="195" t="s">
        <v>1</v>
      </c>
      <c r="P5" s="420"/>
      <c r="Q5" s="421"/>
      <c r="R5" s="396"/>
      <c r="T5" s="400"/>
      <c r="U5" s="72" t="s">
        <v>3</v>
      </c>
      <c r="V5" s="72" t="s">
        <v>2</v>
      </c>
      <c r="W5" s="72" t="s">
        <v>76</v>
      </c>
      <c r="Y5" s="404"/>
      <c r="Z5" s="60" t="s">
        <v>3</v>
      </c>
      <c r="AA5" s="60" t="s">
        <v>2</v>
      </c>
      <c r="AB5" s="60" t="s">
        <v>76</v>
      </c>
      <c r="AD5" s="398"/>
      <c r="AF5" s="407"/>
      <c r="AH5" s="407"/>
      <c r="AJ5" s="221" t="s">
        <v>567</v>
      </c>
      <c r="AK5" s="221" t="s">
        <v>568</v>
      </c>
      <c r="AL5" s="221" t="s">
        <v>570</v>
      </c>
      <c r="AN5" s="220" t="s">
        <v>567</v>
      </c>
      <c r="AO5" s="220" t="s">
        <v>568</v>
      </c>
      <c r="AP5" s="220" t="s">
        <v>570</v>
      </c>
    </row>
    <row r="6" spans="1:42" ht="39.950000000000003" customHeight="1">
      <c r="A6" s="204"/>
      <c r="B6" s="204"/>
      <c r="C6" s="180"/>
      <c r="D6" s="204"/>
      <c r="E6" s="204"/>
      <c r="F6" s="181"/>
      <c r="G6" s="204"/>
      <c r="H6" s="182">
        <f t="shared" ref="H6:P6" si="0">SUM(H7:H15)</f>
        <v>4428600000</v>
      </c>
      <c r="I6" s="182">
        <f t="shared" si="0"/>
        <v>4342600000</v>
      </c>
      <c r="J6" s="182">
        <f t="shared" si="0"/>
        <v>86000000</v>
      </c>
      <c r="K6" s="182">
        <f t="shared" si="0"/>
        <v>0</v>
      </c>
      <c r="L6" s="182">
        <f t="shared" si="0"/>
        <v>0</v>
      </c>
      <c r="M6" s="182">
        <f t="shared" si="0"/>
        <v>4428600000</v>
      </c>
      <c r="N6" s="182">
        <f t="shared" si="0"/>
        <v>0</v>
      </c>
      <c r="O6" s="182">
        <f t="shared" si="0"/>
        <v>140000000</v>
      </c>
      <c r="P6" s="182">
        <f t="shared" si="0"/>
        <v>4568600000</v>
      </c>
      <c r="Q6" s="190"/>
      <c r="R6" s="187"/>
      <c r="T6" s="22"/>
      <c r="U6" s="19">
        <f>SUBTOTAL(9,U7:U749)</f>
        <v>0</v>
      </c>
      <c r="V6" s="19">
        <f>SUBTOTAL(9,V7:V749)</f>
        <v>0</v>
      </c>
      <c r="W6" s="27" t="str">
        <f>IF((K6+L6)=(U6+V6),"OK","검토")</f>
        <v>OK</v>
      </c>
      <c r="Y6" s="241"/>
      <c r="Z6" s="19">
        <f>SUBTOTAL(9,Z7:Z749)</f>
        <v>0</v>
      </c>
      <c r="AA6" s="19">
        <f>SUBTOTAL(9,AA7:AA749)</f>
        <v>140000000</v>
      </c>
      <c r="AB6" s="27" t="str">
        <f>IF((N6+O6)=(Z6+AA6),"OK","검토")</f>
        <v>OK</v>
      </c>
      <c r="AD6" s="239"/>
      <c r="AF6" s="190"/>
      <c r="AH6" s="191"/>
      <c r="AJ6" s="182">
        <f>SUBTOTAL(9,AJ7:AJ749)</f>
        <v>0</v>
      </c>
      <c r="AK6" s="190">
        <f>SUBTOTAL(9,AK7:AK15)</f>
        <v>0</v>
      </c>
      <c r="AL6" s="222" t="str">
        <f>IF(COUNTIF($AL$7:$AL$9860,"@@")&gt;0,"@@","OK")</f>
        <v>OK</v>
      </c>
      <c r="AN6" s="182">
        <f>SUBTOTAL(9,AN7:AN749)</f>
        <v>0</v>
      </c>
      <c r="AO6" s="190">
        <f>SUBTOTAL(9,AO7:AO15)</f>
        <v>0</v>
      </c>
      <c r="AP6" s="222" t="str">
        <f>IF(COUNTIF($AP$7:$AP$9860,"@@")&gt;0,"@@","OK")</f>
        <v>OK</v>
      </c>
    </row>
    <row r="7" spans="1:42" ht="39.950000000000003" customHeight="1">
      <c r="A7" s="228" t="s">
        <v>705</v>
      </c>
      <c r="B7" s="319" t="s">
        <v>684</v>
      </c>
      <c r="C7" s="320" t="s">
        <v>685</v>
      </c>
      <c r="D7" s="321" t="s">
        <v>620</v>
      </c>
      <c r="E7" s="321"/>
      <c r="F7" s="321"/>
      <c r="G7" s="320" t="s">
        <v>686</v>
      </c>
      <c r="H7" s="262">
        <v>4428600000</v>
      </c>
      <c r="I7" s="262">
        <v>4342600000</v>
      </c>
      <c r="J7" s="262">
        <f t="shared" ref="J7:J15" si="1">IF(D7="","",H7-I7)</f>
        <v>86000000</v>
      </c>
      <c r="K7" s="153"/>
      <c r="L7" s="153"/>
      <c r="M7" s="65">
        <f t="shared" ref="M7:M15" si="2">IF(H7=0,I7+K7+L7,H7+K7+L7)</f>
        <v>4428600000</v>
      </c>
      <c r="N7" s="153"/>
      <c r="O7" s="153">
        <v>140000000</v>
      </c>
      <c r="P7" s="65">
        <f t="shared" ref="P7:P15" si="3">IF(H7=0,I7+N7+O7,H7+N7+O7)</f>
        <v>4568600000</v>
      </c>
      <c r="Q7" s="244"/>
      <c r="R7" s="232"/>
      <c r="S7" s="201"/>
      <c r="T7" s="203" t="s">
        <v>694</v>
      </c>
      <c r="U7" s="153">
        <v>0</v>
      </c>
      <c r="V7" s="153">
        <v>0</v>
      </c>
      <c r="W7" s="202" t="str">
        <f t="shared" ref="W7:W15" si="4">IF($AD7="국도비","ok",IF(($K7+$L7)=($U7+$V7),"ok","검토"))</f>
        <v>ok</v>
      </c>
      <c r="X7" s="201"/>
      <c r="Y7" s="242" t="s">
        <v>694</v>
      </c>
      <c r="Z7" s="153">
        <f t="shared" ref="Z7:Z15" si="5">IF($Y7&lt;&gt;"도비",IF($AD7="국도비","직접입력",SUM($N7:$O7)),)</f>
        <v>0</v>
      </c>
      <c r="AA7" s="153">
        <f t="shared" ref="AA7:AA15" si="6">IF($Y7="도비",SUM($N7:$O7),IF($AD7="국도비","직접입력",SUM($N7:$O7)-$Z7))</f>
        <v>140000000</v>
      </c>
      <c r="AB7" s="202" t="str">
        <f t="shared" ref="AB7:AB15" si="7">IF($AD7="국도비","ok",IF(($N7+$O7)=($Z7+$AA7),"ok","검토"))</f>
        <v>ok</v>
      </c>
      <c r="AC7" s="203"/>
      <c r="AD7" s="235"/>
      <c r="AE7" s="201"/>
      <c r="AF7" s="216" t="str">
        <f t="array" ref="AF7">IFERROR(IF($C7="","",INDEX(구분표!$I$2:$I$1001,MATCH(1,(구분표!$B$2:$B$1001='16년1추 일입'!$A7)*(구분표!$C$2:$C$1001='16년1추 일입'!$B7)*(구분표!$A$2:$A$1001='16년1추 일입'!$C7),0))),"@@")</f>
        <v>0805</v>
      </c>
      <c r="AG7" s="214"/>
      <c r="AH7" s="205"/>
      <c r="AI7" s="214"/>
      <c r="AJ7" s="219" t="str">
        <f>IF(AD7="","",SUMIFS('16년 1추일출'!$W$8:$W$9184,'16년 1추일출'!$AF$8:$AF$9184,'16년1추 일입'!$AD7))</f>
        <v/>
      </c>
      <c r="AK7" s="205" t="str">
        <f>IF(AD7="","",IF(AD7="세입없음","",COUNTIF('16년 1추일출'!$AF$8:$AF$9184,'16년1추 일입'!$AD7)))</f>
        <v/>
      </c>
      <c r="AL7" s="218" t="str">
        <f t="shared" ref="AL7:AL15" si="8">IF(U7=0,"OK",IF(U7=AJ7,"OK","@@"))</f>
        <v>OK</v>
      </c>
      <c r="AM7" s="214"/>
      <c r="AN7" s="219" t="str">
        <f>IF(AD7="","",SUMIFS('16년 1추일출'!$AB$8:$AB$9184,'16년 1추일출'!$AF$8:$AF$9184,'16년1추 일입'!$AD7))</f>
        <v/>
      </c>
      <c r="AO7" s="205" t="str">
        <f>IF(AD7="","",IF(AD7="세입없음","",COUNTIF('16년 1추일출'!$AF$8:$AF$9184,'16년1추 일입'!$AD7)))</f>
        <v/>
      </c>
      <c r="AP7" s="218" t="str">
        <f t="shared" ref="AP7:AP15" si="9">IF(Z7=0,"OK",IF(Z7=AN7,"OK","@@"))</f>
        <v>OK</v>
      </c>
    </row>
    <row r="8" spans="1:42" ht="39.950000000000003" customHeight="1">
      <c r="A8" s="228"/>
      <c r="B8" s="228"/>
      <c r="C8" s="230"/>
      <c r="D8" s="229"/>
      <c r="E8" s="229"/>
      <c r="F8" s="229"/>
      <c r="G8" s="230"/>
      <c r="H8" s="262"/>
      <c r="I8" s="262"/>
      <c r="J8" s="262" t="str">
        <f t="shared" si="1"/>
        <v/>
      </c>
      <c r="K8" s="153"/>
      <c r="L8" s="153"/>
      <c r="M8" s="65">
        <f t="shared" si="2"/>
        <v>0</v>
      </c>
      <c r="N8" s="153"/>
      <c r="O8" s="153"/>
      <c r="P8" s="65">
        <f t="shared" si="3"/>
        <v>0</v>
      </c>
      <c r="Q8" s="66"/>
      <c r="R8" s="232"/>
      <c r="S8" s="67"/>
      <c r="T8" s="203"/>
      <c r="U8" s="153">
        <v>0</v>
      </c>
      <c r="V8" s="153">
        <v>0</v>
      </c>
      <c r="W8" s="69" t="str">
        <f t="shared" si="4"/>
        <v>ok</v>
      </c>
      <c r="X8" s="67"/>
      <c r="Y8" s="242">
        <f>$T8</f>
        <v>0</v>
      </c>
      <c r="Z8" s="153">
        <f t="shared" si="5"/>
        <v>0</v>
      </c>
      <c r="AA8" s="153">
        <f t="shared" si="6"/>
        <v>0</v>
      </c>
      <c r="AB8" s="69" t="str">
        <f t="shared" si="7"/>
        <v>ok</v>
      </c>
      <c r="AC8" s="209"/>
      <c r="AD8" s="235" t="str">
        <f>IF(AF8="","",IF($T8="도비","세입없음",$AF8&amp;"-"&amp;TEXT(COUNTIF(AF$7:AF8,AF$7:AF8),"00")))</f>
        <v/>
      </c>
      <c r="AE8" s="67"/>
      <c r="AF8" s="216" t="str">
        <f t="array" ref="AF8">IFERROR(IF($C8="","",INDEX(구분표!$I$2:$I$1001,MATCH(1,(구분표!$B$2:$B$1001='16년1추 일입'!$A8)*(구분표!$C$2:$C$1001='16년1추 일입'!$B8)*(구분표!$A$2:$A$1001='16년1추 일입'!$C8),0))),"@@")</f>
        <v/>
      </c>
      <c r="AG8" s="209"/>
      <c r="AH8" s="205"/>
      <c r="AI8" s="209"/>
      <c r="AJ8" s="219" t="str">
        <f>IF(AD8="","",SUMIFS('16년 1추일출'!$W$8:$W$9184,'16년 1추일출'!$AF$8:$AF$9184,'16년1추 일입'!$AD8))</f>
        <v/>
      </c>
      <c r="AK8" s="205">
        <v>0</v>
      </c>
      <c r="AL8" s="218" t="str">
        <f t="shared" si="8"/>
        <v>OK</v>
      </c>
      <c r="AM8" s="209"/>
      <c r="AN8" s="219" t="str">
        <f>IF(AD8="","",SUMIFS('16년 1추일출'!$AB$8:$AB$9184,'16년 1추일출'!$AF$8:$AF$9184,'16년1추 일입'!$AD8))</f>
        <v/>
      </c>
      <c r="AO8" s="205">
        <v>0</v>
      </c>
      <c r="AP8" s="218" t="str">
        <f t="shared" si="9"/>
        <v>OK</v>
      </c>
    </row>
    <row r="9" spans="1:42" ht="39.950000000000003" customHeight="1">
      <c r="A9" s="228"/>
      <c r="B9" s="228"/>
      <c r="C9" s="230"/>
      <c r="D9" s="229"/>
      <c r="E9" s="229"/>
      <c r="F9" s="229"/>
      <c r="G9" s="230"/>
      <c r="H9" s="262"/>
      <c r="I9" s="262"/>
      <c r="J9" s="262" t="str">
        <f t="shared" si="1"/>
        <v/>
      </c>
      <c r="K9" s="153"/>
      <c r="L9" s="153"/>
      <c r="M9" s="65">
        <f t="shared" si="2"/>
        <v>0</v>
      </c>
      <c r="N9" s="153"/>
      <c r="O9" s="153"/>
      <c r="P9" s="65">
        <f t="shared" si="3"/>
        <v>0</v>
      </c>
      <c r="Q9" s="66"/>
      <c r="R9" s="233"/>
      <c r="S9" s="67"/>
      <c r="T9" s="203"/>
      <c r="U9" s="153">
        <f t="shared" ref="U9:U15" si="10">IF($T9&lt;&gt;"도비",IF($AD9="국도비","직접입력",SUM($K9:$L9)),)</f>
        <v>0</v>
      </c>
      <c r="V9" s="153">
        <f t="shared" ref="V9:V15" si="11">IF($T9="도비",SUM($K9:$L9),IF($AD9="국도비","직접입력",SUM($K9:$L9)-$U9))</f>
        <v>0</v>
      </c>
      <c r="W9" s="69" t="str">
        <f t="shared" si="4"/>
        <v>ok</v>
      </c>
      <c r="X9" s="67"/>
      <c r="Y9" s="242">
        <f t="shared" ref="Y9:Y15" si="12">$T9</f>
        <v>0</v>
      </c>
      <c r="Z9" s="153">
        <f t="shared" si="5"/>
        <v>0</v>
      </c>
      <c r="AA9" s="153">
        <f t="shared" si="6"/>
        <v>0</v>
      </c>
      <c r="AB9" s="69" t="str">
        <f t="shared" si="7"/>
        <v>ok</v>
      </c>
      <c r="AC9" s="203"/>
      <c r="AD9" s="235" t="str">
        <f>IF(AF9="","",IF($T9="도비","세입없음",$AF9&amp;"-"&amp;TEXT(COUNTIF(AF$7:AF9,AF$7:AF9),"00")))</f>
        <v/>
      </c>
      <c r="AE9" s="67"/>
      <c r="AF9" s="216" t="str">
        <f t="array" ref="AF9">IFERROR(IF($C9="","",INDEX(구분표!$I$2:$I$1001,MATCH(1,(구분표!$B$2:$B$1001='16년1추 일입'!$A9)*(구분표!$C$2:$C$1001='16년1추 일입'!$B9)*(구분표!$A$2:$A$1001='16년1추 일입'!$C9),0))),"@@")</f>
        <v/>
      </c>
      <c r="AG9" s="214"/>
      <c r="AH9" s="205"/>
      <c r="AI9" s="214"/>
      <c r="AJ9" s="219" t="str">
        <f>IF(AD9="","",SUMIFS('16년 1추일출'!$W$8:$W$9184,'16년 1추일출'!$AF$8:$AF$9184,'16년1추 일입'!$AD9))</f>
        <v/>
      </c>
      <c r="AK9" s="205" t="str">
        <f>IF(AD9="","",IF(AD9="세입없음","",COUNTIF('16년 1추일출'!$AF$8:$AF$9184,'16년1추 일입'!$AD9)))</f>
        <v/>
      </c>
      <c r="AL9" s="218" t="str">
        <f t="shared" si="8"/>
        <v>OK</v>
      </c>
      <c r="AM9" s="214"/>
      <c r="AN9" s="219" t="str">
        <f>IF(AD9="","",SUMIFS('16년 1추일출'!$AB$8:$AB$9184,'16년 1추일출'!$AF$8:$AF$9184,'16년1추 일입'!$AD9))</f>
        <v/>
      </c>
      <c r="AO9" s="205" t="str">
        <f>IF(AD9="","",IF(AD9="세입없음","",COUNTIF('16년 1추일출'!$AF$8:$AF$9184,'16년1추 일입'!$AD9)))</f>
        <v/>
      </c>
      <c r="AP9" s="218" t="str">
        <f t="shared" si="9"/>
        <v>OK</v>
      </c>
    </row>
    <row r="10" spans="1:42" ht="39.950000000000003" customHeight="1">
      <c r="A10" s="228"/>
      <c r="B10" s="228"/>
      <c r="C10" s="230"/>
      <c r="D10" s="229"/>
      <c r="E10" s="229"/>
      <c r="F10" s="229"/>
      <c r="G10" s="230"/>
      <c r="H10" s="262"/>
      <c r="I10" s="262"/>
      <c r="J10" s="262" t="str">
        <f t="shared" si="1"/>
        <v/>
      </c>
      <c r="K10" s="153"/>
      <c r="L10" s="153"/>
      <c r="M10" s="65">
        <f t="shared" si="2"/>
        <v>0</v>
      </c>
      <c r="N10" s="153"/>
      <c r="O10" s="153"/>
      <c r="P10" s="65">
        <f t="shared" si="3"/>
        <v>0</v>
      </c>
      <c r="Q10" s="66"/>
      <c r="R10" s="232"/>
      <c r="S10" s="67"/>
      <c r="T10" s="203"/>
      <c r="U10" s="153">
        <f t="shared" si="10"/>
        <v>0</v>
      </c>
      <c r="V10" s="153">
        <f t="shared" si="11"/>
        <v>0</v>
      </c>
      <c r="W10" s="69" t="str">
        <f t="shared" si="4"/>
        <v>ok</v>
      </c>
      <c r="X10" s="67"/>
      <c r="Y10" s="242">
        <f t="shared" si="12"/>
        <v>0</v>
      </c>
      <c r="Z10" s="153">
        <f t="shared" si="5"/>
        <v>0</v>
      </c>
      <c r="AA10" s="153">
        <f t="shared" si="6"/>
        <v>0</v>
      </c>
      <c r="AB10" s="69" t="str">
        <f t="shared" si="7"/>
        <v>ok</v>
      </c>
      <c r="AC10" s="203"/>
      <c r="AD10" s="235" t="str">
        <f>IF(AF10="","",IF($T10="도비","세입없음",$AF10&amp;"-"&amp;TEXT(COUNTIF(AF$7:AF10,AF$7:AF10),"00")))</f>
        <v/>
      </c>
      <c r="AE10" s="67"/>
      <c r="AF10" s="216" t="str">
        <f t="array" ref="AF10">IFERROR(IF($C10="","",INDEX(구분표!$I$2:$I$1001,MATCH(1,(구분표!$B$2:$B$1001='16년1추 일입'!$A10)*(구분표!$C$2:$C$1001='16년1추 일입'!$B10)*(구분표!$A$2:$A$1001='16년1추 일입'!$C10),0))),"@@")</f>
        <v/>
      </c>
      <c r="AG10" s="214"/>
      <c r="AH10" s="205"/>
      <c r="AI10" s="214"/>
      <c r="AJ10" s="219" t="str">
        <f>IF(AD10="","",SUMIFS('16년 1추일출'!$W$8:$W$9184,'16년 1추일출'!$AF$8:$AF$9184,'16년1추 일입'!$AD10))</f>
        <v/>
      </c>
      <c r="AK10" s="205" t="str">
        <f>IF(AD10="","",IF(AD10="세입없음","",COUNTIF('16년 1추일출'!$AF$8:$AF$9184,'16년1추 일입'!$AD10)))</f>
        <v/>
      </c>
      <c r="AL10" s="218" t="str">
        <f t="shared" si="8"/>
        <v>OK</v>
      </c>
      <c r="AM10" s="214"/>
      <c r="AN10" s="219" t="str">
        <f>IF(AD10="","",SUMIFS('16년 1추일출'!$AB$8:$AB$9184,'16년 1추일출'!$AF$8:$AF$9184,'16년1추 일입'!$AD10))</f>
        <v/>
      </c>
      <c r="AO10" s="205" t="str">
        <f>IF(AD10="","",IF(AD10="세입없음","",COUNTIF('16년 1추일출'!$AF$8:$AF$9184,'16년1추 일입'!$AD10)))</f>
        <v/>
      </c>
      <c r="AP10" s="218" t="str">
        <f t="shared" si="9"/>
        <v>OK</v>
      </c>
    </row>
    <row r="11" spans="1:42" ht="39.950000000000003" customHeight="1">
      <c r="A11" s="228"/>
      <c r="B11" s="228"/>
      <c r="C11" s="230"/>
      <c r="D11" s="229"/>
      <c r="E11" s="229"/>
      <c r="F11" s="229"/>
      <c r="G11" s="230"/>
      <c r="H11" s="262"/>
      <c r="I11" s="262"/>
      <c r="J11" s="262" t="str">
        <f t="shared" si="1"/>
        <v/>
      </c>
      <c r="K11" s="153"/>
      <c r="L11" s="153"/>
      <c r="M11" s="65">
        <f t="shared" si="2"/>
        <v>0</v>
      </c>
      <c r="N11" s="153"/>
      <c r="O11" s="153"/>
      <c r="P11" s="65">
        <f t="shared" si="3"/>
        <v>0</v>
      </c>
      <c r="Q11" s="66"/>
      <c r="R11" s="233"/>
      <c r="S11" s="67"/>
      <c r="T11" s="203"/>
      <c r="U11" s="153">
        <f t="shared" si="10"/>
        <v>0</v>
      </c>
      <c r="V11" s="153">
        <f t="shared" si="11"/>
        <v>0</v>
      </c>
      <c r="W11" s="69" t="str">
        <f t="shared" si="4"/>
        <v>ok</v>
      </c>
      <c r="X11" s="67"/>
      <c r="Y11" s="242">
        <f t="shared" si="12"/>
        <v>0</v>
      </c>
      <c r="Z11" s="153">
        <f t="shared" si="5"/>
        <v>0</v>
      </c>
      <c r="AA11" s="153">
        <f t="shared" si="6"/>
        <v>0</v>
      </c>
      <c r="AB11" s="69" t="str">
        <f t="shared" si="7"/>
        <v>ok</v>
      </c>
      <c r="AC11" s="203"/>
      <c r="AD11" s="235" t="str">
        <f>IF(AF11="","",IF($T11="도비","세입없음",$AF11&amp;"-"&amp;TEXT(COUNTIF(AF$7:AF11,AF$7:AF11),"00")))</f>
        <v/>
      </c>
      <c r="AE11" s="67"/>
      <c r="AF11" s="216" t="str">
        <f t="array" ref="AF11">IFERROR(IF($C11="","",INDEX(구분표!$I$2:$I$1001,MATCH(1,(구분표!$B$2:$B$1001='16년1추 일입'!$A11)*(구분표!$C$2:$C$1001='16년1추 일입'!$B11)*(구분표!$A$2:$A$1001='16년1추 일입'!$C11),0))),"@@")</f>
        <v/>
      </c>
      <c r="AG11" s="214"/>
      <c r="AH11" s="205"/>
      <c r="AI11" s="214"/>
      <c r="AJ11" s="219" t="str">
        <f>IF(AD11="","",SUMIFS('16년 1추일출'!$W$8:$W$9184,'16년 1추일출'!$AF$8:$AF$9184,'16년1추 일입'!$AD11))</f>
        <v/>
      </c>
      <c r="AK11" s="205" t="str">
        <f>IF(AD11="","",IF(AD11="세입없음","",COUNTIF('16년 1추일출'!$AF$8:$AF$9184,'16년1추 일입'!$AD11)))</f>
        <v/>
      </c>
      <c r="AL11" s="218" t="str">
        <f t="shared" si="8"/>
        <v>OK</v>
      </c>
      <c r="AM11" s="214"/>
      <c r="AN11" s="219" t="str">
        <f>IF(AD11="","",SUMIFS('16년 1추일출'!$AB$8:$AB$9184,'16년 1추일출'!$AF$8:$AF$9184,'16년1추 일입'!$AD11))</f>
        <v/>
      </c>
      <c r="AO11" s="205" t="str">
        <f>IF(AD11="","",IF(AD11="세입없음","",COUNTIF('16년 1추일출'!$AF$8:$AF$9184,'16년1추 일입'!$AD11)))</f>
        <v/>
      </c>
      <c r="AP11" s="218" t="str">
        <f t="shared" si="9"/>
        <v>OK</v>
      </c>
    </row>
    <row r="12" spans="1:42" ht="39.950000000000003" customHeight="1">
      <c r="A12" s="228"/>
      <c r="B12" s="228"/>
      <c r="C12" s="230"/>
      <c r="D12" s="229"/>
      <c r="E12" s="229"/>
      <c r="F12" s="229"/>
      <c r="G12" s="230"/>
      <c r="H12" s="262"/>
      <c r="I12" s="262"/>
      <c r="J12" s="262" t="str">
        <f t="shared" si="1"/>
        <v/>
      </c>
      <c r="K12" s="153"/>
      <c r="L12" s="153"/>
      <c r="M12" s="65">
        <f t="shared" si="2"/>
        <v>0</v>
      </c>
      <c r="N12" s="153"/>
      <c r="O12" s="153"/>
      <c r="P12" s="65">
        <f t="shared" si="3"/>
        <v>0</v>
      </c>
      <c r="Q12" s="66"/>
      <c r="R12" s="232"/>
      <c r="S12" s="67"/>
      <c r="T12" s="203"/>
      <c r="U12" s="153">
        <f t="shared" si="10"/>
        <v>0</v>
      </c>
      <c r="V12" s="153">
        <f t="shared" si="11"/>
        <v>0</v>
      </c>
      <c r="W12" s="69" t="str">
        <f t="shared" si="4"/>
        <v>ok</v>
      </c>
      <c r="X12" s="67"/>
      <c r="Y12" s="242">
        <f t="shared" si="12"/>
        <v>0</v>
      </c>
      <c r="Z12" s="153">
        <f t="shared" si="5"/>
        <v>0</v>
      </c>
      <c r="AA12" s="153">
        <f t="shared" si="6"/>
        <v>0</v>
      </c>
      <c r="AB12" s="69" t="str">
        <f t="shared" si="7"/>
        <v>ok</v>
      </c>
      <c r="AC12" s="203"/>
      <c r="AD12" s="235" t="str">
        <f>IF(AF12="","",IF($T12="도비","세입없음",$AF12&amp;"-"&amp;TEXT(COUNTIF(AF$7:AF12,AF$7:AF12),"00")))</f>
        <v/>
      </c>
      <c r="AE12" s="67"/>
      <c r="AF12" s="216" t="str">
        <f t="array" ref="AF12">IFERROR(IF($C12="","",INDEX(구분표!$I$2:$I$1001,MATCH(1,(구분표!$B$2:$B$1001='16년1추 일입'!$A12)*(구분표!$C$2:$C$1001='16년1추 일입'!$B12)*(구분표!$A$2:$A$1001='16년1추 일입'!$C12),0))),"@@")</f>
        <v/>
      </c>
      <c r="AG12" s="214"/>
      <c r="AH12" s="205"/>
      <c r="AI12" s="214"/>
      <c r="AJ12" s="219" t="str">
        <f>IF(AD12="","",SUMIFS('16년 1추일출'!$W$8:$W$9184,'16년 1추일출'!$AF$8:$AF$9184,'16년1추 일입'!$AD12))</f>
        <v/>
      </c>
      <c r="AK12" s="205" t="str">
        <f>IF(AD12="","",IF(AD12="세입없음","",COUNTIF('16년 1추일출'!$AF$8:$AF$9184,'16년1추 일입'!$AD12)))</f>
        <v/>
      </c>
      <c r="AL12" s="218" t="str">
        <f t="shared" si="8"/>
        <v>OK</v>
      </c>
      <c r="AM12" s="214"/>
      <c r="AN12" s="219" t="str">
        <f>IF(AD12="","",SUMIFS('16년 1추일출'!$AB$8:$AB$9184,'16년 1추일출'!$AF$8:$AF$9184,'16년1추 일입'!$AD12))</f>
        <v/>
      </c>
      <c r="AO12" s="205" t="str">
        <f>IF(AD12="","",IF(AD12="세입없음","",COUNTIF('16년 1추일출'!$AF$8:$AF$9184,'16년1추 일입'!$AD12)))</f>
        <v/>
      </c>
      <c r="AP12" s="218" t="str">
        <f t="shared" si="9"/>
        <v>OK</v>
      </c>
    </row>
    <row r="13" spans="1:42" ht="39.950000000000003" customHeight="1">
      <c r="A13" s="228"/>
      <c r="B13" s="228"/>
      <c r="C13" s="230"/>
      <c r="D13" s="229"/>
      <c r="E13" s="229"/>
      <c r="F13" s="229"/>
      <c r="G13" s="230"/>
      <c r="H13" s="262"/>
      <c r="I13" s="262"/>
      <c r="J13" s="262" t="str">
        <f t="shared" si="1"/>
        <v/>
      </c>
      <c r="K13" s="153"/>
      <c r="L13" s="153"/>
      <c r="M13" s="65">
        <f t="shared" si="2"/>
        <v>0</v>
      </c>
      <c r="N13" s="153"/>
      <c r="O13" s="153"/>
      <c r="P13" s="65">
        <f t="shared" si="3"/>
        <v>0</v>
      </c>
      <c r="Q13" s="66"/>
      <c r="R13" s="233"/>
      <c r="S13" s="67"/>
      <c r="T13" s="203"/>
      <c r="U13" s="153">
        <f t="shared" si="10"/>
        <v>0</v>
      </c>
      <c r="V13" s="153">
        <f t="shared" si="11"/>
        <v>0</v>
      </c>
      <c r="W13" s="69" t="str">
        <f t="shared" si="4"/>
        <v>ok</v>
      </c>
      <c r="X13" s="67"/>
      <c r="Y13" s="242">
        <f t="shared" si="12"/>
        <v>0</v>
      </c>
      <c r="Z13" s="153">
        <f t="shared" si="5"/>
        <v>0</v>
      </c>
      <c r="AA13" s="153">
        <f t="shared" si="6"/>
        <v>0</v>
      </c>
      <c r="AB13" s="69" t="str">
        <f t="shared" si="7"/>
        <v>ok</v>
      </c>
      <c r="AC13" s="209"/>
      <c r="AD13" s="235" t="str">
        <f>IF(AF13="","",IF($T13="도비","세입없음",$AF13&amp;"-"&amp;TEXT(COUNTIF(AF$7:AF13,AF$7:AF13),"00")))</f>
        <v/>
      </c>
      <c r="AE13" s="67"/>
      <c r="AF13" s="216" t="str">
        <f t="array" ref="AF13">IFERROR(IF($C13="","",INDEX(구분표!$I$2:$I$1001,MATCH(1,(구분표!$B$2:$B$1001='16년1추 일입'!$A13)*(구분표!$C$2:$C$1001='16년1추 일입'!$B13)*(구분표!$A$2:$A$1001='16년1추 일입'!$C13),0))),"@@")</f>
        <v/>
      </c>
      <c r="AG13" s="209"/>
      <c r="AH13" s="205"/>
      <c r="AI13" s="209"/>
      <c r="AJ13" s="219" t="str">
        <f>IF(AD13="","",SUMIFS('16년 1추일출'!$W$8:$W$9184,'16년 1추일출'!$AF$8:$AF$9184,'16년1추 일입'!$AD13))</f>
        <v/>
      </c>
      <c r="AK13" s="205" t="str">
        <f>IF(AD13="","",IF(AD13="세입없음","",COUNTIF('16년 1추일출'!$AF$8:$AF$9184,'16년1추 일입'!$AD13)))</f>
        <v/>
      </c>
      <c r="AL13" s="218" t="str">
        <f t="shared" si="8"/>
        <v>OK</v>
      </c>
      <c r="AM13" s="209"/>
      <c r="AN13" s="219" t="str">
        <f>IF(AD13="","",SUMIFS('16년 1추일출'!$AB$8:$AB$9184,'16년 1추일출'!$AF$8:$AF$9184,'16년1추 일입'!$AD13))</f>
        <v/>
      </c>
      <c r="AO13" s="205" t="str">
        <f>IF(AD13="","",IF(AD13="세입없음","",COUNTIF('16년 1추일출'!$AF$8:$AF$9184,'16년1추 일입'!$AD13)))</f>
        <v/>
      </c>
      <c r="AP13" s="218" t="str">
        <f t="shared" si="9"/>
        <v>OK</v>
      </c>
    </row>
    <row r="14" spans="1:42" ht="39.950000000000003" customHeight="1">
      <c r="A14" s="228"/>
      <c r="B14" s="228"/>
      <c r="C14" s="230"/>
      <c r="D14" s="229"/>
      <c r="E14" s="229"/>
      <c r="F14" s="229"/>
      <c r="G14" s="230"/>
      <c r="H14" s="262"/>
      <c r="I14" s="262"/>
      <c r="J14" s="262" t="str">
        <f t="shared" si="1"/>
        <v/>
      </c>
      <c r="K14" s="153"/>
      <c r="L14" s="153"/>
      <c r="M14" s="65">
        <f t="shared" si="2"/>
        <v>0</v>
      </c>
      <c r="N14" s="153"/>
      <c r="O14" s="153"/>
      <c r="P14" s="65">
        <f t="shared" si="3"/>
        <v>0</v>
      </c>
      <c r="Q14" s="66"/>
      <c r="R14" s="233"/>
      <c r="S14" s="67"/>
      <c r="T14" s="203"/>
      <c r="U14" s="153">
        <f t="shared" si="10"/>
        <v>0</v>
      </c>
      <c r="V14" s="153">
        <f t="shared" si="11"/>
        <v>0</v>
      </c>
      <c r="W14" s="69" t="str">
        <f t="shared" si="4"/>
        <v>ok</v>
      </c>
      <c r="X14" s="67"/>
      <c r="Y14" s="242">
        <f t="shared" si="12"/>
        <v>0</v>
      </c>
      <c r="Z14" s="153">
        <f t="shared" si="5"/>
        <v>0</v>
      </c>
      <c r="AA14" s="153">
        <f t="shared" si="6"/>
        <v>0</v>
      </c>
      <c r="AB14" s="69" t="str">
        <f t="shared" si="7"/>
        <v>ok</v>
      </c>
      <c r="AC14" s="209"/>
      <c r="AD14" s="235" t="str">
        <f>IF(AF14="","",IF($T14="도비","세입없음",$AF14&amp;"-"&amp;TEXT(COUNTIF(AF$7:AF14,AF$7:AF14),"00")))</f>
        <v/>
      </c>
      <c r="AE14" s="67"/>
      <c r="AF14" s="216" t="str">
        <f t="array" ref="AF14">IFERROR(IF($C14="","",INDEX(구분표!$I$2:$I$1001,MATCH(1,(구분표!$B$2:$B$1001='16년1추 일입'!$A14)*(구분표!$C$2:$C$1001='16년1추 일입'!$B14)*(구분표!$A$2:$A$1001='16년1추 일입'!$C14),0))),"@@")</f>
        <v/>
      </c>
      <c r="AG14" s="209"/>
      <c r="AH14" s="205"/>
      <c r="AI14" s="209"/>
      <c r="AJ14" s="219" t="str">
        <f>IF(AD14="","",SUMIFS('16년 1추일출'!$W$8:$W$9184,'16년 1추일출'!$AF$8:$AF$9184,'16년1추 일입'!$AD14))</f>
        <v/>
      </c>
      <c r="AK14" s="205" t="str">
        <f>IF(AD14="","",IF(AD14="세입없음","",COUNTIF('16년 1추일출'!$AF$8:$AF$9184,'16년1추 일입'!$AD14)))</f>
        <v/>
      </c>
      <c r="AL14" s="218" t="str">
        <f t="shared" si="8"/>
        <v>OK</v>
      </c>
      <c r="AM14" s="209"/>
      <c r="AN14" s="219" t="str">
        <f>IF(AD14="","",SUMIFS('16년 1추일출'!$AB$8:$AB$9184,'16년 1추일출'!$AF$8:$AF$9184,'16년1추 일입'!$AD14))</f>
        <v/>
      </c>
      <c r="AO14" s="205" t="str">
        <f>IF(AD14="","",IF(AD14="세입없음","",COUNTIF('16년 1추일출'!$AF$8:$AF$9184,'16년1추 일입'!$AD14)))</f>
        <v/>
      </c>
      <c r="AP14" s="218" t="str">
        <f t="shared" si="9"/>
        <v>OK</v>
      </c>
    </row>
    <row r="15" spans="1:42" ht="39.950000000000003" customHeight="1">
      <c r="A15" s="228"/>
      <c r="B15" s="228"/>
      <c r="C15" s="230"/>
      <c r="D15" s="229"/>
      <c r="E15" s="229"/>
      <c r="F15" s="229"/>
      <c r="G15" s="230"/>
      <c r="H15" s="262"/>
      <c r="I15" s="262"/>
      <c r="J15" s="262" t="str">
        <f t="shared" si="1"/>
        <v/>
      </c>
      <c r="K15" s="153"/>
      <c r="L15" s="153"/>
      <c r="M15" s="65">
        <f t="shared" si="2"/>
        <v>0</v>
      </c>
      <c r="N15" s="153"/>
      <c r="O15" s="153"/>
      <c r="P15" s="65">
        <f t="shared" si="3"/>
        <v>0</v>
      </c>
      <c r="Q15" s="66"/>
      <c r="R15" s="232"/>
      <c r="S15" s="67"/>
      <c r="T15" s="203"/>
      <c r="U15" s="153">
        <f t="shared" si="10"/>
        <v>0</v>
      </c>
      <c r="V15" s="153">
        <f t="shared" si="11"/>
        <v>0</v>
      </c>
      <c r="W15" s="69" t="str">
        <f t="shared" si="4"/>
        <v>ok</v>
      </c>
      <c r="X15" s="67"/>
      <c r="Y15" s="242">
        <f t="shared" si="12"/>
        <v>0</v>
      </c>
      <c r="Z15" s="153">
        <f t="shared" si="5"/>
        <v>0</v>
      </c>
      <c r="AA15" s="153">
        <f t="shared" si="6"/>
        <v>0</v>
      </c>
      <c r="AB15" s="69" t="str">
        <f t="shared" si="7"/>
        <v>ok</v>
      </c>
      <c r="AC15" s="209"/>
      <c r="AD15" s="235" t="str">
        <f>IF(AF15="","",IF($T15="도비","세입없음",$AF15&amp;"-"&amp;TEXT(COUNTIF(AF$7:AF15,AF$7:AF15),"00")))</f>
        <v/>
      </c>
      <c r="AE15" s="67"/>
      <c r="AF15" s="216" t="str">
        <f t="array" ref="AF15">IFERROR(IF($C15="","",INDEX(구분표!$I$2:$I$1001,MATCH(1,(구분표!$B$2:$B$1001='16년1추 일입'!$A15)*(구분표!$C$2:$C$1001='16년1추 일입'!$B15)*(구분표!$A$2:$A$1001='16년1추 일입'!$C15),0))),"@@")</f>
        <v/>
      </c>
      <c r="AG15" s="209"/>
      <c r="AH15" s="205"/>
      <c r="AI15" s="209"/>
      <c r="AJ15" s="219" t="str">
        <f>IF(AD15="","",SUMIFS('16년 1추일출'!$W$8:$W$9184,'16년 1추일출'!$AF$8:$AF$9184,'16년1추 일입'!$AD15))</f>
        <v/>
      </c>
      <c r="AK15" s="205" t="str">
        <f>IF(AD15="","",IF(AD15="세입없음","",COUNTIF('16년 1추일출'!$AF$8:$AF$9184,'16년1추 일입'!$AD15)))</f>
        <v/>
      </c>
      <c r="AL15" s="218" t="str">
        <f t="shared" si="8"/>
        <v>OK</v>
      </c>
      <c r="AM15" s="209"/>
      <c r="AN15" s="219" t="str">
        <f>IF(AD15="","",SUMIFS('16년 1추일출'!$AB$8:$AB$9184,'16년 1추일출'!$AF$8:$AF$9184,'16년1추 일입'!$AD15))</f>
        <v/>
      </c>
      <c r="AO15" s="205" t="str">
        <f>IF(AD15="","",IF(AD15="세입없음","",COUNTIF('16년 1추일출'!$AF$8:$AF$9184,'16년1추 일입'!$AD15)))</f>
        <v/>
      </c>
      <c r="AP15" s="218" t="str">
        <f t="shared" si="9"/>
        <v>OK</v>
      </c>
    </row>
  </sheetData>
  <sheetProtection formatCells="0" formatColumns="0" formatRows="0" autoFilter="0"/>
  <sortState ref="A7:AH378">
    <sortCondition ref="AF7:AF378"/>
  </sortState>
  <mergeCells count="26">
    <mergeCell ref="I4:I5"/>
    <mergeCell ref="J4:J5"/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  <mergeCell ref="N4:O4"/>
    <mergeCell ref="P4:P5"/>
    <mergeCell ref="Q4:Q5"/>
    <mergeCell ref="F4:F5"/>
    <mergeCell ref="AJ4:AL4"/>
    <mergeCell ref="AN4:AP4"/>
    <mergeCell ref="R4:R5"/>
    <mergeCell ref="AD4:AD5"/>
    <mergeCell ref="T4:T5"/>
    <mergeCell ref="U4:W4"/>
    <mergeCell ref="Y4:Y5"/>
    <mergeCell ref="Z4:AB4"/>
    <mergeCell ref="AH4:AH5"/>
    <mergeCell ref="AF4:AF5"/>
  </mergeCells>
  <phoneticPr fontId="2" type="noConversion"/>
  <conditionalFormatting sqref="AD7:AD566 AH7:AH566 AJ7:AL566 AN7:AP566">
    <cfRule type="containsText" dxfId="69" priority="230" operator="containsText" text="국도비">
      <formula>NOT(ISERROR(SEARCH("국도비",AD7)))</formula>
    </cfRule>
  </conditionalFormatting>
  <conditionalFormatting sqref="H16:J566">
    <cfRule type="expression" dxfId="68" priority="229">
      <formula>($D16="본예산")</formula>
    </cfRule>
  </conditionalFormatting>
  <conditionalFormatting sqref="AC7:AC15 AG7:AG15 AI7:AI15 AM7:AM15 Z7:AB566 S7:V566">
    <cfRule type="containsText" dxfId="67" priority="228" operator="containsText" text="직접입력">
      <formula>NOT(ISERROR(SEARCH("직접입력",S7)))</formula>
    </cfRule>
  </conditionalFormatting>
  <conditionalFormatting sqref="H9:J9">
    <cfRule type="expression" dxfId="66" priority="1">
      <formula>($D9="본예산")</formula>
    </cfRule>
  </conditionalFormatting>
  <conditionalFormatting sqref="H10:J15">
    <cfRule type="expression" dxfId="65" priority="12">
      <formula>($D10="본예산")</formula>
    </cfRule>
  </conditionalFormatting>
  <conditionalFormatting sqref="H7:J8">
    <cfRule type="expression" dxfId="64" priority="3">
      <formula>($D7="본예산")</formula>
    </cfRule>
  </conditionalFormatting>
  <dataValidations count="2">
    <dataValidation type="list" allowBlank="1" showInputMessage="1" showErrorMessage="1" sqref="D7:D14">
      <formula1>"본예산,1회추경,신규"</formula1>
    </dataValidation>
    <dataValidation type="list" allowBlank="1" showInputMessage="1" showErrorMessage="1" sqref="D15">
      <formula1>"집행부,연정,의회편성,신규"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79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구분표!$L$2:$L$6</xm:f>
          </x14:formula1>
          <xm:sqref>AC7:AC15 T7:T15 AI7:AI15 AM7:AM15 AG7:AG15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41"/>
  <sheetViews>
    <sheetView showGridLines="0" tabSelected="1" view="pageBreakPreview" zoomScale="80" zoomScaleNormal="80" zoomScaleSheetLayoutView="80" workbookViewId="0">
      <pane xSplit="3" ySplit="6" topLeftCell="D7" activePane="bottomRight" state="frozen"/>
      <selection sqref="A1:AD1"/>
      <selection pane="topRight" sqref="A1:AD1"/>
      <selection pane="bottomLeft" sqref="A1:AD1"/>
      <selection pane="bottomRight" activeCell="G11" sqref="G11"/>
    </sheetView>
  </sheetViews>
  <sheetFormatPr defaultColWidth="8.75" defaultRowHeight="13.5"/>
  <cols>
    <col min="1" max="1" width="12.75" style="36" customWidth="1"/>
    <col min="2" max="2" width="12" style="36" customWidth="1"/>
    <col min="3" max="3" width="12.25" style="36" customWidth="1"/>
    <col min="4" max="4" width="7.625" style="11" bestFit="1" customWidth="1"/>
    <col min="5" max="5" width="7.625" style="178" customWidth="1"/>
    <col min="6" max="6" width="7.125" style="11" bestFit="1" customWidth="1"/>
    <col min="7" max="7" width="36" style="36" customWidth="1"/>
    <col min="8" max="8" width="11.625" style="36" customWidth="1"/>
    <col min="9" max="10" width="11.625" style="223" customWidth="1"/>
    <col min="11" max="16" width="11.625" style="36" customWidth="1"/>
    <col min="17" max="17" width="8.375" style="11" hidden="1" customWidth="1"/>
    <col min="18" max="18" width="36.375" style="36" customWidth="1"/>
    <col min="19" max="19" width="3" style="212" customWidth="1"/>
    <col min="20" max="20" width="6.125" style="11" customWidth="1"/>
    <col min="21" max="21" width="3" style="36" customWidth="1"/>
    <col min="22" max="22" width="6.125" style="23" customWidth="1"/>
    <col min="23" max="23" width="11.625" style="36" customWidth="1"/>
    <col min="24" max="24" width="11.125" style="36" customWidth="1"/>
    <col min="25" max="25" width="6" style="11" customWidth="1"/>
    <col min="26" max="26" width="3" style="36" customWidth="1"/>
    <col min="27" max="27" width="6.125" style="50" customWidth="1"/>
    <col min="28" max="28" width="11.625" style="36" customWidth="1"/>
    <col min="29" max="29" width="11.125" style="36" customWidth="1"/>
    <col min="30" max="30" width="6" style="11" customWidth="1"/>
    <col min="31" max="31" width="3" style="212" customWidth="1"/>
    <col min="32" max="32" width="9.375" style="238" customWidth="1"/>
    <col min="33" max="33" width="3" style="212" customWidth="1"/>
    <col min="34" max="35" width="5.625" style="178" bestFit="1" customWidth="1"/>
    <col min="36" max="36" width="3" style="178" customWidth="1"/>
    <col min="37" max="37" width="11.625" style="36" customWidth="1"/>
    <col min="38" max="38" width="3" style="212" customWidth="1"/>
    <col min="39" max="39" width="6.125" style="178" customWidth="1"/>
    <col min="40" max="40" width="17.375" style="36" customWidth="1"/>
    <col min="41" max="16384" width="8.75" style="36"/>
  </cols>
  <sheetData>
    <row r="1" spans="1:39" ht="32.25" customHeight="1">
      <c r="A1" s="410" t="s">
        <v>614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</row>
    <row r="2" spans="1:39" ht="20.25">
      <c r="A2" s="12" t="s">
        <v>58</v>
      </c>
      <c r="B2" s="12"/>
      <c r="C2" s="12"/>
      <c r="D2" s="57"/>
      <c r="E2" s="194"/>
      <c r="F2" s="57"/>
      <c r="G2" s="12"/>
      <c r="N2" s="24"/>
      <c r="O2" s="24"/>
      <c r="W2" s="24" t="s">
        <v>71</v>
      </c>
      <c r="X2" s="25"/>
      <c r="AB2" s="24" t="s">
        <v>71</v>
      </c>
      <c r="AC2" s="25"/>
    </row>
    <row r="3" spans="1:39" ht="20.25">
      <c r="K3" s="61">
        <f>COUNTA(K7:K28)-10</f>
        <v>3</v>
      </c>
      <c r="L3" s="61">
        <f>COUNTA(L7:L28)-10</f>
        <v>-2</v>
      </c>
      <c r="M3" s="62"/>
      <c r="N3" s="61">
        <f>COUNTA(N7:N28)-10</f>
        <v>4</v>
      </c>
      <c r="O3" s="61">
        <f>COUNTA(O7:O28)-10</f>
        <v>2</v>
      </c>
      <c r="P3" s="23"/>
      <c r="Q3" s="28"/>
      <c r="R3" s="58" t="s">
        <v>8</v>
      </c>
      <c r="W3" s="25" t="str">
        <f>IF(W6='16년1추 일입'!$U$6,"OK","@@")</f>
        <v>OK</v>
      </c>
      <c r="X3" s="36">
        <f>SUM(W6:X6)</f>
        <v>1871030</v>
      </c>
      <c r="Y3" s="25" t="str">
        <f>IF(COUNTIF(Y6:Y836,"@@")&gt;0,"@@","OK")</f>
        <v>OK</v>
      </c>
      <c r="AB3" s="25" t="str">
        <f>IF(AB6='16년1추 일입'!$Z$6,"OK","@@")</f>
        <v>OK</v>
      </c>
      <c r="AC3" s="36">
        <f>SUM(AB6:AC6)</f>
        <v>140000000</v>
      </c>
      <c r="AD3" s="25" t="str">
        <f>IF(COUNTIF(AD6:AD836,"@@")&gt;0,"@@","OK")</f>
        <v>OK</v>
      </c>
      <c r="AK3" s="59"/>
    </row>
    <row r="4" spans="1:39" ht="30" customHeight="1">
      <c r="A4" s="411" t="s">
        <v>528</v>
      </c>
      <c r="B4" s="411" t="s">
        <v>123</v>
      </c>
      <c r="C4" s="411" t="s">
        <v>4</v>
      </c>
      <c r="D4" s="408" t="s">
        <v>124</v>
      </c>
      <c r="E4" s="408" t="s">
        <v>571</v>
      </c>
      <c r="F4" s="414" t="s">
        <v>572</v>
      </c>
      <c r="G4" s="411" t="s">
        <v>125</v>
      </c>
      <c r="H4" s="414" t="s">
        <v>621</v>
      </c>
      <c r="I4" s="408" t="s">
        <v>623</v>
      </c>
      <c r="J4" s="408" t="s">
        <v>622</v>
      </c>
      <c r="K4" s="415" t="s">
        <v>545</v>
      </c>
      <c r="L4" s="402"/>
      <c r="M4" s="416" t="s">
        <v>627</v>
      </c>
      <c r="N4" s="418" t="s">
        <v>546</v>
      </c>
      <c r="O4" s="405"/>
      <c r="P4" s="419" t="s">
        <v>628</v>
      </c>
      <c r="Q4" s="421" t="s">
        <v>573</v>
      </c>
      <c r="R4" s="396" t="s">
        <v>122</v>
      </c>
      <c r="T4" s="406" t="s">
        <v>527</v>
      </c>
      <c r="V4" s="399" t="s">
        <v>5</v>
      </c>
      <c r="W4" s="401" t="s">
        <v>7</v>
      </c>
      <c r="X4" s="402"/>
      <c r="Y4" s="402"/>
      <c r="AA4" s="422" t="s">
        <v>5</v>
      </c>
      <c r="AB4" s="405" t="s">
        <v>78</v>
      </c>
      <c r="AC4" s="405"/>
      <c r="AD4" s="405"/>
      <c r="AF4" s="397" t="s">
        <v>563</v>
      </c>
      <c r="AH4" s="406" t="s">
        <v>564</v>
      </c>
      <c r="AI4" s="406" t="s">
        <v>565</v>
      </c>
      <c r="AK4" s="406" t="s">
        <v>126</v>
      </c>
      <c r="AM4" s="406" t="s">
        <v>560</v>
      </c>
    </row>
    <row r="5" spans="1:39" ht="18" customHeight="1">
      <c r="A5" s="412"/>
      <c r="B5" s="412"/>
      <c r="C5" s="412"/>
      <c r="D5" s="412"/>
      <c r="E5" s="413"/>
      <c r="F5" s="414"/>
      <c r="G5" s="412"/>
      <c r="H5" s="396"/>
      <c r="I5" s="409"/>
      <c r="J5" s="409"/>
      <c r="K5" s="72" t="s">
        <v>0</v>
      </c>
      <c r="L5" s="72" t="s">
        <v>1</v>
      </c>
      <c r="M5" s="417"/>
      <c r="N5" s="60" t="s">
        <v>0</v>
      </c>
      <c r="O5" s="60" t="s">
        <v>1</v>
      </c>
      <c r="P5" s="420"/>
      <c r="Q5" s="421"/>
      <c r="R5" s="396"/>
      <c r="T5" s="407"/>
      <c r="V5" s="400"/>
      <c r="W5" s="72" t="s">
        <v>3</v>
      </c>
      <c r="X5" s="72" t="s">
        <v>2</v>
      </c>
      <c r="Y5" s="72" t="s">
        <v>76</v>
      </c>
      <c r="AA5" s="423"/>
      <c r="AB5" s="60" t="s">
        <v>3</v>
      </c>
      <c r="AC5" s="60" t="s">
        <v>2</v>
      </c>
      <c r="AD5" s="60" t="s">
        <v>76</v>
      </c>
      <c r="AF5" s="398"/>
      <c r="AH5" s="407"/>
      <c r="AI5" s="407"/>
      <c r="AK5" s="407"/>
      <c r="AM5" s="407"/>
    </row>
    <row r="6" spans="1:39" ht="39.950000000000003" customHeight="1">
      <c r="A6" s="151"/>
      <c r="B6" s="151"/>
      <c r="C6" s="13"/>
      <c r="D6" s="151"/>
      <c r="E6" s="204"/>
      <c r="F6" s="14"/>
      <c r="G6" s="151"/>
      <c r="H6" s="19">
        <f>SUM(H7+H12+H14+H16+H18+H22)</f>
        <v>3111134259</v>
      </c>
      <c r="I6" s="182">
        <f t="shared" ref="I6:P6" si="0">SUM(I7+I12+I14+I16+I18+I22)</f>
        <v>2975179000</v>
      </c>
      <c r="J6" s="182">
        <f t="shared" si="0"/>
        <v>135955259</v>
      </c>
      <c r="K6" s="182">
        <f t="shared" si="0"/>
        <v>-17128970</v>
      </c>
      <c r="L6" s="182">
        <f t="shared" si="0"/>
        <v>19000000</v>
      </c>
      <c r="M6" s="182">
        <f t="shared" si="0"/>
        <v>3113005289</v>
      </c>
      <c r="N6" s="182">
        <f t="shared" si="0"/>
        <v>-19000000</v>
      </c>
      <c r="O6" s="182">
        <f t="shared" si="0"/>
        <v>159000000</v>
      </c>
      <c r="P6" s="182">
        <f t="shared" si="0"/>
        <v>3251134259</v>
      </c>
      <c r="Q6" s="35"/>
      <c r="R6" s="26"/>
      <c r="T6" s="37"/>
      <c r="V6" s="162"/>
      <c r="W6" s="182">
        <f>SUM(W7:W28)</f>
        <v>0</v>
      </c>
      <c r="X6" s="182">
        <f>SUM(X7:X28)</f>
        <v>1871030</v>
      </c>
      <c r="Y6" s="27"/>
      <c r="AA6" s="51"/>
      <c r="AB6" s="19">
        <f>SUM(AB7:AB28)</f>
        <v>0</v>
      </c>
      <c r="AC6" s="182">
        <f>SUM(AC7:AC28)</f>
        <v>140000000</v>
      </c>
      <c r="AD6" s="27"/>
      <c r="AF6" s="239"/>
      <c r="AH6" s="191"/>
      <c r="AI6" s="188"/>
      <c r="AK6" s="27"/>
      <c r="AM6" s="191"/>
    </row>
    <row r="7" spans="1:39" s="223" customFormat="1" ht="39.950000000000003" customHeight="1">
      <c r="A7" s="251" t="s">
        <v>574</v>
      </c>
      <c r="B7" s="252"/>
      <c r="C7" s="252"/>
      <c r="D7" s="252"/>
      <c r="E7" s="252"/>
      <c r="F7" s="252"/>
      <c r="G7" s="253"/>
      <c r="H7" s="254">
        <f>SUM(H8:H11)</f>
        <v>2564550659</v>
      </c>
      <c r="I7" s="254">
        <f t="shared" ref="I7:P7" si="1">SUM(I8:I11)</f>
        <v>2468564000</v>
      </c>
      <c r="J7" s="254">
        <f t="shared" si="1"/>
        <v>95986659</v>
      </c>
      <c r="K7" s="254">
        <f t="shared" si="1"/>
        <v>-11050000</v>
      </c>
      <c r="L7" s="254">
        <f t="shared" si="1"/>
        <v>0</v>
      </c>
      <c r="M7" s="254">
        <f t="shared" si="1"/>
        <v>2553500659</v>
      </c>
      <c r="N7" s="254">
        <f t="shared" si="1"/>
        <v>-12921030</v>
      </c>
      <c r="O7" s="254">
        <f t="shared" si="1"/>
        <v>53800000</v>
      </c>
      <c r="P7" s="254">
        <f t="shared" si="1"/>
        <v>2605429629</v>
      </c>
      <c r="Q7" s="255"/>
      <c r="R7" s="256"/>
      <c r="T7" s="246"/>
      <c r="V7" s="162"/>
      <c r="W7" s="245"/>
      <c r="X7" s="245"/>
      <c r="Y7" s="248"/>
      <c r="AA7" s="249"/>
      <c r="AB7" s="182"/>
      <c r="AC7" s="182"/>
      <c r="AD7" s="188"/>
      <c r="AF7" s="239"/>
      <c r="AH7" s="246"/>
      <c r="AI7" s="248"/>
      <c r="AJ7" s="178"/>
      <c r="AK7" s="188"/>
      <c r="AM7" s="191"/>
    </row>
    <row r="8" spans="1:39" s="223" customFormat="1" ht="39.950000000000003" customHeight="1">
      <c r="A8" s="228" t="s">
        <v>18</v>
      </c>
      <c r="B8" s="228" t="s">
        <v>656</v>
      </c>
      <c r="C8" s="230" t="s">
        <v>658</v>
      </c>
      <c r="D8" s="229" t="s">
        <v>620</v>
      </c>
      <c r="E8" s="229">
        <v>234</v>
      </c>
      <c r="F8" s="229">
        <v>9</v>
      </c>
      <c r="G8" s="230" t="s">
        <v>660</v>
      </c>
      <c r="H8" s="262">
        <v>13050000</v>
      </c>
      <c r="I8" s="262"/>
      <c r="J8" s="262">
        <f t="shared" ref="J8:J10" si="2">IF(D8="","",H8-I8)</f>
        <v>13050000</v>
      </c>
      <c r="K8" s="153">
        <v>-1050000</v>
      </c>
      <c r="L8" s="153"/>
      <c r="M8" s="65">
        <f t="shared" ref="M8:M10" si="3">IF(H8=0,I8+K8+L8,H8+K8+L8)</f>
        <v>12000000</v>
      </c>
      <c r="N8" s="153">
        <v>-1050000</v>
      </c>
      <c r="O8" s="153"/>
      <c r="P8" s="65">
        <f t="shared" ref="P8:P10" si="4">IF(H8=0,I8+N8+O8,H8+N8+O8)</f>
        <v>12000000</v>
      </c>
      <c r="Q8" s="244"/>
      <c r="R8" s="232"/>
      <c r="S8" s="224"/>
      <c r="T8" s="231" t="s">
        <v>662</v>
      </c>
      <c r="U8" s="200"/>
      <c r="V8" s="162" t="s">
        <v>694</v>
      </c>
      <c r="W8" s="153">
        <f t="shared" ref="W8:W28" si="5">IF($V8&lt;&gt;"도비",IF($T8="국도비","직접입력",SUM($K8:$L8)),)</f>
        <v>0</v>
      </c>
      <c r="X8" s="153">
        <f t="shared" ref="X8:X28" si="6">IF($V8="도비",SUM($K8:$L8),IF($T8="국도비","직접입력",SUM($K8:$L8)-$W8))</f>
        <v>-1050000</v>
      </c>
      <c r="Y8" s="226" t="str">
        <f t="shared" ref="Y8:Y28" si="7">IFERROR(IF(($K8+$L8)=($W8+$X8),"ok","검토"),"검토")</f>
        <v>ok</v>
      </c>
      <c r="Z8" s="224"/>
      <c r="AA8" s="225" t="str">
        <f t="shared" ref="AA8" si="8">$V8</f>
        <v>도비</v>
      </c>
      <c r="AB8" s="153">
        <f>IF($V8&lt;&gt;"도비",IF($T8="국도비","직접입력",SUM(N8:O8)),)</f>
        <v>0</v>
      </c>
      <c r="AC8" s="153">
        <f>IF($V8="도비",SUM(N8:O8),IF($T8="국도비","직접입력",SUM(N8:O8)-AB8))</f>
        <v>-1050000</v>
      </c>
      <c r="AD8" s="226" t="str">
        <f>IFERROR(IF((N8+O8)=(AB8+AC8),"ok","검토"),"검토")</f>
        <v>ok</v>
      </c>
      <c r="AE8" s="224"/>
      <c r="AF8" s="239" t="s">
        <v>704</v>
      </c>
      <c r="AG8" s="224"/>
      <c r="AH8" s="234">
        <f>IF(AF8="","",COUNTIF($AF$8:$AF$10003,$AF8))</f>
        <v>16</v>
      </c>
      <c r="AI8" s="234" t="str">
        <f>IF(C8="","",IF(AND(V8="도비",AF8="세입없음"),"OK",IF(AND(V8&lt;&gt;"도비",AF8&lt;&gt;""),"Ok","@@")))</f>
        <v>OK</v>
      </c>
      <c r="AJ8" s="236"/>
      <c r="AK8" s="188"/>
      <c r="AL8" s="224"/>
      <c r="AM8" s="191"/>
    </row>
    <row r="9" spans="1:39" ht="39.950000000000003" customHeight="1">
      <c r="A9" s="228" t="s">
        <v>18</v>
      </c>
      <c r="B9" s="319" t="s">
        <v>657</v>
      </c>
      <c r="C9" s="320" t="s">
        <v>659</v>
      </c>
      <c r="D9" s="321" t="s">
        <v>620</v>
      </c>
      <c r="E9" s="321">
        <v>240</v>
      </c>
      <c r="F9" s="321"/>
      <c r="G9" s="320" t="s">
        <v>693</v>
      </c>
      <c r="H9" s="262">
        <v>50000000</v>
      </c>
      <c r="I9" s="262"/>
      <c r="J9" s="262">
        <f t="shared" si="2"/>
        <v>50000000</v>
      </c>
      <c r="K9" s="153">
        <v>-10000000</v>
      </c>
      <c r="L9" s="153"/>
      <c r="M9" s="65">
        <f t="shared" si="3"/>
        <v>40000000</v>
      </c>
      <c r="N9" s="153">
        <v>-10000000</v>
      </c>
      <c r="O9" s="153"/>
      <c r="P9" s="65">
        <f t="shared" si="4"/>
        <v>40000000</v>
      </c>
      <c r="Q9" s="66"/>
      <c r="R9" s="177"/>
      <c r="S9" s="213"/>
      <c r="T9" s="231" t="s">
        <v>662</v>
      </c>
      <c r="U9" s="67"/>
      <c r="V9" s="162" t="s">
        <v>694</v>
      </c>
      <c r="W9" s="153">
        <f t="shared" si="5"/>
        <v>0</v>
      </c>
      <c r="X9" s="153">
        <f t="shared" si="6"/>
        <v>-10000000</v>
      </c>
      <c r="Y9" s="226" t="str">
        <f t="shared" si="7"/>
        <v>ok</v>
      </c>
      <c r="Z9" s="67"/>
      <c r="AA9" s="68" t="s">
        <v>694</v>
      </c>
      <c r="AB9" s="153">
        <f>IF($V9&lt;&gt;"도비",IF($T9="국도비","직접입력",SUM(N9:O9)),)</f>
        <v>0</v>
      </c>
      <c r="AC9" s="153">
        <f>IF($V9="도비",SUM(N9:O9),IF($T9="국도비","직접입력",SUM(N9:O9)-AB9))</f>
        <v>-10000000</v>
      </c>
      <c r="AD9" s="226" t="str">
        <f>IFERROR(IF((N9+O9)=(AB9+AC9),"ok","검토"),"검토")</f>
        <v>ok</v>
      </c>
      <c r="AE9" s="213"/>
      <c r="AF9" s="239" t="s">
        <v>704</v>
      </c>
      <c r="AG9" s="213"/>
      <c r="AH9" s="211"/>
      <c r="AI9" s="211"/>
      <c r="AJ9" s="236"/>
      <c r="AK9" s="188"/>
      <c r="AL9" s="213"/>
      <c r="AM9" s="191"/>
    </row>
    <row r="10" spans="1:39" s="223" customFormat="1" ht="39.950000000000003" customHeight="1">
      <c r="A10" s="319" t="s">
        <v>695</v>
      </c>
      <c r="B10" s="319" t="s">
        <v>696</v>
      </c>
      <c r="C10" s="320" t="s">
        <v>676</v>
      </c>
      <c r="D10" s="321" t="s">
        <v>697</v>
      </c>
      <c r="E10" s="321">
        <v>235</v>
      </c>
      <c r="F10" s="321"/>
      <c r="G10" s="320" t="s">
        <v>698</v>
      </c>
      <c r="H10" s="262">
        <v>2444240659</v>
      </c>
      <c r="I10" s="262">
        <v>2411304000</v>
      </c>
      <c r="J10" s="262">
        <f t="shared" si="2"/>
        <v>32936659</v>
      </c>
      <c r="K10" s="153"/>
      <c r="L10" s="153"/>
      <c r="M10" s="65">
        <f t="shared" si="3"/>
        <v>2444240659</v>
      </c>
      <c r="N10" s="153"/>
      <c r="O10" s="313">
        <v>53800000</v>
      </c>
      <c r="P10" s="65">
        <f t="shared" si="4"/>
        <v>2498040659</v>
      </c>
      <c r="Q10" s="66"/>
      <c r="R10" s="232"/>
      <c r="S10" s="224"/>
      <c r="T10" s="231" t="s">
        <v>694</v>
      </c>
      <c r="U10" s="224"/>
      <c r="V10" s="162" t="s">
        <v>694</v>
      </c>
      <c r="W10" s="153">
        <f t="shared" si="5"/>
        <v>0</v>
      </c>
      <c r="X10" s="153">
        <f t="shared" si="6"/>
        <v>0</v>
      </c>
      <c r="Y10" s="226" t="str">
        <f t="shared" si="7"/>
        <v>ok</v>
      </c>
      <c r="Z10" s="224"/>
      <c r="AA10" s="225"/>
      <c r="AB10" s="153">
        <f>IF($V10&lt;&gt;"도비",IF($T10="국도비","직접입력",SUM(N10:O10)),)</f>
        <v>0</v>
      </c>
      <c r="AC10" s="153">
        <f>IF($V10="도비",SUM(N10:O10),IF($T10="국도비","직접입력",SUM(N10:O10)-AB10))</f>
        <v>53800000</v>
      </c>
      <c r="AD10" s="226" t="str">
        <f>IFERROR(IF((N10+O10)=(AB10+AC10),"ok","검토"),"검토")</f>
        <v>ok</v>
      </c>
      <c r="AE10" s="224"/>
      <c r="AF10" s="239" t="s">
        <v>704</v>
      </c>
      <c r="AG10" s="224"/>
      <c r="AH10" s="234"/>
      <c r="AI10" s="234"/>
      <c r="AJ10" s="236"/>
      <c r="AK10" s="188"/>
      <c r="AL10" s="224"/>
      <c r="AM10" s="191"/>
    </row>
    <row r="11" spans="1:39" s="223" customFormat="1" ht="39.950000000000003" customHeight="1">
      <c r="A11" s="228" t="s">
        <v>18</v>
      </c>
      <c r="B11" s="228" t="s">
        <v>656</v>
      </c>
      <c r="C11" s="230" t="s">
        <v>676</v>
      </c>
      <c r="D11" s="229" t="s">
        <v>620</v>
      </c>
      <c r="E11" s="229">
        <v>235</v>
      </c>
      <c r="F11" s="229"/>
      <c r="G11" s="318" t="s">
        <v>677</v>
      </c>
      <c r="H11" s="262">
        <v>57260000</v>
      </c>
      <c r="I11" s="262">
        <v>57260000</v>
      </c>
      <c r="J11" s="262">
        <f t="shared" ref="J11" si="9">IF(D11="","",H11-I11)</f>
        <v>0</v>
      </c>
      <c r="K11" s="153"/>
      <c r="L11" s="153"/>
      <c r="M11" s="65">
        <f t="shared" ref="M11" si="10">IF(H11=0,I11+K11+L11,H11+K11+L11)</f>
        <v>57260000</v>
      </c>
      <c r="N11" s="153">
        <v>-1871030</v>
      </c>
      <c r="O11" s="313"/>
      <c r="P11" s="65">
        <f t="shared" ref="P11" si="11">IF(H11=0,I11+N11+O11,H11+N11+O11)</f>
        <v>55388970</v>
      </c>
      <c r="Q11" s="66"/>
      <c r="R11" s="232"/>
      <c r="S11" s="224"/>
      <c r="T11" s="231" t="s">
        <v>662</v>
      </c>
      <c r="U11" s="224"/>
      <c r="V11" s="162" t="s">
        <v>694</v>
      </c>
      <c r="W11" s="153">
        <f t="shared" si="5"/>
        <v>0</v>
      </c>
      <c r="X11" s="153">
        <f t="shared" si="6"/>
        <v>0</v>
      </c>
      <c r="Y11" s="226" t="str">
        <f t="shared" si="7"/>
        <v>ok</v>
      </c>
      <c r="Z11" s="224"/>
      <c r="AA11" s="225"/>
      <c r="AB11" s="153">
        <f>IF($V11&lt;&gt;"도비",IF($T11="국도비","직접입력",SUM(N11:O11)),)</f>
        <v>0</v>
      </c>
      <c r="AC11" s="153">
        <f>IF($V11="도비",SUM(N11:O11),IF($T11="국도비","직접입력",SUM(N11:O11)-AB11))</f>
        <v>-1871030</v>
      </c>
      <c r="AD11" s="226" t="str">
        <f>IFERROR(IF((N11+O11)=(AB11+AC11),"ok","검토"),"검토")</f>
        <v>ok</v>
      </c>
      <c r="AE11" s="224"/>
      <c r="AF11" s="239" t="s">
        <v>704</v>
      </c>
      <c r="AG11" s="224"/>
      <c r="AH11" s="234"/>
      <c r="AI11" s="234"/>
      <c r="AJ11" s="236"/>
      <c r="AK11" s="188"/>
      <c r="AL11" s="224"/>
      <c r="AM11" s="191"/>
    </row>
    <row r="12" spans="1:39" s="223" customFormat="1" ht="39.950000000000003" customHeight="1">
      <c r="A12" s="309" t="s">
        <v>624</v>
      </c>
      <c r="B12" s="257"/>
      <c r="C12" s="258"/>
      <c r="D12" s="257"/>
      <c r="E12" s="257"/>
      <c r="F12" s="258"/>
      <c r="G12" s="257"/>
      <c r="H12" s="259">
        <f>SUM(H13:H13)</f>
        <v>8100000</v>
      </c>
      <c r="I12" s="259">
        <f t="shared" ref="I12:P12" si="12">SUM(I13:I13)</f>
        <v>0</v>
      </c>
      <c r="J12" s="259">
        <f t="shared" si="12"/>
        <v>8100000</v>
      </c>
      <c r="K12" s="259">
        <f t="shared" si="12"/>
        <v>0</v>
      </c>
      <c r="L12" s="259">
        <f t="shared" si="12"/>
        <v>0</v>
      </c>
      <c r="M12" s="259">
        <f t="shared" si="12"/>
        <v>8100000</v>
      </c>
      <c r="N12" s="259">
        <f t="shared" si="12"/>
        <v>0</v>
      </c>
      <c r="O12" s="259">
        <f t="shared" si="12"/>
        <v>0</v>
      </c>
      <c r="P12" s="259">
        <f t="shared" si="12"/>
        <v>8100000</v>
      </c>
      <c r="Q12" s="260"/>
      <c r="R12" s="261"/>
      <c r="S12" s="224"/>
      <c r="T12" s="231"/>
      <c r="U12" s="224"/>
      <c r="V12" s="162"/>
      <c r="W12" s="153"/>
      <c r="X12" s="153"/>
      <c r="Y12" s="226"/>
      <c r="Z12" s="224"/>
      <c r="AA12" s="225"/>
      <c r="AB12" s="182"/>
      <c r="AC12" s="182"/>
      <c r="AD12" s="188"/>
      <c r="AE12" s="224"/>
      <c r="AF12" s="239"/>
      <c r="AG12" s="224"/>
      <c r="AH12" s="234" t="str">
        <f t="shared" ref="AH12:AH28" si="13">IF(AF12="","",COUNTIF($AF$8:$AF$9184,$AF12))</f>
        <v/>
      </c>
      <c r="AI12" s="234" t="str">
        <f>IF(C12="","",IF(AND(V12="도비",AF12="세입없음"),"OK",IF(AND(V12&lt;&gt;"도비",AF12&lt;&gt;""),"Ok","@@")))</f>
        <v/>
      </c>
      <c r="AJ12" s="237"/>
      <c r="AK12" s="188"/>
      <c r="AL12" s="224"/>
      <c r="AM12" s="191"/>
    </row>
    <row r="13" spans="1:39" s="223" customFormat="1" ht="39.950000000000003" customHeight="1">
      <c r="A13" s="206" t="s">
        <v>671</v>
      </c>
      <c r="B13" s="206" t="s">
        <v>672</v>
      </c>
      <c r="C13" s="207" t="s">
        <v>673</v>
      </c>
      <c r="D13" s="229" t="s">
        <v>620</v>
      </c>
      <c r="E13" s="229">
        <v>257</v>
      </c>
      <c r="F13" s="208">
        <v>27</v>
      </c>
      <c r="G13" s="207" t="s">
        <v>674</v>
      </c>
      <c r="H13" s="265">
        <v>8100000</v>
      </c>
      <c r="I13" s="265"/>
      <c r="J13" s="265">
        <f t="shared" ref="J13:J15" si="14">IF(D13="","",H13-I13)</f>
        <v>8100000</v>
      </c>
      <c r="K13" s="152"/>
      <c r="L13" s="152"/>
      <c r="M13" s="65">
        <f t="shared" ref="M13" si="15">IF(H13=0,I13+K13+L13,H13+K13+L13)</f>
        <v>8100000</v>
      </c>
      <c r="N13" s="152"/>
      <c r="O13" s="152"/>
      <c r="P13" s="65">
        <f t="shared" ref="P13" si="16">IF(H13=0,I13+N13+O13,H13+N13+O13)</f>
        <v>8100000</v>
      </c>
      <c r="Q13" s="64"/>
      <c r="R13" s="210" t="s">
        <v>675</v>
      </c>
      <c r="S13" s="224"/>
      <c r="T13" s="231" t="s">
        <v>662</v>
      </c>
      <c r="U13" s="224"/>
      <c r="V13" s="162" t="s">
        <v>694</v>
      </c>
      <c r="W13" s="153">
        <f t="shared" si="5"/>
        <v>0</v>
      </c>
      <c r="X13" s="153">
        <f t="shared" si="6"/>
        <v>0</v>
      </c>
      <c r="Y13" s="226" t="str">
        <f t="shared" si="7"/>
        <v>ok</v>
      </c>
      <c r="Z13" s="224"/>
      <c r="AA13" s="225" t="str">
        <f t="shared" ref="AA13:AA28" si="17">$V13</f>
        <v>도비</v>
      </c>
      <c r="AB13" s="153">
        <f>IF($V13&lt;&gt;"도비",IF($T13="국도비","직접입력",SUM(N13:O13)),)</f>
        <v>0</v>
      </c>
      <c r="AC13" s="153">
        <f>IF($V13="도비",SUM(N13:O13),IF($T13="국도비","직접입력",SUM(N13:O13)-AB13))</f>
        <v>0</v>
      </c>
      <c r="AD13" s="226" t="str">
        <f>IFERROR(IF((N13+O13)=(AB13+AC13),"ok","검토"),"검토")</f>
        <v>ok</v>
      </c>
      <c r="AE13" s="224"/>
      <c r="AF13" s="239" t="s">
        <v>704</v>
      </c>
      <c r="AG13" s="224"/>
      <c r="AH13" s="234">
        <f t="shared" si="13"/>
        <v>16</v>
      </c>
      <c r="AI13" s="234" t="str">
        <f>IF(C13="","",IF(AND(V13="도비",AF13="세입없음"),"OK",IF(AND(V13&lt;&gt;"도비",AF13&lt;&gt;""),"Ok","@@")))</f>
        <v>OK</v>
      </c>
      <c r="AJ13" s="237"/>
      <c r="AK13" s="188"/>
      <c r="AL13" s="224"/>
      <c r="AM13" s="191"/>
    </row>
    <row r="14" spans="1:39" s="223" customFormat="1" ht="39.950000000000003" customHeight="1">
      <c r="A14" s="309" t="s">
        <v>692</v>
      </c>
      <c r="B14" s="257"/>
      <c r="C14" s="258"/>
      <c r="D14" s="257"/>
      <c r="E14" s="257"/>
      <c r="F14" s="258"/>
      <c r="G14" s="257"/>
      <c r="H14" s="259">
        <f>SUM(H15:H15)</f>
        <v>172905000</v>
      </c>
      <c r="I14" s="259">
        <f t="shared" ref="I14" si="18">SUM(I15:I15)</f>
        <v>170325000</v>
      </c>
      <c r="J14" s="259">
        <f t="shared" ref="J14" si="19">SUM(J15:J15)</f>
        <v>2580000</v>
      </c>
      <c r="K14" s="259">
        <f t="shared" ref="K14" si="20">SUM(K15:K15)</f>
        <v>0</v>
      </c>
      <c r="L14" s="259">
        <f t="shared" ref="L14" si="21">SUM(L15:L15)</f>
        <v>0</v>
      </c>
      <c r="M14" s="259">
        <f t="shared" ref="M14" si="22">SUM(M15:M15)</f>
        <v>172905000</v>
      </c>
      <c r="N14" s="259">
        <f t="shared" ref="N14" si="23">SUM(N15:N15)</f>
        <v>0</v>
      </c>
      <c r="O14" s="259">
        <f t="shared" ref="O14" si="24">SUM(O15:O15)</f>
        <v>4200000</v>
      </c>
      <c r="P14" s="259">
        <f t="shared" ref="P14" si="25">SUM(P15:P15)</f>
        <v>177105000</v>
      </c>
      <c r="Q14" s="260"/>
      <c r="R14" s="261"/>
      <c r="S14" s="224"/>
      <c r="T14" s="231"/>
      <c r="U14" s="224"/>
      <c r="V14" s="162"/>
      <c r="W14" s="153"/>
      <c r="X14" s="153"/>
      <c r="Y14" s="226"/>
      <c r="Z14" s="224"/>
      <c r="AA14" s="225"/>
      <c r="AB14" s="182"/>
      <c r="AC14" s="182"/>
      <c r="AD14" s="188"/>
      <c r="AE14" s="224"/>
      <c r="AF14" s="239"/>
      <c r="AG14" s="224"/>
      <c r="AH14" s="234" t="str">
        <f t="shared" si="13"/>
        <v/>
      </c>
      <c r="AI14" s="234" t="str">
        <f>IF(C14="","",IF(AND(V14="도비",AF14="세입없음"),"OK",IF(AND(V14&lt;&gt;"도비",AF14&lt;&gt;""),"Ok","@@")))</f>
        <v/>
      </c>
      <c r="AJ14" s="237"/>
      <c r="AK14" s="188"/>
      <c r="AL14" s="224"/>
      <c r="AM14" s="191"/>
    </row>
    <row r="15" spans="1:39" s="223" customFormat="1" ht="39.950000000000003" customHeight="1">
      <c r="A15" s="206" t="s">
        <v>699</v>
      </c>
      <c r="B15" s="322" t="s">
        <v>700</v>
      </c>
      <c r="C15" s="323" t="s">
        <v>701</v>
      </c>
      <c r="D15" s="321" t="s">
        <v>697</v>
      </c>
      <c r="E15" s="321">
        <v>267</v>
      </c>
      <c r="F15" s="324"/>
      <c r="G15" s="323" t="s">
        <v>702</v>
      </c>
      <c r="H15" s="265">
        <v>172905000</v>
      </c>
      <c r="I15" s="265">
        <v>170325000</v>
      </c>
      <c r="J15" s="265">
        <f t="shared" si="14"/>
        <v>2580000</v>
      </c>
      <c r="K15" s="152"/>
      <c r="L15" s="152"/>
      <c r="M15" s="65">
        <f t="shared" ref="M15:M17" si="26">IF(H15=0,I15+K15+L15,H15+K15+L15)</f>
        <v>172905000</v>
      </c>
      <c r="N15" s="152"/>
      <c r="O15" s="152">
        <v>4200000</v>
      </c>
      <c r="P15" s="65">
        <f t="shared" ref="P15:P17" si="27">IF(H15=0,I15+N15+O15,H15+N15+O15)</f>
        <v>177105000</v>
      </c>
      <c r="Q15" s="64"/>
      <c r="R15" s="210"/>
      <c r="S15" s="224"/>
      <c r="T15" s="231" t="s">
        <v>662</v>
      </c>
      <c r="U15" s="224"/>
      <c r="V15" s="162" t="s">
        <v>694</v>
      </c>
      <c r="W15" s="153">
        <f t="shared" si="5"/>
        <v>0</v>
      </c>
      <c r="X15" s="153">
        <f t="shared" si="6"/>
        <v>0</v>
      </c>
      <c r="Y15" s="226" t="str">
        <f t="shared" si="7"/>
        <v>ok</v>
      </c>
      <c r="Z15" s="224"/>
      <c r="AA15" s="225" t="str">
        <f t="shared" si="17"/>
        <v>도비</v>
      </c>
      <c r="AB15" s="153">
        <f>IF($V15&lt;&gt;"도비",IF($T15="국도비","직접입력",SUM(N15:O15)),)</f>
        <v>0</v>
      </c>
      <c r="AC15" s="153">
        <f>IF($V15="도비",SUM(N15:O15),IF($T15="국도비","직접입력",SUM(N15:O15)-AB15))</f>
        <v>4200000</v>
      </c>
      <c r="AD15" s="226" t="str">
        <f>IFERROR(IF((N15+O15)=(AB15+AC15),"ok","검토"),"검토")</f>
        <v>ok</v>
      </c>
      <c r="AE15" s="224"/>
      <c r="AF15" s="239" t="s">
        <v>704</v>
      </c>
      <c r="AG15" s="224"/>
      <c r="AH15" s="234">
        <f t="shared" si="13"/>
        <v>16</v>
      </c>
      <c r="AI15" s="234" t="str">
        <f>IF(C15="","",IF(AND(V15="도비",AF15="세입없음"),"OK",IF(AND(V15&lt;&gt;"도비",AF15&lt;&gt;""),"Ok","@@")))</f>
        <v>OK</v>
      </c>
      <c r="AJ15" s="237"/>
      <c r="AK15" s="188"/>
      <c r="AL15" s="224"/>
      <c r="AM15" s="191"/>
    </row>
    <row r="16" spans="1:39" ht="39.950000000000003" customHeight="1">
      <c r="A16" s="309" t="s">
        <v>625</v>
      </c>
      <c r="B16" s="257"/>
      <c r="C16" s="258"/>
      <c r="D16" s="257"/>
      <c r="E16" s="257"/>
      <c r="F16" s="258"/>
      <c r="G16" s="257"/>
      <c r="H16" s="259">
        <f>SUM(H17:H17)</f>
        <v>0</v>
      </c>
      <c r="I16" s="259">
        <f t="shared" ref="I16:P16" si="28">SUM(I17:I17)</f>
        <v>0</v>
      </c>
      <c r="J16" s="259">
        <f t="shared" si="28"/>
        <v>0</v>
      </c>
      <c r="K16" s="259">
        <f t="shared" si="28"/>
        <v>0</v>
      </c>
      <c r="L16" s="259">
        <f t="shared" si="28"/>
        <v>14000000</v>
      </c>
      <c r="M16" s="259">
        <f t="shared" si="28"/>
        <v>14000000</v>
      </c>
      <c r="N16" s="259">
        <f t="shared" si="28"/>
        <v>0</v>
      </c>
      <c r="O16" s="259">
        <f t="shared" si="28"/>
        <v>14000000</v>
      </c>
      <c r="P16" s="259">
        <f t="shared" si="28"/>
        <v>14000000</v>
      </c>
      <c r="Q16" s="260"/>
      <c r="R16" s="261"/>
      <c r="T16" s="231"/>
      <c r="V16" s="162"/>
      <c r="W16" s="153"/>
      <c r="X16" s="153"/>
      <c r="Y16" s="226"/>
      <c r="AA16" s="225"/>
      <c r="AB16" s="182"/>
      <c r="AC16" s="182"/>
      <c r="AD16" s="188"/>
      <c r="AF16" s="239"/>
      <c r="AH16" s="234" t="str">
        <f t="shared" si="13"/>
        <v/>
      </c>
      <c r="AI16" s="234" t="str">
        <f t="shared" ref="AI16:AI28" si="29">IF(C16="","",IF(AND(V16="도비",AF16="세입없음"),"OK",IF(AND(V16&lt;&gt;"도비",AF16&lt;&gt;""),"Ok","@@")))</f>
        <v/>
      </c>
      <c r="AK16" s="188"/>
      <c r="AM16" s="191"/>
    </row>
    <row r="17" spans="1:39" ht="39.950000000000003" customHeight="1">
      <c r="A17" s="206" t="s">
        <v>639</v>
      </c>
      <c r="B17" s="206" t="s">
        <v>640</v>
      </c>
      <c r="C17" s="207" t="s">
        <v>641</v>
      </c>
      <c r="D17" s="229" t="s">
        <v>555</v>
      </c>
      <c r="E17" s="229"/>
      <c r="F17" s="208"/>
      <c r="G17" s="207" t="s">
        <v>643</v>
      </c>
      <c r="H17" s="265"/>
      <c r="I17" s="265"/>
      <c r="J17" s="265">
        <f t="shared" ref="J17" si="30">IF(D17="","",H17-I17)</f>
        <v>0</v>
      </c>
      <c r="K17" s="152"/>
      <c r="L17" s="152">
        <v>14000000</v>
      </c>
      <c r="M17" s="65">
        <f t="shared" si="26"/>
        <v>14000000</v>
      </c>
      <c r="N17" s="152"/>
      <c r="O17" s="152">
        <v>14000000</v>
      </c>
      <c r="P17" s="65">
        <f t="shared" si="27"/>
        <v>14000000</v>
      </c>
      <c r="Q17" s="64"/>
      <c r="R17" s="312" t="s">
        <v>642</v>
      </c>
      <c r="T17" s="231" t="s">
        <v>694</v>
      </c>
      <c r="V17" s="162" t="s">
        <v>694</v>
      </c>
      <c r="W17" s="153">
        <f t="shared" si="5"/>
        <v>0</v>
      </c>
      <c r="X17" s="153">
        <f t="shared" si="6"/>
        <v>14000000</v>
      </c>
      <c r="Y17" s="226" t="str">
        <f t="shared" si="7"/>
        <v>ok</v>
      </c>
      <c r="AA17" s="225" t="str">
        <f t="shared" si="17"/>
        <v>도비</v>
      </c>
      <c r="AB17" s="153">
        <f>IF($V17&lt;&gt;"도비",IF($T17="국도비","직접입력",SUM(N17:O17)),)</f>
        <v>0</v>
      </c>
      <c r="AC17" s="153">
        <f>IF($V17="도비",SUM(N17:O17),IF($T17="국도비","직접입력",SUM(N17:O17)-AB17))</f>
        <v>14000000</v>
      </c>
      <c r="AD17" s="226" t="str">
        <f>IFERROR(IF((N17+O17)=(AB17+AC17),"ok","검토"),"검토")</f>
        <v>ok</v>
      </c>
      <c r="AF17" s="239" t="s">
        <v>704</v>
      </c>
      <c r="AH17" s="234">
        <f t="shared" si="13"/>
        <v>16</v>
      </c>
      <c r="AI17" s="234" t="str">
        <f t="shared" si="29"/>
        <v>OK</v>
      </c>
      <c r="AK17" s="188"/>
      <c r="AM17" s="191"/>
    </row>
    <row r="18" spans="1:39" ht="39.950000000000003" customHeight="1">
      <c r="A18" s="309" t="s">
        <v>629</v>
      </c>
      <c r="B18" s="257"/>
      <c r="C18" s="258"/>
      <c r="D18" s="257"/>
      <c r="E18" s="257"/>
      <c r="F18" s="258"/>
      <c r="G18" s="257"/>
      <c r="H18" s="259">
        <f>SUM(H19:H21)</f>
        <v>35000000</v>
      </c>
      <c r="I18" s="259">
        <f t="shared" ref="I18:P18" si="31">SUM(I19:I21)</f>
        <v>17000000</v>
      </c>
      <c r="J18" s="259">
        <f t="shared" si="31"/>
        <v>18000000</v>
      </c>
      <c r="K18" s="259">
        <f t="shared" si="31"/>
        <v>-5000000</v>
      </c>
      <c r="L18" s="259">
        <f t="shared" si="31"/>
        <v>5000000</v>
      </c>
      <c r="M18" s="259">
        <f t="shared" si="31"/>
        <v>35000000</v>
      </c>
      <c r="N18" s="259">
        <f t="shared" si="31"/>
        <v>-5000000</v>
      </c>
      <c r="O18" s="259">
        <f t="shared" si="31"/>
        <v>5000000</v>
      </c>
      <c r="P18" s="259">
        <f t="shared" si="31"/>
        <v>35000000</v>
      </c>
      <c r="Q18" s="260"/>
      <c r="R18" s="261"/>
      <c r="T18" s="231"/>
      <c r="V18" s="162"/>
      <c r="W18" s="153"/>
      <c r="X18" s="153"/>
      <c r="Y18" s="226"/>
      <c r="AA18" s="225"/>
      <c r="AB18" s="182"/>
      <c r="AC18" s="182"/>
      <c r="AD18" s="188"/>
      <c r="AF18" s="239"/>
      <c r="AH18" s="234" t="str">
        <f t="shared" si="13"/>
        <v/>
      </c>
      <c r="AI18" s="234" t="str">
        <f t="shared" si="29"/>
        <v/>
      </c>
      <c r="AK18" s="188"/>
      <c r="AM18" s="191"/>
    </row>
    <row r="19" spans="1:39" ht="39.950000000000003" customHeight="1">
      <c r="A19" s="228" t="s">
        <v>630</v>
      </c>
      <c r="B19" s="228" t="s">
        <v>632</v>
      </c>
      <c r="C19" s="230" t="s">
        <v>634</v>
      </c>
      <c r="D19" s="229" t="s">
        <v>620</v>
      </c>
      <c r="E19" s="229">
        <v>294</v>
      </c>
      <c r="F19" s="229">
        <v>66</v>
      </c>
      <c r="G19" s="230" t="s">
        <v>635</v>
      </c>
      <c r="H19" s="265">
        <v>15000000</v>
      </c>
      <c r="I19" s="265">
        <v>10000000</v>
      </c>
      <c r="J19" s="310">
        <f t="shared" ref="J19:J21" si="32">IF(D19="","",H19-I19)</f>
        <v>5000000</v>
      </c>
      <c r="K19" s="152">
        <v>-5000000</v>
      </c>
      <c r="L19" s="152"/>
      <c r="M19" s="63">
        <f t="shared" ref="M19:M21" si="33">IF(H19=0,I19+K19+L19,H19+K19+L19)</f>
        <v>10000000</v>
      </c>
      <c r="N19" s="152">
        <v>-5000000</v>
      </c>
      <c r="O19" s="152"/>
      <c r="P19" s="63">
        <f t="shared" ref="P19:P21" si="34">IF(H19=0,I19+N19+O19,H19+N19+O19)</f>
        <v>10000000</v>
      </c>
      <c r="Q19" s="64"/>
      <c r="R19" s="232" t="s">
        <v>637</v>
      </c>
      <c r="T19" s="162" t="s">
        <v>694</v>
      </c>
      <c r="V19" s="162" t="s">
        <v>694</v>
      </c>
      <c r="W19" s="153">
        <f t="shared" si="5"/>
        <v>0</v>
      </c>
      <c r="X19" s="153">
        <f t="shared" si="6"/>
        <v>-5000000</v>
      </c>
      <c r="Y19" s="226" t="str">
        <f t="shared" si="7"/>
        <v>ok</v>
      </c>
      <c r="AA19" s="225" t="str">
        <f t="shared" si="17"/>
        <v>도비</v>
      </c>
      <c r="AB19" s="153">
        <f>IF($V19&lt;&gt;"도비",IF($T19="국도비","직접입력",SUM(N19:O19)),)</f>
        <v>0</v>
      </c>
      <c r="AC19" s="153">
        <f>IF($V19="도비",SUM(N19:O19),IF($T19="국도비","직접입력",SUM(N19:O19)-AB19))</f>
        <v>-5000000</v>
      </c>
      <c r="AD19" s="226" t="str">
        <f>IFERROR(IF((N19+O19)=(AB19+AC19),"ok","검토"),"검토")</f>
        <v>ok</v>
      </c>
      <c r="AF19" s="239" t="s">
        <v>704</v>
      </c>
      <c r="AH19" s="234">
        <f t="shared" si="13"/>
        <v>16</v>
      </c>
      <c r="AI19" s="234" t="str">
        <f t="shared" si="29"/>
        <v>OK</v>
      </c>
      <c r="AK19" s="188"/>
      <c r="AM19" s="191"/>
    </row>
    <row r="20" spans="1:39" ht="39.950000000000003" customHeight="1">
      <c r="A20" s="228" t="s">
        <v>611</v>
      </c>
      <c r="B20" s="228" t="s">
        <v>631</v>
      </c>
      <c r="C20" s="230" t="s">
        <v>633</v>
      </c>
      <c r="D20" s="229" t="s">
        <v>620</v>
      </c>
      <c r="E20" s="229">
        <v>294</v>
      </c>
      <c r="F20" s="229">
        <v>67</v>
      </c>
      <c r="G20" s="230" t="s">
        <v>636</v>
      </c>
      <c r="H20" s="263">
        <v>15000000</v>
      </c>
      <c r="I20" s="263">
        <v>7000000</v>
      </c>
      <c r="J20" s="263">
        <f t="shared" si="32"/>
        <v>8000000</v>
      </c>
      <c r="K20" s="153"/>
      <c r="L20" s="153">
        <v>5000000</v>
      </c>
      <c r="M20" s="65">
        <f t="shared" si="33"/>
        <v>20000000</v>
      </c>
      <c r="N20" s="153"/>
      <c r="O20" s="153">
        <v>5000000</v>
      </c>
      <c r="P20" s="65">
        <f t="shared" si="34"/>
        <v>20000000</v>
      </c>
      <c r="Q20" s="66"/>
      <c r="R20" s="232" t="s">
        <v>638</v>
      </c>
      <c r="T20" s="162" t="s">
        <v>694</v>
      </c>
      <c r="V20" s="162" t="s">
        <v>694</v>
      </c>
      <c r="W20" s="153">
        <f t="shared" si="5"/>
        <v>0</v>
      </c>
      <c r="X20" s="153">
        <f t="shared" si="6"/>
        <v>5000000</v>
      </c>
      <c r="Y20" s="226" t="str">
        <f t="shared" si="7"/>
        <v>ok</v>
      </c>
      <c r="AA20" s="225" t="str">
        <f t="shared" si="17"/>
        <v>도비</v>
      </c>
      <c r="AB20" s="153">
        <f>IF($V20&lt;&gt;"도비",IF($T20="국도비","직접입력",SUM(N20:O20)),)</f>
        <v>0</v>
      </c>
      <c r="AC20" s="153">
        <f>IF($V20="도비",SUM(N20:O20),IF($T20="국도비","직접입력",SUM(N20:O20)-AB20))</f>
        <v>5000000</v>
      </c>
      <c r="AD20" s="226" t="str">
        <f>IFERROR(IF((N20+O20)=(AB20+AC20),"ok","검토"),"검토")</f>
        <v>ok</v>
      </c>
      <c r="AF20" s="239" t="s">
        <v>704</v>
      </c>
      <c r="AH20" s="234">
        <f t="shared" si="13"/>
        <v>16</v>
      </c>
      <c r="AI20" s="234" t="str">
        <f t="shared" si="29"/>
        <v>OK</v>
      </c>
      <c r="AK20" s="188"/>
      <c r="AM20" s="191"/>
    </row>
    <row r="21" spans="1:39" ht="39.950000000000003" customHeight="1">
      <c r="A21" s="228" t="s">
        <v>611</v>
      </c>
      <c r="B21" s="228" t="s">
        <v>631</v>
      </c>
      <c r="C21" s="230" t="s">
        <v>633</v>
      </c>
      <c r="D21" s="229" t="s">
        <v>620</v>
      </c>
      <c r="E21" s="229">
        <v>294</v>
      </c>
      <c r="F21" s="229">
        <v>69</v>
      </c>
      <c r="G21" s="230" t="s">
        <v>682</v>
      </c>
      <c r="H21" s="262">
        <v>5000000</v>
      </c>
      <c r="I21" s="262"/>
      <c r="J21" s="262">
        <f t="shared" si="32"/>
        <v>5000000</v>
      </c>
      <c r="K21" s="153"/>
      <c r="L21" s="153"/>
      <c r="M21" s="65">
        <f t="shared" si="33"/>
        <v>5000000</v>
      </c>
      <c r="N21" s="153"/>
      <c r="O21" s="153"/>
      <c r="P21" s="65">
        <f t="shared" si="34"/>
        <v>5000000</v>
      </c>
      <c r="Q21" s="66"/>
      <c r="R21" s="315" t="s">
        <v>683</v>
      </c>
      <c r="T21" s="162" t="s">
        <v>694</v>
      </c>
      <c r="V21" s="162" t="s">
        <v>694</v>
      </c>
      <c r="W21" s="153">
        <f t="shared" si="5"/>
        <v>0</v>
      </c>
      <c r="X21" s="153">
        <f t="shared" si="6"/>
        <v>0</v>
      </c>
      <c r="Y21" s="226" t="str">
        <f t="shared" si="7"/>
        <v>ok</v>
      </c>
      <c r="AA21" s="225" t="str">
        <f t="shared" si="17"/>
        <v>도비</v>
      </c>
      <c r="AB21" s="153">
        <f>IF($V21&lt;&gt;"도비",IF($T21="국도비","직접입력",SUM(N21:O21)),)</f>
        <v>0</v>
      </c>
      <c r="AC21" s="153">
        <f>IF($V21="도비",SUM(N21:O21),IF($T21="국도비","직접입력",SUM(N21:O21)-AB21))</f>
        <v>0</v>
      </c>
      <c r="AD21" s="226" t="str">
        <f>IFERROR(IF((N21+O21)=(AB21+AC21),"ok","검토"),"검토")</f>
        <v>ok</v>
      </c>
      <c r="AF21" s="239" t="s">
        <v>704</v>
      </c>
      <c r="AH21" s="234">
        <f t="shared" si="13"/>
        <v>16</v>
      </c>
      <c r="AI21" s="234" t="str">
        <f t="shared" si="29"/>
        <v>OK</v>
      </c>
      <c r="AK21" s="188"/>
      <c r="AM21" s="191"/>
    </row>
    <row r="22" spans="1:39" ht="39.950000000000003" customHeight="1">
      <c r="A22" s="309" t="s">
        <v>626</v>
      </c>
      <c r="B22" s="257"/>
      <c r="C22" s="258"/>
      <c r="D22" s="257"/>
      <c r="E22" s="257"/>
      <c r="F22" s="258"/>
      <c r="G22" s="257"/>
      <c r="H22" s="259">
        <f>SUM(H23:H28)</f>
        <v>330578600</v>
      </c>
      <c r="I22" s="259">
        <f t="shared" ref="I22:P22" si="35">SUM(I23:I28)</f>
        <v>319290000</v>
      </c>
      <c r="J22" s="259">
        <f t="shared" si="35"/>
        <v>11288600</v>
      </c>
      <c r="K22" s="259">
        <f t="shared" si="35"/>
        <v>-1078970</v>
      </c>
      <c r="L22" s="259">
        <f t="shared" si="35"/>
        <v>0</v>
      </c>
      <c r="M22" s="259">
        <f t="shared" si="35"/>
        <v>329499630</v>
      </c>
      <c r="N22" s="259">
        <f t="shared" si="35"/>
        <v>-1078970</v>
      </c>
      <c r="O22" s="259">
        <f t="shared" si="35"/>
        <v>82000000</v>
      </c>
      <c r="P22" s="259">
        <f t="shared" si="35"/>
        <v>411499630</v>
      </c>
      <c r="Q22" s="261"/>
      <c r="R22" s="261"/>
      <c r="T22" s="231"/>
      <c r="V22" s="162"/>
      <c r="W22" s="153"/>
      <c r="X22" s="153"/>
      <c r="Y22" s="226"/>
      <c r="AA22" s="225"/>
      <c r="AB22" s="182"/>
      <c r="AC22" s="182"/>
      <c r="AD22" s="188"/>
      <c r="AF22" s="239"/>
      <c r="AH22" s="234" t="str">
        <f t="shared" si="13"/>
        <v/>
      </c>
      <c r="AI22" s="234" t="str">
        <f t="shared" si="29"/>
        <v/>
      </c>
      <c r="AK22" s="188"/>
      <c r="AM22" s="191"/>
    </row>
    <row r="23" spans="1:39" ht="99.95" customHeight="1">
      <c r="A23" s="206" t="s">
        <v>666</v>
      </c>
      <c r="B23" s="206" t="s">
        <v>667</v>
      </c>
      <c r="C23" s="207" t="s">
        <v>668</v>
      </c>
      <c r="D23" s="229" t="s">
        <v>620</v>
      </c>
      <c r="E23" s="229">
        <v>314</v>
      </c>
      <c r="F23" s="208">
        <v>79</v>
      </c>
      <c r="G23" s="207" t="s">
        <v>680</v>
      </c>
      <c r="H23" s="265">
        <v>342000</v>
      </c>
      <c r="I23" s="265"/>
      <c r="J23" s="265">
        <f t="shared" ref="J23:J28" si="36">IF(D23="","",H23-I23)</f>
        <v>342000</v>
      </c>
      <c r="K23" s="152">
        <v>-68400</v>
      </c>
      <c r="L23" s="152"/>
      <c r="M23" s="63">
        <f t="shared" ref="M23:M28" si="37">IF(H23=0,I23+K23+L23,H23+K23+L23)</f>
        <v>273600</v>
      </c>
      <c r="N23" s="152">
        <v>-68400</v>
      </c>
      <c r="O23" s="152"/>
      <c r="P23" s="63">
        <f t="shared" ref="P23:P26" si="38">IF(H23=0,I23+N23+O23,H23+N23+O23)</f>
        <v>273600</v>
      </c>
      <c r="Q23" s="210"/>
      <c r="R23" s="311" t="s">
        <v>691</v>
      </c>
      <c r="T23" s="162" t="s">
        <v>694</v>
      </c>
      <c r="V23" s="162" t="s">
        <v>694</v>
      </c>
      <c r="W23" s="153">
        <f t="shared" si="5"/>
        <v>0</v>
      </c>
      <c r="X23" s="153">
        <f t="shared" si="6"/>
        <v>-68400</v>
      </c>
      <c r="Y23" s="226" t="str">
        <f t="shared" si="7"/>
        <v>ok</v>
      </c>
      <c r="AA23" s="225" t="str">
        <f t="shared" si="17"/>
        <v>도비</v>
      </c>
      <c r="AB23" s="153">
        <f t="shared" ref="AB23:AB28" si="39">IF($V23&lt;&gt;"도비",IF($T23="국도비","직접입력",SUM(N23:O23)),)</f>
        <v>0</v>
      </c>
      <c r="AC23" s="153">
        <f t="shared" ref="AC23:AC28" si="40">IF($V23="도비",SUM(N23:O23),IF($T23="국도비","직접입력",SUM(N23:O23)-AB23))</f>
        <v>-68400</v>
      </c>
      <c r="AD23" s="226" t="str">
        <f t="shared" ref="AD23:AD28" si="41">IFERROR(IF((N23+O23)=(AB23+AC23),"ok","검토"),"검토")</f>
        <v>ok</v>
      </c>
      <c r="AF23" s="239" t="s">
        <v>704</v>
      </c>
      <c r="AH23" s="234">
        <f t="shared" si="13"/>
        <v>16</v>
      </c>
      <c r="AI23" s="234" t="str">
        <f t="shared" si="29"/>
        <v>OK</v>
      </c>
      <c r="AK23" s="188"/>
      <c r="AM23" s="191"/>
    </row>
    <row r="24" spans="1:39" ht="99.95" customHeight="1">
      <c r="A24" s="228" t="s">
        <v>666</v>
      </c>
      <c r="B24" s="228" t="s">
        <v>667</v>
      </c>
      <c r="C24" s="230" t="s">
        <v>668</v>
      </c>
      <c r="D24" s="229" t="s">
        <v>620</v>
      </c>
      <c r="E24" s="229">
        <v>314</v>
      </c>
      <c r="F24" s="229">
        <v>80</v>
      </c>
      <c r="G24" s="230" t="s">
        <v>681</v>
      </c>
      <c r="H24" s="263">
        <v>271600</v>
      </c>
      <c r="I24" s="263"/>
      <c r="J24" s="263">
        <f t="shared" si="36"/>
        <v>271600</v>
      </c>
      <c r="K24" s="153">
        <v>-54320</v>
      </c>
      <c r="L24" s="153"/>
      <c r="M24" s="65">
        <f t="shared" si="37"/>
        <v>217280</v>
      </c>
      <c r="N24" s="153">
        <v>-54320</v>
      </c>
      <c r="O24" s="153"/>
      <c r="P24" s="65">
        <f t="shared" si="38"/>
        <v>217280</v>
      </c>
      <c r="Q24" s="232"/>
      <c r="R24" s="311" t="s">
        <v>691</v>
      </c>
      <c r="T24" s="162" t="s">
        <v>694</v>
      </c>
      <c r="V24" s="162" t="s">
        <v>694</v>
      </c>
      <c r="W24" s="153">
        <f t="shared" si="5"/>
        <v>0</v>
      </c>
      <c r="X24" s="153">
        <f t="shared" si="6"/>
        <v>-54320</v>
      </c>
      <c r="Y24" s="226" t="str">
        <f t="shared" si="7"/>
        <v>ok</v>
      </c>
      <c r="AA24" s="225" t="str">
        <f t="shared" si="17"/>
        <v>도비</v>
      </c>
      <c r="AB24" s="153">
        <f t="shared" si="39"/>
        <v>0</v>
      </c>
      <c r="AC24" s="153">
        <f t="shared" si="40"/>
        <v>-54320</v>
      </c>
      <c r="AD24" s="226" t="str">
        <f t="shared" si="41"/>
        <v>ok</v>
      </c>
      <c r="AF24" s="239" t="s">
        <v>704</v>
      </c>
      <c r="AH24" s="234">
        <f t="shared" si="13"/>
        <v>16</v>
      </c>
      <c r="AI24" s="234" t="str">
        <f t="shared" si="29"/>
        <v>OK</v>
      </c>
      <c r="AK24" s="188"/>
      <c r="AM24" s="191"/>
    </row>
    <row r="25" spans="1:39" ht="80.099999999999994" customHeight="1">
      <c r="A25" s="228" t="s">
        <v>666</v>
      </c>
      <c r="B25" s="228" t="s">
        <v>667</v>
      </c>
      <c r="C25" s="230" t="s">
        <v>668</v>
      </c>
      <c r="D25" s="229" t="s">
        <v>620</v>
      </c>
      <c r="E25" s="229">
        <v>315</v>
      </c>
      <c r="F25" s="229">
        <v>82</v>
      </c>
      <c r="G25" s="230" t="s">
        <v>669</v>
      </c>
      <c r="H25" s="264">
        <v>1675000</v>
      </c>
      <c r="I25" s="264"/>
      <c r="J25" s="264">
        <f t="shared" si="36"/>
        <v>1675000</v>
      </c>
      <c r="K25" s="153">
        <v>-251250</v>
      </c>
      <c r="L25" s="153"/>
      <c r="M25" s="65">
        <f t="shared" si="37"/>
        <v>1423750</v>
      </c>
      <c r="N25" s="153">
        <v>-251250</v>
      </c>
      <c r="O25" s="153"/>
      <c r="P25" s="65">
        <f t="shared" si="38"/>
        <v>1423750</v>
      </c>
      <c r="Q25" s="233"/>
      <c r="R25" s="314" t="s">
        <v>687</v>
      </c>
      <c r="T25" s="162" t="s">
        <v>694</v>
      </c>
      <c r="V25" s="162" t="s">
        <v>694</v>
      </c>
      <c r="W25" s="153">
        <f t="shared" si="5"/>
        <v>0</v>
      </c>
      <c r="X25" s="153">
        <f t="shared" si="6"/>
        <v>-251250</v>
      </c>
      <c r="Y25" s="226" t="str">
        <f t="shared" si="7"/>
        <v>ok</v>
      </c>
      <c r="AA25" s="225" t="str">
        <f t="shared" si="17"/>
        <v>도비</v>
      </c>
      <c r="AB25" s="153">
        <f t="shared" si="39"/>
        <v>0</v>
      </c>
      <c r="AC25" s="153">
        <f t="shared" si="40"/>
        <v>-251250</v>
      </c>
      <c r="AD25" s="226" t="str">
        <f t="shared" si="41"/>
        <v>ok</v>
      </c>
      <c r="AF25" s="239" t="s">
        <v>704</v>
      </c>
      <c r="AH25" s="234">
        <f t="shared" si="13"/>
        <v>16</v>
      </c>
      <c r="AI25" s="234" t="str">
        <f t="shared" si="29"/>
        <v>OK</v>
      </c>
      <c r="AK25" s="188"/>
      <c r="AM25" s="191"/>
    </row>
    <row r="26" spans="1:39" ht="80.099999999999994" customHeight="1">
      <c r="A26" s="228" t="s">
        <v>666</v>
      </c>
      <c r="B26" s="228" t="s">
        <v>667</v>
      </c>
      <c r="C26" s="230" t="s">
        <v>668</v>
      </c>
      <c r="D26" s="229" t="s">
        <v>620</v>
      </c>
      <c r="E26" s="229">
        <v>315</v>
      </c>
      <c r="F26" s="229">
        <v>83</v>
      </c>
      <c r="G26" s="230" t="s">
        <v>670</v>
      </c>
      <c r="H26" s="262">
        <v>4700000</v>
      </c>
      <c r="I26" s="262"/>
      <c r="J26" s="262">
        <f t="shared" si="36"/>
        <v>4700000</v>
      </c>
      <c r="K26" s="153">
        <v>-705000</v>
      </c>
      <c r="L26" s="153"/>
      <c r="M26" s="65">
        <f t="shared" si="37"/>
        <v>3995000</v>
      </c>
      <c r="N26" s="153">
        <v>-705000</v>
      </c>
      <c r="O26" s="153"/>
      <c r="P26" s="65">
        <f t="shared" si="38"/>
        <v>3995000</v>
      </c>
      <c r="Q26" s="232"/>
      <c r="R26" s="314" t="s">
        <v>688</v>
      </c>
      <c r="T26" s="162" t="s">
        <v>694</v>
      </c>
      <c r="V26" s="162" t="s">
        <v>694</v>
      </c>
      <c r="W26" s="153">
        <f t="shared" si="5"/>
        <v>0</v>
      </c>
      <c r="X26" s="153">
        <f t="shared" si="6"/>
        <v>-705000</v>
      </c>
      <c r="Y26" s="226" t="str">
        <f t="shared" si="7"/>
        <v>ok</v>
      </c>
      <c r="AA26" s="225" t="str">
        <f t="shared" si="17"/>
        <v>도비</v>
      </c>
      <c r="AB26" s="153">
        <f t="shared" si="39"/>
        <v>0</v>
      </c>
      <c r="AC26" s="153">
        <f t="shared" si="40"/>
        <v>-705000</v>
      </c>
      <c r="AD26" s="226" t="str">
        <f t="shared" si="41"/>
        <v>ok</v>
      </c>
      <c r="AF26" s="239" t="s">
        <v>704</v>
      </c>
      <c r="AH26" s="234">
        <f t="shared" si="13"/>
        <v>16</v>
      </c>
      <c r="AI26" s="234" t="str">
        <f t="shared" si="29"/>
        <v>OK</v>
      </c>
      <c r="AK26" s="188"/>
      <c r="AM26" s="191"/>
    </row>
    <row r="27" spans="1:39" s="223" customFormat="1" ht="39.950000000000003" customHeight="1">
      <c r="A27" s="228" t="s">
        <v>666</v>
      </c>
      <c r="B27" s="228" t="s">
        <v>667</v>
      </c>
      <c r="C27" s="230" t="s">
        <v>706</v>
      </c>
      <c r="D27" s="229" t="s">
        <v>555</v>
      </c>
      <c r="E27" s="229"/>
      <c r="F27" s="229"/>
      <c r="G27" s="230" t="s">
        <v>690</v>
      </c>
      <c r="H27" s="262"/>
      <c r="I27" s="262"/>
      <c r="J27" s="262">
        <f t="shared" ref="J27" si="42">IF(D27="","",H27-I27)</f>
        <v>0</v>
      </c>
      <c r="K27" s="153"/>
      <c r="L27" s="153"/>
      <c r="M27" s="65">
        <f t="shared" ref="M27" si="43">IF(H27=0,I27+K27+L27,H27+K27+L27)</f>
        <v>0</v>
      </c>
      <c r="N27" s="153"/>
      <c r="O27" s="153">
        <v>75000000</v>
      </c>
      <c r="P27" s="65">
        <f t="shared" ref="P27:P28" si="44">IF(H27=0,I27+N27+O27,H27+N27+O27)</f>
        <v>75000000</v>
      </c>
      <c r="Q27" s="232"/>
      <c r="R27" s="316" t="s">
        <v>689</v>
      </c>
      <c r="T27" s="162" t="s">
        <v>694</v>
      </c>
      <c r="V27" s="162" t="s">
        <v>694</v>
      </c>
      <c r="W27" s="153">
        <f t="shared" si="5"/>
        <v>0</v>
      </c>
      <c r="X27" s="153">
        <f t="shared" si="6"/>
        <v>0</v>
      </c>
      <c r="Y27" s="226" t="str">
        <f t="shared" si="7"/>
        <v>ok</v>
      </c>
      <c r="AA27" s="225" t="str">
        <f t="shared" si="17"/>
        <v>도비</v>
      </c>
      <c r="AB27" s="153">
        <f t="shared" si="39"/>
        <v>0</v>
      </c>
      <c r="AC27" s="153">
        <f t="shared" si="40"/>
        <v>75000000</v>
      </c>
      <c r="AD27" s="226" t="str">
        <f t="shared" si="41"/>
        <v>ok</v>
      </c>
      <c r="AF27" s="239" t="s">
        <v>704</v>
      </c>
      <c r="AH27" s="234">
        <f t="shared" si="13"/>
        <v>16</v>
      </c>
      <c r="AI27" s="234" t="str">
        <f t="shared" ref="AI27" si="45">IF(C27="","",IF(AND(V27="도비",AF27="세입없음"),"OK",IF(AND(V27&lt;&gt;"도비",AF27&lt;&gt;""),"Ok","@@")))</f>
        <v>OK</v>
      </c>
      <c r="AJ27" s="178"/>
      <c r="AK27" s="188"/>
      <c r="AM27" s="191"/>
    </row>
    <row r="28" spans="1:39" ht="39.950000000000003" customHeight="1">
      <c r="A28" s="228" t="s">
        <v>666</v>
      </c>
      <c r="B28" s="319" t="s">
        <v>667</v>
      </c>
      <c r="C28" s="320" t="s">
        <v>668</v>
      </c>
      <c r="D28" s="321" t="s">
        <v>697</v>
      </c>
      <c r="E28" s="321">
        <v>314</v>
      </c>
      <c r="F28" s="321"/>
      <c r="G28" s="320" t="s">
        <v>703</v>
      </c>
      <c r="H28" s="262">
        <v>323590000</v>
      </c>
      <c r="I28" s="262">
        <v>319290000</v>
      </c>
      <c r="J28" s="262">
        <f t="shared" si="36"/>
        <v>4300000</v>
      </c>
      <c r="K28" s="153"/>
      <c r="L28" s="153"/>
      <c r="M28" s="65">
        <f t="shared" si="37"/>
        <v>323590000</v>
      </c>
      <c r="N28" s="153"/>
      <c r="O28" s="153">
        <v>7000000</v>
      </c>
      <c r="P28" s="65">
        <f t="shared" si="44"/>
        <v>330590000</v>
      </c>
      <c r="Q28" s="232"/>
      <c r="R28" s="317"/>
      <c r="T28" s="162" t="s">
        <v>694</v>
      </c>
      <c r="V28" s="162" t="s">
        <v>694</v>
      </c>
      <c r="W28" s="153">
        <f t="shared" si="5"/>
        <v>0</v>
      </c>
      <c r="X28" s="153">
        <f t="shared" si="6"/>
        <v>0</v>
      </c>
      <c r="Y28" s="226" t="str">
        <f t="shared" si="7"/>
        <v>ok</v>
      </c>
      <c r="AA28" s="225" t="str">
        <f t="shared" si="17"/>
        <v>도비</v>
      </c>
      <c r="AB28" s="153">
        <f t="shared" si="39"/>
        <v>0</v>
      </c>
      <c r="AC28" s="153">
        <f t="shared" si="40"/>
        <v>7000000</v>
      </c>
      <c r="AD28" s="226" t="str">
        <f t="shared" si="41"/>
        <v>ok</v>
      </c>
      <c r="AF28" s="239" t="s">
        <v>704</v>
      </c>
      <c r="AH28" s="234">
        <f t="shared" si="13"/>
        <v>16</v>
      </c>
      <c r="AI28" s="234" t="str">
        <f t="shared" si="29"/>
        <v>OK</v>
      </c>
      <c r="AK28" s="188"/>
      <c r="AM28" s="191"/>
    </row>
    <row r="29" spans="1:39" ht="39.950000000000003" customHeight="1"/>
    <row r="30" spans="1:39" ht="39.950000000000003" customHeight="1"/>
    <row r="31" spans="1:39" ht="39.950000000000003" customHeight="1"/>
    <row r="32" spans="1:39" ht="39.950000000000003" customHeight="1"/>
    <row r="33" ht="39.950000000000003" customHeight="1"/>
    <row r="34" ht="39.950000000000003" customHeight="1"/>
    <row r="35" ht="39.950000000000003" customHeight="1"/>
    <row r="36" ht="39.950000000000003" customHeight="1"/>
    <row r="37" ht="39.950000000000003" customHeight="1"/>
    <row r="38" ht="39.950000000000003" customHeight="1"/>
    <row r="39" ht="39.950000000000003" customHeight="1"/>
    <row r="40" ht="39.950000000000003" customHeight="1"/>
    <row r="41" ht="39.950000000000003" customHeight="1"/>
  </sheetData>
  <sheetProtection formatCells="0" formatColumns="0" formatRows="0" autoFilter="0"/>
  <autoFilter ref="A7:AM7"/>
  <sortState ref="A7:AP775">
    <sortCondition ref="AK7:AK775"/>
  </sortState>
  <mergeCells count="27">
    <mergeCell ref="I4:I5"/>
    <mergeCell ref="AF4:AF5"/>
    <mergeCell ref="AH4:AH5"/>
    <mergeCell ref="AI4:AI5"/>
    <mergeCell ref="AM4:AM5"/>
    <mergeCell ref="AK4:AK5"/>
    <mergeCell ref="AB4:AD4"/>
    <mergeCell ref="T4:T5"/>
    <mergeCell ref="V4:V5"/>
    <mergeCell ref="W4:Y4"/>
    <mergeCell ref="AA4:AA5"/>
    <mergeCell ref="A1:R1"/>
    <mergeCell ref="A4:A5"/>
    <mergeCell ref="B4:B5"/>
    <mergeCell ref="C4:C5"/>
    <mergeCell ref="D4:D5"/>
    <mergeCell ref="F4:F5"/>
    <mergeCell ref="G4:G5"/>
    <mergeCell ref="H4:H5"/>
    <mergeCell ref="K4:L4"/>
    <mergeCell ref="M4:M5"/>
    <mergeCell ref="N4:O4"/>
    <mergeCell ref="P4:P5"/>
    <mergeCell ref="Q4:Q5"/>
    <mergeCell ref="R4:R5"/>
    <mergeCell ref="E4:E5"/>
    <mergeCell ref="J4:J5"/>
  </mergeCells>
  <phoneticPr fontId="2" type="noConversion"/>
  <conditionalFormatting sqref="AM29:AM565 AF29:AF565 T8:T10 AH12:AI13 T12:T13 T29:T565 AH28:AI565 T16:T18 AH16:AI26 T22">
    <cfRule type="containsText" dxfId="63" priority="676" operator="containsText" text="국도비">
      <formula>NOT(ISERROR(SEARCH("국도비",T8)))</formula>
    </cfRule>
  </conditionalFormatting>
  <conditionalFormatting sqref="H19:J21 H23:J26 H13:J13 H17:J17 H28:J565">
    <cfRule type="expression" dxfId="62" priority="675">
      <formula>($D13="본예산")</formula>
    </cfRule>
  </conditionalFormatting>
  <conditionalFormatting sqref="U9:U10 U29:X565 AB29:AD565 U16:U26 U28">
    <cfRule type="containsText" dxfId="61" priority="674" operator="containsText" text="직접입력">
      <formula>NOT(ISERROR(SEARCH("직접입력",U9)))</formula>
    </cfRule>
  </conditionalFormatting>
  <conditionalFormatting sqref="AH9:AH10">
    <cfRule type="containsText" dxfId="60" priority="494" operator="containsText" text="국도비">
      <formula>NOT(ISERROR(SEARCH("국도비",AH9)))</formula>
    </cfRule>
  </conditionalFormatting>
  <conditionalFormatting sqref="AI9:AI10">
    <cfRule type="containsText" dxfId="59" priority="492" operator="containsText" text="국도비">
      <formula>NOT(ISERROR(SEARCH("국도비",AI9)))</formula>
    </cfRule>
  </conditionalFormatting>
  <conditionalFormatting sqref="U12:U13">
    <cfRule type="containsText" dxfId="58" priority="62" operator="containsText" text="직접입력">
      <formula>NOT(ISERROR(SEARCH("직접입력",U12)))</formula>
    </cfRule>
  </conditionalFormatting>
  <conditionalFormatting sqref="U8 W8:X28">
    <cfRule type="containsText" dxfId="57" priority="46" operator="containsText" text="직접입력">
      <formula>NOT(ISERROR(SEARCH("직접입력",U8)))</formula>
    </cfRule>
  </conditionalFormatting>
  <conditionalFormatting sqref="AH8">
    <cfRule type="containsText" dxfId="56" priority="44" operator="containsText" text="국도비">
      <formula>NOT(ISERROR(SEARCH("국도비",AH8)))</formula>
    </cfRule>
  </conditionalFormatting>
  <conditionalFormatting sqref="AI8">
    <cfRule type="containsText" dxfId="55" priority="43" operator="containsText" text="국도비">
      <formula>NOT(ISERROR(SEARCH("국도비",AI8)))</formula>
    </cfRule>
  </conditionalFormatting>
  <conditionalFormatting sqref="H8:J10">
    <cfRule type="expression" dxfId="54" priority="34">
      <formula>($D8="본예산")</formula>
    </cfRule>
  </conditionalFormatting>
  <conditionalFormatting sqref="T11">
    <cfRule type="containsText" dxfId="53" priority="29" operator="containsText" text="국도비">
      <formula>NOT(ISERROR(SEARCH("국도비",T11)))</formula>
    </cfRule>
  </conditionalFormatting>
  <conditionalFormatting sqref="U11">
    <cfRule type="containsText" dxfId="52" priority="28" operator="containsText" text="직접입력">
      <formula>NOT(ISERROR(SEARCH("직접입력",U11)))</formula>
    </cfRule>
  </conditionalFormatting>
  <conditionalFormatting sqref="AH11">
    <cfRule type="containsText" dxfId="51" priority="27" operator="containsText" text="국도비">
      <formula>NOT(ISERROR(SEARCH("국도비",AH11)))</formula>
    </cfRule>
  </conditionalFormatting>
  <conditionalFormatting sqref="AI11">
    <cfRule type="containsText" dxfId="50" priority="26" operator="containsText" text="국도비">
      <formula>NOT(ISERROR(SEARCH("국도비",AI11)))</formula>
    </cfRule>
  </conditionalFormatting>
  <conditionalFormatting sqref="H11:J11">
    <cfRule type="expression" dxfId="49" priority="25">
      <formula>($D11="본예산")</formula>
    </cfRule>
  </conditionalFormatting>
  <conditionalFormatting sqref="AH27:AI27">
    <cfRule type="containsText" dxfId="48" priority="24" operator="containsText" text="국도비">
      <formula>NOT(ISERROR(SEARCH("국도비",AH27)))</formula>
    </cfRule>
  </conditionalFormatting>
  <conditionalFormatting sqref="H27:J27">
    <cfRule type="expression" dxfId="47" priority="23">
      <formula>($D27="본예산")</formula>
    </cfRule>
  </conditionalFormatting>
  <conditionalFormatting sqref="U27">
    <cfRule type="containsText" dxfId="46" priority="22" operator="containsText" text="직접입력">
      <formula>NOT(ISERROR(SEARCH("직접입력",U27)))</formula>
    </cfRule>
  </conditionalFormatting>
  <conditionalFormatting sqref="AH14:AI15 T14:T15">
    <cfRule type="containsText" dxfId="45" priority="21" operator="containsText" text="국도비">
      <formula>NOT(ISERROR(SEARCH("국도비",T14)))</formula>
    </cfRule>
  </conditionalFormatting>
  <conditionalFormatting sqref="H15:I15">
    <cfRule type="expression" dxfId="44" priority="20">
      <formula>($D15="본예산")</formula>
    </cfRule>
  </conditionalFormatting>
  <conditionalFormatting sqref="U14:U15">
    <cfRule type="containsText" dxfId="43" priority="18" operator="containsText" text="직접입력">
      <formula>NOT(ISERROR(SEARCH("직접입력",U14)))</formula>
    </cfRule>
  </conditionalFormatting>
  <conditionalFormatting sqref="J15">
    <cfRule type="expression" dxfId="42" priority="17">
      <formula>($D15="본예산")</formula>
    </cfRule>
  </conditionalFormatting>
  <conditionalFormatting sqref="AB8:AC8">
    <cfRule type="containsText" dxfId="41" priority="16" operator="containsText" text="직접입력">
      <formula>NOT(ISERROR(SEARCH("직접입력",AB8)))</formula>
    </cfRule>
  </conditionalFormatting>
  <conditionalFormatting sqref="AB9:AC9">
    <cfRule type="containsText" dxfId="40" priority="15" operator="containsText" text="직접입력">
      <formula>NOT(ISERROR(SEARCH("직접입력",AB9)))</formula>
    </cfRule>
  </conditionalFormatting>
  <conditionalFormatting sqref="AB10:AC10">
    <cfRule type="containsText" dxfId="39" priority="14" operator="containsText" text="직접입력">
      <formula>NOT(ISERROR(SEARCH("직접입력",AB10)))</formula>
    </cfRule>
  </conditionalFormatting>
  <conditionalFormatting sqref="AB11:AC11">
    <cfRule type="containsText" dxfId="38" priority="13" operator="containsText" text="직접입력">
      <formula>NOT(ISERROR(SEARCH("직접입력",AB11)))</formula>
    </cfRule>
  </conditionalFormatting>
  <conditionalFormatting sqref="AB13:AC13">
    <cfRule type="containsText" dxfId="37" priority="12" operator="containsText" text="직접입력">
      <formula>NOT(ISERROR(SEARCH("직접입력",AB13)))</formula>
    </cfRule>
  </conditionalFormatting>
  <conditionalFormatting sqref="AB15:AC15">
    <cfRule type="containsText" dxfId="36" priority="11" operator="containsText" text="직접입력">
      <formula>NOT(ISERROR(SEARCH("직접입력",AB15)))</formula>
    </cfRule>
  </conditionalFormatting>
  <conditionalFormatting sqref="AB17:AC17">
    <cfRule type="containsText" dxfId="35" priority="10" operator="containsText" text="직접입력">
      <formula>NOT(ISERROR(SEARCH("직접입력",AB17)))</formula>
    </cfRule>
  </conditionalFormatting>
  <conditionalFormatting sqref="AB19:AC19">
    <cfRule type="containsText" dxfId="34" priority="9" operator="containsText" text="직접입력">
      <formula>NOT(ISERROR(SEARCH("직접입력",AB19)))</formula>
    </cfRule>
  </conditionalFormatting>
  <conditionalFormatting sqref="AB20:AC20">
    <cfRule type="containsText" dxfId="33" priority="8" operator="containsText" text="직접입력">
      <formula>NOT(ISERROR(SEARCH("직접입력",AB20)))</formula>
    </cfRule>
  </conditionalFormatting>
  <conditionalFormatting sqref="AB21:AC21">
    <cfRule type="containsText" dxfId="32" priority="7" operator="containsText" text="직접입력">
      <formula>NOT(ISERROR(SEARCH("직접입력",AB21)))</formula>
    </cfRule>
  </conditionalFormatting>
  <conditionalFormatting sqref="AB23:AC23">
    <cfRule type="containsText" dxfId="31" priority="6" operator="containsText" text="직접입력">
      <formula>NOT(ISERROR(SEARCH("직접입력",AB23)))</formula>
    </cfRule>
  </conditionalFormatting>
  <conditionalFormatting sqref="AB24:AC24">
    <cfRule type="containsText" dxfId="30" priority="5" operator="containsText" text="직접입력">
      <formula>NOT(ISERROR(SEARCH("직접입력",AB24)))</formula>
    </cfRule>
  </conditionalFormatting>
  <conditionalFormatting sqref="AB25:AC25">
    <cfRule type="containsText" dxfId="29" priority="4" operator="containsText" text="직접입력">
      <formula>NOT(ISERROR(SEARCH("직접입력",AB25)))</formula>
    </cfRule>
  </conditionalFormatting>
  <conditionalFormatting sqref="AB26:AC26">
    <cfRule type="containsText" dxfId="28" priority="3" operator="containsText" text="직접입력">
      <formula>NOT(ISERROR(SEARCH("직접입력",AB26)))</formula>
    </cfRule>
  </conditionalFormatting>
  <conditionalFormatting sqref="AB27:AC27">
    <cfRule type="containsText" dxfId="27" priority="2" operator="containsText" text="직접입력">
      <formula>NOT(ISERROR(SEARCH("직접입력",AB27)))</formula>
    </cfRule>
  </conditionalFormatting>
  <conditionalFormatting sqref="AB28:AC28">
    <cfRule type="containsText" dxfId="26" priority="1" operator="containsText" text="직접입력">
      <formula>NOT(ISERROR(SEARCH("직접입력",AB28)))</formula>
    </cfRule>
  </conditionalFormatting>
  <dataValidations count="2">
    <dataValidation type="list" allowBlank="1" showInputMessage="1" showErrorMessage="1" sqref="D23:D28 D17 D19:D21 D8:D11 D13 D15">
      <formula1>"본예산,1회추경,신규"</formula1>
    </dataValidation>
    <dataValidation type="list" allowBlank="1" showInputMessage="1" showErrorMessage="1" sqref="T8:T11">
      <formula1>"도비,국도비"</formula1>
    </dataValidation>
  </dataValidations>
  <pageMargins left="0.23622047244094491" right="0.23622047244094491" top="0.74803149606299213" bottom="0.35433070866141736" header="0.31496062992125984" footer="0.31496062992125984"/>
  <pageSetup paperSize="8" scale="79" fitToHeight="0" orientation="landscape" horizontalDpi="4294967292" r:id="rId1"/>
  <headerFooter>
    <oddFooter>&amp;C&amp;P/&amp;N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구분표!$Q$2:$Q$3</xm:f>
          </x14:formula1>
          <xm:sqref>T22 T12:T18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3" hidden="1" customWidth="1"/>
    <col min="10" max="10" width="16" style="73" hidden="1" customWidth="1"/>
    <col min="11" max="11" width="14.625" style="73" hidden="1" customWidth="1"/>
    <col min="12" max="12" width="21.75" style="73" hidden="1" customWidth="1"/>
    <col min="13" max="14" width="14.75" style="73" hidden="1" customWidth="1"/>
    <col min="15" max="15" width="12.25" style="73" hidden="1" customWidth="1"/>
    <col min="16" max="16" width="13.375" style="73" hidden="1" customWidth="1"/>
    <col min="17" max="16384" width="9" style="56"/>
  </cols>
  <sheetData>
    <row r="1" spans="2:16" ht="33" customHeight="1">
      <c r="B1" s="377" t="s">
        <v>531</v>
      </c>
      <c r="C1" s="378"/>
      <c r="D1" s="378"/>
      <c r="E1" s="378"/>
      <c r="F1" s="378"/>
      <c r="G1" s="378"/>
      <c r="H1" s="378"/>
    </row>
    <row r="2" spans="2:16" ht="12.75" customHeight="1">
      <c r="B2" s="74"/>
      <c r="C2" s="75"/>
      <c r="D2" s="75"/>
      <c r="E2" s="75"/>
      <c r="F2" s="75"/>
      <c r="G2" s="75"/>
      <c r="H2" s="75"/>
    </row>
    <row r="3" spans="2:16" ht="23.25" customHeight="1">
      <c r="B3" s="76" t="s">
        <v>20</v>
      </c>
      <c r="C3" s="77"/>
      <c r="D3" s="54" t="s">
        <v>120</v>
      </c>
      <c r="E3" s="54" t="e">
        <f>SUM(D7:E7)</f>
        <v>#REF!</v>
      </c>
      <c r="F3" s="54" t="s">
        <v>121</v>
      </c>
      <c r="G3" s="54" t="e">
        <f>SUM(F7:G7)</f>
        <v>#REF!</v>
      </c>
      <c r="H3" s="55"/>
    </row>
    <row r="4" spans="2:16" s="79" customFormat="1" ht="18" customHeight="1" thickBot="1">
      <c r="B4" s="78"/>
      <c r="H4" s="80" t="s">
        <v>21</v>
      </c>
      <c r="I4" s="81"/>
      <c r="J4" s="81"/>
      <c r="K4" s="81"/>
      <c r="L4" s="81"/>
      <c r="M4" s="82" t="s">
        <v>22</v>
      </c>
      <c r="N4" s="81"/>
      <c r="O4" s="82" t="s">
        <v>23</v>
      </c>
      <c r="P4" s="82"/>
    </row>
    <row r="5" spans="2:16" ht="33" customHeight="1">
      <c r="B5" s="379" t="s">
        <v>24</v>
      </c>
      <c r="C5" s="381" t="s">
        <v>25</v>
      </c>
      <c r="D5" s="383" t="s">
        <v>26</v>
      </c>
      <c r="E5" s="383"/>
      <c r="F5" s="383" t="s">
        <v>27</v>
      </c>
      <c r="G5" s="383"/>
      <c r="H5" s="384" t="s">
        <v>28</v>
      </c>
      <c r="I5" s="361" t="s">
        <v>29</v>
      </c>
      <c r="J5" s="361"/>
      <c r="K5" s="357" t="s">
        <v>30</v>
      </c>
      <c r="L5" s="359" t="s">
        <v>31</v>
      </c>
      <c r="M5" s="361" t="s">
        <v>32</v>
      </c>
      <c r="N5" s="362"/>
      <c r="O5" s="363" t="s">
        <v>33</v>
      </c>
      <c r="P5" s="364"/>
    </row>
    <row r="6" spans="2:16" ht="33" customHeight="1">
      <c r="B6" s="380"/>
      <c r="C6" s="382"/>
      <c r="D6" s="83" t="s">
        <v>34</v>
      </c>
      <c r="E6" s="83" t="s">
        <v>35</v>
      </c>
      <c r="F6" s="83" t="s">
        <v>34</v>
      </c>
      <c r="G6" s="83" t="s">
        <v>35</v>
      </c>
      <c r="H6" s="385"/>
      <c r="I6" s="84" t="s">
        <v>36</v>
      </c>
      <c r="J6" s="85" t="s">
        <v>37</v>
      </c>
      <c r="K6" s="358"/>
      <c r="L6" s="360"/>
      <c r="M6" s="86" t="s">
        <v>36</v>
      </c>
      <c r="N6" s="87" t="s">
        <v>37</v>
      </c>
      <c r="O6" s="365"/>
      <c r="P6" s="366"/>
    </row>
    <row r="7" spans="2:16" ht="45" customHeight="1" thickBot="1">
      <c r="B7" s="88" t="s">
        <v>38</v>
      </c>
      <c r="C7" s="89">
        <f t="shared" ref="C7:H7" si="0">SUM(C8:C18)</f>
        <v>18076711803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90" t="e">
        <f t="shared" si="0"/>
        <v>#REF!</v>
      </c>
      <c r="I7" s="91" t="e">
        <f>E25+D25</f>
        <v>#REF!</v>
      </c>
      <c r="J7" s="92" t="e">
        <f>F25+G25</f>
        <v>#REF!</v>
      </c>
      <c r="K7" s="93" t="e">
        <f>I7-J7</f>
        <v>#REF!</v>
      </c>
      <c r="L7" s="94" t="s">
        <v>39</v>
      </c>
      <c r="M7" s="95" t="e">
        <f>D24+E24</f>
        <v>#REF!</v>
      </c>
      <c r="N7" s="96" t="e">
        <f>F24+G24</f>
        <v>#REF!</v>
      </c>
      <c r="O7" s="97">
        <v>0</v>
      </c>
      <c r="P7" s="97">
        <v>0</v>
      </c>
    </row>
    <row r="8" spans="2:16" ht="45" hidden="1" customHeight="1" thickBot="1">
      <c r="B8" s="98" t="s">
        <v>40</v>
      </c>
      <c r="C8" s="89">
        <v>0</v>
      </c>
      <c r="D8" s="20"/>
      <c r="E8" s="20"/>
      <c r="F8" s="20"/>
      <c r="G8" s="20"/>
      <c r="H8" s="90">
        <f>C8-F8+G8</f>
        <v>0</v>
      </c>
      <c r="I8" s="99" t="e">
        <f>D7+E7</f>
        <v>#REF!</v>
      </c>
      <c r="J8" s="100" t="e">
        <f>F7+G7</f>
        <v>#REF!</v>
      </c>
      <c r="K8" s="101" t="e">
        <f>I8-J8</f>
        <v>#REF!</v>
      </c>
      <c r="L8" s="102"/>
      <c r="M8" s="103"/>
      <c r="N8" s="104"/>
      <c r="O8" s="105"/>
      <c r="P8" s="105"/>
    </row>
    <row r="9" spans="2:16" ht="45" customHeight="1">
      <c r="B9" s="106" t="s">
        <v>94</v>
      </c>
      <c r="C9" s="107">
        <v>41526053</v>
      </c>
      <c r="D9" s="20" t="e">
        <f>SUMIFS(#REF!,#REF!,'2추총괄표'!$B9)</f>
        <v>#REF!</v>
      </c>
      <c r="E9" s="20" t="e">
        <f>SUMIFS(#REF!,#REF!,'2추총괄표'!$B9)</f>
        <v>#REF!</v>
      </c>
      <c r="F9" s="20" t="e">
        <f>SUMIFS(#REF!,#REF!,'2추총괄표'!$B9)</f>
        <v>#REF!</v>
      </c>
      <c r="G9" s="20" t="e">
        <f>SUMIFS(#REF!,#REF!,'2추총괄표'!$B9)</f>
        <v>#REF!</v>
      </c>
      <c r="H9" s="90" t="e">
        <f>C9+F9+G9</f>
        <v>#REF!</v>
      </c>
      <c r="I9" s="375" t="s">
        <v>41</v>
      </c>
      <c r="J9" s="376"/>
      <c r="K9" s="81"/>
      <c r="N9" s="108" t="s">
        <v>42</v>
      </c>
    </row>
    <row r="10" spans="2:16" ht="45" customHeight="1" thickBot="1">
      <c r="B10" s="106" t="s">
        <v>95</v>
      </c>
      <c r="C10" s="89">
        <v>5330576319</v>
      </c>
      <c r="D10" s="20" t="e">
        <f>SUMIFS(#REF!,#REF!,'2추총괄표'!$B10)</f>
        <v>#REF!</v>
      </c>
      <c r="E10" s="20" t="e">
        <f>SUMIFS(#REF!,#REF!,'2추총괄표'!$B10)</f>
        <v>#REF!</v>
      </c>
      <c r="F10" s="20" t="e">
        <f>SUMIFS(#REF!,#REF!,'2추총괄표'!$B10)</f>
        <v>#REF!</v>
      </c>
      <c r="G10" s="20" t="e">
        <f>SUMIFS(#REF!,#REF!,'2추총괄표'!$B10)</f>
        <v>#REF!</v>
      </c>
      <c r="H10" s="90" t="e">
        <f t="shared" ref="H10:H18" si="1">C10+F10+G10</f>
        <v>#REF!</v>
      </c>
      <c r="I10" s="109" t="e">
        <f>#REF!+#REF!</f>
        <v>#REF!</v>
      </c>
      <c r="J10" s="110" t="e">
        <f>#REF!+#REF!</f>
        <v>#REF!</v>
      </c>
      <c r="K10" s="81"/>
      <c r="N10" s="111" t="e">
        <f>M7-N7</f>
        <v>#REF!</v>
      </c>
    </row>
    <row r="11" spans="2:16" ht="45" customHeight="1">
      <c r="B11" s="106" t="s">
        <v>96</v>
      </c>
      <c r="C11" s="89">
        <v>551253750</v>
      </c>
      <c r="D11" s="20" t="e">
        <f>SUMIFS(#REF!,#REF!,'2추총괄표'!$B11)</f>
        <v>#REF!</v>
      </c>
      <c r="E11" s="20" t="e">
        <f>SUMIFS(#REF!,#REF!,'2추총괄표'!$B11)</f>
        <v>#REF!</v>
      </c>
      <c r="F11" s="20" t="e">
        <f>SUMIFS(#REF!,#REF!,'2추총괄표'!$B11)</f>
        <v>#REF!</v>
      </c>
      <c r="G11" s="20" t="e">
        <f>SUMIFS(#REF!,#REF!,'2추총괄표'!$B11)</f>
        <v>#REF!</v>
      </c>
      <c r="H11" s="90" t="e">
        <f t="shared" si="1"/>
        <v>#REF!</v>
      </c>
      <c r="J11" s="112"/>
      <c r="K11" s="113"/>
    </row>
    <row r="12" spans="2:16" ht="45" customHeight="1">
      <c r="B12" s="106" t="s">
        <v>97</v>
      </c>
      <c r="C12" s="89">
        <v>1151519175</v>
      </c>
      <c r="D12" s="20" t="e">
        <f>SUMIFS(#REF!,#REF!,'2추총괄표'!$B12)</f>
        <v>#REF!</v>
      </c>
      <c r="E12" s="20" t="e">
        <f>SUMIFS(#REF!,#REF!,'2추총괄표'!$B12)</f>
        <v>#REF!</v>
      </c>
      <c r="F12" s="20" t="e">
        <f>SUMIFS(#REF!,#REF!,'2추총괄표'!$B12)</f>
        <v>#REF!</v>
      </c>
      <c r="G12" s="20" t="e">
        <f>SUMIFS(#REF!,#REF!,'2추총괄표'!$B12)</f>
        <v>#REF!</v>
      </c>
      <c r="H12" s="90" t="e">
        <f t="shared" si="1"/>
        <v>#REF!</v>
      </c>
      <c r="J12" s="114"/>
      <c r="L12" s="115"/>
      <c r="M12" s="115"/>
    </row>
    <row r="13" spans="2:16" ht="45" customHeight="1">
      <c r="B13" s="106" t="s">
        <v>98</v>
      </c>
      <c r="C13" s="89">
        <v>258716894</v>
      </c>
      <c r="D13" s="20" t="e">
        <f>SUMIFS(#REF!,#REF!,'2추총괄표'!$B13)</f>
        <v>#REF!</v>
      </c>
      <c r="E13" s="20" t="e">
        <f>SUMIFS(#REF!,#REF!,'2추총괄표'!$B13)</f>
        <v>#REF!</v>
      </c>
      <c r="F13" s="20" t="e">
        <f>SUMIFS(#REF!,#REF!,'2추총괄표'!$B13)</f>
        <v>#REF!</v>
      </c>
      <c r="G13" s="20" t="e">
        <f>SUMIFS(#REF!,#REF!,'2추총괄표'!$B13)</f>
        <v>#REF!</v>
      </c>
      <c r="H13" s="90" t="e">
        <f t="shared" si="1"/>
        <v>#REF!</v>
      </c>
      <c r="K13" s="15"/>
      <c r="L13" s="16"/>
      <c r="N13" s="73" t="s">
        <v>43</v>
      </c>
    </row>
    <row r="14" spans="2:16" s="118" customFormat="1" ht="45" customHeight="1">
      <c r="B14" s="106" t="s">
        <v>99</v>
      </c>
      <c r="C14" s="116">
        <v>474291470</v>
      </c>
      <c r="D14" s="20" t="e">
        <f>SUMIFS(#REF!,#REF!,'2추총괄표'!$B14)</f>
        <v>#REF!</v>
      </c>
      <c r="E14" s="20" t="e">
        <f>SUMIFS(#REF!,#REF!,'2추총괄표'!$B14)</f>
        <v>#REF!</v>
      </c>
      <c r="F14" s="20" t="e">
        <f>SUMIFS(#REF!,#REF!,'2추총괄표'!$B14)</f>
        <v>#REF!</v>
      </c>
      <c r="G14" s="20" t="e">
        <f>SUMIFS(#REF!,#REF!,'2추총괄표'!$B14)</f>
        <v>#REF!</v>
      </c>
      <c r="H14" s="90" t="e">
        <f t="shared" si="1"/>
        <v>#REF!</v>
      </c>
      <c r="I14" s="117"/>
      <c r="J14" s="117"/>
      <c r="K14" s="15"/>
      <c r="L14" s="16"/>
      <c r="M14" s="103"/>
      <c r="N14" s="104" t="e">
        <f>N10-K7</f>
        <v>#REF!</v>
      </c>
      <c r="O14" s="117"/>
      <c r="P14" s="117"/>
    </row>
    <row r="15" spans="2:16" s="118" customFormat="1" ht="45" customHeight="1">
      <c r="B15" s="106" t="s">
        <v>68</v>
      </c>
      <c r="C15" s="116">
        <v>3278893259</v>
      </c>
      <c r="D15" s="20" t="e">
        <f>SUMIFS(#REF!,#REF!,'2추총괄표'!$B15)</f>
        <v>#REF!</v>
      </c>
      <c r="E15" s="20" t="e">
        <f>SUMIFS(#REF!,#REF!,'2추총괄표'!$B15)</f>
        <v>#REF!</v>
      </c>
      <c r="F15" s="20" t="e">
        <f>SUMIFS(#REF!,#REF!,'2추총괄표'!$B15)</f>
        <v>#REF!</v>
      </c>
      <c r="G15" s="20" t="e">
        <f>SUMIFS(#REF!,#REF!,'2추총괄표'!$B15)</f>
        <v>#REF!</v>
      </c>
      <c r="H15" s="90" t="e">
        <f t="shared" si="1"/>
        <v>#REF!</v>
      </c>
      <c r="I15" s="117"/>
      <c r="J15" s="117"/>
      <c r="K15" s="15"/>
      <c r="L15" s="16"/>
      <c r="M15" s="117"/>
      <c r="N15" s="117"/>
      <c r="O15" s="117"/>
      <c r="P15" s="117"/>
    </row>
    <row r="16" spans="2:16" s="118" customFormat="1" ht="45" customHeight="1">
      <c r="B16" s="106" t="s">
        <v>100</v>
      </c>
      <c r="C16" s="116">
        <v>1191584285</v>
      </c>
      <c r="D16" s="20" t="e">
        <f>SUMIFS(#REF!,#REF!,'2추총괄표'!$B16)</f>
        <v>#REF!</v>
      </c>
      <c r="E16" s="20" t="e">
        <f>SUMIFS(#REF!,#REF!,'2추총괄표'!$B16)</f>
        <v>#REF!</v>
      </c>
      <c r="F16" s="20" t="e">
        <f>SUMIFS(#REF!,#REF!,'2추총괄표'!$B16)</f>
        <v>#REF!</v>
      </c>
      <c r="G16" s="20" t="e">
        <f>SUMIFS(#REF!,#REF!,'2추총괄표'!$B16)</f>
        <v>#REF!</v>
      </c>
      <c r="H16" s="90" t="e">
        <f t="shared" si="1"/>
        <v>#REF!</v>
      </c>
      <c r="I16" s="117"/>
      <c r="J16" s="117"/>
      <c r="K16" s="15"/>
      <c r="L16" s="16"/>
      <c r="M16" s="117"/>
      <c r="N16" s="117"/>
      <c r="O16" s="117"/>
      <c r="P16" s="117"/>
    </row>
    <row r="17" spans="2:16" s="122" customFormat="1" ht="45" customHeight="1">
      <c r="B17" s="119" t="s">
        <v>101</v>
      </c>
      <c r="C17" s="120">
        <v>898421829</v>
      </c>
      <c r="D17" s="20" t="e">
        <f>SUMIFS(#REF!,#REF!,'2추총괄표'!$B17)</f>
        <v>#REF!</v>
      </c>
      <c r="E17" s="20" t="e">
        <f>SUMIFS(#REF!,#REF!,'2추총괄표'!$B17)</f>
        <v>#REF!</v>
      </c>
      <c r="F17" s="20" t="e">
        <f>SUMIFS(#REF!,#REF!,'2추총괄표'!$B17)</f>
        <v>#REF!</v>
      </c>
      <c r="G17" s="20" t="e">
        <f>SUMIFS(#REF!,#REF!,'2추총괄표'!$B17)</f>
        <v>#REF!</v>
      </c>
      <c r="H17" s="90" t="e">
        <f t="shared" si="1"/>
        <v>#REF!</v>
      </c>
      <c r="I17" s="121"/>
      <c r="J17" s="121"/>
      <c r="K17" s="15"/>
      <c r="L17" s="16"/>
      <c r="M17" s="121"/>
      <c r="N17" s="121"/>
      <c r="O17" s="121"/>
      <c r="P17" s="121"/>
    </row>
    <row r="18" spans="2:16" s="118" customFormat="1" ht="45" customHeight="1" thickBot="1">
      <c r="B18" s="123" t="s">
        <v>524</v>
      </c>
      <c r="C18" s="124">
        <v>4899928769</v>
      </c>
      <c r="D18" s="21" t="e">
        <f>SUMIFS(#REF!,#REF!,'2추총괄표'!$B18)</f>
        <v>#REF!</v>
      </c>
      <c r="E18" s="21" t="e">
        <f>SUMIFS(#REF!,#REF!,'2추총괄표'!$B18)</f>
        <v>#REF!</v>
      </c>
      <c r="F18" s="21" t="e">
        <f>SUMIFS(#REF!,#REF!,'2추총괄표'!$B18)</f>
        <v>#REF!</v>
      </c>
      <c r="G18" s="21" t="e">
        <f>SUMIFS(#REF!,#REF!,'2추총괄표'!$B18)</f>
        <v>#REF!</v>
      </c>
      <c r="H18" s="125" t="e">
        <f t="shared" si="1"/>
        <v>#REF!</v>
      </c>
      <c r="I18" s="117"/>
      <c r="J18" s="117"/>
      <c r="K18" s="15"/>
      <c r="L18" s="16"/>
      <c r="M18" s="117"/>
      <c r="N18" s="117"/>
      <c r="O18" s="117"/>
      <c r="P18" s="117"/>
    </row>
    <row r="19" spans="2:16" ht="18" customHeight="1">
      <c r="B19" s="79"/>
      <c r="C19" s="79"/>
      <c r="D19" s="79"/>
      <c r="E19" s="79"/>
      <c r="F19" s="79"/>
      <c r="G19" s="79"/>
      <c r="H19" s="79"/>
      <c r="K19" s="15"/>
      <c r="L19" s="16"/>
    </row>
    <row r="20" spans="2:16" ht="20.25">
      <c r="B20" s="126" t="s">
        <v>44</v>
      </c>
      <c r="C20" s="76"/>
      <c r="D20" s="76"/>
      <c r="E20" s="76"/>
      <c r="F20" s="76"/>
      <c r="G20" s="76"/>
      <c r="H20" s="127"/>
      <c r="K20" s="15"/>
      <c r="L20" s="16"/>
    </row>
    <row r="21" spans="2:16" ht="19.5" thickBot="1">
      <c r="B21" s="78"/>
      <c r="C21" s="79"/>
      <c r="D21" s="79"/>
      <c r="E21" s="79"/>
      <c r="F21" s="79"/>
      <c r="G21" s="79"/>
      <c r="H21" s="80" t="s">
        <v>14</v>
      </c>
    </row>
    <row r="22" spans="2:16" ht="33" customHeight="1">
      <c r="B22" s="367" t="s">
        <v>45</v>
      </c>
      <c r="C22" s="369" t="s">
        <v>46</v>
      </c>
      <c r="D22" s="371" t="s">
        <v>26</v>
      </c>
      <c r="E22" s="372"/>
      <c r="F22" s="371" t="s">
        <v>27</v>
      </c>
      <c r="G22" s="372"/>
      <c r="H22" s="373" t="s">
        <v>28</v>
      </c>
    </row>
    <row r="23" spans="2:16" ht="33" customHeight="1">
      <c r="B23" s="368"/>
      <c r="C23" s="370"/>
      <c r="D23" s="83" t="s">
        <v>34</v>
      </c>
      <c r="E23" s="83" t="s">
        <v>35</v>
      </c>
      <c r="F23" s="83" t="s">
        <v>34</v>
      </c>
      <c r="G23" s="83" t="s">
        <v>35</v>
      </c>
      <c r="H23" s="374"/>
      <c r="I23" s="73" t="s">
        <v>47</v>
      </c>
    </row>
    <row r="24" spans="2:16" ht="45" customHeight="1">
      <c r="B24" s="88" t="s">
        <v>48</v>
      </c>
      <c r="C24" s="89">
        <f t="shared" ref="C24:G24" si="2">SUM(C25:C26)</f>
        <v>0</v>
      </c>
      <c r="D24" s="20" t="e">
        <f t="shared" si="2"/>
        <v>#REF!</v>
      </c>
      <c r="E24" s="89" t="e">
        <f t="shared" si="2"/>
        <v>#REF!</v>
      </c>
      <c r="F24" s="20" t="e">
        <f t="shared" si="2"/>
        <v>#REF!</v>
      </c>
      <c r="G24" s="89" t="e">
        <f t="shared" si="2"/>
        <v>#REF!</v>
      </c>
      <c r="H24" s="90" t="e">
        <f>SUM(H25:H26)</f>
        <v>#REF!</v>
      </c>
      <c r="I24" s="81" t="e">
        <f>C24+D24+E24</f>
        <v>#REF!</v>
      </c>
      <c r="J24" s="81" t="e">
        <f>I24-H24</f>
        <v>#REF!</v>
      </c>
      <c r="K24" s="81" t="s">
        <v>49</v>
      </c>
    </row>
    <row r="25" spans="2:16" ht="45" customHeight="1">
      <c r="B25" s="88" t="s">
        <v>15</v>
      </c>
      <c r="C25" s="89"/>
      <c r="D25" s="20" t="e">
        <f>#REF!</f>
        <v>#REF!</v>
      </c>
      <c r="E25" s="20" t="e">
        <f>#REF!</f>
        <v>#REF!</v>
      </c>
      <c r="F25" s="20" t="e">
        <f>#REF!</f>
        <v>#REF!</v>
      </c>
      <c r="G25" s="20" t="e">
        <f>#REF!</f>
        <v>#REF!</v>
      </c>
      <c r="H25" s="90" t="e">
        <f>C25+F25+G25</f>
        <v>#REF!</v>
      </c>
      <c r="I25" s="81" t="e">
        <f>C25+D25+E25</f>
        <v>#REF!</v>
      </c>
      <c r="J25" s="81" t="e">
        <f>I25-H25</f>
        <v>#REF!</v>
      </c>
      <c r="K25" s="81" t="s">
        <v>49</v>
      </c>
    </row>
    <row r="26" spans="2:16" ht="45" customHeight="1" thickBot="1">
      <c r="B26" s="128" t="s">
        <v>50</v>
      </c>
      <c r="C26" s="129"/>
      <c r="D26" s="21"/>
      <c r="E26" s="21"/>
      <c r="F26" s="21"/>
      <c r="G26" s="21"/>
      <c r="H26" s="125">
        <f>C26+F26+G26</f>
        <v>0</v>
      </c>
      <c r="I26" s="81">
        <f>C26+D26+E26</f>
        <v>0</v>
      </c>
      <c r="J26" s="81">
        <f>I26-H26</f>
        <v>0</v>
      </c>
      <c r="K26" s="81" t="s">
        <v>49</v>
      </c>
    </row>
    <row r="27" spans="2:16" ht="9" customHeight="1">
      <c r="B27" s="79"/>
      <c r="C27" s="79"/>
      <c r="D27" s="79"/>
      <c r="E27" s="79"/>
      <c r="F27" s="79"/>
      <c r="G27" s="79"/>
      <c r="H27" s="79"/>
    </row>
    <row r="28" spans="2:16" ht="20.25" hidden="1" customHeight="1"/>
    <row r="29" spans="2:16" ht="20.25" hidden="1" customHeight="1"/>
    <row r="30" spans="2:16" ht="14.25" hidden="1">
      <c r="B30" s="130" t="s">
        <v>16</v>
      </c>
      <c r="C30" s="131" t="s">
        <v>51</v>
      </c>
      <c r="D30" s="132" t="s">
        <v>52</v>
      </c>
      <c r="E30" s="131" t="s">
        <v>53</v>
      </c>
      <c r="G30" s="73"/>
      <c r="H30" s="73"/>
      <c r="O30" s="56"/>
      <c r="P30" s="56"/>
    </row>
    <row r="31" spans="2:16" ht="15" hidden="1">
      <c r="B31" s="133" t="s">
        <v>17</v>
      </c>
      <c r="C31" s="134">
        <v>39922113</v>
      </c>
      <c r="D31" s="135"/>
      <c r="E31" s="135">
        <f>SUM(C31:D31)</f>
        <v>39922113</v>
      </c>
      <c r="G31" s="73"/>
      <c r="H31" s="73"/>
      <c r="O31" s="56"/>
      <c r="P31" s="56"/>
    </row>
    <row r="32" spans="2:16" ht="15" hidden="1">
      <c r="B32" s="133" t="s">
        <v>18</v>
      </c>
      <c r="C32" s="134">
        <v>3302571667</v>
      </c>
      <c r="D32" s="134">
        <v>1780946434</v>
      </c>
      <c r="E32" s="135">
        <f t="shared" ref="E32:E41" si="3">SUM(C32:D32)</f>
        <v>5083518101</v>
      </c>
      <c r="G32" s="73"/>
      <c r="H32" s="73"/>
      <c r="O32" s="56"/>
      <c r="P32" s="56"/>
    </row>
    <row r="33" spans="2:16" ht="15" hidden="1">
      <c r="B33" s="133" t="s">
        <v>9</v>
      </c>
      <c r="C33" s="134">
        <v>155329320</v>
      </c>
      <c r="D33" s="134">
        <v>384743740</v>
      </c>
      <c r="E33" s="135">
        <f t="shared" si="3"/>
        <v>540073060</v>
      </c>
      <c r="G33" s="73"/>
      <c r="H33" s="73"/>
      <c r="O33" s="56"/>
      <c r="P33" s="56"/>
    </row>
    <row r="34" spans="2:16" ht="15" hidden="1">
      <c r="B34" s="136" t="s">
        <v>91</v>
      </c>
      <c r="C34" s="134">
        <v>1142858974</v>
      </c>
      <c r="D34" s="135"/>
      <c r="E34" s="135">
        <f t="shared" si="3"/>
        <v>1142858974</v>
      </c>
      <c r="G34" s="73"/>
      <c r="H34" s="73"/>
      <c r="O34" s="56"/>
      <c r="P34" s="56"/>
    </row>
    <row r="35" spans="2:16" ht="15" hidden="1">
      <c r="B35" s="133" t="s">
        <v>13</v>
      </c>
      <c r="C35" s="134">
        <v>224243208</v>
      </c>
      <c r="D35" s="134">
        <v>52484400</v>
      </c>
      <c r="E35" s="135">
        <f t="shared" si="3"/>
        <v>276727608</v>
      </c>
      <c r="G35" s="73"/>
      <c r="H35" s="73"/>
      <c r="O35" s="56"/>
      <c r="P35" s="56"/>
    </row>
    <row r="36" spans="2:16" ht="15" hidden="1">
      <c r="B36" s="136" t="s">
        <v>92</v>
      </c>
      <c r="C36" s="134">
        <v>466978999</v>
      </c>
      <c r="D36" s="135"/>
      <c r="E36" s="135">
        <f t="shared" si="3"/>
        <v>466978999</v>
      </c>
      <c r="G36" s="73"/>
      <c r="H36" s="73"/>
      <c r="O36" s="56"/>
      <c r="P36" s="56"/>
    </row>
    <row r="37" spans="2:16" ht="15" hidden="1">
      <c r="B37" s="136" t="s">
        <v>93</v>
      </c>
      <c r="C37" s="134">
        <v>3254006708</v>
      </c>
      <c r="D37" s="135"/>
      <c r="E37" s="135">
        <f t="shared" si="3"/>
        <v>3254006708</v>
      </c>
      <c r="G37" s="73"/>
      <c r="H37" s="73"/>
      <c r="O37" s="56"/>
      <c r="P37" s="56"/>
    </row>
    <row r="38" spans="2:16" ht="15" hidden="1">
      <c r="B38" s="133" t="s">
        <v>10</v>
      </c>
      <c r="C38" s="134">
        <v>1220859831</v>
      </c>
      <c r="D38" s="135"/>
      <c r="E38" s="135">
        <f t="shared" si="3"/>
        <v>1220859831</v>
      </c>
      <c r="G38" s="73"/>
      <c r="H38" s="73"/>
      <c r="O38" s="56"/>
      <c r="P38" s="56"/>
    </row>
    <row r="39" spans="2:16" ht="15" hidden="1">
      <c r="B39" s="133" t="s">
        <v>11</v>
      </c>
      <c r="C39" s="134">
        <v>866963933</v>
      </c>
      <c r="D39" s="134">
        <v>28360000</v>
      </c>
      <c r="E39" s="135">
        <f t="shared" si="3"/>
        <v>895323933</v>
      </c>
      <c r="G39" s="73"/>
      <c r="H39" s="73"/>
      <c r="O39" s="56"/>
      <c r="P39" s="56"/>
    </row>
    <row r="40" spans="2:16" ht="15" hidden="1">
      <c r="B40" s="133" t="s">
        <v>12</v>
      </c>
      <c r="C40" s="134">
        <v>4882582917</v>
      </c>
      <c r="D40" s="135"/>
      <c r="E40" s="135">
        <f t="shared" si="3"/>
        <v>4882582917</v>
      </c>
      <c r="G40" s="73"/>
      <c r="H40" s="73"/>
      <c r="O40" s="56"/>
      <c r="P40" s="56"/>
    </row>
    <row r="41" spans="2:16" ht="15" hidden="1">
      <c r="B41" s="133" t="s">
        <v>19</v>
      </c>
      <c r="C41" s="135">
        <f>SUM(C31:C40)</f>
        <v>15556317670</v>
      </c>
      <c r="D41" s="135">
        <f>SUM(D31:D40)</f>
        <v>2246534574</v>
      </c>
      <c r="E41" s="135">
        <f t="shared" si="3"/>
        <v>17802852244</v>
      </c>
      <c r="G41" s="73"/>
      <c r="H41" s="73"/>
      <c r="O41" s="56"/>
      <c r="P41" s="56"/>
    </row>
    <row r="42" spans="2:16" hidden="1"/>
    <row r="43" spans="2:16" hidden="1">
      <c r="B43" s="17" t="s">
        <v>54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353" t="s">
        <v>16</v>
      </c>
      <c r="C54" s="355" t="s">
        <v>549</v>
      </c>
      <c r="D54" s="353" t="s">
        <v>547</v>
      </c>
      <c r="E54" s="353" t="s">
        <v>548</v>
      </c>
      <c r="F54" s="355" t="s">
        <v>53</v>
      </c>
    </row>
    <row r="55" spans="2:6">
      <c r="B55" s="354"/>
      <c r="C55" s="356"/>
      <c r="D55" s="354"/>
      <c r="E55" s="354"/>
      <c r="F55" s="356"/>
    </row>
    <row r="56" spans="2:6">
      <c r="B56" s="163" t="s">
        <v>19</v>
      </c>
      <c r="C56" s="164">
        <f>SUM(C57:C66)</f>
        <v>14571523178</v>
      </c>
      <c r="D56" s="164">
        <f>SUM(D57:D66)</f>
        <v>1223711435</v>
      </c>
      <c r="E56" s="164">
        <f>SUM(E57:E66)</f>
        <v>2281477190</v>
      </c>
      <c r="F56" s="164">
        <f>SUM(C56:E56)</f>
        <v>18076711803</v>
      </c>
    </row>
    <row r="57" spans="2:6">
      <c r="B57" s="165" t="s">
        <v>17</v>
      </c>
      <c r="C57" s="166">
        <v>41526053</v>
      </c>
      <c r="D57" s="166"/>
      <c r="E57" s="166"/>
      <c r="F57" s="164">
        <f t="shared" ref="F57:F66" si="4">SUM(C57:E57)</f>
        <v>41526053</v>
      </c>
    </row>
    <row r="58" spans="2:6">
      <c r="B58" s="165" t="s">
        <v>18</v>
      </c>
      <c r="C58" s="166">
        <v>3471558203</v>
      </c>
      <c r="D58" s="166">
        <v>15000000</v>
      </c>
      <c r="E58" s="166">
        <v>1844018116</v>
      </c>
      <c r="F58" s="164">
        <f t="shared" si="4"/>
        <v>5330576319</v>
      </c>
    </row>
    <row r="59" spans="2:6">
      <c r="B59" s="165" t="s">
        <v>9</v>
      </c>
      <c r="C59" s="166">
        <v>166510010</v>
      </c>
      <c r="D59" s="166"/>
      <c r="E59" s="166">
        <v>384743740</v>
      </c>
      <c r="F59" s="164">
        <f t="shared" si="4"/>
        <v>551253750</v>
      </c>
    </row>
    <row r="60" spans="2:6">
      <c r="B60" s="165" t="s">
        <v>551</v>
      </c>
      <c r="C60" s="166">
        <v>1151519175</v>
      </c>
      <c r="D60" s="166"/>
      <c r="E60" s="166"/>
      <c r="F60" s="164">
        <f t="shared" si="4"/>
        <v>1151519175</v>
      </c>
    </row>
    <row r="61" spans="2:6">
      <c r="B61" s="165" t="s">
        <v>13</v>
      </c>
      <c r="C61" s="166">
        <v>234366028</v>
      </c>
      <c r="D61" s="166"/>
      <c r="E61" s="166">
        <v>24350866</v>
      </c>
      <c r="F61" s="164">
        <f t="shared" si="4"/>
        <v>258716894</v>
      </c>
    </row>
    <row r="62" spans="2:6">
      <c r="B62" s="165" t="s">
        <v>63</v>
      </c>
      <c r="C62" s="166">
        <v>474291470</v>
      </c>
      <c r="D62" s="166"/>
      <c r="E62" s="166"/>
      <c r="F62" s="164">
        <f t="shared" si="4"/>
        <v>474291470</v>
      </c>
    </row>
    <row r="63" spans="2:6">
      <c r="B63" s="165" t="s">
        <v>395</v>
      </c>
      <c r="C63" s="166">
        <v>2439677682</v>
      </c>
      <c r="D63" s="166">
        <v>839215577</v>
      </c>
      <c r="E63" s="166"/>
      <c r="F63" s="164">
        <f t="shared" si="4"/>
        <v>3278893259</v>
      </c>
    </row>
    <row r="64" spans="2:6">
      <c r="B64" s="165" t="s">
        <v>10</v>
      </c>
      <c r="C64" s="166">
        <v>1093857927</v>
      </c>
      <c r="D64" s="166">
        <v>97726358</v>
      </c>
      <c r="E64" s="166"/>
      <c r="F64" s="164">
        <f t="shared" si="4"/>
        <v>1191584285</v>
      </c>
    </row>
    <row r="65" spans="2:6">
      <c r="B65" s="165" t="s">
        <v>11</v>
      </c>
      <c r="C65" s="166">
        <v>845217861</v>
      </c>
      <c r="D65" s="167">
        <v>24839500</v>
      </c>
      <c r="E65" s="167">
        <v>28364468</v>
      </c>
      <c r="F65" s="164">
        <f t="shared" si="4"/>
        <v>898421829</v>
      </c>
    </row>
    <row r="66" spans="2:6">
      <c r="B66" s="168" t="s">
        <v>416</v>
      </c>
      <c r="C66" s="166">
        <v>4652998769</v>
      </c>
      <c r="D66" s="166">
        <v>246930000</v>
      </c>
      <c r="E66" s="166"/>
      <c r="F66" s="164">
        <f t="shared" si="4"/>
        <v>4899928769</v>
      </c>
    </row>
    <row r="160" spans="9:9" ht="24">
      <c r="I160" s="113" t="s">
        <v>55</v>
      </c>
    </row>
    <row r="290" spans="9:11">
      <c r="I290" s="137"/>
      <c r="K290" s="73">
        <v>-50000</v>
      </c>
    </row>
  </sheetData>
  <mergeCells count="22">
    <mergeCell ref="H22:H23"/>
    <mergeCell ref="F22:G22"/>
    <mergeCell ref="D22:E22"/>
    <mergeCell ref="C22:C23"/>
    <mergeCell ref="B22:B23"/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9:J9"/>
    <mergeCell ref="I5:J5"/>
    <mergeCell ref="B54:B55"/>
    <mergeCell ref="C54:C55"/>
    <mergeCell ref="D54:D55"/>
    <mergeCell ref="E54:E55"/>
    <mergeCell ref="F54:F5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3" hidden="1" customWidth="1"/>
    <col min="10" max="10" width="16" style="73" hidden="1" customWidth="1"/>
    <col min="11" max="11" width="14.625" style="73" hidden="1" customWidth="1"/>
    <col min="12" max="12" width="21.75" style="73" hidden="1" customWidth="1"/>
    <col min="13" max="14" width="14.75" style="73" hidden="1" customWidth="1"/>
    <col min="15" max="15" width="12.25" style="73" hidden="1" customWidth="1"/>
    <col min="16" max="16" width="13.375" style="73" hidden="1" customWidth="1"/>
    <col min="17" max="16384" width="9" style="56"/>
  </cols>
  <sheetData>
    <row r="1" spans="2:16" ht="33" customHeight="1">
      <c r="B1" s="377" t="s">
        <v>532</v>
      </c>
      <c r="C1" s="378"/>
      <c r="D1" s="378"/>
      <c r="E1" s="378"/>
      <c r="F1" s="378"/>
      <c r="G1" s="378"/>
      <c r="H1" s="378"/>
    </row>
    <row r="2" spans="2:16" ht="12.75" customHeight="1">
      <c r="B2" s="74"/>
      <c r="C2" s="75"/>
      <c r="D2" s="75"/>
      <c r="E2" s="75"/>
      <c r="F2" s="75"/>
      <c r="G2" s="75"/>
      <c r="H2" s="75"/>
    </row>
    <row r="3" spans="2:16" ht="23.25" customHeight="1">
      <c r="B3" s="76" t="s">
        <v>119</v>
      </c>
      <c r="C3" s="77"/>
      <c r="D3" s="138"/>
      <c r="E3" s="53" t="e">
        <f>SUM(D7:E7)</f>
        <v>#REF!</v>
      </c>
      <c r="F3" s="53"/>
      <c r="G3" s="53" t="e">
        <f>SUM(F7:G7)</f>
        <v>#REF!</v>
      </c>
    </row>
    <row r="4" spans="2:16" s="79" customFormat="1" ht="18" customHeight="1" thickBot="1">
      <c r="B4" s="78"/>
      <c r="H4" s="80" t="s">
        <v>21</v>
      </c>
      <c r="I4" s="81"/>
      <c r="J4" s="81"/>
      <c r="K4" s="81"/>
      <c r="L4" s="81"/>
      <c r="M4" s="82" t="s">
        <v>22</v>
      </c>
      <c r="N4" s="81"/>
      <c r="O4" s="82" t="s">
        <v>23</v>
      </c>
      <c r="P4" s="82"/>
    </row>
    <row r="5" spans="2:16" ht="24" customHeight="1">
      <c r="B5" s="379" t="s">
        <v>24</v>
      </c>
      <c r="C5" s="381" t="s">
        <v>25</v>
      </c>
      <c r="D5" s="383" t="s">
        <v>26</v>
      </c>
      <c r="E5" s="383"/>
      <c r="F5" s="383" t="s">
        <v>27</v>
      </c>
      <c r="G5" s="383"/>
      <c r="H5" s="384" t="s">
        <v>28</v>
      </c>
      <c r="I5" s="361" t="s">
        <v>29</v>
      </c>
      <c r="J5" s="361"/>
      <c r="K5" s="357" t="s">
        <v>30</v>
      </c>
      <c r="L5" s="359" t="s">
        <v>31</v>
      </c>
      <c r="M5" s="361" t="s">
        <v>32</v>
      </c>
      <c r="N5" s="362"/>
      <c r="O5" s="363" t="s">
        <v>33</v>
      </c>
      <c r="P5" s="364"/>
    </row>
    <row r="6" spans="2:16" ht="24" customHeight="1">
      <c r="B6" s="380"/>
      <c r="C6" s="382"/>
      <c r="D6" s="83" t="s">
        <v>34</v>
      </c>
      <c r="E6" s="83" t="s">
        <v>35</v>
      </c>
      <c r="F6" s="83" t="s">
        <v>34</v>
      </c>
      <c r="G6" s="83" t="s">
        <v>35</v>
      </c>
      <c r="H6" s="385"/>
      <c r="I6" s="84" t="s">
        <v>36</v>
      </c>
      <c r="J6" s="85" t="s">
        <v>37</v>
      </c>
      <c r="K6" s="358"/>
      <c r="L6" s="360"/>
      <c r="M6" s="86" t="s">
        <v>36</v>
      </c>
      <c r="N6" s="87" t="s">
        <v>37</v>
      </c>
      <c r="O6" s="365"/>
      <c r="P6" s="366"/>
    </row>
    <row r="7" spans="2:16" ht="38.25" customHeight="1" thickBot="1">
      <c r="B7" s="88" t="s">
        <v>38</v>
      </c>
      <c r="C7" s="89">
        <f t="shared" ref="C7:H7" si="0">SUM(C8:C33)</f>
        <v>18076711803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90" t="e">
        <f t="shared" si="0"/>
        <v>#REF!</v>
      </c>
      <c r="I7" s="91" t="e">
        <f>#REF!+#REF!</f>
        <v>#REF!</v>
      </c>
      <c r="J7" s="92" t="e">
        <f>#REF!+#REF!</f>
        <v>#REF!</v>
      </c>
      <c r="K7" s="93" t="e">
        <f>I7-J7</f>
        <v>#REF!</v>
      </c>
      <c r="L7" s="94" t="s">
        <v>39</v>
      </c>
      <c r="M7" s="95" t="e">
        <f>#REF!+#REF!</f>
        <v>#REF!</v>
      </c>
      <c r="N7" s="96" t="e">
        <f>#REF!+#REF!</f>
        <v>#REF!</v>
      </c>
      <c r="O7" s="97">
        <v>0</v>
      </c>
      <c r="P7" s="97">
        <v>0</v>
      </c>
    </row>
    <row r="8" spans="2:16" ht="38.25" customHeight="1">
      <c r="B8" s="106" t="s">
        <v>110</v>
      </c>
      <c r="C8" s="107">
        <v>914581</v>
      </c>
      <c r="D8" s="20" t="e">
        <f>SUMIFS(#REF!,#REF!,'2추총괄표(실국별)'!$B8)</f>
        <v>#REF!</v>
      </c>
      <c r="E8" s="20" t="e">
        <f>SUMIFS(#REF!,#REF!,'2추총괄표(실국별)'!$B8)</f>
        <v>#REF!</v>
      </c>
      <c r="F8" s="20" t="e">
        <f>SUMIFS(#REF!,#REF!,'2추총괄표(실국별)'!$B8)</f>
        <v>#REF!</v>
      </c>
      <c r="G8" s="20" t="e">
        <f>SUMIFS(#REF!,#REF!,'2추총괄표(실국별)'!$B8)</f>
        <v>#REF!</v>
      </c>
      <c r="H8" s="90" t="e">
        <f>C8+F8+G8</f>
        <v>#REF!</v>
      </c>
      <c r="I8" s="375" t="s">
        <v>41</v>
      </c>
      <c r="J8" s="376"/>
      <c r="K8" s="81"/>
      <c r="N8" s="108" t="s">
        <v>42</v>
      </c>
    </row>
    <row r="9" spans="2:16" ht="38.25" customHeight="1" thickBot="1">
      <c r="B9" s="106" t="s">
        <v>102</v>
      </c>
      <c r="C9" s="89">
        <v>5144786053</v>
      </c>
      <c r="D9" s="20" t="e">
        <f>SUMIFS(#REF!,#REF!,'2추총괄표(실국별)'!$B9)</f>
        <v>#REF!</v>
      </c>
      <c r="E9" s="20" t="e">
        <f>SUMIFS(#REF!,#REF!,'2추총괄표(실국별)'!$B9)</f>
        <v>#REF!</v>
      </c>
      <c r="F9" s="20" t="e">
        <f>SUMIFS(#REF!,#REF!,'2추총괄표(실국별)'!$B9)</f>
        <v>#REF!</v>
      </c>
      <c r="G9" s="20" t="e">
        <f>SUMIFS(#REF!,#REF!,'2추총괄표(실국별)'!$B9)</f>
        <v>#REF!</v>
      </c>
      <c r="H9" s="90" t="e">
        <f t="shared" ref="H9" si="1">C9+F9+G9</f>
        <v>#REF!</v>
      </c>
      <c r="I9" s="109" t="e">
        <f>#REF!+#REF!</f>
        <v>#REF!</v>
      </c>
      <c r="J9" s="110" t="e">
        <f>#REF!+#REF!</f>
        <v>#REF!</v>
      </c>
      <c r="K9" s="81"/>
      <c r="N9" s="111" t="e">
        <f>#REF!-#REF!</f>
        <v>#REF!</v>
      </c>
    </row>
    <row r="10" spans="2:16" ht="38.25" customHeight="1" thickBot="1">
      <c r="B10" s="106" t="s">
        <v>103</v>
      </c>
      <c r="C10" s="89">
        <v>221255441</v>
      </c>
      <c r="D10" s="20" t="e">
        <f>SUMIFS(#REF!,#REF!,'2추총괄표(실국별)'!$B10)</f>
        <v>#REF!</v>
      </c>
      <c r="E10" s="20" t="e">
        <f>SUMIFS(#REF!,#REF!,'2추총괄표(실국별)'!$B10)</f>
        <v>#REF!</v>
      </c>
      <c r="F10" s="20" t="e">
        <f>SUMIFS(#REF!,#REF!,'2추총괄표(실국별)'!$B10)</f>
        <v>#REF!</v>
      </c>
      <c r="G10" s="20" t="e">
        <f>SUMIFS(#REF!,#REF!,'2추총괄표(실국별)'!$B10)</f>
        <v>#REF!</v>
      </c>
      <c r="H10" s="90" t="e">
        <f t="shared" ref="H10:H30" si="2">C10+F10+G10</f>
        <v>#REF!</v>
      </c>
      <c r="I10" s="109" t="e">
        <f>#REF!+#REF!</f>
        <v>#REF!</v>
      </c>
      <c r="J10" s="110" t="e">
        <f>#REF!+#REF!</f>
        <v>#REF!</v>
      </c>
      <c r="K10" s="81"/>
      <c r="N10" s="111" t="e">
        <f>#REF!-#REF!</f>
        <v>#REF!</v>
      </c>
    </row>
    <row r="11" spans="2:16" ht="38.25" customHeight="1">
      <c r="B11" s="106" t="s">
        <v>104</v>
      </c>
      <c r="C11" s="89">
        <v>547246549</v>
      </c>
      <c r="D11" s="20" t="e">
        <f>SUMIFS(#REF!,#REF!,'2추총괄표(실국별)'!$B11)</f>
        <v>#REF!</v>
      </c>
      <c r="E11" s="20" t="e">
        <f>SUMIFS(#REF!,#REF!,'2추총괄표(실국별)'!$B11)</f>
        <v>#REF!</v>
      </c>
      <c r="F11" s="20" t="e">
        <f>SUMIFS(#REF!,#REF!,'2추총괄표(실국별)'!$B11)</f>
        <v>#REF!</v>
      </c>
      <c r="G11" s="20" t="e">
        <f>SUMIFS(#REF!,#REF!,'2추총괄표(실국별)'!$B11)</f>
        <v>#REF!</v>
      </c>
      <c r="H11" s="90" t="e">
        <f t="shared" si="2"/>
        <v>#REF!</v>
      </c>
      <c r="J11" s="112"/>
      <c r="K11" s="113"/>
    </row>
    <row r="12" spans="2:16" ht="38.25" customHeight="1">
      <c r="B12" s="106" t="s">
        <v>170</v>
      </c>
      <c r="C12" s="89">
        <v>2339199089</v>
      </c>
      <c r="D12" s="20" t="e">
        <f>SUMIFS(#REF!,#REF!,'2추총괄표(실국별)'!$B12)</f>
        <v>#REF!</v>
      </c>
      <c r="E12" s="20" t="e">
        <f>SUMIFS(#REF!,#REF!,'2추총괄표(실국별)'!$B12)</f>
        <v>#REF!</v>
      </c>
      <c r="F12" s="20" t="e">
        <f>SUMIFS(#REF!,#REF!,'2추총괄표(실국별)'!$B12)</f>
        <v>#REF!</v>
      </c>
      <c r="G12" s="20" t="e">
        <f>SUMIFS(#REF!,#REF!,'2추총괄표(실국별)'!$B12)</f>
        <v>#REF!</v>
      </c>
      <c r="H12" s="90" t="e">
        <f t="shared" si="2"/>
        <v>#REF!</v>
      </c>
      <c r="J12" s="114"/>
      <c r="L12" s="115"/>
      <c r="M12" s="115"/>
    </row>
    <row r="13" spans="2:16" ht="38.25" customHeight="1">
      <c r="B13" s="106" t="s">
        <v>105</v>
      </c>
      <c r="C13" s="89">
        <v>258716894</v>
      </c>
      <c r="D13" s="20" t="e">
        <f>SUMIFS(#REF!,#REF!,'2추총괄표(실국별)'!$B13)</f>
        <v>#REF!</v>
      </c>
      <c r="E13" s="20" t="e">
        <f>SUMIFS(#REF!,#REF!,'2추총괄표(실국별)'!$B13)</f>
        <v>#REF!</v>
      </c>
      <c r="F13" s="20" t="e">
        <f>SUMIFS(#REF!,#REF!,'2추총괄표(실국별)'!$B13)</f>
        <v>#REF!</v>
      </c>
      <c r="G13" s="20" t="e">
        <f>SUMIFS(#REF!,#REF!,'2추총괄표(실국별)'!$B13)</f>
        <v>#REF!</v>
      </c>
      <c r="H13" s="90" t="e">
        <f t="shared" si="2"/>
        <v>#REF!</v>
      </c>
      <c r="K13" s="15"/>
      <c r="L13" s="16"/>
      <c r="N13" s="73" t="s">
        <v>43</v>
      </c>
    </row>
    <row r="14" spans="2:16" s="118" customFormat="1" ht="38.25" customHeight="1">
      <c r="B14" s="106" t="s">
        <v>64</v>
      </c>
      <c r="C14" s="116">
        <v>250268892</v>
      </c>
      <c r="D14" s="20" t="e">
        <f>SUMIFS(#REF!,#REF!,'2추총괄표(실국별)'!$B14)</f>
        <v>#REF!</v>
      </c>
      <c r="E14" s="20" t="e">
        <f>SUMIFS(#REF!,#REF!,'2추총괄표(실국별)'!$B14)</f>
        <v>#REF!</v>
      </c>
      <c r="F14" s="20" t="e">
        <f>SUMIFS(#REF!,#REF!,'2추총괄표(실국별)'!$B14)</f>
        <v>#REF!</v>
      </c>
      <c r="G14" s="20" t="e">
        <f>SUMIFS(#REF!,#REF!,'2추총괄표(실국별)'!$B14)</f>
        <v>#REF!</v>
      </c>
      <c r="H14" s="90" t="e">
        <f t="shared" si="2"/>
        <v>#REF!</v>
      </c>
      <c r="I14" s="117"/>
      <c r="J14" s="117"/>
      <c r="K14" s="15"/>
      <c r="L14" s="16"/>
      <c r="M14" s="103"/>
      <c r="N14" s="104" t="e">
        <f>N10-#REF!</f>
        <v>#REF!</v>
      </c>
      <c r="O14" s="117"/>
      <c r="P14" s="117"/>
    </row>
    <row r="15" spans="2:16" s="118" customFormat="1" ht="38.25" customHeight="1">
      <c r="B15" s="106" t="s">
        <v>199</v>
      </c>
      <c r="C15" s="116">
        <v>97467509</v>
      </c>
      <c r="D15" s="20" t="e">
        <f>SUMIFS(#REF!,#REF!,'2추총괄표(실국별)'!$B15)</f>
        <v>#REF!</v>
      </c>
      <c r="E15" s="20" t="e">
        <f>SUMIFS(#REF!,#REF!,'2추총괄표(실국별)'!$B15)</f>
        <v>#REF!</v>
      </c>
      <c r="F15" s="20" t="e">
        <f>SUMIFS(#REF!,#REF!,'2추총괄표(실국별)'!$B15)</f>
        <v>#REF!</v>
      </c>
      <c r="G15" s="20" t="e">
        <f>SUMIFS(#REF!,#REF!,'2추총괄표(실국별)'!$B15)</f>
        <v>#REF!</v>
      </c>
      <c r="H15" s="90" t="e">
        <f t="shared" si="2"/>
        <v>#REF!</v>
      </c>
      <c r="I15" s="117"/>
      <c r="J15" s="117"/>
      <c r="K15" s="15"/>
      <c r="L15" s="16"/>
      <c r="M15" s="117"/>
      <c r="N15" s="117"/>
      <c r="O15" s="117"/>
      <c r="P15" s="117"/>
    </row>
    <row r="16" spans="2:16" s="118" customFormat="1" ht="38.25" customHeight="1">
      <c r="B16" s="106" t="s">
        <v>206</v>
      </c>
      <c r="C16" s="116">
        <v>577186012</v>
      </c>
      <c r="D16" s="20" t="e">
        <f>SUMIFS(#REF!,#REF!,'2추총괄표(실국별)'!$B16)</f>
        <v>#REF!</v>
      </c>
      <c r="E16" s="20" t="e">
        <f>SUMIFS(#REF!,#REF!,'2추총괄표(실국별)'!$B16)</f>
        <v>#REF!</v>
      </c>
      <c r="F16" s="20" t="e">
        <f>SUMIFS(#REF!,#REF!,'2추총괄표(실국별)'!$B16)</f>
        <v>#REF!</v>
      </c>
      <c r="G16" s="20" t="e">
        <f>SUMIFS(#REF!,#REF!,'2추총괄표(실국별)'!$B16)</f>
        <v>#REF!</v>
      </c>
      <c r="H16" s="90" t="e">
        <f t="shared" ref="H16:H23" si="3">C16+F16+G16</f>
        <v>#REF!</v>
      </c>
      <c r="I16" s="117"/>
      <c r="J16" s="117"/>
      <c r="K16" s="15"/>
      <c r="L16" s="16"/>
      <c r="M16" s="117"/>
      <c r="N16" s="117"/>
      <c r="O16" s="117"/>
      <c r="P16" s="117"/>
    </row>
    <row r="17" spans="2:16" s="122" customFormat="1" ht="38.25" customHeight="1">
      <c r="B17" s="119" t="s">
        <v>61</v>
      </c>
      <c r="C17" s="120">
        <v>29891138</v>
      </c>
      <c r="D17" s="20" t="e">
        <f>SUMIFS(#REF!,#REF!,'2추총괄표(실국별)'!$B17)</f>
        <v>#REF!</v>
      </c>
      <c r="E17" s="20" t="e">
        <f>SUMIFS(#REF!,#REF!,'2추총괄표(실국별)'!$B17)</f>
        <v>#REF!</v>
      </c>
      <c r="F17" s="20" t="e">
        <f>SUMIFS(#REF!,#REF!,'2추총괄표(실국별)'!$B17)</f>
        <v>#REF!</v>
      </c>
      <c r="G17" s="20" t="e">
        <f>SUMIFS(#REF!,#REF!,'2추총괄표(실국별)'!$B17)</f>
        <v>#REF!</v>
      </c>
      <c r="H17" s="90" t="e">
        <f t="shared" si="3"/>
        <v>#REF!</v>
      </c>
      <c r="I17" s="121"/>
      <c r="J17" s="121"/>
      <c r="K17" s="15"/>
      <c r="L17" s="16"/>
      <c r="M17" s="121"/>
      <c r="N17" s="121"/>
      <c r="O17" s="121"/>
      <c r="P17" s="121"/>
    </row>
    <row r="18" spans="2:16" ht="38.25" customHeight="1" thickBot="1">
      <c r="B18" s="106" t="s">
        <v>111</v>
      </c>
      <c r="C18" s="89">
        <v>11250846</v>
      </c>
      <c r="D18" s="20" t="e">
        <f>SUMIFS(#REF!,#REF!,'2추총괄표(실국별)'!$B18)</f>
        <v>#REF!</v>
      </c>
      <c r="E18" s="20" t="e">
        <f>SUMIFS(#REF!,#REF!,'2추총괄표(실국별)'!$B18)</f>
        <v>#REF!</v>
      </c>
      <c r="F18" s="20" t="e">
        <f>SUMIFS(#REF!,#REF!,'2추총괄표(실국별)'!$B18)</f>
        <v>#REF!</v>
      </c>
      <c r="G18" s="20" t="e">
        <f>SUMIFS(#REF!,#REF!,'2추총괄표(실국별)'!$B18)</f>
        <v>#REF!</v>
      </c>
      <c r="H18" s="90" t="e">
        <f t="shared" si="3"/>
        <v>#REF!</v>
      </c>
      <c r="I18" s="109" t="e">
        <f>#REF!+#REF!</f>
        <v>#REF!</v>
      </c>
      <c r="J18" s="110" t="e">
        <f>#REF!+#REF!</f>
        <v>#REF!</v>
      </c>
      <c r="K18" s="81"/>
      <c r="N18" s="111" t="e">
        <f>#REF!-#REF!</f>
        <v>#REF!</v>
      </c>
    </row>
    <row r="19" spans="2:16" ht="38.25" customHeight="1">
      <c r="B19" s="106" t="s">
        <v>109</v>
      </c>
      <c r="C19" s="89">
        <v>384069</v>
      </c>
      <c r="D19" s="20" t="e">
        <f>SUMIFS(#REF!,#REF!,'2추총괄표(실국별)'!$B19)</f>
        <v>#REF!</v>
      </c>
      <c r="E19" s="20" t="e">
        <f>SUMIFS(#REF!,#REF!,'2추총괄표(실국별)'!$B19)</f>
        <v>#REF!</v>
      </c>
      <c r="F19" s="20" t="e">
        <f>SUMIFS(#REF!,#REF!,'2추총괄표(실국별)'!$B19)</f>
        <v>#REF!</v>
      </c>
      <c r="G19" s="20" t="e">
        <f>SUMIFS(#REF!,#REF!,'2추총괄표(실국별)'!$B19)</f>
        <v>#REF!</v>
      </c>
      <c r="H19" s="90" t="e">
        <f t="shared" si="3"/>
        <v>#REF!</v>
      </c>
      <c r="J19" s="112"/>
      <c r="K19" s="113"/>
    </row>
    <row r="20" spans="2:16" ht="38.25" customHeight="1">
      <c r="B20" s="106" t="s">
        <v>106</v>
      </c>
      <c r="C20" s="89">
        <v>2582006910</v>
      </c>
      <c r="D20" s="20" t="e">
        <f>SUMIFS(#REF!,#REF!,'2추총괄표(실국별)'!$B20)</f>
        <v>#REF!</v>
      </c>
      <c r="E20" s="20" t="e">
        <f>SUMIFS(#REF!,#REF!,'2추총괄표(실국별)'!$B20)</f>
        <v>#REF!</v>
      </c>
      <c r="F20" s="20" t="e">
        <f>SUMIFS(#REF!,#REF!,'2추총괄표(실국별)'!$B20)</f>
        <v>#REF!</v>
      </c>
      <c r="G20" s="20" t="e">
        <f>SUMIFS(#REF!,#REF!,'2추총괄표(실국별)'!$B20)</f>
        <v>#REF!</v>
      </c>
      <c r="H20" s="90" t="e">
        <f t="shared" si="3"/>
        <v>#REF!</v>
      </c>
      <c r="J20" s="114"/>
      <c r="L20" s="115"/>
      <c r="M20" s="115"/>
    </row>
    <row r="21" spans="2:16" ht="38.25" customHeight="1">
      <c r="B21" s="106" t="s">
        <v>107</v>
      </c>
      <c r="C21" s="89">
        <v>90647611</v>
      </c>
      <c r="D21" s="20" t="e">
        <f>SUMIFS(#REF!,#REF!,'2추총괄표(실국별)'!$B21)</f>
        <v>#REF!</v>
      </c>
      <c r="E21" s="20" t="e">
        <f>SUMIFS(#REF!,#REF!,'2추총괄표(실국별)'!$B21)</f>
        <v>#REF!</v>
      </c>
      <c r="F21" s="20" t="e">
        <f>SUMIFS(#REF!,#REF!,'2추총괄표(실국별)'!$B21)</f>
        <v>#REF!</v>
      </c>
      <c r="G21" s="20" t="e">
        <f>SUMIFS(#REF!,#REF!,'2추총괄표(실국별)'!$B21)</f>
        <v>#REF!</v>
      </c>
      <c r="H21" s="90" t="e">
        <f t="shared" si="3"/>
        <v>#REF!</v>
      </c>
      <c r="K21" s="15"/>
      <c r="L21" s="16"/>
      <c r="N21" s="73" t="s">
        <v>43</v>
      </c>
    </row>
    <row r="22" spans="2:16" s="118" customFormat="1" ht="38.25" customHeight="1">
      <c r="B22" s="106" t="s">
        <v>108</v>
      </c>
      <c r="C22" s="116">
        <v>1883037298</v>
      </c>
      <c r="D22" s="20" t="e">
        <f>SUMIFS(#REF!,#REF!,'2추총괄표(실국별)'!$B22)</f>
        <v>#REF!</v>
      </c>
      <c r="E22" s="20" t="e">
        <f>SUMIFS(#REF!,#REF!,'2추총괄표(실국별)'!$B22)</f>
        <v>#REF!</v>
      </c>
      <c r="F22" s="20" t="e">
        <f>SUMIFS(#REF!,#REF!,'2추총괄표(실국별)'!$B22)</f>
        <v>#REF!</v>
      </c>
      <c r="G22" s="20" t="e">
        <f>SUMIFS(#REF!,#REF!,'2추총괄표(실국별)'!$B22)</f>
        <v>#REF!</v>
      </c>
      <c r="H22" s="90" t="e">
        <f t="shared" si="3"/>
        <v>#REF!</v>
      </c>
      <c r="I22" s="117"/>
      <c r="J22" s="117"/>
      <c r="K22" s="15"/>
      <c r="L22" s="16"/>
      <c r="M22" s="103"/>
      <c r="N22" s="104" t="e">
        <f>N18-#REF!</f>
        <v>#REF!</v>
      </c>
      <c r="O22" s="117"/>
      <c r="P22" s="117"/>
    </row>
    <row r="23" spans="2:16" s="118" customFormat="1" ht="38.25" customHeight="1">
      <c r="B23" s="106" t="s">
        <v>369</v>
      </c>
      <c r="C23" s="116">
        <v>39275302</v>
      </c>
      <c r="D23" s="20" t="e">
        <f>SUMIFS(#REF!,#REF!,'2추총괄표(실국별)'!$B23)</f>
        <v>#REF!</v>
      </c>
      <c r="E23" s="20" t="e">
        <f>SUMIFS(#REF!,#REF!,'2추총괄표(실국별)'!$B23)</f>
        <v>#REF!</v>
      </c>
      <c r="F23" s="20" t="e">
        <f>SUMIFS(#REF!,#REF!,'2추총괄표(실국별)'!$B23)</f>
        <v>#REF!</v>
      </c>
      <c r="G23" s="20" t="e">
        <f>SUMIFS(#REF!,#REF!,'2추총괄표(실국별)'!$B23)</f>
        <v>#REF!</v>
      </c>
      <c r="H23" s="90" t="e">
        <f t="shared" si="3"/>
        <v>#REF!</v>
      </c>
      <c r="I23" s="117"/>
      <c r="J23" s="117"/>
      <c r="K23" s="15"/>
      <c r="L23" s="16"/>
      <c r="M23" s="117"/>
      <c r="N23" s="117"/>
      <c r="O23" s="117"/>
      <c r="P23" s="117"/>
    </row>
    <row r="24" spans="2:16" s="118" customFormat="1" ht="38.25" customHeight="1">
      <c r="B24" s="106" t="s">
        <v>376</v>
      </c>
      <c r="C24" s="116">
        <v>8834247</v>
      </c>
      <c r="D24" s="20" t="e">
        <f>SUMIFS(#REF!,#REF!,'2추총괄표(실국별)'!$B24)</f>
        <v>#REF!</v>
      </c>
      <c r="E24" s="20" t="e">
        <f>SUMIFS(#REF!,#REF!,'2추총괄표(실국별)'!$B24)</f>
        <v>#REF!</v>
      </c>
      <c r="F24" s="20" t="e">
        <f>SUMIFS(#REF!,#REF!,'2추총괄표(실국별)'!$B24)</f>
        <v>#REF!</v>
      </c>
      <c r="G24" s="20" t="e">
        <f>SUMIFS(#REF!,#REF!,'2추총괄표(실국별)'!$B24)</f>
        <v>#REF!</v>
      </c>
      <c r="H24" s="90" t="e">
        <f t="shared" si="2"/>
        <v>#REF!</v>
      </c>
      <c r="I24" s="117"/>
      <c r="J24" s="117"/>
      <c r="K24" s="15"/>
      <c r="L24" s="16"/>
      <c r="M24" s="117"/>
      <c r="N24" s="117"/>
      <c r="O24" s="117"/>
      <c r="P24" s="117"/>
    </row>
    <row r="25" spans="2:16" s="122" customFormat="1" ht="38.25" customHeight="1">
      <c r="B25" s="119" t="s">
        <v>378</v>
      </c>
      <c r="C25" s="120">
        <v>9409184</v>
      </c>
      <c r="D25" s="20" t="e">
        <f>SUMIFS(#REF!,#REF!,'2추총괄표(실국별)'!$B25)</f>
        <v>#REF!</v>
      </c>
      <c r="E25" s="20" t="e">
        <f>SUMIFS(#REF!,#REF!,'2추총괄표(실국별)'!$B25)</f>
        <v>#REF!</v>
      </c>
      <c r="F25" s="20" t="e">
        <f>SUMIFS(#REF!,#REF!,'2추총괄표(실국별)'!$B25)</f>
        <v>#REF!</v>
      </c>
      <c r="G25" s="20" t="e">
        <f>SUMIFS(#REF!,#REF!,'2추총괄표(실국별)'!$B25)</f>
        <v>#REF!</v>
      </c>
      <c r="H25" s="90" t="e">
        <f t="shared" si="2"/>
        <v>#REF!</v>
      </c>
      <c r="I25" s="121"/>
      <c r="J25" s="121"/>
      <c r="K25" s="15"/>
      <c r="L25" s="16"/>
      <c r="M25" s="121"/>
      <c r="N25" s="121"/>
      <c r="O25" s="121"/>
      <c r="P25" s="121"/>
    </row>
    <row r="26" spans="2:16" ht="38.25" customHeight="1" thickBot="1">
      <c r="B26" s="106" t="s">
        <v>385</v>
      </c>
      <c r="C26" s="89">
        <v>568254411</v>
      </c>
      <c r="D26" s="20" t="e">
        <f>SUMIFS(#REF!,#REF!,'2추총괄표(실국별)'!$B26)</f>
        <v>#REF!</v>
      </c>
      <c r="E26" s="20" t="e">
        <f>SUMIFS(#REF!,#REF!,'2추총괄표(실국별)'!$B26)</f>
        <v>#REF!</v>
      </c>
      <c r="F26" s="20" t="e">
        <f>SUMIFS(#REF!,#REF!,'2추총괄표(실국별)'!$B26)</f>
        <v>#REF!</v>
      </c>
      <c r="G26" s="20" t="e">
        <f>SUMIFS(#REF!,#REF!,'2추총괄표(실국별)'!$B26)</f>
        <v>#REF!</v>
      </c>
      <c r="H26" s="90" t="e">
        <f t="shared" si="2"/>
        <v>#REF!</v>
      </c>
      <c r="I26" s="109" t="e">
        <f>#REF!+#REF!</f>
        <v>#REF!</v>
      </c>
      <c r="J26" s="110" t="e">
        <f>#REF!+#REF!</f>
        <v>#REF!</v>
      </c>
      <c r="K26" s="81"/>
      <c r="N26" s="111">
        <f>M2-N2</f>
        <v>0</v>
      </c>
    </row>
    <row r="27" spans="2:16" ht="38.25" customHeight="1">
      <c r="B27" s="106" t="s">
        <v>69</v>
      </c>
      <c r="C27" s="89">
        <v>1368375599</v>
      </c>
      <c r="D27" s="20" t="e">
        <f>SUMIFS(#REF!,#REF!,'2추총괄표(실국별)'!$B27)</f>
        <v>#REF!</v>
      </c>
      <c r="E27" s="20" t="e">
        <f>SUMIFS(#REF!,#REF!,'2추총괄표(실국별)'!$B27)</f>
        <v>#REF!</v>
      </c>
      <c r="F27" s="20" t="e">
        <f>SUMIFS(#REF!,#REF!,'2추총괄표(실국별)'!$B27)</f>
        <v>#REF!</v>
      </c>
      <c r="G27" s="20" t="e">
        <f>SUMIFS(#REF!,#REF!,'2추총괄표(실국별)'!$B27)</f>
        <v>#REF!</v>
      </c>
      <c r="H27" s="90" t="e">
        <f t="shared" si="2"/>
        <v>#REF!</v>
      </c>
      <c r="J27" s="112"/>
      <c r="K27" s="113"/>
    </row>
    <row r="28" spans="2:16" ht="38.25" customHeight="1">
      <c r="B28" s="106" t="s">
        <v>308</v>
      </c>
      <c r="C28" s="89">
        <v>203128052</v>
      </c>
      <c r="D28" s="20" t="e">
        <f>SUMIFS(#REF!,#REF!,'2추총괄표(실국별)'!$B28)</f>
        <v>#REF!</v>
      </c>
      <c r="E28" s="20" t="e">
        <f>SUMIFS(#REF!,#REF!,'2추총괄표(실국별)'!$B28)</f>
        <v>#REF!</v>
      </c>
      <c r="F28" s="20" t="e">
        <f>SUMIFS(#REF!,#REF!,'2추총괄표(실국별)'!$B28)</f>
        <v>#REF!</v>
      </c>
      <c r="G28" s="20" t="e">
        <f>SUMIFS(#REF!,#REF!,'2추총괄표(실국별)'!$B28)</f>
        <v>#REF!</v>
      </c>
      <c r="H28" s="90" t="e">
        <f t="shared" si="2"/>
        <v>#REF!</v>
      </c>
      <c r="J28" s="114"/>
      <c r="L28" s="115"/>
      <c r="M28" s="115"/>
    </row>
    <row r="29" spans="2:16" ht="38.25" customHeight="1">
      <c r="B29" s="106" t="s">
        <v>323</v>
      </c>
      <c r="C29" s="89">
        <v>551253750</v>
      </c>
      <c r="D29" s="20" t="e">
        <f>SUMIFS(#REF!,#REF!,'2추총괄표(실국별)'!$B29)</f>
        <v>#REF!</v>
      </c>
      <c r="E29" s="20" t="e">
        <f>SUMIFS(#REF!,#REF!,'2추총괄표(실국별)'!$B29)</f>
        <v>#REF!</v>
      </c>
      <c r="F29" s="20" t="e">
        <f>SUMIFS(#REF!,#REF!,'2추총괄표(실국별)'!$B29)</f>
        <v>#REF!</v>
      </c>
      <c r="G29" s="20" t="e">
        <f>SUMIFS(#REF!,#REF!,'2추총괄표(실국별)'!$B29)</f>
        <v>#REF!</v>
      </c>
      <c r="H29" s="90" t="e">
        <f t="shared" si="2"/>
        <v>#REF!</v>
      </c>
      <c r="K29" s="15"/>
      <c r="L29" s="16"/>
      <c r="N29" s="73" t="s">
        <v>43</v>
      </c>
    </row>
    <row r="30" spans="2:16" s="118" customFormat="1" ht="38.25" customHeight="1">
      <c r="B30" s="106" t="s">
        <v>66</v>
      </c>
      <c r="C30" s="116">
        <v>199805590</v>
      </c>
      <c r="D30" s="20" t="e">
        <f>SUMIFS(#REF!,#REF!,'2추총괄표(실국별)'!$B30)</f>
        <v>#REF!</v>
      </c>
      <c r="E30" s="20" t="e">
        <f>SUMIFS(#REF!,#REF!,'2추총괄표(실국별)'!$B30)</f>
        <v>#REF!</v>
      </c>
      <c r="F30" s="20" t="e">
        <f>SUMIFS(#REF!,#REF!,'2추총괄표(실국별)'!$B30)</f>
        <v>#REF!</v>
      </c>
      <c r="G30" s="20" t="e">
        <f>SUMIFS(#REF!,#REF!,'2추총괄표(실국별)'!$B30)</f>
        <v>#REF!</v>
      </c>
      <c r="H30" s="90" t="e">
        <f t="shared" si="2"/>
        <v>#REF!</v>
      </c>
      <c r="I30" s="117"/>
      <c r="J30" s="117"/>
      <c r="K30" s="15"/>
      <c r="L30" s="16"/>
      <c r="M30" s="103"/>
      <c r="N30" s="104">
        <f>N26-K2</f>
        <v>0</v>
      </c>
      <c r="O30" s="117"/>
      <c r="P30" s="117"/>
    </row>
    <row r="31" spans="2:16" ht="38.25" customHeight="1" thickBot="1">
      <c r="B31" s="106" t="s">
        <v>351</v>
      </c>
      <c r="C31" s="89">
        <v>444655559</v>
      </c>
      <c r="D31" s="20" t="e">
        <f>SUMIFS(#REF!,#REF!,'2추총괄표(실국별)'!$B31)</f>
        <v>#REF!</v>
      </c>
      <c r="E31" s="20" t="e">
        <f>SUMIFS(#REF!,#REF!,'2추총괄표(실국별)'!$B31)</f>
        <v>#REF!</v>
      </c>
      <c r="F31" s="20" t="e">
        <f>SUMIFS(#REF!,#REF!,'2추총괄표(실국별)'!$B31)</f>
        <v>#REF!</v>
      </c>
      <c r="G31" s="20" t="e">
        <f>SUMIFS(#REF!,#REF!,'2추총괄표(실국별)'!$B31)</f>
        <v>#REF!</v>
      </c>
      <c r="H31" s="90" t="e">
        <f t="shared" ref="H31:H33" si="4">C31+F31+G31</f>
        <v>#REF!</v>
      </c>
      <c r="I31" s="109" t="e">
        <f>#REF!+#REF!</f>
        <v>#REF!</v>
      </c>
      <c r="J31" s="110" t="e">
        <f>#REF!+#REF!</f>
        <v>#REF!</v>
      </c>
      <c r="K31" s="81"/>
      <c r="N31" s="111" t="e">
        <f>M7-N7</f>
        <v>#REF!</v>
      </c>
    </row>
    <row r="32" spans="2:16" ht="38.25" customHeight="1">
      <c r="B32" s="106" t="s">
        <v>361</v>
      </c>
      <c r="C32" s="89">
        <v>606801393</v>
      </c>
      <c r="D32" s="20" t="e">
        <f>SUMIFS(#REF!,#REF!,'2추총괄표(실국별)'!$B32)</f>
        <v>#REF!</v>
      </c>
      <c r="E32" s="20" t="e">
        <f>SUMIFS(#REF!,#REF!,'2추총괄표(실국별)'!$B32)</f>
        <v>#REF!</v>
      </c>
      <c r="F32" s="20" t="e">
        <f>SUMIFS(#REF!,#REF!,'2추총괄표(실국별)'!$B32)</f>
        <v>#REF!</v>
      </c>
      <c r="G32" s="20" t="e">
        <f>SUMIFS(#REF!,#REF!,'2추총괄표(실국별)'!$B32)</f>
        <v>#REF!</v>
      </c>
      <c r="H32" s="90" t="e">
        <f t="shared" si="4"/>
        <v>#REF!</v>
      </c>
      <c r="J32" s="112"/>
      <c r="K32" s="113"/>
    </row>
    <row r="33" spans="2:16" ht="38.25" customHeight="1" thickBot="1">
      <c r="B33" s="123" t="s">
        <v>387</v>
      </c>
      <c r="C33" s="129">
        <v>42659824</v>
      </c>
      <c r="D33" s="21" t="e">
        <f>SUMIFS(#REF!,#REF!,'2추총괄표(실국별)'!$B33)</f>
        <v>#REF!</v>
      </c>
      <c r="E33" s="21" t="e">
        <f>SUMIFS(#REF!,#REF!,'2추총괄표(실국별)'!$B33)</f>
        <v>#REF!</v>
      </c>
      <c r="F33" s="21" t="e">
        <f>SUMIFS(#REF!,#REF!,'2추총괄표(실국별)'!$B33)</f>
        <v>#REF!</v>
      </c>
      <c r="G33" s="21" t="e">
        <f>SUMIFS(#REF!,#REF!,'2추총괄표(실국별)'!$B33)</f>
        <v>#REF!</v>
      </c>
      <c r="H33" s="125" t="e">
        <f t="shared" si="4"/>
        <v>#REF!</v>
      </c>
      <c r="J33" s="114"/>
      <c r="L33" s="115"/>
      <c r="M33" s="115"/>
    </row>
    <row r="34" spans="2:16" ht="18" customHeight="1">
      <c r="B34" s="79"/>
      <c r="C34" s="79"/>
      <c r="D34" s="79"/>
      <c r="E34" s="79"/>
      <c r="F34" s="79"/>
      <c r="G34" s="79"/>
      <c r="H34" s="79"/>
      <c r="K34" s="15"/>
      <c r="L34" s="16"/>
    </row>
    <row r="35" spans="2:16" ht="20.25" customHeight="1"/>
    <row r="36" spans="2:16" ht="20.25" customHeight="1"/>
    <row r="37" spans="2:16">
      <c r="B37" s="165" t="s">
        <v>550</v>
      </c>
      <c r="C37" s="169" t="s">
        <v>549</v>
      </c>
      <c r="D37" s="165" t="s">
        <v>547</v>
      </c>
      <c r="E37" s="165" t="s">
        <v>548</v>
      </c>
      <c r="F37" s="169" t="s">
        <v>53</v>
      </c>
      <c r="G37" s="73"/>
      <c r="H37" s="73"/>
      <c r="O37" s="56"/>
      <c r="P37" s="56"/>
    </row>
    <row r="38" spans="2:16">
      <c r="B38" s="165" t="s">
        <v>19</v>
      </c>
      <c r="C38" s="170">
        <f>SUM(C39:C64)</f>
        <v>14571523178</v>
      </c>
      <c r="D38" s="170">
        <f>SUM(D39:D64)</f>
        <v>1223711435</v>
      </c>
      <c r="E38" s="170">
        <f>SUM(E39:E64)</f>
        <v>2281477190</v>
      </c>
      <c r="F38" s="170">
        <f>SUM(C38:E38)</f>
        <v>18076711803</v>
      </c>
      <c r="G38" s="73"/>
      <c r="H38" s="73"/>
      <c r="O38" s="56"/>
      <c r="P38" s="56"/>
    </row>
    <row r="39" spans="2:16">
      <c r="B39" s="165" t="s">
        <v>110</v>
      </c>
      <c r="C39" s="171">
        <v>914581</v>
      </c>
      <c r="D39" s="171"/>
      <c r="E39" s="171"/>
      <c r="F39" s="170">
        <f t="shared" ref="F39:F64" si="5">SUM(C39:E39)</f>
        <v>914581</v>
      </c>
      <c r="O39" s="56"/>
      <c r="P39" s="56"/>
    </row>
    <row r="40" spans="2:16">
      <c r="B40" s="165" t="s">
        <v>102</v>
      </c>
      <c r="C40" s="171">
        <v>3300767937</v>
      </c>
      <c r="D40" s="171"/>
      <c r="E40" s="171">
        <v>1844018116</v>
      </c>
      <c r="F40" s="170">
        <f t="shared" si="5"/>
        <v>5144786053</v>
      </c>
      <c r="O40" s="56"/>
      <c r="P40" s="56"/>
    </row>
    <row r="41" spans="2:16">
      <c r="B41" s="165" t="s">
        <v>103</v>
      </c>
      <c r="C41" s="171">
        <v>171642061</v>
      </c>
      <c r="D41" s="171">
        <v>21248912</v>
      </c>
      <c r="E41" s="171">
        <v>28364468</v>
      </c>
      <c r="F41" s="170">
        <f t="shared" si="5"/>
        <v>221255441</v>
      </c>
      <c r="O41" s="56"/>
      <c r="P41" s="56"/>
    </row>
    <row r="42" spans="2:16">
      <c r="B42" s="165" t="s">
        <v>104</v>
      </c>
      <c r="C42" s="171">
        <v>547246549</v>
      </c>
      <c r="D42" s="171"/>
      <c r="E42" s="171"/>
      <c r="F42" s="170">
        <f t="shared" si="5"/>
        <v>547246549</v>
      </c>
      <c r="O42" s="56"/>
      <c r="P42" s="56"/>
    </row>
    <row r="43" spans="2:16">
      <c r="B43" s="165" t="s">
        <v>170</v>
      </c>
      <c r="C43" s="171">
        <v>2092269089</v>
      </c>
      <c r="D43" s="171">
        <v>246930000</v>
      </c>
      <c r="E43" s="171"/>
      <c r="F43" s="170">
        <f t="shared" si="5"/>
        <v>2339199089</v>
      </c>
      <c r="O43" s="56"/>
      <c r="P43" s="56"/>
    </row>
    <row r="44" spans="2:16">
      <c r="B44" s="165" t="s">
        <v>105</v>
      </c>
      <c r="C44" s="171">
        <v>234366028</v>
      </c>
      <c r="D44" s="171"/>
      <c r="E44" s="171">
        <v>24350866</v>
      </c>
      <c r="F44" s="170">
        <f t="shared" si="5"/>
        <v>258716894</v>
      </c>
      <c r="O44" s="56"/>
      <c r="P44" s="56"/>
    </row>
    <row r="45" spans="2:16">
      <c r="B45" s="165" t="s">
        <v>64</v>
      </c>
      <c r="C45" s="171">
        <v>250268892</v>
      </c>
      <c r="D45" s="171"/>
      <c r="E45" s="171"/>
      <c r="F45" s="170">
        <f t="shared" si="5"/>
        <v>250268892</v>
      </c>
      <c r="O45" s="56"/>
      <c r="P45" s="56"/>
    </row>
    <row r="46" spans="2:16">
      <c r="B46" s="165" t="s">
        <v>199</v>
      </c>
      <c r="C46" s="171">
        <v>97467509</v>
      </c>
      <c r="D46" s="171"/>
      <c r="E46" s="171"/>
      <c r="F46" s="170">
        <f t="shared" si="5"/>
        <v>97467509</v>
      </c>
      <c r="O46" s="56"/>
      <c r="P46" s="56"/>
    </row>
    <row r="47" spans="2:16">
      <c r="B47" s="165" t="s">
        <v>206</v>
      </c>
      <c r="C47" s="171">
        <f>512692414+1402108+5137721+57953769</f>
        <v>577186012</v>
      </c>
      <c r="D47" s="171"/>
      <c r="E47" s="171"/>
      <c r="F47" s="170">
        <f t="shared" si="5"/>
        <v>577186012</v>
      </c>
      <c r="O47" s="56"/>
      <c r="P47" s="56"/>
    </row>
    <row r="48" spans="2:16">
      <c r="B48" s="168" t="s">
        <v>61</v>
      </c>
      <c r="C48" s="171">
        <v>29891138</v>
      </c>
      <c r="D48" s="171"/>
      <c r="E48" s="171"/>
      <c r="F48" s="170">
        <f t="shared" si="5"/>
        <v>29891138</v>
      </c>
      <c r="O48" s="56"/>
      <c r="P48" s="56"/>
    </row>
    <row r="49" spans="2:6">
      <c r="B49" s="165" t="s">
        <v>111</v>
      </c>
      <c r="C49" s="171">
        <v>11250846</v>
      </c>
      <c r="D49" s="171"/>
      <c r="E49" s="171"/>
      <c r="F49" s="170">
        <f t="shared" si="5"/>
        <v>11250846</v>
      </c>
    </row>
    <row r="50" spans="2:6">
      <c r="B50" s="165" t="s">
        <v>109</v>
      </c>
      <c r="C50" s="171">
        <v>384069</v>
      </c>
      <c r="D50" s="171"/>
      <c r="E50" s="171"/>
      <c r="F50" s="170">
        <f t="shared" si="5"/>
        <v>384069</v>
      </c>
    </row>
    <row r="51" spans="2:6">
      <c r="B51" s="165" t="s">
        <v>106</v>
      </c>
      <c r="C51" s="171">
        <v>1742791333</v>
      </c>
      <c r="D51" s="171">
        <v>839215577</v>
      </c>
      <c r="E51" s="171"/>
      <c r="F51" s="170">
        <f t="shared" si="5"/>
        <v>2582006910</v>
      </c>
    </row>
    <row r="52" spans="2:6">
      <c r="B52" s="165" t="s">
        <v>107</v>
      </c>
      <c r="C52" s="171">
        <v>90647611</v>
      </c>
      <c r="D52" s="171"/>
      <c r="E52" s="171"/>
      <c r="F52" s="170">
        <f t="shared" si="5"/>
        <v>90647611</v>
      </c>
    </row>
    <row r="53" spans="2:6">
      <c r="B53" s="165" t="s">
        <v>108</v>
      </c>
      <c r="C53" s="171">
        <v>1883037298</v>
      </c>
      <c r="D53" s="171"/>
      <c r="E53" s="171"/>
      <c r="F53" s="170">
        <f t="shared" si="5"/>
        <v>1883037298</v>
      </c>
    </row>
    <row r="54" spans="2:6">
      <c r="B54" s="165" t="s">
        <v>369</v>
      </c>
      <c r="C54" s="171">
        <v>39275302</v>
      </c>
      <c r="D54" s="171"/>
      <c r="E54" s="171"/>
      <c r="F54" s="170">
        <f t="shared" si="5"/>
        <v>39275302</v>
      </c>
    </row>
    <row r="55" spans="2:6">
      <c r="B55" s="165" t="s">
        <v>376</v>
      </c>
      <c r="C55" s="171">
        <v>8834247</v>
      </c>
      <c r="D55" s="171"/>
      <c r="E55" s="171"/>
      <c r="F55" s="170">
        <f t="shared" si="5"/>
        <v>8834247</v>
      </c>
    </row>
    <row r="56" spans="2:6">
      <c r="B56" s="168" t="s">
        <v>378</v>
      </c>
      <c r="C56" s="171">
        <v>9409184</v>
      </c>
      <c r="D56" s="171"/>
      <c r="E56" s="171"/>
      <c r="F56" s="170">
        <f t="shared" si="5"/>
        <v>9409184</v>
      </c>
    </row>
    <row r="57" spans="2:6">
      <c r="B57" s="165" t="s">
        <v>385</v>
      </c>
      <c r="C57" s="171">
        <v>564663823</v>
      </c>
      <c r="D57" s="171">
        <v>3590588</v>
      </c>
      <c r="E57" s="171"/>
      <c r="F57" s="170">
        <f t="shared" si="5"/>
        <v>568254411</v>
      </c>
    </row>
    <row r="58" spans="2:6">
      <c r="B58" s="165" t="s">
        <v>69</v>
      </c>
      <c r="C58" s="171">
        <v>1368375599</v>
      </c>
      <c r="D58" s="171"/>
      <c r="E58" s="171"/>
      <c r="F58" s="170">
        <f t="shared" si="5"/>
        <v>1368375599</v>
      </c>
    </row>
    <row r="59" spans="2:6">
      <c r="B59" s="165" t="s">
        <v>308</v>
      </c>
      <c r="C59" s="171">
        <v>188128052</v>
      </c>
      <c r="D59" s="171">
        <v>15000000</v>
      </c>
      <c r="E59" s="171"/>
      <c r="F59" s="170">
        <f t="shared" si="5"/>
        <v>203128052</v>
      </c>
    </row>
    <row r="60" spans="2:6">
      <c r="B60" s="165" t="s">
        <v>323</v>
      </c>
      <c r="C60" s="171">
        <v>166510010</v>
      </c>
      <c r="D60" s="171"/>
      <c r="E60" s="171">
        <v>384743740</v>
      </c>
      <c r="F60" s="170">
        <f t="shared" si="5"/>
        <v>551253750</v>
      </c>
    </row>
    <row r="61" spans="2:6">
      <c r="B61" s="165" t="s">
        <v>66</v>
      </c>
      <c r="C61" s="171">
        <v>199805590</v>
      </c>
      <c r="D61" s="171"/>
      <c r="E61" s="171"/>
      <c r="F61" s="170">
        <f t="shared" si="5"/>
        <v>199805590</v>
      </c>
    </row>
    <row r="62" spans="2:6">
      <c r="B62" s="165" t="s">
        <v>351</v>
      </c>
      <c r="C62" s="171">
        <v>351095559</v>
      </c>
      <c r="D62" s="171">
        <v>93560000</v>
      </c>
      <c r="E62" s="171"/>
      <c r="F62" s="170">
        <f t="shared" si="5"/>
        <v>444655559</v>
      </c>
    </row>
    <row r="63" spans="2:6">
      <c r="B63" s="165" t="s">
        <v>361</v>
      </c>
      <c r="C63" s="171">
        <v>602635035</v>
      </c>
      <c r="D63" s="171">
        <v>4166358</v>
      </c>
      <c r="E63" s="171"/>
      <c r="F63" s="170">
        <f t="shared" si="5"/>
        <v>606801393</v>
      </c>
    </row>
    <row r="64" spans="2:6">
      <c r="B64" s="165" t="s">
        <v>387</v>
      </c>
      <c r="C64" s="171">
        <v>42659824</v>
      </c>
      <c r="D64" s="171"/>
      <c r="E64" s="171"/>
      <c r="F64" s="170">
        <f t="shared" si="5"/>
        <v>42659824</v>
      </c>
    </row>
    <row r="164" spans="1:20" s="73" customFormat="1" ht="24">
      <c r="A164" s="56"/>
      <c r="B164" s="56"/>
      <c r="C164" s="56"/>
      <c r="D164" s="56"/>
      <c r="E164" s="56"/>
      <c r="F164" s="56"/>
      <c r="G164" s="56"/>
      <c r="H164" s="56"/>
      <c r="I164" s="113" t="s">
        <v>55</v>
      </c>
      <c r="Q164" s="56"/>
      <c r="R164" s="56"/>
      <c r="S164" s="56"/>
      <c r="T164" s="56"/>
    </row>
    <row r="294" spans="1:20" s="73" customFormat="1">
      <c r="A294" s="56"/>
      <c r="B294" s="56"/>
      <c r="C294" s="56"/>
      <c r="D294" s="56"/>
      <c r="E294" s="56"/>
      <c r="F294" s="56"/>
      <c r="G294" s="56"/>
      <c r="H294" s="56"/>
      <c r="I294" s="137"/>
      <c r="K294" s="73">
        <v>-50000</v>
      </c>
      <c r="Q294" s="56"/>
      <c r="R294" s="56"/>
      <c r="S294" s="56"/>
      <c r="T294" s="56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P12"/>
  <sheetViews>
    <sheetView showGridLines="0" view="pageBreakPreview" zoomScale="80" zoomScaleNormal="80" zoomScaleSheetLayoutView="80" workbookViewId="0">
      <pane xSplit="3" ySplit="6" topLeftCell="D7" activePane="bottomRight" state="frozen"/>
      <selection activeCell="G14" sqref="G14"/>
      <selection pane="topRight" activeCell="G14" sqref="G14"/>
      <selection pane="bottomLeft" activeCell="G14" sqref="G14"/>
      <selection pane="bottomRight" activeCell="Q2" sqref="Q1:Q1048576"/>
    </sheetView>
  </sheetViews>
  <sheetFormatPr defaultColWidth="8.75" defaultRowHeight="13.5"/>
  <cols>
    <col min="1" max="1" width="12.75" style="223" customWidth="1"/>
    <col min="2" max="2" width="12" style="223" customWidth="1"/>
    <col min="3" max="3" width="12.25" style="223" customWidth="1"/>
    <col min="4" max="4" width="7.625" style="178" customWidth="1"/>
    <col min="5" max="6" width="7.125" style="178" customWidth="1"/>
    <col min="7" max="7" width="35.75" style="223" customWidth="1"/>
    <col min="8" max="16" width="11.625" style="223" customWidth="1"/>
    <col min="17" max="17" width="8.375" style="178" hidden="1" customWidth="1"/>
    <col min="18" max="18" width="37.625" style="223" customWidth="1"/>
    <col min="19" max="19" width="3" style="223" customWidth="1"/>
    <col min="20" max="20" width="6.125" style="184" customWidth="1"/>
    <col min="21" max="21" width="11.625" style="223" customWidth="1"/>
    <col min="22" max="22" width="11.125" style="223" customWidth="1"/>
    <col min="23" max="23" width="6" style="178" customWidth="1"/>
    <col min="24" max="24" width="3" style="223" customWidth="1"/>
    <col min="25" max="25" width="6.125" style="240" customWidth="1"/>
    <col min="26" max="26" width="11.625" style="223" customWidth="1"/>
    <col min="27" max="27" width="11.125" style="223" customWidth="1"/>
    <col min="28" max="28" width="6" style="178" customWidth="1"/>
    <col min="29" max="29" width="3" style="223" customWidth="1"/>
    <col min="30" max="30" width="9.375" style="238" bestFit="1" customWidth="1"/>
    <col min="31" max="31" width="3" style="223" customWidth="1"/>
    <col min="32" max="32" width="9.375" style="215" bestFit="1" customWidth="1"/>
    <col min="33" max="33" width="3" style="223" customWidth="1"/>
    <col min="34" max="34" width="6.125" style="178" customWidth="1"/>
    <col min="35" max="35" width="3" style="223" customWidth="1"/>
    <col min="36" max="36" width="11.625" style="178" customWidth="1"/>
    <col min="37" max="37" width="5.625" style="178" bestFit="1" customWidth="1"/>
    <col min="38" max="38" width="5.625" style="217" bestFit="1" customWidth="1"/>
    <col min="39" max="39" width="3" style="223" customWidth="1"/>
    <col min="40" max="40" width="11.625" style="178" customWidth="1"/>
    <col min="41" max="41" width="5.625" style="178" bestFit="1" customWidth="1"/>
    <col min="42" max="42" width="5.625" style="217" bestFit="1" customWidth="1"/>
    <col min="43" max="16384" width="8.75" style="223"/>
  </cols>
  <sheetData>
    <row r="1" spans="1:42" ht="32.25" customHeight="1">
      <c r="A1" s="410" t="s">
        <v>616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</row>
    <row r="2" spans="1:42" ht="20.25">
      <c r="A2" s="179" t="s">
        <v>6</v>
      </c>
      <c r="B2" s="179"/>
      <c r="C2" s="179"/>
      <c r="D2" s="194"/>
      <c r="E2" s="194"/>
      <c r="F2" s="194"/>
      <c r="G2" s="179"/>
      <c r="N2" s="185"/>
      <c r="O2" s="185"/>
      <c r="U2" s="185" t="s">
        <v>71</v>
      </c>
      <c r="V2" s="186"/>
      <c r="Z2" s="185" t="s">
        <v>71</v>
      </c>
      <c r="AA2" s="186"/>
    </row>
    <row r="3" spans="1:42" ht="20.25">
      <c r="K3" s="198">
        <f>COUNTA(K7:K12)-10</f>
        <v>-7</v>
      </c>
      <c r="L3" s="198">
        <f>COUNTA(L7:L12)-10</f>
        <v>-7</v>
      </c>
      <c r="M3" s="199"/>
      <c r="N3" s="198">
        <f>COUNTA(N7:N12)-10</f>
        <v>-7</v>
      </c>
      <c r="O3" s="198">
        <f>COUNTA(O7:O12)-10</f>
        <v>-7</v>
      </c>
      <c r="P3" s="184"/>
      <c r="Q3" s="189"/>
      <c r="R3" s="196" t="s">
        <v>8</v>
      </c>
      <c r="U3" s="186" t="str">
        <f>IF(U6='16년 1추일출'!$W$6,"OK","@@")</f>
        <v>OK</v>
      </c>
      <c r="V3" s="223">
        <f>SUM(U6:V6)</f>
        <v>0</v>
      </c>
      <c r="W3" s="186" t="str">
        <f>IF(COUNTIF(W6:W830,"@@")&gt;0,"@@","OK")</f>
        <v>OK</v>
      </c>
      <c r="Z3" s="186" t="str">
        <f>IF(Z6='16년 1추일출'!$AB$6,"OK","@@")</f>
        <v>OK</v>
      </c>
      <c r="AA3" s="223">
        <f>SUM(Z6:AA6)</f>
        <v>0</v>
      </c>
      <c r="AB3" s="186" t="str">
        <f>IF(COUNTIF(AB6:AB830,"@@")&gt;0,"@@","OK")</f>
        <v>OK</v>
      </c>
      <c r="AF3" s="197"/>
      <c r="AJ3" s="186" t="str">
        <f>IF(U6=AJ6,"OK","@@")</f>
        <v>OK</v>
      </c>
      <c r="AN3" s="186" t="str">
        <f>IF(Z6=AN6,"OK","@@")</f>
        <v>OK</v>
      </c>
    </row>
    <row r="4" spans="1:42" ht="30" customHeight="1">
      <c r="A4" s="411" t="s">
        <v>528</v>
      </c>
      <c r="B4" s="411" t="s">
        <v>123</v>
      </c>
      <c r="C4" s="411" t="s">
        <v>4</v>
      </c>
      <c r="D4" s="408" t="s">
        <v>124</v>
      </c>
      <c r="E4" s="408" t="s">
        <v>571</v>
      </c>
      <c r="F4" s="414" t="s">
        <v>572</v>
      </c>
      <c r="G4" s="411" t="s">
        <v>125</v>
      </c>
      <c r="H4" s="414" t="s">
        <v>621</v>
      </c>
      <c r="I4" s="408" t="s">
        <v>623</v>
      </c>
      <c r="J4" s="408" t="s">
        <v>622</v>
      </c>
      <c r="K4" s="415" t="s">
        <v>545</v>
      </c>
      <c r="L4" s="402"/>
      <c r="M4" s="416" t="s">
        <v>627</v>
      </c>
      <c r="N4" s="418" t="s">
        <v>546</v>
      </c>
      <c r="O4" s="405"/>
      <c r="P4" s="419" t="s">
        <v>628</v>
      </c>
      <c r="Q4" s="421" t="s">
        <v>573</v>
      </c>
      <c r="R4" s="396" t="s">
        <v>122</v>
      </c>
      <c r="T4" s="399" t="s">
        <v>5</v>
      </c>
      <c r="U4" s="401" t="s">
        <v>7</v>
      </c>
      <c r="V4" s="402"/>
      <c r="W4" s="402"/>
      <c r="Y4" s="403" t="s">
        <v>5</v>
      </c>
      <c r="Z4" s="405" t="s">
        <v>78</v>
      </c>
      <c r="AA4" s="405"/>
      <c r="AB4" s="405"/>
      <c r="AD4" s="397" t="s">
        <v>561</v>
      </c>
      <c r="AF4" s="406" t="s">
        <v>562</v>
      </c>
      <c r="AH4" s="406" t="s">
        <v>560</v>
      </c>
      <c r="AJ4" s="394" t="s">
        <v>566</v>
      </c>
      <c r="AK4" s="394"/>
      <c r="AL4" s="394"/>
      <c r="AN4" s="395" t="s">
        <v>569</v>
      </c>
      <c r="AO4" s="395"/>
      <c r="AP4" s="395"/>
    </row>
    <row r="5" spans="1:42" ht="18" customHeight="1">
      <c r="A5" s="412"/>
      <c r="B5" s="412"/>
      <c r="C5" s="412"/>
      <c r="D5" s="412"/>
      <c r="E5" s="413"/>
      <c r="F5" s="414"/>
      <c r="G5" s="412"/>
      <c r="H5" s="396"/>
      <c r="I5" s="409"/>
      <c r="J5" s="409"/>
      <c r="K5" s="308" t="s">
        <v>0</v>
      </c>
      <c r="L5" s="308" t="s">
        <v>1</v>
      </c>
      <c r="M5" s="417"/>
      <c r="N5" s="195" t="s">
        <v>0</v>
      </c>
      <c r="O5" s="195" t="s">
        <v>1</v>
      </c>
      <c r="P5" s="420"/>
      <c r="Q5" s="421"/>
      <c r="R5" s="396"/>
      <c r="T5" s="400"/>
      <c r="U5" s="307" t="s">
        <v>3</v>
      </c>
      <c r="V5" s="307" t="s">
        <v>2</v>
      </c>
      <c r="W5" s="307" t="s">
        <v>76</v>
      </c>
      <c r="Y5" s="404"/>
      <c r="Z5" s="195" t="s">
        <v>3</v>
      </c>
      <c r="AA5" s="195" t="s">
        <v>2</v>
      </c>
      <c r="AB5" s="195" t="s">
        <v>76</v>
      </c>
      <c r="AD5" s="398"/>
      <c r="AF5" s="407"/>
      <c r="AH5" s="407"/>
      <c r="AJ5" s="305" t="s">
        <v>567</v>
      </c>
      <c r="AK5" s="305" t="s">
        <v>568</v>
      </c>
      <c r="AL5" s="305" t="s">
        <v>76</v>
      </c>
      <c r="AN5" s="306" t="s">
        <v>567</v>
      </c>
      <c r="AO5" s="306" t="s">
        <v>568</v>
      </c>
      <c r="AP5" s="306" t="s">
        <v>76</v>
      </c>
    </row>
    <row r="6" spans="1:42" ht="39.950000000000003" customHeight="1">
      <c r="A6" s="204"/>
      <c r="B6" s="204"/>
      <c r="C6" s="180"/>
      <c r="D6" s="204"/>
      <c r="E6" s="204"/>
      <c r="F6" s="181"/>
      <c r="G6" s="204"/>
      <c r="H6" s="182">
        <f>SUM(H7+H10)</f>
        <v>50000000</v>
      </c>
      <c r="I6" s="182">
        <f t="shared" ref="I6:P6" si="0">SUM(I7+I10)</f>
        <v>0</v>
      </c>
      <c r="J6" s="182">
        <f t="shared" si="0"/>
        <v>50000000</v>
      </c>
      <c r="K6" s="182">
        <f t="shared" si="0"/>
        <v>-10000000</v>
      </c>
      <c r="L6" s="182">
        <f t="shared" si="0"/>
        <v>14000000</v>
      </c>
      <c r="M6" s="182">
        <f t="shared" si="0"/>
        <v>54000000</v>
      </c>
      <c r="N6" s="182">
        <f t="shared" si="0"/>
        <v>-10000000</v>
      </c>
      <c r="O6" s="182">
        <f t="shared" si="0"/>
        <v>14000000</v>
      </c>
      <c r="P6" s="182">
        <f t="shared" si="0"/>
        <v>54000000</v>
      </c>
      <c r="Q6" s="190"/>
      <c r="R6" s="187"/>
      <c r="T6" s="183"/>
      <c r="U6" s="182">
        <f>SUBTOTAL(9,U7:U742)</f>
        <v>0</v>
      </c>
      <c r="V6" s="182">
        <f>SUBTOTAL(9,V7:V742)</f>
        <v>0</v>
      </c>
      <c r="W6" s="188" t="str">
        <f>IF((K6+L6)=(U6+V6),"OK","검토")</f>
        <v>검토</v>
      </c>
      <c r="Y6" s="241"/>
      <c r="Z6" s="182">
        <f>SUBTOTAL(9,Z7:Z742)</f>
        <v>0</v>
      </c>
      <c r="AA6" s="182">
        <f>SUBTOTAL(9,AA7:AA742)</f>
        <v>0</v>
      </c>
      <c r="AB6" s="188" t="str">
        <f>IF((N6+O6)=(Z6+AA6),"OK","검토")</f>
        <v>검토</v>
      </c>
      <c r="AD6" s="239"/>
      <c r="AF6" s="190"/>
      <c r="AH6" s="191"/>
      <c r="AJ6" s="182">
        <f>SUBTOTAL(9,AJ7:AJ742)</f>
        <v>0</v>
      </c>
      <c r="AK6" s="190" t="e">
        <f>SUBTOTAL(9,#REF!)</f>
        <v>#REF!</v>
      </c>
      <c r="AL6" s="222" t="str">
        <f>IF(COUNTIF($AL$7:$AL$9853,"@@")&gt;0,"@@","OK")</f>
        <v>OK</v>
      </c>
      <c r="AN6" s="182">
        <f>SUBTOTAL(9,AN7:AN742)</f>
        <v>0</v>
      </c>
      <c r="AO6" s="190" t="e">
        <f>SUBTOTAL(9,#REF!)</f>
        <v>#REF!</v>
      </c>
      <c r="AP6" s="222" t="str">
        <f>IF(COUNTIF($AP$7:$AP$9853,"@@")&gt;0,"@@","OK")</f>
        <v>OK</v>
      </c>
    </row>
    <row r="7" spans="1:42" ht="39.950000000000003" customHeight="1">
      <c r="A7" s="309" t="s">
        <v>644</v>
      </c>
      <c r="B7" s="257"/>
      <c r="C7" s="258"/>
      <c r="D7" s="257"/>
      <c r="E7" s="257"/>
      <c r="F7" s="258"/>
      <c r="G7" s="257"/>
      <c r="H7" s="259">
        <f t="shared" ref="H7:P7" si="1">SUM(H8:H9)</f>
        <v>50000000</v>
      </c>
      <c r="I7" s="259">
        <f t="shared" si="1"/>
        <v>0</v>
      </c>
      <c r="J7" s="259">
        <f t="shared" si="1"/>
        <v>50000000</v>
      </c>
      <c r="K7" s="259">
        <f t="shared" si="1"/>
        <v>-10000000</v>
      </c>
      <c r="L7" s="259">
        <f t="shared" si="1"/>
        <v>0</v>
      </c>
      <c r="M7" s="259">
        <f t="shared" si="1"/>
        <v>40000000</v>
      </c>
      <c r="N7" s="259">
        <f t="shared" si="1"/>
        <v>-10000000</v>
      </c>
      <c r="O7" s="259">
        <f t="shared" si="1"/>
        <v>0</v>
      </c>
      <c r="P7" s="259">
        <f t="shared" si="1"/>
        <v>40000000</v>
      </c>
      <c r="Q7" s="260"/>
      <c r="R7" s="261"/>
    </row>
    <row r="8" spans="1:42" ht="39.950000000000003" customHeight="1">
      <c r="A8" s="206" t="s">
        <v>663</v>
      </c>
      <c r="B8" s="206" t="s">
        <v>664</v>
      </c>
      <c r="C8" s="207" t="s">
        <v>659</v>
      </c>
      <c r="D8" s="229" t="s">
        <v>620</v>
      </c>
      <c r="E8" s="229">
        <v>245</v>
      </c>
      <c r="F8" s="208">
        <v>91</v>
      </c>
      <c r="G8" s="207" t="s">
        <v>665</v>
      </c>
      <c r="H8" s="265">
        <v>50000000</v>
      </c>
      <c r="I8" s="265"/>
      <c r="J8" s="265">
        <f t="shared" ref="J8:J9" si="2">IF(D8="","",H8-I8)</f>
        <v>50000000</v>
      </c>
      <c r="K8" s="152">
        <v>-10000000</v>
      </c>
      <c r="L8" s="152"/>
      <c r="M8" s="63">
        <f t="shared" ref="M8:M9" si="3">IF(H8=0,I8+K8+L8,H8+K8+L8)</f>
        <v>40000000</v>
      </c>
      <c r="N8" s="152">
        <v>-10000000</v>
      </c>
      <c r="O8" s="152"/>
      <c r="P8" s="63">
        <f t="shared" ref="P8:P9" si="4">IF(H8=0,I8+N8+O8,H8+N8+O8)</f>
        <v>40000000</v>
      </c>
      <c r="Q8" s="64"/>
      <c r="R8" s="210"/>
    </row>
    <row r="9" spans="1:42" ht="39.950000000000003" customHeight="1">
      <c r="A9" s="228"/>
      <c r="B9" s="228"/>
      <c r="C9" s="230"/>
      <c r="D9" s="229"/>
      <c r="E9" s="229"/>
      <c r="F9" s="229"/>
      <c r="G9" s="230"/>
      <c r="H9" s="263"/>
      <c r="I9" s="263"/>
      <c r="J9" s="263" t="str">
        <f t="shared" si="2"/>
        <v/>
      </c>
      <c r="K9" s="153"/>
      <c r="L9" s="153"/>
      <c r="M9" s="65">
        <f t="shared" si="3"/>
        <v>0</v>
      </c>
      <c r="N9" s="153"/>
      <c r="O9" s="153"/>
      <c r="P9" s="65">
        <f t="shared" si="4"/>
        <v>0</v>
      </c>
      <c r="Q9" s="66"/>
      <c r="R9" s="232"/>
    </row>
    <row r="10" spans="1:42" ht="39.950000000000003" customHeight="1">
      <c r="A10" s="309" t="s">
        <v>645</v>
      </c>
      <c r="B10" s="257"/>
      <c r="C10" s="258"/>
      <c r="D10" s="257"/>
      <c r="E10" s="257"/>
      <c r="F10" s="258"/>
      <c r="G10" s="257"/>
      <c r="H10" s="259">
        <f t="shared" ref="H10:P10" si="5">SUM(H11:H12)</f>
        <v>0</v>
      </c>
      <c r="I10" s="259">
        <f t="shared" si="5"/>
        <v>0</v>
      </c>
      <c r="J10" s="259">
        <f t="shared" si="5"/>
        <v>0</v>
      </c>
      <c r="K10" s="259">
        <f t="shared" si="5"/>
        <v>0</v>
      </c>
      <c r="L10" s="259">
        <f t="shared" si="5"/>
        <v>14000000</v>
      </c>
      <c r="M10" s="259">
        <f t="shared" si="5"/>
        <v>14000000</v>
      </c>
      <c r="N10" s="259">
        <f t="shared" si="5"/>
        <v>0</v>
      </c>
      <c r="O10" s="259">
        <f t="shared" si="5"/>
        <v>14000000</v>
      </c>
      <c r="P10" s="259">
        <f t="shared" si="5"/>
        <v>14000000</v>
      </c>
      <c r="Q10" s="260"/>
      <c r="R10" s="261"/>
    </row>
    <row r="11" spans="1:42" ht="39.950000000000003" customHeight="1">
      <c r="A11" s="206" t="s">
        <v>646</v>
      </c>
      <c r="B11" s="206" t="s">
        <v>647</v>
      </c>
      <c r="C11" s="207" t="s">
        <v>648</v>
      </c>
      <c r="D11" s="229" t="s">
        <v>555</v>
      </c>
      <c r="E11" s="229"/>
      <c r="F11" s="208"/>
      <c r="G11" s="207" t="s">
        <v>649</v>
      </c>
      <c r="H11" s="265"/>
      <c r="I11" s="265"/>
      <c r="J11" s="265">
        <f t="shared" ref="J11:J12" si="6">IF(D11="","",H11-I11)</f>
        <v>0</v>
      </c>
      <c r="K11" s="152"/>
      <c r="L11" s="152">
        <v>14000000</v>
      </c>
      <c r="M11" s="65">
        <f t="shared" ref="M11:M12" si="7">IF(H11=0,I11+K11+L11,H11+K11+L11)</f>
        <v>14000000</v>
      </c>
      <c r="N11" s="152"/>
      <c r="O11" s="152">
        <v>14000000</v>
      </c>
      <c r="P11" s="65">
        <f t="shared" ref="P11:P12" si="8">IF(H11=0,I11+N11+O11,H11+N11+O11)</f>
        <v>14000000</v>
      </c>
      <c r="Q11" s="64"/>
      <c r="R11" s="312" t="s">
        <v>650</v>
      </c>
    </row>
    <row r="12" spans="1:42" ht="39.950000000000003" customHeight="1">
      <c r="A12" s="228"/>
      <c r="B12" s="228"/>
      <c r="C12" s="230"/>
      <c r="D12" s="229"/>
      <c r="E12" s="229"/>
      <c r="F12" s="229"/>
      <c r="G12" s="230"/>
      <c r="H12" s="262"/>
      <c r="I12" s="262"/>
      <c r="J12" s="262" t="str">
        <f t="shared" si="6"/>
        <v/>
      </c>
      <c r="K12" s="153"/>
      <c r="L12" s="153"/>
      <c r="M12" s="65">
        <f t="shared" si="7"/>
        <v>0</v>
      </c>
      <c r="N12" s="153"/>
      <c r="O12" s="153"/>
      <c r="P12" s="65">
        <f t="shared" si="8"/>
        <v>0</v>
      </c>
      <c r="Q12" s="66"/>
      <c r="R12" s="232"/>
    </row>
  </sheetData>
  <sheetProtection formatCells="0" formatColumns="0" formatRows="0" autoFilter="0"/>
  <mergeCells count="26"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  <mergeCell ref="AN4:AP4"/>
    <mergeCell ref="F4:F5"/>
    <mergeCell ref="Y4:Y5"/>
    <mergeCell ref="Z4:AB4"/>
    <mergeCell ref="AD4:AD5"/>
    <mergeCell ref="AF4:AF5"/>
    <mergeCell ref="AH4:AH5"/>
    <mergeCell ref="AJ4:AL4"/>
    <mergeCell ref="N4:O4"/>
    <mergeCell ref="P4:P5"/>
    <mergeCell ref="Q4:Q5"/>
    <mergeCell ref="R4:R5"/>
    <mergeCell ref="T4:T5"/>
    <mergeCell ref="U4:W4"/>
    <mergeCell ref="I4:I5"/>
    <mergeCell ref="J4:J5"/>
  </mergeCells>
  <phoneticPr fontId="2" type="noConversion"/>
  <conditionalFormatting sqref="AJ7:AL559 AD7:AD559 AH7:AH559 AN7:AP559">
    <cfRule type="containsText" dxfId="25" priority="187" operator="containsText" text="국도비">
      <formula>NOT(ISERROR(SEARCH("국도비",AD7)))</formula>
    </cfRule>
  </conditionalFormatting>
  <conditionalFormatting sqref="H8:J9 H11:J559">
    <cfRule type="expression" dxfId="24" priority="186">
      <formula>($D8="본예산")</formula>
    </cfRule>
  </conditionalFormatting>
  <conditionalFormatting sqref="Z7:AB559 S7:V559">
    <cfRule type="containsText" dxfId="23" priority="185" operator="containsText" text="직접입력">
      <formula>NOT(ISERROR(SEARCH("직접입력",S7)))</formula>
    </cfRule>
  </conditionalFormatting>
  <dataValidations count="1">
    <dataValidation type="list" allowBlank="1" showInputMessage="1" showErrorMessage="1" sqref="D8:D9 D11:D12">
      <formula1>"본예산,1회추경,신규"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79" fitToHeight="0" orientation="landscape" r:id="rId1"/>
  <headerFooter>
    <oddFooter>&amp;C&amp;P/&amp;N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12"/>
  <sheetViews>
    <sheetView showGridLines="0" view="pageBreakPreview" zoomScale="80" zoomScaleNormal="80" zoomScaleSheetLayoutView="80" workbookViewId="0">
      <pane xSplit="3" ySplit="6" topLeftCell="D7" activePane="bottomRight" state="frozen"/>
      <selection sqref="A1:AD1"/>
      <selection pane="topRight" sqref="A1:AD1"/>
      <selection pane="bottomLeft" sqref="A1:AD1"/>
      <selection pane="bottomRight" activeCell="G17" sqref="G17"/>
    </sheetView>
  </sheetViews>
  <sheetFormatPr defaultColWidth="8.75" defaultRowHeight="13.5"/>
  <cols>
    <col min="1" max="1" width="12.75" style="223" customWidth="1"/>
    <col min="2" max="2" width="12" style="223" customWidth="1"/>
    <col min="3" max="3" width="12.25" style="223" customWidth="1"/>
    <col min="4" max="4" width="7.625" style="178" bestFit="1" customWidth="1"/>
    <col min="5" max="5" width="7.625" style="178" customWidth="1"/>
    <col min="6" max="6" width="7.125" style="178" bestFit="1" customWidth="1"/>
    <col min="7" max="7" width="36" style="223" customWidth="1"/>
    <col min="8" max="16" width="11.625" style="223" customWidth="1"/>
    <col min="17" max="17" width="8.375" style="178" customWidth="1"/>
    <col min="18" max="18" width="36.375" style="223" customWidth="1"/>
    <col min="19" max="19" width="3" style="223" customWidth="1"/>
    <col min="20" max="20" width="6.125" style="178" customWidth="1"/>
    <col min="21" max="21" width="3" style="223" customWidth="1"/>
    <col min="22" max="22" width="6.125" style="184" customWidth="1"/>
    <col min="23" max="23" width="11.625" style="223" customWidth="1"/>
    <col min="24" max="24" width="11.125" style="223" customWidth="1"/>
    <col min="25" max="25" width="6" style="178" customWidth="1"/>
    <col min="26" max="26" width="3" style="223" customWidth="1"/>
    <col min="27" max="27" width="6.125" style="192" customWidth="1"/>
    <col min="28" max="28" width="11.625" style="223" customWidth="1"/>
    <col min="29" max="29" width="11.125" style="223" customWidth="1"/>
    <col min="30" max="30" width="6" style="178" customWidth="1"/>
    <col min="31" max="31" width="3" style="223" customWidth="1"/>
    <col min="32" max="32" width="9.375" style="238" customWidth="1"/>
    <col min="33" max="33" width="3" style="223" customWidth="1"/>
    <col min="34" max="35" width="5.625" style="178" bestFit="1" customWidth="1"/>
    <col min="36" max="36" width="3" style="178" customWidth="1"/>
    <col min="37" max="37" width="11.625" style="223" customWidth="1"/>
    <col min="38" max="38" width="3" style="223" customWidth="1"/>
    <col min="39" max="39" width="6.125" style="178" customWidth="1"/>
    <col min="40" max="40" width="17.375" style="223" customWidth="1"/>
    <col min="41" max="16384" width="8.75" style="223"/>
  </cols>
  <sheetData>
    <row r="1" spans="1:39" ht="32.25" customHeight="1">
      <c r="A1" s="410" t="s">
        <v>617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</row>
    <row r="2" spans="1:39" ht="20.25">
      <c r="A2" s="179" t="s">
        <v>58</v>
      </c>
      <c r="B2" s="179"/>
      <c r="C2" s="179"/>
      <c r="D2" s="194"/>
      <c r="E2" s="194"/>
      <c r="F2" s="194"/>
      <c r="G2" s="179"/>
      <c r="N2" s="185"/>
      <c r="O2" s="185"/>
      <c r="W2" s="185" t="s">
        <v>71</v>
      </c>
      <c r="X2" s="186"/>
      <c r="AB2" s="185" t="s">
        <v>71</v>
      </c>
      <c r="AC2" s="186"/>
    </row>
    <row r="3" spans="1:39" ht="20.25">
      <c r="K3" s="198">
        <f>COUNTA(K7:K12)-10</f>
        <v>-7</v>
      </c>
      <c r="L3" s="198">
        <f>COUNTA(L7:L12)-10</f>
        <v>-7</v>
      </c>
      <c r="M3" s="199"/>
      <c r="N3" s="198">
        <f>COUNTA(N7:N12)-10</f>
        <v>-7</v>
      </c>
      <c r="O3" s="198">
        <f>COUNTA(O7:O12)-10</f>
        <v>-7</v>
      </c>
      <c r="P3" s="184"/>
      <c r="Q3" s="189"/>
      <c r="R3" s="196" t="s">
        <v>8</v>
      </c>
      <c r="W3" s="186" t="str">
        <f>IF(W6='16년1추 일입'!$U$6,"OK","@@")</f>
        <v>OK</v>
      </c>
      <c r="X3" s="223">
        <f>SUM(W6:X6)</f>
        <v>4000000</v>
      </c>
      <c r="Y3" s="186" t="str">
        <f>IF(COUNTIF(Y6:Y807,"@@")&gt;0,"@@","OK")</f>
        <v>OK</v>
      </c>
      <c r="AB3" s="186" t="str">
        <f>IF(AB6='16년1추 일입'!$Z$6,"OK","@@")</f>
        <v>OK</v>
      </c>
      <c r="AC3" s="223">
        <f>SUM(AB6:AC6)</f>
        <v>4000000</v>
      </c>
      <c r="AD3" s="186" t="str">
        <f>IF(COUNTIF(AD6:AD807,"@@")&gt;0,"@@","OK")</f>
        <v>OK</v>
      </c>
      <c r="AK3" s="197"/>
    </row>
    <row r="4" spans="1:39" ht="30" customHeight="1">
      <c r="A4" s="411" t="s">
        <v>528</v>
      </c>
      <c r="B4" s="411" t="s">
        <v>123</v>
      </c>
      <c r="C4" s="411" t="s">
        <v>4</v>
      </c>
      <c r="D4" s="408" t="s">
        <v>124</v>
      </c>
      <c r="E4" s="408" t="s">
        <v>571</v>
      </c>
      <c r="F4" s="414" t="s">
        <v>572</v>
      </c>
      <c r="G4" s="411" t="s">
        <v>125</v>
      </c>
      <c r="H4" s="414" t="s">
        <v>621</v>
      </c>
      <c r="I4" s="408" t="s">
        <v>623</v>
      </c>
      <c r="J4" s="408" t="s">
        <v>622</v>
      </c>
      <c r="K4" s="415" t="s">
        <v>545</v>
      </c>
      <c r="L4" s="402"/>
      <c r="M4" s="416" t="s">
        <v>627</v>
      </c>
      <c r="N4" s="418" t="s">
        <v>546</v>
      </c>
      <c r="O4" s="405"/>
      <c r="P4" s="419" t="s">
        <v>628</v>
      </c>
      <c r="Q4" s="421" t="s">
        <v>573</v>
      </c>
      <c r="R4" s="396" t="s">
        <v>122</v>
      </c>
      <c r="T4" s="406" t="s">
        <v>527</v>
      </c>
      <c r="V4" s="399" t="s">
        <v>5</v>
      </c>
      <c r="W4" s="401" t="s">
        <v>7</v>
      </c>
      <c r="X4" s="402"/>
      <c r="Y4" s="402"/>
      <c r="AA4" s="422" t="s">
        <v>5</v>
      </c>
      <c r="AB4" s="405" t="s">
        <v>78</v>
      </c>
      <c r="AC4" s="405"/>
      <c r="AD4" s="405"/>
      <c r="AF4" s="397" t="s">
        <v>563</v>
      </c>
      <c r="AH4" s="406" t="s">
        <v>564</v>
      </c>
      <c r="AI4" s="406" t="s">
        <v>565</v>
      </c>
      <c r="AK4" s="406" t="s">
        <v>126</v>
      </c>
      <c r="AM4" s="406" t="s">
        <v>560</v>
      </c>
    </row>
    <row r="5" spans="1:39" ht="18" customHeight="1">
      <c r="A5" s="412"/>
      <c r="B5" s="412"/>
      <c r="C5" s="412"/>
      <c r="D5" s="412"/>
      <c r="E5" s="413"/>
      <c r="F5" s="414"/>
      <c r="G5" s="412"/>
      <c r="H5" s="396"/>
      <c r="I5" s="409"/>
      <c r="J5" s="409"/>
      <c r="K5" s="308" t="s">
        <v>0</v>
      </c>
      <c r="L5" s="308" t="s">
        <v>1</v>
      </c>
      <c r="M5" s="417"/>
      <c r="N5" s="195" t="s">
        <v>0</v>
      </c>
      <c r="O5" s="195" t="s">
        <v>1</v>
      </c>
      <c r="P5" s="420"/>
      <c r="Q5" s="421"/>
      <c r="R5" s="396"/>
      <c r="T5" s="407"/>
      <c r="V5" s="400"/>
      <c r="W5" s="243" t="s">
        <v>3</v>
      </c>
      <c r="X5" s="243" t="s">
        <v>2</v>
      </c>
      <c r="Y5" s="243" t="s">
        <v>76</v>
      </c>
      <c r="AA5" s="423"/>
      <c r="AB5" s="195" t="s">
        <v>3</v>
      </c>
      <c r="AC5" s="195" t="s">
        <v>2</v>
      </c>
      <c r="AD5" s="195" t="s">
        <v>76</v>
      </c>
      <c r="AF5" s="398"/>
      <c r="AH5" s="407"/>
      <c r="AI5" s="407"/>
      <c r="AK5" s="407"/>
      <c r="AM5" s="407"/>
    </row>
    <row r="6" spans="1:39" ht="39.950000000000003" customHeight="1">
      <c r="A6" s="204"/>
      <c r="B6" s="204"/>
      <c r="C6" s="180"/>
      <c r="D6" s="204"/>
      <c r="E6" s="204"/>
      <c r="F6" s="181"/>
      <c r="G6" s="204"/>
      <c r="H6" s="182">
        <f>SUM(H7+H10)</f>
        <v>50000000</v>
      </c>
      <c r="I6" s="182">
        <f t="shared" ref="I6:P6" si="0">SUM(I7+I10)</f>
        <v>0</v>
      </c>
      <c r="J6" s="182">
        <f t="shared" si="0"/>
        <v>50000000</v>
      </c>
      <c r="K6" s="182">
        <f t="shared" si="0"/>
        <v>-10000000</v>
      </c>
      <c r="L6" s="182">
        <f t="shared" si="0"/>
        <v>14000000</v>
      </c>
      <c r="M6" s="182">
        <f t="shared" si="0"/>
        <v>54000000</v>
      </c>
      <c r="N6" s="182">
        <f t="shared" si="0"/>
        <v>-10000000</v>
      </c>
      <c r="O6" s="182">
        <f t="shared" si="0"/>
        <v>14000000</v>
      </c>
      <c r="P6" s="182">
        <f t="shared" si="0"/>
        <v>54000000</v>
      </c>
      <c r="Q6" s="190"/>
      <c r="R6" s="187"/>
      <c r="T6" s="191"/>
      <c r="V6" s="162"/>
      <c r="W6" s="182">
        <f>SUM(W7:W12)</f>
        <v>0</v>
      </c>
      <c r="X6" s="182">
        <f>SUM(X7:X12)</f>
        <v>4000000</v>
      </c>
      <c r="Y6" s="188"/>
      <c r="AA6" s="193"/>
      <c r="AB6" s="182">
        <f>SUM(AB7:AB12)</f>
        <v>0</v>
      </c>
      <c r="AC6" s="182">
        <f>SUM(AC7:AC12)</f>
        <v>4000000</v>
      </c>
      <c r="AD6" s="188"/>
      <c r="AF6" s="239"/>
      <c r="AH6" s="191"/>
      <c r="AI6" s="188"/>
      <c r="AK6" s="188"/>
      <c r="AM6" s="191"/>
    </row>
    <row r="7" spans="1:39" ht="39.950000000000003" customHeight="1">
      <c r="A7" s="251" t="s">
        <v>644</v>
      </c>
      <c r="B7" s="252"/>
      <c r="C7" s="252"/>
      <c r="D7" s="252"/>
      <c r="E7" s="252"/>
      <c r="F7" s="252"/>
      <c r="G7" s="253"/>
      <c r="H7" s="254">
        <f t="shared" ref="H7:P7" si="1">SUM(H8:H9)</f>
        <v>50000000</v>
      </c>
      <c r="I7" s="254">
        <f t="shared" si="1"/>
        <v>0</v>
      </c>
      <c r="J7" s="254">
        <f t="shared" si="1"/>
        <v>50000000</v>
      </c>
      <c r="K7" s="254">
        <f t="shared" si="1"/>
        <v>-10000000</v>
      </c>
      <c r="L7" s="254">
        <f t="shared" si="1"/>
        <v>0</v>
      </c>
      <c r="M7" s="254">
        <f t="shared" si="1"/>
        <v>40000000</v>
      </c>
      <c r="N7" s="254">
        <f t="shared" si="1"/>
        <v>-10000000</v>
      </c>
      <c r="O7" s="254">
        <f t="shared" si="1"/>
        <v>0</v>
      </c>
      <c r="P7" s="254">
        <f t="shared" si="1"/>
        <v>40000000</v>
      </c>
      <c r="Q7" s="255"/>
      <c r="R7" s="256"/>
      <c r="T7" s="246"/>
      <c r="V7" s="247"/>
      <c r="W7" s="245"/>
      <c r="X7" s="245"/>
      <c r="Y7" s="248"/>
      <c r="AA7" s="249"/>
      <c r="AB7" s="245"/>
      <c r="AC7" s="245"/>
      <c r="AD7" s="248"/>
      <c r="AF7" s="250"/>
      <c r="AH7" s="246"/>
      <c r="AI7" s="248"/>
      <c r="AK7" s="248"/>
      <c r="AM7" s="246"/>
    </row>
    <row r="8" spans="1:39" ht="39.950000000000003" customHeight="1">
      <c r="A8" s="228" t="s">
        <v>663</v>
      </c>
      <c r="B8" s="228" t="s">
        <v>664</v>
      </c>
      <c r="C8" s="230" t="s">
        <v>659</v>
      </c>
      <c r="D8" s="229" t="s">
        <v>620</v>
      </c>
      <c r="E8" s="229">
        <v>247</v>
      </c>
      <c r="F8" s="229">
        <v>95</v>
      </c>
      <c r="G8" s="230" t="s">
        <v>661</v>
      </c>
      <c r="H8" s="262">
        <v>50000000</v>
      </c>
      <c r="I8" s="262"/>
      <c r="J8" s="262">
        <f t="shared" ref="J8:J9" si="2">IF(D8="","",H8-I8)</f>
        <v>50000000</v>
      </c>
      <c r="K8" s="153">
        <v>-10000000</v>
      </c>
      <c r="L8" s="153"/>
      <c r="M8" s="65">
        <f t="shared" ref="M8:M9" si="3">IF(H8=0,I8+K8+L8,H8+K8+L8)</f>
        <v>40000000</v>
      </c>
      <c r="N8" s="153">
        <v>-10000000</v>
      </c>
      <c r="O8" s="153"/>
      <c r="P8" s="65">
        <f t="shared" ref="P8:P9" si="4">IF(H8=0,I8+N8+O8,H8+N8+O8)</f>
        <v>40000000</v>
      </c>
      <c r="Q8" s="244"/>
      <c r="R8" s="232"/>
      <c r="S8" s="224"/>
      <c r="T8" s="231" t="s">
        <v>662</v>
      </c>
      <c r="U8" s="200"/>
      <c r="V8" s="162" t="s">
        <v>694</v>
      </c>
      <c r="W8" s="153">
        <f>IF($V8&lt;&gt;"도비",IF($T8="국도비","직접입력",SUM($K8:$L8)),)</f>
        <v>0</v>
      </c>
      <c r="X8" s="153">
        <f t="shared" ref="X8" si="5">IF($V8="도비",SUM($K8:$L8),IF($T8="국도비","직접입력",SUM($K8:$L8)-$W8))</f>
        <v>-10000000</v>
      </c>
      <c r="Y8" s="226" t="str">
        <f t="shared" ref="Y8" si="6">IFERROR(IF(($K8+$L8)=($W8+$X8),"ok","검토"),"검토")</f>
        <v>ok</v>
      </c>
      <c r="Z8" s="224"/>
      <c r="AA8" s="225" t="str">
        <f t="shared" ref="AA8" si="7">$V8</f>
        <v>도비</v>
      </c>
      <c r="AB8" s="153">
        <f>IF($V8&lt;&gt;"도비",IF($T8="국도비","직접입력",SUM(N8:O8)),)</f>
        <v>0</v>
      </c>
      <c r="AC8" s="153">
        <f>IF($V8="도비",SUM(N8:O8),IF($T8="국도비","직접입력",SUM(N8:O8)-AB8))</f>
        <v>-10000000</v>
      </c>
      <c r="AD8" s="226" t="str">
        <f>IFERROR(IF((N8+O8)=(AB8+AC8),"ok","검토"),"검토")</f>
        <v>ok</v>
      </c>
      <c r="AE8" s="224"/>
      <c r="AF8" s="235" t="str">
        <f t="shared" ref="AF8" si="8">IF(V8="도비","세입없음","")</f>
        <v>세입없음</v>
      </c>
      <c r="AG8" s="224"/>
      <c r="AH8" s="234">
        <f>IF(AF8="","",COUNTIF($AF$8:$AF$9974,$AF8))</f>
        <v>2</v>
      </c>
      <c r="AI8" s="234" t="str">
        <f t="shared" ref="AI8" si="9">IF(C8="","",IF(AND(V8="도비",AF8="세입없음"),"OK",IF(AND(V8&lt;&gt;"도비",AF8&lt;&gt;""),"Ok","@@")))</f>
        <v>OK</v>
      </c>
      <c r="AJ8" s="236"/>
      <c r="AK8" s="70"/>
      <c r="AL8" s="224"/>
      <c r="AM8" s="234"/>
    </row>
    <row r="9" spans="1:39" ht="39.950000000000003" customHeight="1">
      <c r="A9" s="228"/>
      <c r="B9" s="228"/>
      <c r="C9" s="230"/>
      <c r="D9" s="229"/>
      <c r="E9" s="229"/>
      <c r="F9" s="229"/>
      <c r="G9" s="230"/>
      <c r="H9" s="262"/>
      <c r="I9" s="262"/>
      <c r="J9" s="262" t="str">
        <f t="shared" si="2"/>
        <v/>
      </c>
      <c r="K9" s="153"/>
      <c r="L9" s="153"/>
      <c r="M9" s="65">
        <f t="shared" si="3"/>
        <v>0</v>
      </c>
      <c r="N9" s="153"/>
      <c r="O9" s="153"/>
      <c r="P9" s="65">
        <f t="shared" si="4"/>
        <v>0</v>
      </c>
      <c r="Q9" s="66"/>
      <c r="R9" s="232"/>
      <c r="S9" s="224"/>
      <c r="T9" s="231"/>
      <c r="U9" s="224"/>
      <c r="V9" s="227"/>
      <c r="W9" s="153"/>
      <c r="X9" s="153"/>
      <c r="Y9" s="226"/>
      <c r="Z9" s="224"/>
      <c r="AA9" s="225"/>
      <c r="AB9" s="153"/>
      <c r="AC9" s="153"/>
      <c r="AD9" s="226"/>
      <c r="AE9" s="224"/>
      <c r="AF9" s="235"/>
      <c r="AG9" s="224"/>
      <c r="AH9" s="234"/>
      <c r="AI9" s="234"/>
      <c r="AJ9" s="237"/>
      <c r="AK9" s="70"/>
      <c r="AL9" s="224"/>
      <c r="AM9" s="234"/>
    </row>
    <row r="10" spans="1:39" ht="39.950000000000003" customHeight="1">
      <c r="A10" s="309" t="s">
        <v>645</v>
      </c>
      <c r="B10" s="257"/>
      <c r="C10" s="258"/>
      <c r="D10" s="257"/>
      <c r="E10" s="257"/>
      <c r="F10" s="258"/>
      <c r="G10" s="257"/>
      <c r="H10" s="259">
        <f t="shared" ref="H10:P10" si="10">SUM(H11:H12)</f>
        <v>0</v>
      </c>
      <c r="I10" s="259">
        <f t="shared" si="10"/>
        <v>0</v>
      </c>
      <c r="J10" s="259">
        <f t="shared" si="10"/>
        <v>0</v>
      </c>
      <c r="K10" s="259">
        <f t="shared" si="10"/>
        <v>0</v>
      </c>
      <c r="L10" s="259">
        <f t="shared" si="10"/>
        <v>14000000</v>
      </c>
      <c r="M10" s="259">
        <f t="shared" si="10"/>
        <v>14000000</v>
      </c>
      <c r="N10" s="259">
        <f t="shared" si="10"/>
        <v>0</v>
      </c>
      <c r="O10" s="259">
        <f t="shared" si="10"/>
        <v>14000000</v>
      </c>
      <c r="P10" s="259">
        <f t="shared" si="10"/>
        <v>14000000</v>
      </c>
      <c r="Q10" s="260"/>
      <c r="R10" s="261"/>
      <c r="S10" s="224"/>
      <c r="T10" s="231"/>
      <c r="U10" s="224"/>
      <c r="V10" s="227"/>
      <c r="W10" s="153"/>
      <c r="X10" s="153"/>
      <c r="Y10" s="226"/>
      <c r="Z10" s="224"/>
      <c r="AA10" s="225"/>
      <c r="AB10" s="153"/>
      <c r="AC10" s="153"/>
      <c r="AD10" s="226"/>
      <c r="AE10" s="224"/>
      <c r="AF10" s="235"/>
      <c r="AG10" s="224"/>
      <c r="AH10" s="234"/>
      <c r="AI10" s="234"/>
      <c r="AJ10" s="237"/>
      <c r="AK10" s="70"/>
      <c r="AL10" s="224"/>
      <c r="AM10" s="234"/>
    </row>
    <row r="11" spans="1:39" ht="39.950000000000003" customHeight="1">
      <c r="A11" s="206" t="s">
        <v>651</v>
      </c>
      <c r="B11" s="206" t="s">
        <v>652</v>
      </c>
      <c r="C11" s="207" t="s">
        <v>653</v>
      </c>
      <c r="D11" s="229" t="s">
        <v>555</v>
      </c>
      <c r="E11" s="229"/>
      <c r="F11" s="208"/>
      <c r="G11" s="207" t="s">
        <v>655</v>
      </c>
      <c r="H11" s="265"/>
      <c r="I11" s="265"/>
      <c r="J11" s="265">
        <f t="shared" ref="J11:J12" si="11">IF(D11="","",H11-I11)</f>
        <v>0</v>
      </c>
      <c r="K11" s="152"/>
      <c r="L11" s="152">
        <v>14000000</v>
      </c>
      <c r="M11" s="63">
        <f t="shared" ref="M11:M12" si="12">IF(H11=0,I11+K11+L11,H11+K11+L11)</f>
        <v>14000000</v>
      </c>
      <c r="N11" s="152"/>
      <c r="O11" s="152">
        <v>14000000</v>
      </c>
      <c r="P11" s="63">
        <f t="shared" ref="P11:P12" si="13">IF(H11=0,I11+N11+O11,H11+N11+O11)</f>
        <v>14000000</v>
      </c>
      <c r="Q11" s="64"/>
      <c r="R11" s="210" t="s">
        <v>654</v>
      </c>
      <c r="T11" s="231" t="s">
        <v>662</v>
      </c>
      <c r="U11" s="200"/>
      <c r="V11" s="162" t="s">
        <v>694</v>
      </c>
      <c r="W11" s="153">
        <f t="shared" ref="W11" si="14">IF($V11&lt;&gt;"도비",IF($T11="국도비","직접입력",SUM($K11:$L11)),)</f>
        <v>0</v>
      </c>
      <c r="X11" s="153">
        <f t="shared" ref="X11" si="15">IF($V11="도비",SUM($K11:$L11),IF($T11="국도비","직접입력",SUM($K11:$L11)-$W11))</f>
        <v>14000000</v>
      </c>
      <c r="Y11" s="226" t="str">
        <f t="shared" ref="Y11" si="16">IFERROR(IF(($K11+$L11)=($W11+$X11),"ok","검토"),"검토")</f>
        <v>ok</v>
      </c>
      <c r="Z11" s="224"/>
      <c r="AA11" s="225" t="str">
        <f t="shared" ref="AA11" si="17">$V11</f>
        <v>도비</v>
      </c>
      <c r="AB11" s="153">
        <f>IF($V11&lt;&gt;"도비",IF($T11="국도비","직접입력",SUM(N11:O11)),)</f>
        <v>0</v>
      </c>
      <c r="AC11" s="153">
        <f>IF($V11="도비",SUM(N11:O11),IF($T11="국도비","직접입력",SUM(N11:O11)-AB11))</f>
        <v>14000000</v>
      </c>
      <c r="AD11" s="226" t="str">
        <f>IFERROR(IF((N11+O11)=(AB11+AC11),"ok","검토"),"검토")</f>
        <v>ok</v>
      </c>
      <c r="AE11" s="224"/>
      <c r="AF11" s="235" t="str">
        <f t="shared" ref="AF11" si="18">IF(V11="도비","세입없음","")</f>
        <v>세입없음</v>
      </c>
      <c r="AG11" s="224"/>
      <c r="AH11" s="234">
        <f>IF(AF11="","",COUNTIF($AF$8:$AF$9974,$AF11))</f>
        <v>2</v>
      </c>
      <c r="AI11" s="234" t="str">
        <f t="shared" ref="AI11" si="19">IF(C11="","",IF(AND(V11="도비",AF11="세입없음"),"OK",IF(AND(V11&lt;&gt;"도비",AF11&lt;&gt;""),"Ok","@@")))</f>
        <v>OK</v>
      </c>
      <c r="AJ11" s="236"/>
      <c r="AK11" s="70"/>
      <c r="AL11" s="224"/>
      <c r="AM11" s="234"/>
    </row>
    <row r="12" spans="1:39" ht="39.950000000000003" customHeight="1">
      <c r="A12" s="228"/>
      <c r="B12" s="228"/>
      <c r="C12" s="230"/>
      <c r="D12" s="229"/>
      <c r="E12" s="229"/>
      <c r="F12" s="229"/>
      <c r="G12" s="230"/>
      <c r="H12" s="262"/>
      <c r="I12" s="262"/>
      <c r="J12" s="262" t="str">
        <f t="shared" si="11"/>
        <v/>
      </c>
      <c r="K12" s="153"/>
      <c r="L12" s="153"/>
      <c r="M12" s="65">
        <f t="shared" si="12"/>
        <v>0</v>
      </c>
      <c r="N12" s="153"/>
      <c r="O12" s="153"/>
      <c r="P12" s="65">
        <f t="shared" si="13"/>
        <v>0</v>
      </c>
      <c r="Q12" s="66"/>
      <c r="R12" s="232"/>
    </row>
  </sheetData>
  <sheetProtection formatCells="0" formatColumns="0" formatRows="0" autoFilter="0"/>
  <mergeCells count="27">
    <mergeCell ref="I4:I5"/>
    <mergeCell ref="J4:J5"/>
    <mergeCell ref="T4:T5"/>
    <mergeCell ref="A1:R1"/>
    <mergeCell ref="A4:A5"/>
    <mergeCell ref="B4:B5"/>
    <mergeCell ref="C4:C5"/>
    <mergeCell ref="D4:D5"/>
    <mergeCell ref="E4:E5"/>
    <mergeCell ref="F4:F5"/>
    <mergeCell ref="G4:G5"/>
    <mergeCell ref="H4:H5"/>
    <mergeCell ref="K4:L4"/>
    <mergeCell ref="M4:M5"/>
    <mergeCell ref="N4:O4"/>
    <mergeCell ref="P4:P5"/>
    <mergeCell ref="Q4:Q5"/>
    <mergeCell ref="R4:R5"/>
    <mergeCell ref="AI4:AI5"/>
    <mergeCell ref="AK4:AK5"/>
    <mergeCell ref="AM4:AM5"/>
    <mergeCell ref="V4:V5"/>
    <mergeCell ref="W4:Y4"/>
    <mergeCell ref="AA4:AA5"/>
    <mergeCell ref="AB4:AD4"/>
    <mergeCell ref="AF4:AF5"/>
    <mergeCell ref="AH4:AH5"/>
  </mergeCells>
  <phoneticPr fontId="2" type="noConversion"/>
  <conditionalFormatting sqref="AF9 AH9:AI9 T12:T536 AM12:AM536 AF12:AF536 AH12:AI536 AM9 T9">
    <cfRule type="containsText" dxfId="22" priority="185" operator="containsText" text="국도비">
      <formula>NOT(ISERROR(SEARCH("국도비",T9)))</formula>
    </cfRule>
  </conditionalFormatting>
  <conditionalFormatting sqref="H11:J536 H8:J9">
    <cfRule type="expression" dxfId="21" priority="184">
      <formula>($D8="본예산")</formula>
    </cfRule>
  </conditionalFormatting>
  <conditionalFormatting sqref="U12:X536 AB12:AD536 AB9:AD9 U9:X9">
    <cfRule type="containsText" dxfId="20" priority="183" operator="containsText" text="직접입력">
      <formula>NOT(ISERROR(SEARCH("직접입력",U9)))</formula>
    </cfRule>
  </conditionalFormatting>
  <conditionalFormatting sqref="AM10">
    <cfRule type="containsText" dxfId="19" priority="114" operator="containsText" text="국도비">
      <formula>NOT(ISERROR(SEARCH("국도비",AM10)))</formula>
    </cfRule>
  </conditionalFormatting>
  <conditionalFormatting sqref="T10">
    <cfRule type="containsText" dxfId="18" priority="111" operator="containsText" text="국도비">
      <formula>NOT(ISERROR(SEARCH("국도비",T10)))</formula>
    </cfRule>
  </conditionalFormatting>
  <conditionalFormatting sqref="AB10:AD10 U10:X10">
    <cfRule type="containsText" dxfId="17" priority="109" operator="containsText" text="직접입력">
      <formula>NOT(ISERROR(SEARCH("직접입력",U10)))</formula>
    </cfRule>
  </conditionalFormatting>
  <conditionalFormatting sqref="AF10">
    <cfRule type="containsText" dxfId="16" priority="108" operator="containsText" text="국도비">
      <formula>NOT(ISERROR(SEARCH("국도비",AF10)))</formula>
    </cfRule>
  </conditionalFormatting>
  <conditionalFormatting sqref="AH10">
    <cfRule type="containsText" dxfId="15" priority="107" operator="containsText" text="국도비">
      <formula>NOT(ISERROR(SEARCH("국도비",AH10)))</formula>
    </cfRule>
  </conditionalFormatting>
  <conditionalFormatting sqref="AI10">
    <cfRule type="containsText" dxfId="14" priority="106" operator="containsText" text="국도비">
      <formula>NOT(ISERROR(SEARCH("국도비",AI10)))</formula>
    </cfRule>
  </conditionalFormatting>
  <conditionalFormatting sqref="AM8">
    <cfRule type="containsText" dxfId="13" priority="32" operator="containsText" text="국도비">
      <formula>NOT(ISERROR(SEARCH("국도비",AM8)))</formula>
    </cfRule>
  </conditionalFormatting>
  <conditionalFormatting sqref="AF8">
    <cfRule type="containsText" dxfId="12" priority="30" operator="containsText" text="국도비">
      <formula>NOT(ISERROR(SEARCH("국도비",AF8)))</formula>
    </cfRule>
  </conditionalFormatting>
  <conditionalFormatting sqref="AH8">
    <cfRule type="containsText" dxfId="11" priority="29" operator="containsText" text="국도비">
      <formula>NOT(ISERROR(SEARCH("국도비",AH8)))</formula>
    </cfRule>
  </conditionalFormatting>
  <conditionalFormatting sqref="AI8">
    <cfRule type="containsText" dxfId="10" priority="28" operator="containsText" text="국도비">
      <formula>NOT(ISERROR(SEARCH("국도비",AI8)))</formula>
    </cfRule>
  </conditionalFormatting>
  <conditionalFormatting sqref="AM11">
    <cfRule type="containsText" dxfId="9" priority="12" operator="containsText" text="국도비">
      <formula>NOT(ISERROR(SEARCH("국도비",AM11)))</formula>
    </cfRule>
  </conditionalFormatting>
  <conditionalFormatting sqref="AF11">
    <cfRule type="containsText" dxfId="8" priority="10" operator="containsText" text="국도비">
      <formula>NOT(ISERROR(SEARCH("국도비",AF11)))</formula>
    </cfRule>
  </conditionalFormatting>
  <conditionalFormatting sqref="AH11">
    <cfRule type="containsText" dxfId="7" priority="9" operator="containsText" text="국도비">
      <formula>NOT(ISERROR(SEARCH("국도비",AH11)))</formula>
    </cfRule>
  </conditionalFormatting>
  <conditionalFormatting sqref="AI11">
    <cfRule type="containsText" dxfId="6" priority="8" operator="containsText" text="국도비">
      <formula>NOT(ISERROR(SEARCH("국도비",AI11)))</formula>
    </cfRule>
  </conditionalFormatting>
  <conditionalFormatting sqref="T8">
    <cfRule type="containsText" dxfId="5" priority="6" operator="containsText" text="국도비">
      <formula>NOT(ISERROR(SEARCH("국도비",T8)))</formula>
    </cfRule>
  </conditionalFormatting>
  <conditionalFormatting sqref="U8 W8:X8">
    <cfRule type="containsText" dxfId="4" priority="5" operator="containsText" text="직접입력">
      <formula>NOT(ISERROR(SEARCH("직접입력",U8)))</formula>
    </cfRule>
  </conditionalFormatting>
  <conditionalFormatting sqref="AB8:AC8">
    <cfRule type="containsText" dxfId="3" priority="4" operator="containsText" text="직접입력">
      <formula>NOT(ISERROR(SEARCH("직접입력",AB8)))</formula>
    </cfRule>
  </conditionalFormatting>
  <conditionalFormatting sqref="T11">
    <cfRule type="containsText" dxfId="2" priority="3" operator="containsText" text="국도비">
      <formula>NOT(ISERROR(SEARCH("국도비",T11)))</formula>
    </cfRule>
  </conditionalFormatting>
  <conditionalFormatting sqref="U11 W11:X11">
    <cfRule type="containsText" dxfId="1" priority="2" operator="containsText" text="직접입력">
      <formula>NOT(ISERROR(SEARCH("직접입력",U11)))</formula>
    </cfRule>
  </conditionalFormatting>
  <conditionalFormatting sqref="AB11:AC11">
    <cfRule type="containsText" dxfId="0" priority="1" operator="containsText" text="직접입력">
      <formula>NOT(ISERROR(SEARCH("직접입력",AB11)))</formula>
    </cfRule>
  </conditionalFormatting>
  <dataValidations count="3">
    <dataValidation type="list" allowBlank="1" showInputMessage="1" showErrorMessage="1" sqref="D9">
      <formula1>"집행부,연정,의회편성,신규"</formula1>
    </dataValidation>
    <dataValidation type="list" allowBlank="1" showInputMessage="1" showErrorMessage="1" sqref="D8 D11:D12">
      <formula1>"본예산,1회추경,신규"</formula1>
    </dataValidation>
    <dataValidation type="list" allowBlank="1" showInputMessage="1" showErrorMessage="1" sqref="T8 T11">
      <formula1>"도비,국도비"</formula1>
    </dataValidation>
  </dataValidations>
  <pageMargins left="0.23622047244094491" right="0.19685039370078741" top="0.35433070866141736" bottom="0.31496062992125984" header="0.31496062992125984" footer="0.15748031496062992"/>
  <pageSetup paperSize="8" scale="77" fitToHeight="0" orientation="landscape" horizontalDpi="4294967292" r:id="rId1"/>
  <headerFooter>
    <oddFooter>&amp;C&amp;P/&amp;N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구분표!$Q$2:$Q$3</xm:f>
          </x14:formula1>
          <xm:sqref>T9:T10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19</vt:i4>
      </vt:variant>
    </vt:vector>
  </HeadingPairs>
  <TitlesOfParts>
    <vt:vector size="36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예산안 표지</vt:lpstr>
      <vt:lpstr>16년 1추총괄표</vt:lpstr>
      <vt:lpstr>16년1추 일입</vt:lpstr>
      <vt:lpstr>16년 1추일출</vt:lpstr>
      <vt:lpstr>2추총괄표</vt:lpstr>
      <vt:lpstr>2추총괄표(실국별)</vt:lpstr>
      <vt:lpstr>16년 1추특입</vt:lpstr>
      <vt:lpstr>16년 1추특출</vt:lpstr>
      <vt:lpstr>'15년검증'!Print_Area</vt:lpstr>
      <vt:lpstr>'15년총괄표'!Print_Area</vt:lpstr>
      <vt:lpstr>'15년총괄표(실국별)'!Print_Area</vt:lpstr>
      <vt:lpstr>'16년 1추일출'!Print_Area</vt:lpstr>
      <vt:lpstr>'16년 1추총괄표'!Print_Area</vt:lpstr>
      <vt:lpstr>'16년 1추특입'!Print_Area</vt:lpstr>
      <vt:lpstr>'16년 1추특출'!Print_Area</vt:lpstr>
      <vt:lpstr>'16년1추 일입'!Print_Area</vt:lpstr>
      <vt:lpstr>'2추검증'!Print_Area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'16년 1추일출'!Print_Titles</vt:lpstr>
      <vt:lpstr>'16년 1추특입'!Print_Titles</vt:lpstr>
      <vt:lpstr>'16년 1추특출'!Print_Titles</vt:lpstr>
      <vt:lpstr>'16년1추 일입'!Print_Titles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Windows 사용자</cp:lastModifiedBy>
  <cp:lastPrinted>2016-03-02T00:28:44Z</cp:lastPrinted>
  <dcterms:created xsi:type="dcterms:W3CDTF">2013-08-23T08:00:50Z</dcterms:created>
  <dcterms:modified xsi:type="dcterms:W3CDTF">2016-03-02T00:29:24Z</dcterms:modified>
</cp:coreProperties>
</file>