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14190" tabRatio="794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definedNames>
    <definedName name="_xlnm._FilterDatabase" localSheetId="12" hidden="1">'16년 3추일출'!$A$11:$AM$11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일입'!$A$7:$D$7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3추일출'!$A$1:$AI$96</definedName>
    <definedName name="_xlnm.Print_Area" localSheetId="10">'16년 3추총괄표'!$A$1:$P$25</definedName>
    <definedName name="_xlnm.Print_Area" localSheetId="15">'16년 3추특입'!$A$1:$AP$35</definedName>
    <definedName name="_xlnm.Print_Area" localSheetId="16">'16년 3추특출'!$A$1:$AM$34</definedName>
    <definedName name="_xlnm.Print_Area" localSheetId="11">'16년3추 일입'!$A$1:$AP$18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52511"/>
</workbook>
</file>

<file path=xl/calcChain.xml><?xml version="1.0" encoding="utf-8"?>
<calcChain xmlns="http://schemas.openxmlformats.org/spreadsheetml/2006/main">
  <c r="AD24" i="72" l="1"/>
  <c r="AC24" i="72"/>
  <c r="AB24" i="72"/>
  <c r="Y24" i="72"/>
  <c r="X24" i="72"/>
  <c r="W24" i="72"/>
  <c r="P24" i="72"/>
  <c r="M24" i="72"/>
  <c r="J24" i="72"/>
  <c r="P23" i="72" l="1"/>
  <c r="P25" i="72"/>
  <c r="P26" i="72"/>
  <c r="P27" i="72"/>
  <c r="P28" i="72"/>
  <c r="P29" i="72"/>
  <c r="P30" i="72"/>
  <c r="P31" i="72"/>
  <c r="P32" i="72"/>
  <c r="P33" i="72"/>
  <c r="P34" i="72"/>
  <c r="P35" i="72"/>
  <c r="P36" i="72"/>
  <c r="P37" i="72"/>
  <c r="P38" i="72"/>
  <c r="P39" i="72"/>
  <c r="P40" i="72"/>
  <c r="P41" i="72"/>
  <c r="P42" i="72"/>
  <c r="P43" i="72"/>
  <c r="P44" i="72"/>
  <c r="P45" i="72"/>
  <c r="P46" i="72"/>
  <c r="P47" i="72"/>
  <c r="P48" i="72"/>
  <c r="P49" i="72"/>
  <c r="P50" i="72"/>
  <c r="P51" i="72"/>
  <c r="P52" i="72"/>
  <c r="P53" i="72"/>
  <c r="P54" i="72"/>
  <c r="P55" i="72"/>
  <c r="P56" i="72"/>
  <c r="P57" i="72"/>
  <c r="P58" i="72"/>
  <c r="P59" i="72"/>
  <c r="P60" i="72"/>
  <c r="P61" i="72"/>
  <c r="P62" i="72"/>
  <c r="P63" i="72"/>
  <c r="P64" i="72"/>
  <c r="P65" i="72"/>
  <c r="M23" i="72"/>
  <c r="M25" i="72"/>
  <c r="M26" i="72"/>
  <c r="M27" i="72"/>
  <c r="M28" i="72"/>
  <c r="M29" i="72"/>
  <c r="M30" i="72"/>
  <c r="M31" i="72"/>
  <c r="M32" i="72"/>
  <c r="M33" i="72"/>
  <c r="M34" i="72"/>
  <c r="M35" i="72"/>
  <c r="M36" i="72"/>
  <c r="M37" i="72"/>
  <c r="M38" i="72"/>
  <c r="M39" i="72"/>
  <c r="M40" i="72"/>
  <c r="M41" i="72"/>
  <c r="M42" i="72"/>
  <c r="M43" i="72"/>
  <c r="M44" i="72"/>
  <c r="M45" i="72"/>
  <c r="M46" i="72"/>
  <c r="M47" i="72"/>
  <c r="M48" i="72"/>
  <c r="M49" i="72"/>
  <c r="M50" i="72"/>
  <c r="M51" i="72"/>
  <c r="M52" i="72"/>
  <c r="M53" i="72"/>
  <c r="M54" i="72"/>
  <c r="M55" i="72"/>
  <c r="M56" i="72"/>
  <c r="M57" i="72"/>
  <c r="M58" i="72"/>
  <c r="M59" i="72"/>
  <c r="M60" i="72"/>
  <c r="M61" i="72"/>
  <c r="M62" i="72"/>
  <c r="M63" i="72"/>
  <c r="M64" i="72"/>
  <c r="M65" i="72"/>
  <c r="J23" i="72"/>
  <c r="J25" i="72"/>
  <c r="J26" i="72"/>
  <c r="J27" i="72"/>
  <c r="J28" i="72"/>
  <c r="J29" i="72"/>
  <c r="J30" i="72"/>
  <c r="J31" i="72"/>
  <c r="J32" i="72"/>
  <c r="J33" i="72"/>
  <c r="J34" i="72"/>
  <c r="J35" i="72"/>
  <c r="J36" i="72"/>
  <c r="J37" i="72"/>
  <c r="J38" i="72"/>
  <c r="J39" i="72"/>
  <c r="J40" i="72"/>
  <c r="J41" i="72"/>
  <c r="J42" i="72"/>
  <c r="J43" i="72"/>
  <c r="J44" i="72"/>
  <c r="J45" i="72"/>
  <c r="J46" i="72"/>
  <c r="J47" i="72"/>
  <c r="J48" i="72"/>
  <c r="J49" i="72"/>
  <c r="J50" i="72"/>
  <c r="J51" i="72"/>
  <c r="J52" i="72"/>
  <c r="J53" i="72"/>
  <c r="J54" i="72"/>
  <c r="J55" i="72"/>
  <c r="J56" i="72"/>
  <c r="J57" i="72"/>
  <c r="J58" i="72"/>
  <c r="J59" i="72"/>
  <c r="J60" i="72"/>
  <c r="J61" i="72"/>
  <c r="J62" i="72"/>
  <c r="J63" i="72"/>
  <c r="J64" i="72"/>
  <c r="J65" i="72"/>
  <c r="J66" i="72"/>
  <c r="H7" i="72"/>
  <c r="I7" i="72"/>
  <c r="K7" i="72"/>
  <c r="L7" i="72"/>
  <c r="N7" i="72"/>
  <c r="O7" i="72"/>
  <c r="AA7" i="72"/>
  <c r="AH7" i="72"/>
  <c r="AI7" i="72"/>
  <c r="J8" i="72"/>
  <c r="M8" i="72"/>
  <c r="P8" i="72"/>
  <c r="W8" i="72"/>
  <c r="X8" i="72" s="1"/>
  <c r="AA8" i="72"/>
  <c r="AB8" i="72"/>
  <c r="AC8" i="72" s="1"/>
  <c r="AH8" i="72"/>
  <c r="AI8" i="72"/>
  <c r="J9" i="72"/>
  <c r="M9" i="72"/>
  <c r="P9" i="72"/>
  <c r="W9" i="72"/>
  <c r="X9" i="72" s="1"/>
  <c r="Y9" i="72" s="1"/>
  <c r="AA9" i="72"/>
  <c r="AB9" i="72"/>
  <c r="AC9" i="72" s="1"/>
  <c r="AD9" i="72" s="1"/>
  <c r="AH9" i="72"/>
  <c r="AI9" i="72"/>
  <c r="J10" i="72"/>
  <c r="M10" i="72"/>
  <c r="P10" i="72"/>
  <c r="W10" i="72"/>
  <c r="X10" i="72" s="1"/>
  <c r="Y10" i="72" s="1"/>
  <c r="AA10" i="72"/>
  <c r="AB10" i="72"/>
  <c r="AC10" i="72" s="1"/>
  <c r="AD10" i="72" s="1"/>
  <c r="AH10" i="72"/>
  <c r="AI10" i="72"/>
  <c r="H11" i="72"/>
  <c r="I11" i="72"/>
  <c r="K11" i="72"/>
  <c r="L11" i="72"/>
  <c r="N11" i="72"/>
  <c r="O11" i="72"/>
  <c r="AA11" i="72"/>
  <c r="AH11" i="72"/>
  <c r="AI11" i="72"/>
  <c r="J12" i="72"/>
  <c r="M12" i="72"/>
  <c r="P12" i="72"/>
  <c r="W12" i="72"/>
  <c r="X12" i="72" s="1"/>
  <c r="AA12" i="72"/>
  <c r="AB12" i="72"/>
  <c r="AC12" i="72" s="1"/>
  <c r="AH12" i="72"/>
  <c r="AI12" i="72"/>
  <c r="J13" i="72"/>
  <c r="M13" i="72"/>
  <c r="P13" i="72"/>
  <c r="W13" i="72"/>
  <c r="X13" i="72" s="1"/>
  <c r="AA13" i="72"/>
  <c r="AB13" i="72"/>
  <c r="AC13" i="72" s="1"/>
  <c r="AH13" i="72"/>
  <c r="AI13" i="72"/>
  <c r="J14" i="72"/>
  <c r="M14" i="72"/>
  <c r="P14" i="72"/>
  <c r="W14" i="72"/>
  <c r="X14" i="72" s="1"/>
  <c r="AA14" i="72"/>
  <c r="AB14" i="72"/>
  <c r="AC14" i="72" s="1"/>
  <c r="AH14" i="72"/>
  <c r="AI14" i="72"/>
  <c r="J15" i="72"/>
  <c r="M15" i="72"/>
  <c r="P15" i="72"/>
  <c r="W15" i="72"/>
  <c r="X15" i="72" s="1"/>
  <c r="AA15" i="72"/>
  <c r="AB15" i="72"/>
  <c r="AC15" i="72" s="1"/>
  <c r="AH15" i="72"/>
  <c r="AI15" i="72"/>
  <c r="H16" i="72"/>
  <c r="I16" i="72"/>
  <c r="K16" i="72"/>
  <c r="L16" i="72"/>
  <c r="N16" i="72"/>
  <c r="O16" i="72"/>
  <c r="AA16" i="72"/>
  <c r="AH16" i="72"/>
  <c r="AI16" i="72"/>
  <c r="J17" i="72"/>
  <c r="M17" i="72"/>
  <c r="P17" i="72"/>
  <c r="W17" i="72"/>
  <c r="AA17" i="72"/>
  <c r="AB17" i="72"/>
  <c r="AH17" i="72"/>
  <c r="AI17" i="72"/>
  <c r="J18" i="72"/>
  <c r="M18" i="72"/>
  <c r="P18" i="72"/>
  <c r="W18" i="72"/>
  <c r="X18" i="72" s="1"/>
  <c r="AA18" i="72"/>
  <c r="AB18" i="72"/>
  <c r="AC18" i="72" s="1"/>
  <c r="AH18" i="72"/>
  <c r="AI18" i="72"/>
  <c r="H19" i="72"/>
  <c r="I19" i="72"/>
  <c r="K19" i="72"/>
  <c r="L19" i="72"/>
  <c r="N19" i="72"/>
  <c r="O19" i="72"/>
  <c r="AA19" i="72"/>
  <c r="AH19" i="72"/>
  <c r="AI19" i="72"/>
  <c r="J20" i="72"/>
  <c r="M20" i="72"/>
  <c r="P20" i="72"/>
  <c r="W20" i="72"/>
  <c r="X20" i="72" s="1"/>
  <c r="AA20" i="72"/>
  <c r="AB20" i="72"/>
  <c r="AC20" i="72" s="1"/>
  <c r="AH20" i="72"/>
  <c r="AI20" i="72"/>
  <c r="J21" i="72"/>
  <c r="M21" i="72"/>
  <c r="P21" i="72"/>
  <c r="W21" i="72"/>
  <c r="X21" i="72" s="1"/>
  <c r="AA21" i="72"/>
  <c r="AB21" i="72"/>
  <c r="AC21" i="72" s="1"/>
  <c r="AH21" i="72"/>
  <c r="AI21" i="72"/>
  <c r="W23" i="72"/>
  <c r="X23" i="72" s="1"/>
  <c r="Y23" i="72" s="1"/>
  <c r="AA23" i="72"/>
  <c r="AB23" i="72"/>
  <c r="AC23" i="72" s="1"/>
  <c r="AD23" i="72" s="1"/>
  <c r="W25" i="72"/>
  <c r="X25" i="72" s="1"/>
  <c r="AA25" i="72"/>
  <c r="AB25" i="72"/>
  <c r="AC25" i="72" s="1"/>
  <c r="W26" i="72"/>
  <c r="X26" i="72" s="1"/>
  <c r="Y26" i="72" s="1"/>
  <c r="AA26" i="72"/>
  <c r="AB26" i="72"/>
  <c r="AC26" i="72" s="1"/>
  <c r="AD26" i="72" s="1"/>
  <c r="W27" i="72"/>
  <c r="X27" i="72" s="1"/>
  <c r="AA27" i="72"/>
  <c r="AB27" i="72"/>
  <c r="AC27" i="72" s="1"/>
  <c r="W28" i="72"/>
  <c r="X28" i="72" s="1"/>
  <c r="Y28" i="72" s="1"/>
  <c r="AA28" i="72"/>
  <c r="AB28" i="72"/>
  <c r="AC28" i="72" s="1"/>
  <c r="AD28" i="72" s="1"/>
  <c r="W29" i="72"/>
  <c r="X29" i="72" s="1"/>
  <c r="AA29" i="72"/>
  <c r="AB29" i="72"/>
  <c r="AC29" i="72" s="1"/>
  <c r="W30" i="72"/>
  <c r="X30" i="72" s="1"/>
  <c r="AA30" i="72"/>
  <c r="AB30" i="72"/>
  <c r="W31" i="72"/>
  <c r="X31" i="72" s="1"/>
  <c r="AA31" i="72"/>
  <c r="AB31" i="72"/>
  <c r="AC31" i="72" s="1"/>
  <c r="W32" i="72"/>
  <c r="X32" i="72" s="1"/>
  <c r="Y32" i="72" s="1"/>
  <c r="AA32" i="72"/>
  <c r="AB32" i="72"/>
  <c r="AC32" i="72" s="1"/>
  <c r="AD32" i="72" s="1"/>
  <c r="W33" i="72"/>
  <c r="X33" i="72" s="1"/>
  <c r="AA33" i="72"/>
  <c r="AB33" i="72"/>
  <c r="AC33" i="72" s="1"/>
  <c r="W34" i="72"/>
  <c r="X34" i="72" s="1"/>
  <c r="AA34" i="72"/>
  <c r="AB34" i="72"/>
  <c r="AC34" i="72" s="1"/>
  <c r="W35" i="72"/>
  <c r="X35" i="72" s="1"/>
  <c r="AA35" i="72"/>
  <c r="AB35" i="72"/>
  <c r="AC35" i="72" s="1"/>
  <c r="W36" i="72"/>
  <c r="X36" i="72" s="1"/>
  <c r="Y36" i="72" s="1"/>
  <c r="AA36" i="72"/>
  <c r="AB36" i="72"/>
  <c r="AC36" i="72" s="1"/>
  <c r="AD36" i="72" s="1"/>
  <c r="W37" i="72"/>
  <c r="X37" i="72" s="1"/>
  <c r="AA37" i="72"/>
  <c r="AB37" i="72"/>
  <c r="AC37" i="72" s="1"/>
  <c r="W38" i="72"/>
  <c r="X38" i="72" s="1"/>
  <c r="AA38" i="72"/>
  <c r="AB38" i="72"/>
  <c r="W39" i="72"/>
  <c r="X39" i="72" s="1"/>
  <c r="Y39" i="72" s="1"/>
  <c r="AA39" i="72"/>
  <c r="AB39" i="72"/>
  <c r="AC39" i="72" s="1"/>
  <c r="AD39" i="72" s="1"/>
  <c r="W40" i="72"/>
  <c r="X40" i="72" s="1"/>
  <c r="Y40" i="72" s="1"/>
  <c r="AA40" i="72"/>
  <c r="AB40" i="72"/>
  <c r="AC40" i="72" s="1"/>
  <c r="AD40" i="72" s="1"/>
  <c r="W41" i="72"/>
  <c r="X41" i="72" s="1"/>
  <c r="AA41" i="72"/>
  <c r="AB41" i="72"/>
  <c r="AC41" i="72" s="1"/>
  <c r="W42" i="72"/>
  <c r="X42" i="72" s="1"/>
  <c r="AA42" i="72"/>
  <c r="AB42" i="72"/>
  <c r="AC42" i="72" s="1"/>
  <c r="W43" i="72"/>
  <c r="X43" i="72" s="1"/>
  <c r="AA43" i="72"/>
  <c r="AB43" i="72"/>
  <c r="AC43" i="72" s="1"/>
  <c r="W44" i="72"/>
  <c r="X44" i="72" s="1"/>
  <c r="Y44" i="72" s="1"/>
  <c r="AA44" i="72"/>
  <c r="AB44" i="72"/>
  <c r="AC44" i="72" s="1"/>
  <c r="AD44" i="72" s="1"/>
  <c r="W45" i="72"/>
  <c r="X45" i="72" s="1"/>
  <c r="AA45" i="72"/>
  <c r="AB45" i="72"/>
  <c r="AC45" i="72" s="1"/>
  <c r="W46" i="72"/>
  <c r="X46" i="72" s="1"/>
  <c r="AA46" i="72"/>
  <c r="AB46" i="72"/>
  <c r="W47" i="72"/>
  <c r="X47" i="72" s="1"/>
  <c r="Y47" i="72" s="1"/>
  <c r="AA47" i="72"/>
  <c r="AB47" i="72"/>
  <c r="AC47" i="72" s="1"/>
  <c r="AD47" i="72" s="1"/>
  <c r="W48" i="72"/>
  <c r="X48" i="72" s="1"/>
  <c r="Y48" i="72" s="1"/>
  <c r="AA48" i="72"/>
  <c r="AB48" i="72"/>
  <c r="AC48" i="72" s="1"/>
  <c r="AD48" i="72" s="1"/>
  <c r="W49" i="72"/>
  <c r="X49" i="72" s="1"/>
  <c r="AA49" i="72"/>
  <c r="AB49" i="72"/>
  <c r="AC49" i="72" s="1"/>
  <c r="W50" i="72"/>
  <c r="X50" i="72" s="1"/>
  <c r="AA50" i="72"/>
  <c r="AB50" i="72"/>
  <c r="AC50" i="72"/>
  <c r="W51" i="72"/>
  <c r="X51" i="72" s="1"/>
  <c r="AA51" i="72"/>
  <c r="AB51" i="72"/>
  <c r="AC51" i="72" s="1"/>
  <c r="W52" i="72"/>
  <c r="X52" i="72" s="1"/>
  <c r="Y52" i="72" s="1"/>
  <c r="AA52" i="72"/>
  <c r="AB52" i="72"/>
  <c r="AC52" i="72" s="1"/>
  <c r="AD52" i="72" s="1"/>
  <c r="W53" i="72"/>
  <c r="X53" i="72" s="1"/>
  <c r="AA53" i="72"/>
  <c r="AB53" i="72"/>
  <c r="AC53" i="72" s="1"/>
  <c r="W54" i="72"/>
  <c r="X54" i="72" s="1"/>
  <c r="AA54" i="72"/>
  <c r="AB54" i="72"/>
  <c r="W55" i="72"/>
  <c r="X55" i="72" s="1"/>
  <c r="AA55" i="72"/>
  <c r="AB55" i="72"/>
  <c r="AC55" i="72" s="1"/>
  <c r="W56" i="72"/>
  <c r="X56" i="72" s="1"/>
  <c r="Y56" i="72" s="1"/>
  <c r="AA56" i="72"/>
  <c r="AB56" i="72"/>
  <c r="AC56" i="72" s="1"/>
  <c r="AD56" i="72" s="1"/>
  <c r="W57" i="72"/>
  <c r="X57" i="72" s="1"/>
  <c r="AA57" i="72"/>
  <c r="AB57" i="72"/>
  <c r="AC57" i="72" s="1"/>
  <c r="W58" i="72"/>
  <c r="X58" i="72" s="1"/>
  <c r="AA58" i="72"/>
  <c r="AB58" i="72"/>
  <c r="AC58" i="72" s="1"/>
  <c r="W59" i="72"/>
  <c r="X59" i="72" s="1"/>
  <c r="AA59" i="72"/>
  <c r="AB59" i="72"/>
  <c r="AC59" i="72" s="1"/>
  <c r="W60" i="72"/>
  <c r="X60" i="72" s="1"/>
  <c r="Y60" i="72" s="1"/>
  <c r="AA60" i="72"/>
  <c r="AB60" i="72"/>
  <c r="AC60" i="72" s="1"/>
  <c r="AD60" i="72" s="1"/>
  <c r="W61" i="72"/>
  <c r="X61" i="72" s="1"/>
  <c r="AA61" i="72"/>
  <c r="AB61" i="72"/>
  <c r="AC61" i="72" s="1"/>
  <c r="W62" i="72"/>
  <c r="X62" i="72" s="1"/>
  <c r="AA62" i="72"/>
  <c r="AB62" i="72"/>
  <c r="W63" i="72"/>
  <c r="X63" i="72" s="1"/>
  <c r="AA63" i="72"/>
  <c r="AB63" i="72"/>
  <c r="AC63" i="72"/>
  <c r="W64" i="72"/>
  <c r="X64" i="72" s="1"/>
  <c r="Y64" i="72" s="1"/>
  <c r="AA64" i="72"/>
  <c r="AB64" i="72"/>
  <c r="AC64" i="72" s="1"/>
  <c r="AD64" i="72" s="1"/>
  <c r="W65" i="72"/>
  <c r="X65" i="72" s="1"/>
  <c r="AA65" i="72"/>
  <c r="AB65" i="72"/>
  <c r="AC65" i="72" s="1"/>
  <c r="M11" i="72" l="1"/>
  <c r="Y31" i="72"/>
  <c r="Y63" i="72"/>
  <c r="AD31" i="72"/>
  <c r="M19" i="72"/>
  <c r="AD63" i="72"/>
  <c r="AC7" i="72"/>
  <c r="AD8" i="72"/>
  <c r="X7" i="72"/>
  <c r="Y8" i="72"/>
  <c r="W16" i="72"/>
  <c r="P7" i="72"/>
  <c r="J19" i="72"/>
  <c r="AD18" i="72"/>
  <c r="Y18" i="72"/>
  <c r="M16" i="72"/>
  <c r="P11" i="72"/>
  <c r="J7" i="72"/>
  <c r="AB16" i="72"/>
  <c r="J11" i="72"/>
  <c r="P16" i="72"/>
  <c r="M7" i="72"/>
  <c r="P19" i="72"/>
  <c r="AC17" i="72"/>
  <c r="AC16" i="72" s="1"/>
  <c r="X17" i="72"/>
  <c r="X16" i="72" s="1"/>
  <c r="J16" i="72"/>
  <c r="AB7" i="72"/>
  <c r="AD7" i="72" s="1"/>
  <c r="W7" i="72"/>
  <c r="AC19" i="72"/>
  <c r="X11" i="72"/>
  <c r="X19" i="72"/>
  <c r="AC11" i="72"/>
  <c r="AB19" i="72"/>
  <c r="AD19" i="72" s="1"/>
  <c r="W19" i="72"/>
  <c r="AD55" i="72"/>
  <c r="Y55" i="72"/>
  <c r="AD25" i="72"/>
  <c r="Y25" i="72"/>
  <c r="AD21" i="72"/>
  <c r="Y21" i="72"/>
  <c r="AD20" i="72"/>
  <c r="Y20" i="72"/>
  <c r="AD15" i="72"/>
  <c r="Y15" i="72"/>
  <c r="AD14" i="72"/>
  <c r="Y14" i="72"/>
  <c r="AD13" i="72"/>
  <c r="Y13" i="72"/>
  <c r="AD12" i="72"/>
  <c r="Y12" i="72"/>
  <c r="AB11" i="72"/>
  <c r="W11" i="72"/>
  <c r="Y58" i="72"/>
  <c r="Y42" i="72"/>
  <c r="Y34" i="72"/>
  <c r="AD59" i="72"/>
  <c r="AD50" i="72"/>
  <c r="AD43" i="72"/>
  <c r="Y43" i="72"/>
  <c r="AD42" i="72"/>
  <c r="AD35" i="72"/>
  <c r="Y35" i="72"/>
  <c r="AD34" i="72"/>
  <c r="AD27" i="72"/>
  <c r="Y27" i="72"/>
  <c r="Y50" i="72"/>
  <c r="Y59" i="72"/>
  <c r="AD58" i="72"/>
  <c r="AD51" i="72"/>
  <c r="Y51" i="72"/>
  <c r="AC62" i="72"/>
  <c r="AD62" i="72" s="1"/>
  <c r="Y62" i="72"/>
  <c r="AC54" i="72"/>
  <c r="AD54" i="72" s="1"/>
  <c r="Y54" i="72"/>
  <c r="AC46" i="72"/>
  <c r="AD46" i="72" s="1"/>
  <c r="Y46" i="72"/>
  <c r="AC38" i="72"/>
  <c r="AD38" i="72" s="1"/>
  <c r="Y38" i="72"/>
  <c r="AC30" i="72"/>
  <c r="AD30" i="72" s="1"/>
  <c r="Y30" i="72"/>
  <c r="AD65" i="72"/>
  <c r="Y65" i="72"/>
  <c r="AD61" i="72"/>
  <c r="Y61" i="72"/>
  <c r="AD57" i="72"/>
  <c r="Y57" i="72"/>
  <c r="AD53" i="72"/>
  <c r="Y53" i="72"/>
  <c r="AD49" i="72"/>
  <c r="Y49" i="72"/>
  <c r="AD45" i="72"/>
  <c r="Y45" i="72"/>
  <c r="AD41" i="72"/>
  <c r="Y41" i="72"/>
  <c r="AD37" i="72"/>
  <c r="Y37" i="72"/>
  <c r="AD33" i="72"/>
  <c r="Y33" i="72"/>
  <c r="AD29" i="72"/>
  <c r="Y29" i="72"/>
  <c r="W66" i="72"/>
  <c r="X66" i="72" s="1"/>
  <c r="Y66" i="72" s="1"/>
  <c r="AA66" i="72"/>
  <c r="AB66" i="72"/>
  <c r="AC66" i="72" s="1"/>
  <c r="AD66" i="72" s="1"/>
  <c r="AA67" i="72"/>
  <c r="W68" i="72"/>
  <c r="X68" i="72" s="1"/>
  <c r="AA68" i="72"/>
  <c r="AB68" i="72"/>
  <c r="AC68" i="72" s="1"/>
  <c r="W69" i="72"/>
  <c r="X69" i="72" s="1"/>
  <c r="AA69" i="72"/>
  <c r="AB69" i="72"/>
  <c r="AC69" i="72" s="1"/>
  <c r="AA70" i="72"/>
  <c r="W71" i="72"/>
  <c r="X71" i="72" s="1"/>
  <c r="Y71" i="72" s="1"/>
  <c r="AA71" i="72"/>
  <c r="AB71" i="72"/>
  <c r="AC71" i="72" s="1"/>
  <c r="AD71" i="72" s="1"/>
  <c r="W72" i="72"/>
  <c r="X72" i="72" s="1"/>
  <c r="AA72" i="72"/>
  <c r="AB72" i="72"/>
  <c r="AC72" i="72" s="1"/>
  <c r="AA73" i="72"/>
  <c r="W74" i="72"/>
  <c r="X74" i="72" s="1"/>
  <c r="Y74" i="72" s="1"/>
  <c r="AA74" i="72"/>
  <c r="AB74" i="72"/>
  <c r="AC74" i="72" s="1"/>
  <c r="AD74" i="72" s="1"/>
  <c r="W75" i="72"/>
  <c r="X75" i="72" s="1"/>
  <c r="Y75" i="72" s="1"/>
  <c r="AA75" i="72"/>
  <c r="AB75" i="72"/>
  <c r="AC75" i="72" s="1"/>
  <c r="AD75" i="72" s="1"/>
  <c r="W76" i="72"/>
  <c r="X76" i="72" s="1"/>
  <c r="AA76" i="72"/>
  <c r="AB76" i="72"/>
  <c r="AC76" i="72" s="1"/>
  <c r="AA77" i="72"/>
  <c r="W78" i="72"/>
  <c r="X78" i="72" s="1"/>
  <c r="Y78" i="72" s="1"/>
  <c r="AA78" i="72"/>
  <c r="AB78" i="72"/>
  <c r="AC78" i="72" s="1"/>
  <c r="AD78" i="72" s="1"/>
  <c r="W79" i="72"/>
  <c r="X79" i="72" s="1"/>
  <c r="Y79" i="72" s="1"/>
  <c r="AA79" i="72"/>
  <c r="AB79" i="72"/>
  <c r="AC79" i="72" s="1"/>
  <c r="AD79" i="72" s="1"/>
  <c r="AA80" i="72"/>
  <c r="Y7" i="72" l="1"/>
  <c r="Y17" i="72"/>
  <c r="Y19" i="72"/>
  <c r="Y11" i="72"/>
  <c r="AD16" i="72"/>
  <c r="AD17" i="72"/>
  <c r="Y16" i="72"/>
  <c r="AD11" i="72"/>
  <c r="AD69" i="72"/>
  <c r="Y69" i="72"/>
  <c r="AD76" i="72"/>
  <c r="Y76" i="72"/>
  <c r="AD72" i="72"/>
  <c r="Y72" i="72"/>
  <c r="AD68" i="72"/>
  <c r="Y68" i="72"/>
  <c r="A2" i="64"/>
  <c r="AD7" i="83" l="1"/>
  <c r="AD8" i="83"/>
  <c r="AD9" i="83"/>
  <c r="AD10" i="83"/>
  <c r="AD11" i="83"/>
  <c r="AD12" i="83"/>
  <c r="AD13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AI7" i="81" l="1"/>
  <c r="AI8" i="81"/>
  <c r="AI9" i="81"/>
  <c r="AI10" i="81"/>
  <c r="AI11" i="81"/>
  <c r="AI12" i="81"/>
  <c r="AI13" i="81"/>
  <c r="AI14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3" i="81"/>
  <c r="AH7" i="81"/>
  <c r="AH8" i="81"/>
  <c r="AH9" i="81"/>
  <c r="AH10" i="81"/>
  <c r="AH11" i="81"/>
  <c r="AH12" i="81"/>
  <c r="AH13" i="81"/>
  <c r="AH14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3" i="81"/>
  <c r="AB28" i="81"/>
  <c r="AB22" i="81"/>
  <c r="AB16" i="81"/>
  <c r="AB13" i="81"/>
  <c r="AB7" i="81"/>
  <c r="J9" i="71"/>
  <c r="M9" i="71"/>
  <c r="P9" i="71"/>
  <c r="Z9" i="83"/>
  <c r="AA9" i="83" s="1"/>
  <c r="Z15" i="83"/>
  <c r="AA15" i="83" s="1"/>
  <c r="Z17" i="83"/>
  <c r="Z18" i="83"/>
  <c r="AA18" i="83" s="1"/>
  <c r="Z21" i="83"/>
  <c r="AA21" i="83" s="1"/>
  <c r="Z27" i="83"/>
  <c r="AA27" i="83" s="1"/>
  <c r="Z29" i="83"/>
  <c r="Z30" i="83"/>
  <c r="AA30" i="83" s="1"/>
  <c r="Z33" i="83"/>
  <c r="AA33" i="83" s="1"/>
  <c r="Y7" i="83"/>
  <c r="Y8" i="83"/>
  <c r="Z8" i="83" s="1"/>
  <c r="Y9" i="83"/>
  <c r="Y10" i="83"/>
  <c r="Y11" i="83"/>
  <c r="Z11" i="83" s="1"/>
  <c r="Y12" i="83"/>
  <c r="Z12" i="83" s="1"/>
  <c r="AA12" i="83" s="1"/>
  <c r="Y13" i="83"/>
  <c r="Y14" i="83"/>
  <c r="Z14" i="83" s="1"/>
  <c r="Y15" i="83"/>
  <c r="Y16" i="83"/>
  <c r="Y17" i="83"/>
  <c r="Y18" i="83"/>
  <c r="Y19" i="83"/>
  <c r="Y20" i="83"/>
  <c r="Z20" i="83" s="1"/>
  <c r="Y21" i="83"/>
  <c r="Y22" i="83"/>
  <c r="Y23" i="83"/>
  <c r="Z23" i="83" s="1"/>
  <c r="Y24" i="83"/>
  <c r="Z24" i="83" s="1"/>
  <c r="AA24" i="83" s="1"/>
  <c r="Y25" i="83"/>
  <c r="Y26" i="83"/>
  <c r="Z26" i="83" s="1"/>
  <c r="Y27" i="83"/>
  <c r="Y28" i="83"/>
  <c r="Y29" i="83"/>
  <c r="Y30" i="83"/>
  <c r="Y31" i="83"/>
  <c r="Y32" i="83"/>
  <c r="Z32" i="83" s="1"/>
  <c r="Y33" i="83"/>
  <c r="V12" i="83"/>
  <c r="U8" i="83"/>
  <c r="V8" i="83" s="1"/>
  <c r="U9" i="83"/>
  <c r="V9" i="83" s="1"/>
  <c r="U11" i="83"/>
  <c r="U12" i="83"/>
  <c r="U14" i="83"/>
  <c r="V14" i="83" s="1"/>
  <c r="U15" i="83"/>
  <c r="U17" i="83"/>
  <c r="U18" i="83"/>
  <c r="U20" i="83"/>
  <c r="V20" i="83" s="1"/>
  <c r="U21" i="83"/>
  <c r="V21" i="83" s="1"/>
  <c r="U23" i="83"/>
  <c r="U24" i="83"/>
  <c r="V24" i="83" s="1"/>
  <c r="U26" i="83"/>
  <c r="V26" i="83" s="1"/>
  <c r="U27" i="83"/>
  <c r="U29" i="83"/>
  <c r="U30" i="83"/>
  <c r="V30" i="83" s="1"/>
  <c r="W30" i="83" s="1"/>
  <c r="U32" i="83"/>
  <c r="V32" i="83" s="1"/>
  <c r="U33" i="83"/>
  <c r="V33" i="83" s="1"/>
  <c r="AA7" i="81"/>
  <c r="AA8" i="81"/>
  <c r="AA9" i="81"/>
  <c r="AA10" i="81"/>
  <c r="AA11" i="81"/>
  <c r="AA12" i="81"/>
  <c r="AA13" i="81"/>
  <c r="AA14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3" i="81"/>
  <c r="AC12" i="81"/>
  <c r="AC24" i="81"/>
  <c r="AB8" i="81"/>
  <c r="AC8" i="81" s="1"/>
  <c r="AB9" i="81"/>
  <c r="AB11" i="81"/>
  <c r="AC11" i="81" s="1"/>
  <c r="AC10" i="81" s="1"/>
  <c r="AB12" i="81"/>
  <c r="AB14" i="81"/>
  <c r="AB15" i="81"/>
  <c r="AC15" i="81" s="1"/>
  <c r="AB17" i="81"/>
  <c r="AC17" i="81" s="1"/>
  <c r="AB18" i="81"/>
  <c r="AB20" i="81"/>
  <c r="AB21" i="81"/>
  <c r="AC21" i="81" s="1"/>
  <c r="AB23" i="81"/>
  <c r="AC23" i="81" s="1"/>
  <c r="AC22" i="81" s="1"/>
  <c r="AB24" i="81"/>
  <c r="AB26" i="81"/>
  <c r="AB27" i="81"/>
  <c r="AC27" i="81" s="1"/>
  <c r="AB29" i="81"/>
  <c r="AC29" i="81" s="1"/>
  <c r="AB30" i="81"/>
  <c r="AB32" i="81"/>
  <c r="AB33" i="81"/>
  <c r="AC33" i="81" s="1"/>
  <c r="W8" i="81"/>
  <c r="X8" i="81" s="1"/>
  <c r="W9" i="81"/>
  <c r="W7" i="81" s="1"/>
  <c r="W11" i="81"/>
  <c r="W12" i="81"/>
  <c r="W10" i="81" s="1"/>
  <c r="W14" i="81"/>
  <c r="X14" i="81" s="1"/>
  <c r="W15" i="81"/>
  <c r="W17" i="81"/>
  <c r="X17" i="81" s="1"/>
  <c r="Y17" i="81" s="1"/>
  <c r="W18" i="81"/>
  <c r="X18" i="81" s="1"/>
  <c r="W20" i="81"/>
  <c r="W19" i="81" s="1"/>
  <c r="W21" i="81"/>
  <c r="X21" i="81" s="1"/>
  <c r="Y21" i="81" s="1"/>
  <c r="W23" i="81"/>
  <c r="W22" i="81" s="1"/>
  <c r="W24" i="81"/>
  <c r="X24" i="81" s="1"/>
  <c r="Y24" i="81" s="1"/>
  <c r="W26" i="81"/>
  <c r="X26" i="81" s="1"/>
  <c r="W27" i="81"/>
  <c r="W29" i="81"/>
  <c r="X29" i="81" s="1"/>
  <c r="Y29" i="81" s="1"/>
  <c r="W30" i="81"/>
  <c r="X30" i="81" s="1"/>
  <c r="W32" i="81"/>
  <c r="X32" i="81" s="1"/>
  <c r="W33" i="81"/>
  <c r="X33" i="81" s="1"/>
  <c r="Y33" i="81" s="1"/>
  <c r="AI22" i="72"/>
  <c r="AI66" i="72"/>
  <c r="AI67" i="72"/>
  <c r="AI68" i="72"/>
  <c r="AI69" i="72"/>
  <c r="AI70" i="72"/>
  <c r="AI71" i="72"/>
  <c r="AI72" i="72"/>
  <c r="AI73" i="72"/>
  <c r="AI74" i="72"/>
  <c r="AI75" i="72"/>
  <c r="AI76" i="72"/>
  <c r="AI77" i="72"/>
  <c r="AI78" i="72"/>
  <c r="AI79" i="72"/>
  <c r="AI80" i="72"/>
  <c r="AI81" i="72"/>
  <c r="AI82" i="72"/>
  <c r="AI83" i="72"/>
  <c r="AH22" i="72"/>
  <c r="AH66" i="72"/>
  <c r="AH67" i="72"/>
  <c r="AH68" i="72"/>
  <c r="AH69" i="72"/>
  <c r="AH70" i="72"/>
  <c r="AH71" i="72"/>
  <c r="AH72" i="72"/>
  <c r="AH73" i="72"/>
  <c r="AH74" i="72"/>
  <c r="AH75" i="72"/>
  <c r="AH76" i="72"/>
  <c r="AH77" i="72"/>
  <c r="AH78" i="72"/>
  <c r="AH79" i="72"/>
  <c r="AH80" i="72"/>
  <c r="AH81" i="72"/>
  <c r="AH82" i="72"/>
  <c r="AH83" i="72"/>
  <c r="W81" i="72"/>
  <c r="W82" i="72"/>
  <c r="X82" i="72" s="1"/>
  <c r="Y82" i="72" s="1"/>
  <c r="W83" i="72"/>
  <c r="X83" i="72" s="1"/>
  <c r="Y83" i="72" s="1"/>
  <c r="Y7" i="71"/>
  <c r="Y8" i="71"/>
  <c r="Y10" i="71"/>
  <c r="Y11" i="71"/>
  <c r="Y12" i="71"/>
  <c r="Y13" i="71"/>
  <c r="Y14" i="71"/>
  <c r="Y15" i="71"/>
  <c r="AB81" i="72"/>
  <c r="AC81" i="72" s="1"/>
  <c r="AB82" i="72"/>
  <c r="AB83" i="72"/>
  <c r="AA22" i="72"/>
  <c r="AA81" i="72"/>
  <c r="AA82" i="72"/>
  <c r="AA83" i="72"/>
  <c r="AC7" i="81" l="1"/>
  <c r="Y32" i="81"/>
  <c r="X31" i="81"/>
  <c r="AD20" i="81"/>
  <c r="AC20" i="81"/>
  <c r="AC19" i="81" s="1"/>
  <c r="AB10" i="81"/>
  <c r="X12" i="81"/>
  <c r="Y12" i="81" s="1"/>
  <c r="AD32" i="81"/>
  <c r="AB19" i="81"/>
  <c r="AB25" i="81"/>
  <c r="AB31" i="81"/>
  <c r="X20" i="81"/>
  <c r="AD24" i="81"/>
  <c r="W16" i="81"/>
  <c r="W25" i="81"/>
  <c r="W28" i="81"/>
  <c r="W31" i="81"/>
  <c r="AD12" i="81"/>
  <c r="AC32" i="81"/>
  <c r="AC31" i="81" s="1"/>
  <c r="W13" i="81"/>
  <c r="W6" i="81" s="1"/>
  <c r="X16" i="81"/>
  <c r="X28" i="81"/>
  <c r="AC22" i="72"/>
  <c r="X22" i="72"/>
  <c r="AC82" i="72"/>
  <c r="AD81" i="72"/>
  <c r="X81" i="72"/>
  <c r="AB22" i="72"/>
  <c r="W22" i="72"/>
  <c r="AC83" i="72"/>
  <c r="AD83" i="72" s="1"/>
  <c r="W24" i="83"/>
  <c r="W12" i="83"/>
  <c r="U28" i="83"/>
  <c r="U22" i="83"/>
  <c r="U16" i="83"/>
  <c r="U10" i="83"/>
  <c r="V18" i="83"/>
  <c r="W18" i="83" s="1"/>
  <c r="W33" i="83"/>
  <c r="W21" i="83"/>
  <c r="W9" i="83"/>
  <c r="Z28" i="83"/>
  <c r="AA29" i="83"/>
  <c r="AA28" i="83" s="1"/>
  <c r="Z22" i="83"/>
  <c r="AA23" i="83"/>
  <c r="AA22" i="83" s="1"/>
  <c r="Z16" i="83"/>
  <c r="AA17" i="83"/>
  <c r="AA16" i="83" s="1"/>
  <c r="AA11" i="83"/>
  <c r="AA10" i="83" s="1"/>
  <c r="Z10" i="83"/>
  <c r="U31" i="83"/>
  <c r="U25" i="83"/>
  <c r="U19" i="83"/>
  <c r="U13" i="83"/>
  <c r="U7" i="83"/>
  <c r="V29" i="83"/>
  <c r="V28" i="83" s="1"/>
  <c r="V23" i="83"/>
  <c r="V22" i="83" s="1"/>
  <c r="V17" i="83"/>
  <c r="V16" i="83" s="1"/>
  <c r="V11" i="83"/>
  <c r="V10" i="83" s="1"/>
  <c r="W32" i="83"/>
  <c r="W20" i="83"/>
  <c r="W8" i="83"/>
  <c r="V27" i="83"/>
  <c r="W27" i="83" s="1"/>
  <c r="V15" i="83"/>
  <c r="W15" i="83" s="1"/>
  <c r="W23" i="83"/>
  <c r="Z31" i="83"/>
  <c r="AA32" i="83"/>
  <c r="AA31" i="83" s="1"/>
  <c r="Z25" i="83"/>
  <c r="AA26" i="83"/>
  <c r="AA25" i="83" s="1"/>
  <c r="Z19" i="83"/>
  <c r="AA20" i="83"/>
  <c r="AA19" i="83" s="1"/>
  <c r="Z13" i="83"/>
  <c r="AA14" i="83"/>
  <c r="AA13" i="83" s="1"/>
  <c r="Z7" i="83"/>
  <c r="Z6" i="83" s="1"/>
  <c r="AA8" i="83"/>
  <c r="AA7" i="83" s="1"/>
  <c r="V31" i="83"/>
  <c r="V19" i="83"/>
  <c r="V13" i="83"/>
  <c r="V7" i="83"/>
  <c r="W26" i="83"/>
  <c r="W14" i="83"/>
  <c r="X9" i="81"/>
  <c r="Y9" i="81" s="1"/>
  <c r="Y30" i="81"/>
  <c r="Y26" i="81"/>
  <c r="Y18" i="81"/>
  <c r="Y14" i="81"/>
  <c r="AC30" i="81"/>
  <c r="AD30" i="81" s="1"/>
  <c r="AC26" i="81"/>
  <c r="AC18" i="81"/>
  <c r="AC14" i="81"/>
  <c r="AC13" i="81" s="1"/>
  <c r="AD33" i="81"/>
  <c r="AD29" i="81"/>
  <c r="AD21" i="81"/>
  <c r="AD17" i="81"/>
  <c r="AC9" i="81"/>
  <c r="AD9" i="81" s="1"/>
  <c r="X27" i="81"/>
  <c r="X25" i="81" s="1"/>
  <c r="X23" i="81"/>
  <c r="X15" i="81"/>
  <c r="Y15" i="81" s="1"/>
  <c r="X11" i="81"/>
  <c r="X10" i="81" s="1"/>
  <c r="AD27" i="81"/>
  <c r="AD23" i="81"/>
  <c r="AD15" i="81"/>
  <c r="AD8" i="81"/>
  <c r="AD11" i="81"/>
  <c r="Y8" i="81"/>
  <c r="J8" i="83"/>
  <c r="M8" i="83"/>
  <c r="P8" i="83"/>
  <c r="J7" i="71"/>
  <c r="M7" i="71"/>
  <c r="P7" i="71"/>
  <c r="AC6" i="81" l="1"/>
  <c r="AD18" i="81"/>
  <c r="AC16" i="81"/>
  <c r="Y27" i="81"/>
  <c r="AC28" i="81"/>
  <c r="Y20" i="81"/>
  <c r="X19" i="81"/>
  <c r="AB6" i="81"/>
  <c r="X7" i="81"/>
  <c r="Y23" i="81"/>
  <c r="X22" i="81"/>
  <c r="Y11" i="81"/>
  <c r="AD26" i="81"/>
  <c r="AC25" i="81"/>
  <c r="AD14" i="81"/>
  <c r="X13" i="81"/>
  <c r="AD82" i="72"/>
  <c r="Y81" i="72"/>
  <c r="V25" i="83"/>
  <c r="V6" i="83" s="1"/>
  <c r="W29" i="83"/>
  <c r="U6" i="83"/>
  <c r="W11" i="83"/>
  <c r="W17" i="83"/>
  <c r="AA6" i="83"/>
  <c r="G8" i="79"/>
  <c r="G9" i="79"/>
  <c r="G10" i="79"/>
  <c r="G11" i="79"/>
  <c r="G12" i="79"/>
  <c r="G13" i="79"/>
  <c r="G14" i="79"/>
  <c r="G15" i="79"/>
  <c r="G16" i="79"/>
  <c r="G17" i="79"/>
  <c r="P33" i="81"/>
  <c r="P32" i="81"/>
  <c r="P30" i="81"/>
  <c r="P29" i="81"/>
  <c r="P24" i="81"/>
  <c r="P22" i="81" s="1"/>
  <c r="P23" i="81"/>
  <c r="P21" i="81"/>
  <c r="P20" i="81"/>
  <c r="P18" i="81"/>
  <c r="P17" i="81"/>
  <c r="P15" i="81"/>
  <c r="P14" i="81"/>
  <c r="P12" i="81"/>
  <c r="P10" i="81" s="1"/>
  <c r="P11" i="81"/>
  <c r="P8" i="81"/>
  <c r="P7" i="81" s="1"/>
  <c r="P9" i="81"/>
  <c r="M33" i="81"/>
  <c r="M32" i="81"/>
  <c r="M30" i="81"/>
  <c r="M29" i="81"/>
  <c r="M27" i="81"/>
  <c r="M26" i="81"/>
  <c r="M24" i="81"/>
  <c r="M23" i="81"/>
  <c r="M21" i="81"/>
  <c r="M20" i="81"/>
  <c r="M18" i="81"/>
  <c r="M17" i="81"/>
  <c r="M15" i="81"/>
  <c r="M14" i="81"/>
  <c r="M12" i="81"/>
  <c r="M11" i="81"/>
  <c r="M8" i="81"/>
  <c r="M7" i="81" s="1"/>
  <c r="M9" i="81"/>
  <c r="J33" i="81"/>
  <c r="J32" i="81"/>
  <c r="J30" i="81"/>
  <c r="J29" i="81"/>
  <c r="J27" i="81"/>
  <c r="J26" i="81"/>
  <c r="J24" i="81"/>
  <c r="J23" i="81"/>
  <c r="J21" i="81"/>
  <c r="J20" i="81"/>
  <c r="J18" i="81"/>
  <c r="J16" i="81" s="1"/>
  <c r="J17" i="81"/>
  <c r="J15" i="81"/>
  <c r="J14" i="81"/>
  <c r="J12" i="81"/>
  <c r="J10" i="81" s="1"/>
  <c r="J11" i="81"/>
  <c r="J8" i="81"/>
  <c r="J7" i="81" s="1"/>
  <c r="J9" i="81"/>
  <c r="H31" i="81"/>
  <c r="I31" i="81"/>
  <c r="K31" i="81"/>
  <c r="Y31" i="81" s="1"/>
  <c r="L31" i="81"/>
  <c r="N31" i="81"/>
  <c r="AD31" i="81" s="1"/>
  <c r="O31" i="81"/>
  <c r="H28" i="81"/>
  <c r="I28" i="81"/>
  <c r="K28" i="81"/>
  <c r="Y28" i="81" s="1"/>
  <c r="L28" i="81"/>
  <c r="N28" i="81"/>
  <c r="AD28" i="81" s="1"/>
  <c r="O28" i="81"/>
  <c r="H25" i="81"/>
  <c r="I25" i="81"/>
  <c r="K25" i="81"/>
  <c r="Y25" i="81" s="1"/>
  <c r="L25" i="81"/>
  <c r="M25" i="81"/>
  <c r="N25" i="81"/>
  <c r="O25" i="81"/>
  <c r="H22" i="81"/>
  <c r="I22" i="81"/>
  <c r="J22" i="81"/>
  <c r="K22" i="81"/>
  <c r="L22" i="81"/>
  <c r="N22" i="81"/>
  <c r="O22" i="81"/>
  <c r="H19" i="81"/>
  <c r="I19" i="81"/>
  <c r="K19" i="81"/>
  <c r="L19" i="81"/>
  <c r="M19" i="81"/>
  <c r="N19" i="81"/>
  <c r="O19" i="81"/>
  <c r="H16" i="81"/>
  <c r="I16" i="81"/>
  <c r="K16" i="81"/>
  <c r="Y16" i="81" s="1"/>
  <c r="L16" i="81"/>
  <c r="N16" i="81"/>
  <c r="AD16" i="81" s="1"/>
  <c r="O16" i="81"/>
  <c r="P16" i="81"/>
  <c r="H13" i="81"/>
  <c r="I13" i="81"/>
  <c r="K13" i="81"/>
  <c r="L13" i="81"/>
  <c r="N13" i="81"/>
  <c r="O13" i="81"/>
  <c r="H10" i="81"/>
  <c r="I10" i="81"/>
  <c r="K10" i="81"/>
  <c r="Y10" i="81" s="1"/>
  <c r="L10" i="81"/>
  <c r="M10" i="81"/>
  <c r="N10" i="81"/>
  <c r="O10" i="81"/>
  <c r="H7" i="81"/>
  <c r="I7" i="81"/>
  <c r="K7" i="81"/>
  <c r="L7" i="81"/>
  <c r="L3" i="81" s="1"/>
  <c r="N7" i="81"/>
  <c r="AD7" i="81" s="1"/>
  <c r="O7" i="81"/>
  <c r="H6" i="81"/>
  <c r="P27" i="81"/>
  <c r="P25" i="81" s="1"/>
  <c r="P26" i="81"/>
  <c r="P33" i="83"/>
  <c r="P32" i="83"/>
  <c r="P30" i="83"/>
  <c r="P29" i="83"/>
  <c r="P27" i="83"/>
  <c r="P25" i="83" s="1"/>
  <c r="P26" i="83"/>
  <c r="P24" i="83"/>
  <c r="P22" i="83" s="1"/>
  <c r="P23" i="83"/>
  <c r="P21" i="83"/>
  <c r="P20" i="83"/>
  <c r="P18" i="83"/>
  <c r="P17" i="83"/>
  <c r="P15" i="83"/>
  <c r="P14" i="83"/>
  <c r="P12" i="83"/>
  <c r="P10" i="83" s="1"/>
  <c r="P11" i="83"/>
  <c r="P9" i="83"/>
  <c r="P7" i="83" s="1"/>
  <c r="M33" i="83"/>
  <c r="M32" i="83"/>
  <c r="M31" i="83" s="1"/>
  <c r="M30" i="83"/>
  <c r="M29" i="83"/>
  <c r="M28" i="83" s="1"/>
  <c r="M27" i="83"/>
  <c r="M26" i="83"/>
  <c r="M25" i="83" s="1"/>
  <c r="M24" i="83"/>
  <c r="M23" i="83"/>
  <c r="M22" i="83" s="1"/>
  <c r="M21" i="83"/>
  <c r="M20" i="83"/>
  <c r="M19" i="83" s="1"/>
  <c r="M18" i="83"/>
  <c r="M17" i="83"/>
  <c r="M16" i="83" s="1"/>
  <c r="M15" i="83"/>
  <c r="M14" i="83"/>
  <c r="M13" i="83" s="1"/>
  <c r="M12" i="83"/>
  <c r="M11" i="83"/>
  <c r="M10" i="83" s="1"/>
  <c r="M9" i="83"/>
  <c r="J33" i="83"/>
  <c r="J32" i="83"/>
  <c r="J30" i="83"/>
  <c r="J29" i="83"/>
  <c r="J27" i="83"/>
  <c r="J25" i="83" s="1"/>
  <c r="J26" i="83"/>
  <c r="J24" i="83"/>
  <c r="J23" i="83"/>
  <c r="J21" i="83"/>
  <c r="J20" i="83"/>
  <c r="J18" i="83"/>
  <c r="J17" i="83"/>
  <c r="J15" i="83"/>
  <c r="J14" i="83"/>
  <c r="J12" i="83"/>
  <c r="J11" i="83"/>
  <c r="J10" i="83" s="1"/>
  <c r="J9" i="83"/>
  <c r="J7" i="83" s="1"/>
  <c r="H31" i="83"/>
  <c r="I31" i="83"/>
  <c r="K31" i="83"/>
  <c r="W31" i="83" s="1"/>
  <c r="L31" i="83"/>
  <c r="N31" i="83"/>
  <c r="O31" i="83"/>
  <c r="H28" i="83"/>
  <c r="I28" i="83"/>
  <c r="K28" i="83"/>
  <c r="W28" i="83" s="1"/>
  <c r="L28" i="83"/>
  <c r="N28" i="83"/>
  <c r="O28" i="83"/>
  <c r="H25" i="83"/>
  <c r="I25" i="83"/>
  <c r="K25" i="83"/>
  <c r="W25" i="83" s="1"/>
  <c r="L25" i="83"/>
  <c r="N25" i="83"/>
  <c r="O25" i="83"/>
  <c r="H22" i="83"/>
  <c r="I22" i="83"/>
  <c r="K22" i="83"/>
  <c r="W22" i="83" s="1"/>
  <c r="L22" i="83"/>
  <c r="N22" i="83"/>
  <c r="O22" i="83"/>
  <c r="H19" i="83"/>
  <c r="I19" i="83"/>
  <c r="K19" i="83"/>
  <c r="W19" i="83" s="1"/>
  <c r="L19" i="83"/>
  <c r="N19" i="83"/>
  <c r="O19" i="83"/>
  <c r="H16" i="83"/>
  <c r="I16" i="83"/>
  <c r="K16" i="83"/>
  <c r="W16" i="83" s="1"/>
  <c r="L16" i="83"/>
  <c r="N16" i="83"/>
  <c r="O16" i="83"/>
  <c r="P16" i="83"/>
  <c r="H13" i="83"/>
  <c r="I13" i="83"/>
  <c r="K13" i="83"/>
  <c r="W13" i="83" s="1"/>
  <c r="L13" i="83"/>
  <c r="N13" i="83"/>
  <c r="O13" i="83"/>
  <c r="H10" i="83"/>
  <c r="I10" i="83"/>
  <c r="K10" i="83"/>
  <c r="W10" i="83" s="1"/>
  <c r="L10" i="83"/>
  <c r="N10" i="83"/>
  <c r="O10" i="83"/>
  <c r="H7" i="83"/>
  <c r="I7" i="83"/>
  <c r="K7" i="83"/>
  <c r="L7" i="83"/>
  <c r="M7" i="83"/>
  <c r="N7" i="83"/>
  <c r="O7" i="83"/>
  <c r="O3" i="83" s="1"/>
  <c r="P81" i="72"/>
  <c r="P82" i="72"/>
  <c r="P83" i="72"/>
  <c r="P78" i="72"/>
  <c r="P79" i="72"/>
  <c r="P74" i="72"/>
  <c r="P75" i="72"/>
  <c r="P76" i="72"/>
  <c r="P72" i="72"/>
  <c r="P71" i="72"/>
  <c r="P69" i="72"/>
  <c r="P68" i="72"/>
  <c r="P66" i="72"/>
  <c r="M81" i="72"/>
  <c r="M82" i="72"/>
  <c r="M83" i="72"/>
  <c r="M79" i="72"/>
  <c r="M78" i="72"/>
  <c r="M74" i="72"/>
  <c r="M75" i="72"/>
  <c r="M76" i="72"/>
  <c r="M72" i="72"/>
  <c r="M71" i="72"/>
  <c r="M69" i="72"/>
  <c r="M68" i="72"/>
  <c r="M66" i="72"/>
  <c r="J81" i="72"/>
  <c r="J82" i="72"/>
  <c r="J83" i="72"/>
  <c r="J78" i="72"/>
  <c r="J79" i="72"/>
  <c r="J74" i="72"/>
  <c r="J75" i="72"/>
  <c r="J76" i="72"/>
  <c r="J72" i="72"/>
  <c r="J71" i="72"/>
  <c r="J69" i="72"/>
  <c r="J68" i="72"/>
  <c r="H80" i="72"/>
  <c r="I80" i="72"/>
  <c r="K80" i="72"/>
  <c r="L80" i="72"/>
  <c r="N80" i="72"/>
  <c r="O80" i="72"/>
  <c r="H77" i="72"/>
  <c r="I77" i="72"/>
  <c r="K77" i="72"/>
  <c r="L77" i="72"/>
  <c r="N77" i="72"/>
  <c r="O77" i="72"/>
  <c r="H73" i="72"/>
  <c r="I73" i="72"/>
  <c r="K73" i="72"/>
  <c r="L73" i="72"/>
  <c r="N73" i="72"/>
  <c r="O73" i="72"/>
  <c r="H70" i="72"/>
  <c r="I70" i="72"/>
  <c r="K70" i="72"/>
  <c r="L70" i="72"/>
  <c r="N70" i="72"/>
  <c r="O70" i="72"/>
  <c r="H67" i="72"/>
  <c r="I67" i="72"/>
  <c r="K67" i="72"/>
  <c r="L67" i="72"/>
  <c r="N67" i="72"/>
  <c r="O67" i="72"/>
  <c r="H22" i="72"/>
  <c r="I22" i="72"/>
  <c r="K22" i="72"/>
  <c r="L22" i="72"/>
  <c r="N22" i="72"/>
  <c r="O22" i="72"/>
  <c r="H6" i="83" l="1"/>
  <c r="J16" i="83"/>
  <c r="J22" i="83"/>
  <c r="J28" i="83"/>
  <c r="P13" i="83"/>
  <c r="P19" i="83"/>
  <c r="P6" i="83" s="1"/>
  <c r="P31" i="83"/>
  <c r="L6" i="81"/>
  <c r="AD10" i="81"/>
  <c r="AD13" i="81"/>
  <c r="Y22" i="81"/>
  <c r="J13" i="81"/>
  <c r="J19" i="81"/>
  <c r="J25" i="81"/>
  <c r="J31" i="81"/>
  <c r="M16" i="81"/>
  <c r="M22" i="81"/>
  <c r="M28" i="81"/>
  <c r="P13" i="81"/>
  <c r="P6" i="81" s="1"/>
  <c r="P19" i="81"/>
  <c r="P28" i="81"/>
  <c r="N3" i="81"/>
  <c r="X6" i="81"/>
  <c r="K3" i="83"/>
  <c r="W7" i="83"/>
  <c r="K6" i="81"/>
  <c r="Y19" i="81"/>
  <c r="N3" i="83"/>
  <c r="J13" i="83"/>
  <c r="J19" i="83"/>
  <c r="J31" i="83"/>
  <c r="P28" i="83"/>
  <c r="O3" i="81"/>
  <c r="Y7" i="81"/>
  <c r="Y13" i="81"/>
  <c r="AD19" i="81"/>
  <c r="AD22" i="81"/>
  <c r="AD25" i="81"/>
  <c r="J28" i="81"/>
  <c r="M13" i="81"/>
  <c r="M31" i="81"/>
  <c r="P31" i="81"/>
  <c r="K3" i="81"/>
  <c r="O3" i="72"/>
  <c r="O6" i="72"/>
  <c r="L3" i="72"/>
  <c r="I6" i="72"/>
  <c r="AB70" i="72"/>
  <c r="AC70" i="72" s="1"/>
  <c r="AD70" i="72" s="1"/>
  <c r="AD22" i="72"/>
  <c r="H6" i="72"/>
  <c r="P77" i="72"/>
  <c r="L6" i="72"/>
  <c r="J80" i="72"/>
  <c r="P73" i="72"/>
  <c r="P80" i="72"/>
  <c r="Y22" i="72"/>
  <c r="AB67" i="72"/>
  <c r="W70" i="72"/>
  <c r="X70" i="72" s="1"/>
  <c r="Y70" i="72" s="1"/>
  <c r="AB73" i="72"/>
  <c r="W77" i="72"/>
  <c r="X77" i="72" s="1"/>
  <c r="AB80" i="72"/>
  <c r="AC80" i="72" s="1"/>
  <c r="AD80" i="72"/>
  <c r="K3" i="72"/>
  <c r="W67" i="72"/>
  <c r="X67" i="72" s="1"/>
  <c r="W73" i="72"/>
  <c r="X73" i="72" s="1"/>
  <c r="AB77" i="72"/>
  <c r="AC77" i="72" s="1"/>
  <c r="W80" i="72"/>
  <c r="X80" i="72" s="1"/>
  <c r="J77" i="72"/>
  <c r="K6" i="72"/>
  <c r="M73" i="72"/>
  <c r="N3" i="72"/>
  <c r="M80" i="72"/>
  <c r="J73" i="72"/>
  <c r="M77" i="72"/>
  <c r="P70" i="72"/>
  <c r="M70" i="72"/>
  <c r="J22" i="72"/>
  <c r="J70" i="72"/>
  <c r="M67" i="72"/>
  <c r="P22" i="72"/>
  <c r="J67" i="72"/>
  <c r="M22" i="72"/>
  <c r="P67" i="72"/>
  <c r="G7" i="79"/>
  <c r="L3" i="83"/>
  <c r="L6" i="83"/>
  <c r="I6" i="83"/>
  <c r="M6" i="81"/>
  <c r="N6" i="81"/>
  <c r="J6" i="81"/>
  <c r="O6" i="81"/>
  <c r="I6" i="81"/>
  <c r="M6" i="83"/>
  <c r="J6" i="83"/>
  <c r="N6" i="83"/>
  <c r="O6" i="83"/>
  <c r="K6" i="83"/>
  <c r="N6" i="72"/>
  <c r="B7" i="79"/>
  <c r="AB6" i="72" l="1"/>
  <c r="Y67" i="72"/>
  <c r="X6" i="72"/>
  <c r="Y80" i="72"/>
  <c r="Y73" i="72"/>
  <c r="Y77" i="72"/>
  <c r="W6" i="72"/>
  <c r="AC67" i="72"/>
  <c r="AD77" i="72"/>
  <c r="AC73" i="72"/>
  <c r="AD73" i="72" s="1"/>
  <c r="J6" i="72"/>
  <c r="M6" i="72"/>
  <c r="P6" i="72"/>
  <c r="C9" i="79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AD67" i="72" l="1"/>
  <c r="AC6" i="72"/>
  <c r="E13" i="79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E7" i="79" s="1"/>
  <c r="E17" i="79"/>
  <c r="I17" i="79" s="1"/>
  <c r="H7" i="79"/>
  <c r="I8" i="79"/>
  <c r="D7" i="79"/>
  <c r="I7" i="79" l="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J11" i="71"/>
  <c r="P10" i="71"/>
  <c r="M10" i="71"/>
  <c r="J10" i="71"/>
  <c r="P8" i="71"/>
  <c r="M8" i="71"/>
  <c r="J8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AO6" i="83"/>
  <c r="AK6" i="83" l="1"/>
  <c r="AN6" i="83"/>
  <c r="AJ6" i="83"/>
  <c r="AJ3" i="83" s="1"/>
  <c r="AL6" i="83"/>
  <c r="AP6" i="83"/>
  <c r="W6" i="83" l="1"/>
  <c r="W3" i="83" s="1"/>
  <c r="AA3" i="83"/>
  <c r="AN3" i="83"/>
  <c r="Z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U3" i="83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7" i="71" l="1" a="1"/>
  <c r="AF7" i="71" s="1"/>
  <c r="AD7" i="71" s="1"/>
  <c r="AF15" i="71" a="1"/>
  <c r="AF15" i="71" s="1"/>
  <c r="AD15" i="71" s="1"/>
  <c r="AF14" i="71" a="1"/>
  <c r="AF14" i="71" s="1"/>
  <c r="AD14" i="71" s="1"/>
  <c r="AF12" i="71" a="1"/>
  <c r="AF12" i="71" s="1"/>
  <c r="AD12" i="71" s="1"/>
  <c r="AF11" i="71" a="1"/>
  <c r="AF11" i="71" s="1"/>
  <c r="AD11" i="71" s="1"/>
  <c r="AF13" i="71" a="1"/>
  <c r="AF13" i="71" s="1"/>
  <c r="AD13" i="71" s="1"/>
  <c r="I7" i="56"/>
  <c r="AO7" i="71" l="1"/>
  <c r="AK7" i="71"/>
  <c r="U7" i="71"/>
  <c r="V7" i="71"/>
  <c r="W7" i="71" s="1"/>
  <c r="Z7" i="71"/>
  <c r="AA7" i="71" s="1"/>
  <c r="Z11" i="71"/>
  <c r="AA11" i="71" s="1"/>
  <c r="AO11" i="71"/>
  <c r="U11" i="71"/>
  <c r="V11" i="71" s="1"/>
  <c r="AK11" i="71"/>
  <c r="AB11" i="71"/>
  <c r="U12" i="71"/>
  <c r="V12" i="71" s="1"/>
  <c r="W12" i="71" s="1"/>
  <c r="Z12" i="71"/>
  <c r="AA12" i="71" s="1"/>
  <c r="AB12" i="71" s="1"/>
  <c r="AO12" i="71"/>
  <c r="AK12" i="71"/>
  <c r="Z14" i="71"/>
  <c r="AA14" i="71" s="1"/>
  <c r="AB14" i="71" s="1"/>
  <c r="U14" i="71"/>
  <c r="V14" i="71" s="1"/>
  <c r="W14" i="71" s="1"/>
  <c r="AK14" i="71"/>
  <c r="AO14" i="71"/>
  <c r="U13" i="71"/>
  <c r="AO13" i="71"/>
  <c r="Z13" i="71"/>
  <c r="AA13" i="71" s="1"/>
  <c r="AB13" i="71" s="1"/>
  <c r="AK13" i="71"/>
  <c r="V13" i="71"/>
  <c r="W13" i="71" s="1"/>
  <c r="AO15" i="71"/>
  <c r="Z15" i="71"/>
  <c r="AA15" i="71" s="1"/>
  <c r="AB15" i="71" s="1"/>
  <c r="U15" i="71"/>
  <c r="V15" i="71" s="1"/>
  <c r="AK15" i="71"/>
  <c r="AF10" i="71" a="1"/>
  <c r="AF10" i="71" s="1"/>
  <c r="AD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AD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AD9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7" i="71" l="1"/>
  <c r="AO8" i="71"/>
  <c r="AK8" i="71"/>
  <c r="Z8" i="71"/>
  <c r="AA8" i="71" s="1"/>
  <c r="AB8" i="71" s="1"/>
  <c r="U8" i="71"/>
  <c r="V8" i="71" s="1"/>
  <c r="Z10" i="71"/>
  <c r="AA10" i="71" s="1"/>
  <c r="AB10" i="71" s="1"/>
  <c r="U10" i="71"/>
  <c r="V10" i="71" s="1"/>
  <c r="W10" i="71" s="1"/>
  <c r="AK10" i="71"/>
  <c r="AO10" i="71"/>
  <c r="W11" i="71"/>
  <c r="U9" i="71"/>
  <c r="AO9" i="71"/>
  <c r="AK9" i="71"/>
  <c r="W15" i="7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W8" i="71" l="1"/>
  <c r="AL8" i="71"/>
  <c r="AN8" i="71"/>
  <c r="AP8" i="71"/>
  <c r="AJ8" i="71"/>
  <c r="AP10" i="71"/>
  <c r="AN10" i="71"/>
  <c r="AJ10" i="71"/>
  <c r="H7" i="68"/>
  <c r="AN12" i="71"/>
  <c r="AP12" i="71"/>
  <c r="AJ12" i="71"/>
  <c r="AN15" i="71"/>
  <c r="AJ15" i="71"/>
  <c r="AP15" i="71"/>
  <c r="AJ9" i="71"/>
  <c r="AN9" i="71"/>
  <c r="H7" i="69"/>
  <c r="AP14" i="71"/>
  <c r="AN14" i="71"/>
  <c r="AJ14" i="71"/>
  <c r="AP13" i="71"/>
  <c r="AJ13" i="71"/>
  <c r="AN13" i="71"/>
  <c r="E3" i="69"/>
  <c r="G3" i="68"/>
  <c r="J8" i="68"/>
  <c r="AJ7" i="71"/>
  <c r="AN7" i="71"/>
  <c r="G3" i="69"/>
  <c r="AP11" i="71"/>
  <c r="AN11" i="71"/>
  <c r="AJ11" i="71"/>
  <c r="E3" i="68"/>
  <c r="I8" i="68"/>
  <c r="K11" i="56"/>
  <c r="M11" i="56" s="1"/>
  <c r="K13" i="56"/>
  <c r="M13" i="56" s="1"/>
  <c r="K14" i="56"/>
  <c r="F25" i="48"/>
  <c r="D12" i="56"/>
  <c r="D10" i="56"/>
  <c r="D7" i="56"/>
  <c r="AL12" i="71" l="1"/>
  <c r="AP7" i="71"/>
  <c r="AL14" i="71"/>
  <c r="AL13" i="71"/>
  <c r="B12" i="56"/>
  <c r="F12" i="56" s="1"/>
  <c r="AL7" i="71"/>
  <c r="I12" i="56"/>
  <c r="AL11" i="71"/>
  <c r="K8" i="68"/>
  <c r="AN6" i="71"/>
  <c r="AL10" i="71"/>
  <c r="AJ6" i="71"/>
  <c r="AK6" i="71"/>
  <c r="AL15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B8" i="73"/>
  <c r="M6" i="71"/>
  <c r="B13" i="73"/>
  <c r="E13" i="73" s="1"/>
  <c r="V9" i="71"/>
  <c r="W9" i="71" s="1"/>
  <c r="V6" i="71"/>
  <c r="B12" i="73"/>
  <c r="E12" i="73" s="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6" i="71"/>
  <c r="D24" i="79"/>
  <c r="D23" i="79" s="1"/>
  <c r="N6" i="71"/>
  <c r="C24" i="79" s="1"/>
  <c r="O6" i="71"/>
  <c r="E25" i="68"/>
  <c r="E24" i="68" s="1"/>
  <c r="AL9" i="71"/>
  <c r="AL6" i="71" s="1"/>
  <c r="Y9" i="71"/>
  <c r="I8" i="73" s="1"/>
  <c r="I7" i="73" l="1"/>
  <c r="W6" i="71"/>
  <c r="W3" i="71" s="1"/>
  <c r="B9" i="73"/>
  <c r="B5" i="73" s="1"/>
  <c r="V3" i="71"/>
  <c r="B6" i="73"/>
  <c r="C6" i="73" s="1"/>
  <c r="F13" i="73"/>
  <c r="W3" i="81"/>
  <c r="E14" i="73"/>
  <c r="I6" i="73"/>
  <c r="E24" i="79"/>
  <c r="C23" i="79"/>
  <c r="M8" i="79"/>
  <c r="C9" i="73"/>
  <c r="D25" i="68"/>
  <c r="E11" i="73"/>
  <c r="F12" i="73"/>
  <c r="F10" i="73"/>
  <c r="AJ3" i="71"/>
  <c r="E10" i="73"/>
  <c r="U3" i="71"/>
  <c r="I13" i="73"/>
  <c r="I14" i="73"/>
  <c r="Z9" i="71"/>
  <c r="AA9" i="71" s="1"/>
  <c r="AA6" i="71" s="1"/>
  <c r="I10" i="73"/>
  <c r="I12" i="73"/>
  <c r="I11" i="73"/>
  <c r="W3" i="72"/>
  <c r="E9" i="73" l="1"/>
  <c r="F9" i="73"/>
  <c r="C5" i="73"/>
  <c r="M14" i="73"/>
  <c r="L14" i="73"/>
  <c r="O8" i="79"/>
  <c r="M7" i="79"/>
  <c r="O7" i="79" s="1"/>
  <c r="M13" i="73"/>
  <c r="L13" i="73"/>
  <c r="D24" i="68"/>
  <c r="I25" i="68"/>
  <c r="J25" i="68" s="1"/>
  <c r="I7" i="68"/>
  <c r="K7" i="68" s="1"/>
  <c r="I9" i="73"/>
  <c r="I5" i="73" s="1"/>
  <c r="L10" i="73"/>
  <c r="M10" i="73"/>
  <c r="E23" i="79"/>
  <c r="I24" i="79"/>
  <c r="I23" i="79" s="1"/>
  <c r="L11" i="73"/>
  <c r="M11" i="73"/>
  <c r="M12" i="73"/>
  <c r="L12" i="73"/>
  <c r="AB9" i="71"/>
  <c r="Z6" i="71"/>
  <c r="AP9" i="71"/>
  <c r="AP6" i="71" s="1"/>
  <c r="J6" i="73"/>
  <c r="AB3" i="81" l="1"/>
  <c r="Z3" i="71"/>
  <c r="AA3" i="71"/>
  <c r="J5" i="73" s="1"/>
  <c r="AN3" i="71"/>
  <c r="AB3" i="72"/>
  <c r="AB6" i="71"/>
  <c r="AB3" i="71" s="1"/>
  <c r="I24" i="68"/>
  <c r="J24" i="68" s="1"/>
  <c r="M7" i="68"/>
  <c r="N10" i="68" s="1"/>
  <c r="N14" i="68" s="1"/>
  <c r="I18" i="73"/>
  <c r="J9" i="73"/>
  <c r="L9" i="73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<sst xmlns="http://schemas.openxmlformats.org/spreadsheetml/2006/main" count="1560" uniqueCount="670">
  <si>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</si>
  <si>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</si>
  <si>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</si>
  <si>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</si>
  <si>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</si>
  <si>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</si>
  <si>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</si>
  <si>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</si>
  <si>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</si>
  <si>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</si>
  <si>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</si>
  <si>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</si>
  <si>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</si>
  <si>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</si>
  <si>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</si>
  <si>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</si>
  <si>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</si>
  <si>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</si>
  <si>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</si>
  <si>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</si>
  <si>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</si>
  <si>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</si>
  <si>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</si>
  <si>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</si>
  <si>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</si>
  <si>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</si>
  <si>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</si>
  <si>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</si>
  <si>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</si>
  <si>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</si>
  <si>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</si>
  <si>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</si>
  <si>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</si>
  <si>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</si>
  <si>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</si>
  <si>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</si>
  <si>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</si>
  <si>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</si>
  <si>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</si>
  <si>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</si>
  <si>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</si>
  <si>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</si>
  <si>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</si>
  <si>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</si>
  <si>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</si>
  <si>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</si>
  <si>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</si>
  <si>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</si>
  <si>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</si>
  <si>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</si>
  <si>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</si>
  <si>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</si>
  <si>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</si>
  <si>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</si>
  <si>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</si>
  <si>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</si>
  <si>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</si>
  <si>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</si>
  <si>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</si>
  <si>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</si>
  <si>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</si>
  <si>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</si>
  <si>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</si>
  <si>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</si>
  <si>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</si>
  <si>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</si>
  <si>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</si>
  <si>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</si>
  <si>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</si>
  <si>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</si>
  <si>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</si>
  <si>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</si>
  <si>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</si>
  <si>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</si>
  <si>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</si>
  <si>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</si>
  <si>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</si>
  <si>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</si>
  <si>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</si>
  <si>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</si>
  <si>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</si>
  <si>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</si>
  <si>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</si>
  <si>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</si>
  <si>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</si>
  <si>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</si>
  <si>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</si>
  <si>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</si>
  <si>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</si>
  <si>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</si>
  <si>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</si>
  <si>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</si>
  <si>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</si>
  <si>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</si>
  <si>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</si>
  <si>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</si>
  <si>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</si>
  <si>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</si>
  <si>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</si>
  <si>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</si>
  <si>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</si>
  <si>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</si>
  <si>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</si>
  <si>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</si>
  <si>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</si>
  <si>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</si>
  <si>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</si>
  <si>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</si>
  <si>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</si>
  <si>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</si>
  <si>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</si>
  <si>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</si>
  <si>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</si>
  <si>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</si>
  <si>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</si>
  <si>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</si>
  <si>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</si>
  <si>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</si>
  <si>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</si>
  <si>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</si>
  <si>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</si>
  <si>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</si>
  <si>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</si>
  <si>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</si>
  <si>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</si>
  <si>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</si>
  <si>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</si>
  <si>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</si>
  <si>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</si>
  <si>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</si>
  <si>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</si>
  <si>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</si>
  <si>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</si>
  <si>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</si>
  <si>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</si>
  <si>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</si>
  <si>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</si>
  <si>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</si>
  <si>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</si>
  <si>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</si>
  <si>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</si>
  <si>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</si>
  <si>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</si>
  <si>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</si>
  <si>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</si>
  <si>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</si>
  <si>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</si>
  <si>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</si>
  <si>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</si>
  <si>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</si>
  <si>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</si>
  <si>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</si>
  <si>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</si>
  <si>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</si>
  <si>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</si>
  <si>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</si>
  <si>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</si>
  <si>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</si>
  <si>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</si>
  <si>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</si>
  <si>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</si>
  <si>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</si>
  <si>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</si>
  <si>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</si>
  <si>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</si>
  <si>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</si>
  <si>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</si>
  <si>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</si>
  <si>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</si>
  <si>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</si>
  <si>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</si>
  <si>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</si>
  <si>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</si>
  <si>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</si>
  <si>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</si>
  <si>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</si>
  <si>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</si>
  <si>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</si>
  <si>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</si>
  <si>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</si>
  <si>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</si>
  <si>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</si>
  <si>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</si>
  <si>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</si>
  <si>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</si>
  <si>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</si>
  <si>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</si>
  <si>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</si>
  <si>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</si>
  <si>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</si>
  <si>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</si>
  <si>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</si>
  <si>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</si>
  <si>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</si>
  <si>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</si>
  <si>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</si>
  <si>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</si>
  <si>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</si>
  <si>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</si>
  <si>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</si>
  <si>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</si>
  <si>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</si>
  <si>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</si>
  <si>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</si>
  <si>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</si>
  <si>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</si>
  <si>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</si>
  <si>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</si>
  <si>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</si>
  <si>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</si>
  <si>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</si>
  <si>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</si>
  <si>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</si>
  <si>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</si>
  <si>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</si>
  <si>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</si>
  <si>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</si>
  <si>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</si>
  <si>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</si>
  <si>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</si>
  <si>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</si>
  <si>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</si>
  <si>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</si>
  <si>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</si>
  <si>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</si>
  <si>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</si>
  <si>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</si>
  <si>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</si>
  <si>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</si>
  <si>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</si>
  <si>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</si>
  <si>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</si>
  <si>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</si>
  <si>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</si>
  <si>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</si>
  <si>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</si>
  <si>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</si>
  <si>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</si>
  <si>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</si>
  <si>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</si>
  <si>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</si>
  <si>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</si>
  <si>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</si>
  <si>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</si>
  <si>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</si>
  <si>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</si>
  <si>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</si>
  <si>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</si>
  <si>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</si>
  <si>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</si>
  <si>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</si>
  <si>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</si>
  <si>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</si>
  <si>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</si>
  <si>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</si>
  <si>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</si>
  <si>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</si>
  <si>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</si>
  <si>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</si>
  <si>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</si>
  <si>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</si>
  <si>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</si>
  <si>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</si>
  <si>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</si>
  <si>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</si>
  <si>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</si>
  <si>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</si>
  <si>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</si>
  <si>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</si>
  <si>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</si>
  <si>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</si>
  <si>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</si>
  <si>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</si>
  <si>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</si>
  <si>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</si>
  <si>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</si>
  <si>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</si>
  <si>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</si>
  <si>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</si>
  <si>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</si>
  <si>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</si>
  <si>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</si>
  <si>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</si>
  <si>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</si>
  <si>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</si>
  <si>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</si>
  <si>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</si>
  <si>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</si>
  <si>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</si>
  <si>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</si>
  <si>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</si>
  <si>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</si>
  <si>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</si>
  <si>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</si>
  <si>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</si>
  <si>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</si>
  <si>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</si>
  <si>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</si>
  <si>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</si>
  <si>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</si>
  <si>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</si>
  <si>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</si>
  <si>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</si>
  <si>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</si>
  <si>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</si>
  <si>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</si>
  <si>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</si>
  <si>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</si>
  <si>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</si>
  <si>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</si>
  <si>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</si>
  <si>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</si>
  <si>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</si>
  <si>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</si>
  <si>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</si>
  <si>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</si>
  <si>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</si>
  <si>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</si>
  <si>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</si>
  <si>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</si>
  <si>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</si>
  <si>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</si>
  <si>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</si>
  <si>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</si>
  <si>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</si>
  <si>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</si>
  <si>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</si>
  <si>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</si>
  <si>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</si>
  <si>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</si>
  <si>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</si>
  <si>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</si>
  <si>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</si>
  <si>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</si>
  <si>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</si>
  <si>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</si>
  <si>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</si>
  <si>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</si>
  <si>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</si>
  <si>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</si>
  <si>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</si>
  <si>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</si>
  <si>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</si>
  <si>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</si>
  <si>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</si>
  <si>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</si>
  <si>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</si>
  <si>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</si>
  <si>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</si>
  <si>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</si>
  <si>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</si>
  <si>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</si>
  <si>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</si>
  <si>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</si>
  <si>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</si>
  <si>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</si>
  <si>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</si>
  <si>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</si>
  <si>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</si>
  <si>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</si>
  <si>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</si>
  <si>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</si>
  <si>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</si>
  <si>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</si>
  <si>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</si>
  <si>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</si>
  <si>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</si>
  <si>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</si>
  <si>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</si>
  <si>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</si>
  <si>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</si>
  <si>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</si>
  <si>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</si>
  <si>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</si>
  <si>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</si>
  <si>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</si>
  <si>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</si>
  <si>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</si>
  <si>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</si>
  <si>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</si>
  <si>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</si>
  <si>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</si>
  <si>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</si>
  <si>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</si>
  <si>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</si>
  <si>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</si>
  <si>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</si>
  <si>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</si>
  <si>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</si>
  <si>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</si>
  <si>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</si>
  <si>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</si>
  <si>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</si>
  <si>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</si>
  <si>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</si>
  <si>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</si>
  <si>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</si>
  <si>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</si>
  <si>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</si>
  <si>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</si>
  <si>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</si>
  <si>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</si>
  <si>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</si>
  <si>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</si>
  <si>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</si>
  <si>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</si>
  <si>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</si>
  <si>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</si>
  <si>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</si>
  <si>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</si>
  <si>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</si>
  <si>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</si>
  <si>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</si>
  <si>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</si>
  <si>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</si>
  <si>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</si>
  <si>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</si>
  <si>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</si>
  <si>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</si>
  <si>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</si>
  <si>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</si>
  <si>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</si>
  <si>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</si>
  <si>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</si>
  <si>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</si>
  <si>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</si>
  <si>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</si>
  <si>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</si>
  <si>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</si>
  <si>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</si>
  <si>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</si>
  <si>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</si>
  <si>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</si>
  <si>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</si>
  <si>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</si>
  <si>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</si>
  <si>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</si>
  <si>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</si>
  <si>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</si>
  <si>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</si>
  <si>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</si>
  <si>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</si>
  <si>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</si>
  <si>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</si>
  <si>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</si>
  <si>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</si>
  <si>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</si>
  <si>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</si>
  <si>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</si>
  <si>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</si>
  <si>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</si>
  <si>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</si>
  <si>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</si>
  <si>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</si>
  <si>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</si>
  <si>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</si>
  <si>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</si>
  <si>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</si>
  <si>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</si>
  <si>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</si>
  <si>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</si>
  <si>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</si>
  <si>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</si>
  <si>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</si>
  <si>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</si>
  <si>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</si>
  <si>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</si>
  <si>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</si>
  <si>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</si>
  <si>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</si>
  <si>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</si>
  <si>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</si>
  <si>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</si>
  <si>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</si>
  <si>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</si>
  <si>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</si>
  <si>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</si>
  <si>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</si>
  <si>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</si>
  <si>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</si>
  <si>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</si>
  <si>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</si>
  <si>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</si>
  <si>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</si>
  <si>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</si>
  <si>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</si>
  <si>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</si>
  <si>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</si>
  <si>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</si>
  <si>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</si>
  <si>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</si>
  <si>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</si>
  <si>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</si>
  <si>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</si>
  <si>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</si>
  <si>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</si>
  <si>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</si>
  <si>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</si>
  <si>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</si>
  <si>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</si>
  <si>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</si>
  <si>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</si>
  <si>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</si>
  <si>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</si>
  <si>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</si>
  <si>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</si>
  <si>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</si>
  <si>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</si>
  <si>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</si>
  <si>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</si>
  <si>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</si>
  <si>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</si>
  <si>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</si>
  <si>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</si>
  <si>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</si>
  <si>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</si>
  <si>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</si>
  <si>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</si>
  <si>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</si>
  <si>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</si>
  <si>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</si>
  <si>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</si>
  <si>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</si>
  <si>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</si>
  <si>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</si>
  <si>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</si>
  <si>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</si>
  <si>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</si>
  <si>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</si>
  <si>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</si>
  <si>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</si>
  <si>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</si>
  <si>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</si>
  <si>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</si>
  <si>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</si>
  <si>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</si>
  <si>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</si>
  <si>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</si>
  <si>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</si>
  <si>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</si>
  <si>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</si>
  <si>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</si>
  <si>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</si>
  <si>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</si>
  <si>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</si>
  <si>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</si>
  <si>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</si>
  <si>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</si>
  <si>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</si>
  <si>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</si>
  <si>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</si>
  <si>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</si>
  <si>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</si>
  <si>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</si>
  <si>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</si>
  <si>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</si>
  <si>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</si>
  <si>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</si>
  <si>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</si>
  <si>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</si>
  <si>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</si>
  <si>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</si>
  <si>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</si>
  <si>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</si>
  <si>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</si>
  <si>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</si>
  <si>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</si>
  <si>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</si>
  <si>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</si>
  <si>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</si>
  <si>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</si>
  <si>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</si>
  <si>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</si>
  <si>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</si>
  <si>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</si>
  <si>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</si>
  <si>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</si>
  <si>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</si>
  <si>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</si>
  <si>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</si>
  <si>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</si>
  <si>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</si>
  <si>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</si>
  <si>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</si>
  <si>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</si>
  <si>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</si>
  <si>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</si>
  <si>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</si>
  <si>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</si>
  <si>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</si>
  <si>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</si>
  <si>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</si>
  <si>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</si>
  <si>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</si>
  <si>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</si>
  <si>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</si>
  <si>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</si>
  <si>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</si>
  <si>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</si>
  <si>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</si>
  <si>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</si>
  <si>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</si>
  <si>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</si>
  <si>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</si>
  <si>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</si>
  <si>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</si>
  <si>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</si>
  <si>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</si>
  <si>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</si>
  <si>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</si>
  <si>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</si>
  <si>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</si>
  <si>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</si>
  <si>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</si>
  <si>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</si>
  <si>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</si>
  <si>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</si>
  <si>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</si>
  <si>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</si>
  <si>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</si>
  <si>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</si>
  <si>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</si>
  <si>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</si>
  <si>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</si>
  <si>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</si>
  <si>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</si>
  <si>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</si>
  <si>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의회운영위원회</t>
    <phoneticPr fontId="2" type="noConversion"/>
  </si>
  <si>
    <t>의회사무처</t>
    <phoneticPr fontId="2" type="noConversion"/>
  </si>
  <si>
    <t>대변인</t>
    <phoneticPr fontId="2" type="noConversion"/>
  </si>
  <si>
    <t>소통기획관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</si>
  <si>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</si>
  <si>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</si>
  <si>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</si>
  <si>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</si>
  <si>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</si>
  <si>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</si>
  <si>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</si>
  <si>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</si>
  <si>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</si>
  <si>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</si>
  <si>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</si>
  <si>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</si>
  <si>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</si>
  <si>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</si>
  <si>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</si>
  <si>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</si>
  <si>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</si>
  <si>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</si>
  <si>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문화체육관광국</t>
    <phoneticPr fontId="2" type="noConversion"/>
  </si>
  <si>
    <t>문화정책과</t>
    <phoneticPr fontId="2" type="noConversion"/>
  </si>
  <si>
    <t>3회추경</t>
  </si>
  <si>
    <t>송년제야행사(자체/직접)
- 2016년 송년 제야행사 개최</t>
    <phoneticPr fontId="2" type="noConversion"/>
  </si>
  <si>
    <t>문화유산과</t>
    <phoneticPr fontId="2" type="noConversion"/>
  </si>
  <si>
    <t>문화체육관광위원회</t>
    <phoneticPr fontId="2" type="noConversion"/>
  </si>
  <si>
    <t>문화체육관광국</t>
    <phoneticPr fontId="2" type="noConversion"/>
  </si>
  <si>
    <t>문화재 긴급보수사업</t>
    <phoneticPr fontId="2" type="noConversion"/>
  </si>
  <si>
    <r>
      <t xml:space="preserve">과목경정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FF0000"/>
        <rFont val="맑은 고딕"/>
        <family val="3"/>
        <charset val="129"/>
        <scheme val="major"/>
      </rPr>
      <t>(국고보조금에서 기금으로 목 변경)</t>
    </r>
    <phoneticPr fontId="2" type="noConversion"/>
  </si>
  <si>
    <t>2016 킨텍스 스푼 아트쇼(자체/직접)
- 2016 킨텍스 스푼 아트쇼</t>
    <phoneticPr fontId="2" type="noConversion"/>
  </si>
  <si>
    <t>신규</t>
  </si>
  <si>
    <t>-</t>
    <phoneticPr fontId="2" type="noConversion"/>
  </si>
  <si>
    <t>문화정책과</t>
    <phoneticPr fontId="2" type="noConversion"/>
  </si>
  <si>
    <t>본예산</t>
  </si>
  <si>
    <t>도단위 예술단체 문예진흥(자체/직접)
- 도단위 예술단체 문예진흥</t>
    <phoneticPr fontId="2" type="noConversion"/>
  </si>
  <si>
    <t>제2회 경기실버국악제 전국국악경연대회</t>
    <phoneticPr fontId="2" type="noConversion"/>
  </si>
  <si>
    <t>공기관 등에 대한 경상적 대행사업비</t>
    <phoneticPr fontId="2" type="noConversion"/>
  </si>
  <si>
    <t>문화유산과</t>
    <phoneticPr fontId="2" type="noConversion"/>
  </si>
  <si>
    <t>3회추경</t>
    <phoneticPr fontId="2" type="noConversion"/>
  </si>
  <si>
    <t>문화재긴급보수(기금/직접)
- 문화재긴급보수사업</t>
    <phoneticPr fontId="2" type="noConversion"/>
  </si>
  <si>
    <t>세부사업 변경
- (국비/직접)에서 (기금/직접)으로 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</si>
</sst>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91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2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3" fillId="0" borderId="46" xfId="0" applyNumberFormat="1" applyFont="1" applyBorder="1" applyAlignment="1">
      <alignment horizontal="center" vertical="center" wrapText="1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43" xfId="0" quotePrefix="1" applyNumberFormat="1" applyFont="1" applyBorder="1" applyAlignment="1">
      <alignment vertical="center" wrapText="1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3" fillId="0" borderId="37" xfId="0" applyNumberFormat="1" applyFont="1" applyBorder="1">
      <alignment vertical="center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/>
    </xf>
    <xf numFmtId="176" fontId="72" fillId="58" borderId="41" xfId="0" applyNumberFormat="1" applyFont="1" applyFill="1" applyBorder="1" applyAlignment="1">
      <alignment horizontal="centerContinuous" vertical="center" wrapText="1"/>
    </xf>
    <xf numFmtId="176" fontId="7" fillId="58" borderId="41" xfId="0" applyNumberFormat="1" applyFont="1" applyFill="1" applyBorder="1" applyAlignment="1">
      <alignment horizontal="right" vertical="center" shrinkToFit="1"/>
    </xf>
    <xf numFmtId="176" fontId="7" fillId="58" borderId="41" xfId="0" applyNumberFormat="1" applyFont="1" applyFill="1" applyBorder="1" applyAlignment="1">
      <alignment horizontal="center" vertical="center" shrinkToFit="1"/>
    </xf>
    <xf numFmtId="176" fontId="7" fillId="58" borderId="41" xfId="0" applyNumberFormat="1" applyFont="1" applyFill="1" applyBorder="1" applyAlignment="1">
      <alignment horizontal="left" vertical="center" wrapText="1"/>
    </xf>
    <xf numFmtId="176" fontId="72" fillId="58" borderId="43" xfId="0" applyNumberFormat="1" applyFont="1" applyFill="1" applyBorder="1" applyAlignment="1">
      <alignment horizontal="centerContinuous" vertical="center" wrapText="1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0" fontId="72" fillId="58" borderId="43" xfId="0" applyNumberFormat="1" applyFont="1" applyFill="1" applyBorder="1" applyAlignment="1">
      <alignment horizontal="centerContinuous" vertical="center" wrapText="1"/>
    </xf>
    <xf numFmtId="176" fontId="72" fillId="58" borderId="43" xfId="0" applyNumberFormat="1" applyFont="1" applyFill="1" applyBorder="1" applyAlignment="1">
      <alignment horizontal="centerContinuous" vertical="center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3" xfId="0" applyNumberFormat="1" applyFont="1" applyBorder="1" applyAlignment="1">
      <alignment vertical="center" wrapText="1"/>
    </xf>
    <xf numFmtId="49" fontId="4" fillId="0" borderId="43" xfId="0" applyNumberFormat="1" applyFont="1" applyBorder="1" applyAlignment="1">
      <alignment vertical="center" wrapText="1"/>
    </xf>
    <xf numFmtId="176" fontId="72" fillId="58" borderId="41" xfId="0" applyNumberFormat="1" applyFont="1" applyFill="1" applyBorder="1" applyAlignment="1">
      <alignment horizontal="centerContinuous" vertical="center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0" fontId="72" fillId="58" borderId="41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vertical="center"/>
    </xf>
    <xf numFmtId="0" fontId="72" fillId="58" borderId="43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8" fillId="52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7" fillId="0" borderId="43" xfId="0" applyNumberFormat="1" applyFont="1" applyBorder="1" applyAlignment="1">
      <alignment horizontal="right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65" fillId="0" borderId="43" xfId="0" applyNumberFormat="1" applyFont="1" applyBorder="1">
      <alignment vertical="center"/>
    </xf>
    <xf numFmtId="176" fontId="65" fillId="0" borderId="50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Fill="1" applyBorder="1">
      <alignment vertical="center"/>
    </xf>
    <xf numFmtId="176" fontId="65" fillId="0" borderId="50" xfId="0" applyNumberFormat="1" applyFont="1" applyFill="1" applyBorder="1">
      <alignment vertical="center"/>
    </xf>
    <xf numFmtId="49" fontId="92" fillId="0" borderId="43" xfId="0" applyNumberFormat="1" applyFont="1" applyBorder="1" applyAlignment="1">
      <alignment horizontal="center" vertical="center"/>
    </xf>
    <xf numFmtId="49" fontId="92" fillId="0" borderId="43" xfId="0" applyNumberFormat="1" applyFont="1" applyBorder="1" applyAlignment="1" applyProtection="1">
      <alignment horizontal="center" vertical="center"/>
      <protection locked="0"/>
    </xf>
    <xf numFmtId="49" fontId="92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49" fontId="63" fillId="0" borderId="43" xfId="0" applyNumberFormat="1" applyFont="1" applyFill="1" applyBorder="1" applyAlignment="1">
      <alignment horizontal="center" vertical="center" shrinkToFit="1"/>
    </xf>
    <xf numFmtId="0" fontId="92" fillId="0" borderId="43" xfId="0" applyNumberFormat="1" applyFont="1" applyBorder="1" applyAlignment="1">
      <alignment horizontal="center" vertical="center"/>
    </xf>
    <xf numFmtId="0" fontId="92" fillId="0" borderId="50" xfId="0" applyNumberFormat="1" applyFont="1" applyBorder="1" applyAlignment="1">
      <alignment horizontal="center" vertical="center"/>
    </xf>
    <xf numFmtId="176" fontId="92" fillId="0" borderId="43" xfId="0" applyNumberFormat="1" applyFont="1" applyBorder="1">
      <alignment vertical="center"/>
    </xf>
    <xf numFmtId="176" fontId="92" fillId="0" borderId="5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51" xfId="0" applyNumberFormat="1" applyFont="1" applyBorder="1" applyAlignment="1">
      <alignment vertical="center" wrapText="1"/>
    </xf>
    <xf numFmtId="176" fontId="3" fillId="56" borderId="51" xfId="0" applyNumberFormat="1" applyFont="1" applyFill="1" applyBorder="1" applyAlignment="1" applyProtection="1">
      <alignment vertical="center" wrapText="1"/>
      <protection locked="0"/>
    </xf>
    <xf numFmtId="176" fontId="3" fillId="56" borderId="51" xfId="0" applyNumberFormat="1" applyFont="1" applyFill="1" applyBorder="1" applyAlignment="1" applyProtection="1">
      <alignment horizontal="center" vertical="center" wrapText="1"/>
      <protection locked="0"/>
    </xf>
    <xf numFmtId="176" fontId="4" fillId="25" borderId="51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51" xfId="1" applyNumberFormat="1" applyFont="1" applyBorder="1" applyAlignment="1" applyProtection="1">
      <alignment horizontal="right" vertical="center" shrinkToFit="1"/>
      <protection locked="0"/>
    </xf>
    <xf numFmtId="176" fontId="4" fillId="25" borderId="51" xfId="1" applyNumberFormat="1" applyFont="1" applyFill="1" applyBorder="1" applyAlignment="1">
      <alignment horizontal="right" vertical="center" shrinkToFit="1"/>
    </xf>
    <xf numFmtId="176" fontId="4" fillId="0" borderId="51" xfId="1" applyNumberFormat="1" applyFont="1" applyFill="1" applyBorder="1" applyAlignment="1">
      <alignment horizontal="center" vertical="center" shrinkToFit="1"/>
    </xf>
    <xf numFmtId="176" fontId="4" fillId="0" borderId="51" xfId="0" applyNumberFormat="1" applyFont="1" applyFill="1" applyBorder="1" applyAlignment="1" applyProtection="1">
      <alignment horizontal="left" vertical="center" wrapText="1"/>
      <protection locked="0"/>
    </xf>
    <xf numFmtId="0" fontId="72" fillId="58" borderId="10" xfId="0" applyFont="1" applyFill="1" applyBorder="1" applyAlignment="1">
      <alignment horizontal="centerContinuous" vertical="center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3" fillId="0" borderId="10" xfId="0" applyNumberFormat="1" applyFont="1" applyBorder="1" applyAlignment="1">
      <alignment vertical="center" wrapText="1"/>
    </xf>
    <xf numFmtId="176" fontId="3" fillId="56" borderId="10" xfId="0" applyNumberFormat="1" applyFont="1" applyFill="1" applyBorder="1" applyAlignment="1" applyProtection="1">
      <alignment vertical="center" wrapText="1"/>
      <protection locked="0"/>
    </xf>
    <xf numFmtId="176" fontId="3" fillId="56" borderId="10" xfId="0" applyNumberFormat="1" applyFont="1" applyFill="1" applyBorder="1" applyAlignment="1" applyProtection="1">
      <alignment horizontal="center" vertical="center" wrapText="1"/>
      <protection locked="0"/>
    </xf>
    <xf numFmtId="176" fontId="4" fillId="25" borderId="10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10" xfId="1" applyNumberFormat="1" applyFont="1" applyBorder="1" applyAlignment="1" applyProtection="1">
      <alignment horizontal="right" vertical="center" shrinkToFit="1"/>
      <protection locked="0"/>
    </xf>
    <xf numFmtId="176" fontId="4" fillId="25" borderId="10" xfId="1" applyNumberFormat="1" applyFont="1" applyFill="1" applyBorder="1" applyAlignment="1">
      <alignment horizontal="right" vertical="center" shrinkToFit="1"/>
    </xf>
    <xf numFmtId="176" fontId="4" fillId="0" borderId="10" xfId="1" applyNumberFormat="1" applyFont="1" applyFill="1" applyBorder="1" applyAlignment="1">
      <alignment horizontal="right" vertical="center" shrinkToFit="1"/>
    </xf>
    <xf numFmtId="3" fontId="88" fillId="0" borderId="10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10" xfId="0" applyNumberFormat="1" applyFont="1" applyBorder="1" applyAlignment="1">
      <alignment vertical="center" wrapText="1"/>
    </xf>
    <xf numFmtId="176" fontId="4" fillId="56" borderId="10" xfId="0" applyNumberFormat="1" applyFont="1" applyFill="1" applyBorder="1" applyAlignment="1" applyProtection="1">
      <alignment vertical="center" wrapText="1"/>
      <protection locked="0"/>
    </xf>
    <xf numFmtId="176" fontId="4" fillId="56" borderId="10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10" xfId="1" applyNumberFormat="1" applyFont="1" applyFill="1" applyBorder="1" applyAlignment="1">
      <alignment horizontal="center" vertical="center" shrinkToFit="1"/>
    </xf>
    <xf numFmtId="176" fontId="65" fillId="56" borderId="10" xfId="0" applyNumberFormat="1" applyFont="1" applyFill="1" applyBorder="1" applyAlignment="1" applyProtection="1">
      <alignment vertical="center" wrapText="1"/>
      <protection locked="0"/>
    </xf>
    <xf numFmtId="0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4" fillId="0" borderId="10" xfId="0" applyNumberFormat="1" applyFont="1" applyFill="1" applyBorder="1" applyAlignment="1" applyProtection="1">
      <alignment horizontal="left" vertical="center" wrapText="1"/>
      <protection locked="0"/>
    </xf>
    <xf numFmtId="176" fontId="106" fillId="0" borderId="10" xfId="0" applyNumberFormat="1" applyFont="1" applyBorder="1" applyAlignment="1">
      <alignment vertical="center" wrapText="1"/>
    </xf>
    <xf numFmtId="176" fontId="107" fillId="0" borderId="10" xfId="0" applyNumberFormat="1" applyFont="1" applyBorder="1" applyAlignment="1">
      <alignment vertical="center" wrapText="1"/>
    </xf>
    <xf numFmtId="176" fontId="107" fillId="56" borderId="10" xfId="0" applyNumberFormat="1" applyFont="1" applyFill="1" applyBorder="1" applyAlignment="1" applyProtection="1">
      <alignment vertical="center" wrapText="1"/>
      <protection locked="0"/>
    </xf>
    <xf numFmtId="176" fontId="107" fillId="56" borderId="10" xfId="0" applyNumberFormat="1" applyFont="1" applyFill="1" applyBorder="1" applyAlignment="1" applyProtection="1">
      <alignment horizontal="center" vertical="center" wrapText="1"/>
      <protection locked="0"/>
    </xf>
    <xf numFmtId="176" fontId="107" fillId="25" borderId="10" xfId="1" applyNumberFormat="1" applyFont="1" applyFill="1" applyBorder="1" applyAlignment="1" applyProtection="1">
      <alignment horizontal="right" vertical="center" shrinkToFit="1"/>
      <protection locked="0"/>
    </xf>
    <xf numFmtId="176" fontId="107" fillId="0" borderId="10" xfId="1" applyNumberFormat="1" applyFont="1" applyBorder="1" applyAlignment="1" applyProtection="1">
      <alignment horizontal="right" vertical="center" shrinkToFit="1"/>
      <protection locked="0"/>
    </xf>
    <xf numFmtId="176" fontId="107" fillId="25" borderId="10" xfId="1" applyNumberFormat="1" applyFont="1" applyFill="1" applyBorder="1" applyAlignment="1">
      <alignment horizontal="right" vertical="center" shrinkToFit="1"/>
    </xf>
    <xf numFmtId="176" fontId="107" fillId="0" borderId="10" xfId="1" applyNumberFormat="1" applyFont="1" applyFill="1" applyBorder="1" applyAlignment="1">
      <alignment horizontal="center" vertical="center" shrinkToFit="1"/>
    </xf>
    <xf numFmtId="176" fontId="107" fillId="0" borderId="10" xfId="0" applyNumberFormat="1" applyFont="1" applyFill="1" applyBorder="1" applyAlignment="1" applyProtection="1">
      <alignment horizontal="left" vertical="center" wrapText="1"/>
      <protection locked="0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>
      <alignment horizontal="center" vertical="center"/>
    </xf>
    <xf numFmtId="49" fontId="5" fillId="55" borderId="43" xfId="0" applyNumberFormat="1" applyFont="1" applyFill="1" applyBorder="1" applyAlignment="1">
      <alignment horizontal="center" vertical="center"/>
    </xf>
    <xf numFmtId="176" fontId="69" fillId="55" borderId="41" xfId="0" applyNumberFormat="1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43" xfId="0" applyNumberFormat="1" applyFont="1" applyFill="1" applyBorder="1" applyAlignment="1">
      <alignment horizontal="center" vertical="center" wrapText="1"/>
    </xf>
    <xf numFmtId="176" fontId="8" fillId="2" borderId="41" xfId="0" applyNumberFormat="1" applyFont="1" applyFill="1" applyBorder="1" applyAlignment="1">
      <alignment horizontal="center" vertical="center" wrapText="1"/>
    </xf>
    <xf numFmtId="176" fontId="8" fillId="2" borderId="43" xfId="0" applyNumberFormat="1" applyFont="1" applyFill="1" applyBorder="1" applyAlignment="1">
      <alignment horizontal="center" vertical="center" wrapText="1"/>
    </xf>
    <xf numFmtId="176" fontId="5" fillId="52" borderId="41" xfId="0" applyNumberFormat="1" applyFont="1" applyFill="1" applyBorder="1" applyAlignment="1">
      <alignment horizontal="center" vertical="center"/>
    </xf>
    <xf numFmtId="176" fontId="5" fillId="52" borderId="43" xfId="0" applyNumberFormat="1" applyFont="1" applyFill="1" applyBorder="1" applyAlignment="1">
      <alignment horizontal="center" vertical="center"/>
    </xf>
    <xf numFmtId="176" fontId="70" fillId="52" borderId="41" xfId="0" applyNumberFormat="1" applyFont="1" applyFill="1" applyBorder="1" applyAlignment="1">
      <alignment horizontal="center" vertical="center"/>
    </xf>
    <xf numFmtId="176" fontId="8" fillId="52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/>
    </xf>
    <xf numFmtId="176" fontId="5" fillId="55" borderId="43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0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RowHeight="10.5"/>
  <cols>
    <col min="1" max="1" width="29" style="134" bestFit="1" customWidth="1"/>
    <col min="2" max="2" width="20.375" style="134" bestFit="1" customWidth="1"/>
    <col min="3" max="3" width="18.625" style="134" bestFit="1" customWidth="1"/>
    <col min="4" max="4" width="2.375" style="134" customWidth="1"/>
    <col min="5" max="5" width="18.625" style="134" bestFit="1" customWidth="1"/>
    <col min="6" max="6" width="29" style="134" bestFit="1" customWidth="1"/>
    <col min="7" max="7" width="20.375" style="134" bestFit="1" customWidth="1"/>
    <col min="8" max="8" width="8.5" style="143" bestFit="1" customWidth="1"/>
    <col min="9" max="9" width="8.5" style="144" bestFit="1" customWidth="1"/>
    <col min="10" max="16384" width="9" style="134"/>
  </cols>
  <sheetData>
    <row r="1" spans="1:19" ht="35.25" customHeight="1">
      <c r="A1" s="133" t="s">
        <v>507</v>
      </c>
      <c r="B1" s="133" t="s">
        <v>506</v>
      </c>
      <c r="C1" s="133" t="s">
        <v>505</v>
      </c>
      <c r="E1" s="135" t="s">
        <v>394</v>
      </c>
      <c r="F1" s="135" t="s">
        <v>508</v>
      </c>
      <c r="G1" s="135" t="s">
        <v>393</v>
      </c>
      <c r="H1" s="136" t="s">
        <v>127</v>
      </c>
      <c r="I1" s="135" t="s">
        <v>504</v>
      </c>
      <c r="K1" s="134" t="s">
        <v>519</v>
      </c>
      <c r="L1" s="134" t="s">
        <v>520</v>
      </c>
      <c r="M1" s="134" t="s">
        <v>645</v>
      </c>
      <c r="N1" s="134" t="s">
        <v>535</v>
      </c>
      <c r="O1" s="134" t="s">
        <v>536</v>
      </c>
      <c r="Q1" s="164" t="s">
        <v>552</v>
      </c>
      <c r="S1" s="134" t="s">
        <v>556</v>
      </c>
    </row>
    <row r="2" spans="1:19">
      <c r="A2" s="137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38" t="str">
        <f t="shared" ref="B2:B33" si="0">G2</f>
        <v>의회운영위원회</v>
      </c>
      <c r="C2" s="137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39" t="s">
        <v>61</v>
      </c>
      <c r="F2" s="140" t="s">
        <v>61</v>
      </c>
      <c r="G2" s="139" t="s">
        <v>17</v>
      </c>
      <c r="H2" s="141">
        <v>1</v>
      </c>
      <c r="I2" s="142" t="s">
        <v>129</v>
      </c>
      <c r="K2" s="134" t="s">
        <v>523</v>
      </c>
      <c r="L2" s="134" t="s">
        <v>523</v>
      </c>
      <c r="M2" s="134" t="s">
        <v>523</v>
      </c>
      <c r="N2" s="134" t="s">
        <v>535</v>
      </c>
      <c r="O2" s="134" t="s">
        <v>536</v>
      </c>
      <c r="Q2" s="164" t="s">
        <v>553</v>
      </c>
      <c r="S2" s="134" t="s">
        <v>557</v>
      </c>
    </row>
    <row r="3" spans="1:19">
      <c r="A3" s="137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38" t="str">
        <f t="shared" si="0"/>
        <v>의회운영위원회</v>
      </c>
      <c r="C3" s="137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39" t="s">
        <v>111</v>
      </c>
      <c r="F3" s="140" t="s">
        <v>266</v>
      </c>
      <c r="G3" s="139" t="s">
        <v>17</v>
      </c>
      <c r="H3" s="141">
        <v>2</v>
      </c>
      <c r="I3" s="142" t="s">
        <v>134</v>
      </c>
      <c r="K3" s="134" t="s">
        <v>59</v>
      </c>
      <c r="L3" s="134" t="s">
        <v>59</v>
      </c>
      <c r="M3" s="134" t="s">
        <v>59</v>
      </c>
      <c r="N3" s="134" t="s">
        <v>534</v>
      </c>
      <c r="O3" s="134" t="s">
        <v>537</v>
      </c>
      <c r="Q3" s="134" t="s">
        <v>554</v>
      </c>
      <c r="S3" s="134" t="s">
        <v>558</v>
      </c>
    </row>
    <row r="4" spans="1:19">
      <c r="A4" s="137" t="str">
        <f t="shared" si="1"/>
        <v>홍보담당관</v>
      </c>
      <c r="B4" s="138" t="str">
        <f t="shared" si="0"/>
        <v>의회운영위원회</v>
      </c>
      <c r="C4" s="137" t="str">
        <f t="shared" si="2"/>
        <v>대변인</v>
      </c>
      <c r="E4" s="139" t="s">
        <v>111</v>
      </c>
      <c r="F4" s="140" t="s">
        <v>268</v>
      </c>
      <c r="G4" s="139" t="s">
        <v>17</v>
      </c>
      <c r="H4" s="141">
        <v>3</v>
      </c>
      <c r="I4" s="142" t="s">
        <v>136</v>
      </c>
      <c r="K4" s="134" t="s">
        <v>516</v>
      </c>
      <c r="L4" s="134" t="s">
        <v>521</v>
      </c>
      <c r="M4" s="134" t="s">
        <v>521</v>
      </c>
      <c r="O4" s="134" t="s">
        <v>535</v>
      </c>
    </row>
    <row r="5" spans="1:19">
      <c r="A5" s="137" t="str">
        <f t="shared" si="1"/>
        <v>소통담당관</v>
      </c>
      <c r="B5" s="138" t="str">
        <f t="shared" si="0"/>
        <v>의회운영위원회</v>
      </c>
      <c r="C5" s="137" t="str">
        <f t="shared" si="2"/>
        <v>대변인</v>
      </c>
      <c r="E5" s="139" t="s">
        <v>111</v>
      </c>
      <c r="F5" s="140" t="s">
        <v>270</v>
      </c>
      <c r="G5" s="139" t="s">
        <v>17</v>
      </c>
      <c r="H5" s="141">
        <v>4</v>
      </c>
      <c r="I5" s="142" t="s">
        <v>138</v>
      </c>
      <c r="K5" s="134" t="s">
        <v>517</v>
      </c>
      <c r="L5" s="134" t="s">
        <v>517</v>
      </c>
      <c r="M5" s="134" t="s">
        <v>72</v>
      </c>
      <c r="O5" s="134" t="s">
        <v>534</v>
      </c>
    </row>
    <row r="6" spans="1:19">
      <c r="A6" s="137" t="str">
        <f t="shared" si="1"/>
        <v>대외협력담당관</v>
      </c>
      <c r="B6" s="138" t="str">
        <f t="shared" si="0"/>
        <v>의회운영위원회</v>
      </c>
      <c r="C6" s="137" t="str">
        <f t="shared" si="2"/>
        <v>대외협력담당관</v>
      </c>
      <c r="E6" s="139" t="s">
        <v>109</v>
      </c>
      <c r="F6" s="140" t="s">
        <v>109</v>
      </c>
      <c r="G6" s="139" t="s">
        <v>17</v>
      </c>
      <c r="H6" s="141">
        <v>5</v>
      </c>
      <c r="I6" s="142" t="s">
        <v>147</v>
      </c>
      <c r="K6" s="134" t="s">
        <v>522</v>
      </c>
      <c r="L6" s="134" t="s">
        <v>518</v>
      </c>
      <c r="M6" s="134" t="s">
        <v>518</v>
      </c>
    </row>
    <row r="7" spans="1:19">
      <c r="A7" s="137" t="str">
        <f t="shared" si="1"/>
        <v>서울사무소</v>
      </c>
      <c r="B7" s="138" t="str">
        <f t="shared" si="0"/>
        <v>의회운영위원회</v>
      </c>
      <c r="C7" s="137" t="str">
        <f t="shared" si="2"/>
        <v>대외협력담당관</v>
      </c>
      <c r="E7" s="139" t="s">
        <v>109</v>
      </c>
      <c r="F7" s="140" t="s">
        <v>306</v>
      </c>
      <c r="G7" s="139" t="s">
        <v>17</v>
      </c>
      <c r="H7" s="141">
        <v>6</v>
      </c>
      <c r="I7" s="142" t="s">
        <v>149</v>
      </c>
      <c r="K7" s="134" t="s">
        <v>518</v>
      </c>
      <c r="M7" s="134" t="s">
        <v>646</v>
      </c>
    </row>
    <row r="8" spans="1:19">
      <c r="A8" s="137" t="str">
        <f t="shared" si="1"/>
        <v>감사총괄담당관</v>
      </c>
      <c r="B8" s="138" t="str">
        <f t="shared" si="0"/>
        <v>기획재정위원회</v>
      </c>
      <c r="C8" s="137" t="str">
        <f t="shared" si="2"/>
        <v>감사관</v>
      </c>
      <c r="E8" s="139" t="s">
        <v>110</v>
      </c>
      <c r="F8" s="140" t="s">
        <v>128</v>
      </c>
      <c r="G8" s="139" t="s">
        <v>18</v>
      </c>
      <c r="H8" s="141">
        <v>7</v>
      </c>
      <c r="I8" s="142" t="s">
        <v>159</v>
      </c>
    </row>
    <row r="9" spans="1:19">
      <c r="A9" s="137" t="str">
        <f t="shared" si="1"/>
        <v>조사담당관</v>
      </c>
      <c r="B9" s="138" t="str">
        <f t="shared" si="0"/>
        <v>기획재정위원회</v>
      </c>
      <c r="C9" s="137" t="str">
        <f t="shared" si="2"/>
        <v>감사관</v>
      </c>
      <c r="E9" s="139" t="s">
        <v>110</v>
      </c>
      <c r="F9" s="140" t="s">
        <v>130</v>
      </c>
      <c r="G9" s="139" t="s">
        <v>18</v>
      </c>
      <c r="H9" s="141">
        <v>8</v>
      </c>
      <c r="I9" s="142" t="s">
        <v>161</v>
      </c>
    </row>
    <row r="10" spans="1:19">
      <c r="A10" s="137" t="str">
        <f t="shared" si="1"/>
        <v>감사담당관</v>
      </c>
      <c r="B10" s="138" t="str">
        <f t="shared" si="0"/>
        <v>기획재정위원회</v>
      </c>
      <c r="C10" s="137" t="str">
        <f t="shared" si="2"/>
        <v>감사관</v>
      </c>
      <c r="E10" s="139" t="s">
        <v>110</v>
      </c>
      <c r="F10" s="140" t="s">
        <v>131</v>
      </c>
      <c r="G10" s="139" t="s">
        <v>18</v>
      </c>
      <c r="H10" s="141">
        <v>9</v>
      </c>
      <c r="I10" s="142" t="s">
        <v>163</v>
      </c>
    </row>
    <row r="11" spans="1:19">
      <c r="A11" s="137" t="str">
        <f t="shared" si="1"/>
        <v>계약심사담당관</v>
      </c>
      <c r="B11" s="138" t="str">
        <f t="shared" si="0"/>
        <v>기획재정위원회</v>
      </c>
      <c r="C11" s="137" t="str">
        <f t="shared" si="2"/>
        <v>감사관</v>
      </c>
      <c r="E11" s="139" t="s">
        <v>110</v>
      </c>
      <c r="F11" s="140" t="s">
        <v>132</v>
      </c>
      <c r="G11" s="139" t="s">
        <v>18</v>
      </c>
      <c r="H11" s="141">
        <v>10</v>
      </c>
      <c r="I11" s="142" t="s">
        <v>165</v>
      </c>
    </row>
    <row r="12" spans="1:19">
      <c r="A12" s="137" t="str">
        <f t="shared" si="1"/>
        <v>기획담당관</v>
      </c>
      <c r="B12" s="138" t="str">
        <f t="shared" si="0"/>
        <v>기획재정위원회</v>
      </c>
      <c r="C12" s="137" t="str">
        <f t="shared" si="2"/>
        <v>기획조정실</v>
      </c>
      <c r="E12" s="139" t="s">
        <v>102</v>
      </c>
      <c r="F12" s="140" t="s">
        <v>133</v>
      </c>
      <c r="G12" s="139" t="s">
        <v>18</v>
      </c>
      <c r="H12" s="141">
        <v>11</v>
      </c>
      <c r="I12" s="142" t="s">
        <v>172</v>
      </c>
    </row>
    <row r="13" spans="1:19">
      <c r="A13" s="137" t="str">
        <f t="shared" si="1"/>
        <v>미래전략담당관</v>
      </c>
      <c r="B13" s="138" t="str">
        <f t="shared" si="0"/>
        <v>기획재정위원회</v>
      </c>
      <c r="C13" s="137" t="str">
        <f t="shared" si="2"/>
        <v>기획조정실</v>
      </c>
      <c r="E13" s="139" t="s">
        <v>102</v>
      </c>
      <c r="F13" s="140" t="s">
        <v>135</v>
      </c>
      <c r="G13" s="139" t="s">
        <v>18</v>
      </c>
      <c r="H13" s="141">
        <v>12</v>
      </c>
      <c r="I13" s="142" t="s">
        <v>174</v>
      </c>
    </row>
    <row r="14" spans="1:19">
      <c r="A14" s="137" t="str">
        <f t="shared" si="1"/>
        <v>예산담당관</v>
      </c>
      <c r="B14" s="138" t="str">
        <f t="shared" si="0"/>
        <v>기획재정위원회</v>
      </c>
      <c r="C14" s="137" t="str">
        <f t="shared" si="2"/>
        <v>기획조정실</v>
      </c>
      <c r="E14" s="139" t="s">
        <v>102</v>
      </c>
      <c r="F14" s="140" t="s">
        <v>137</v>
      </c>
      <c r="G14" s="139" t="s">
        <v>18</v>
      </c>
      <c r="H14" s="141">
        <v>13</v>
      </c>
      <c r="I14" s="142" t="s">
        <v>176</v>
      </c>
    </row>
    <row r="15" spans="1:19">
      <c r="A15" s="137" t="str">
        <f t="shared" si="1"/>
        <v>평가담당관</v>
      </c>
      <c r="B15" s="138" t="str">
        <f t="shared" si="0"/>
        <v>기획재정위원회</v>
      </c>
      <c r="C15" s="137" t="str">
        <f t="shared" si="2"/>
        <v>기획조정실</v>
      </c>
      <c r="E15" s="139" t="s">
        <v>102</v>
      </c>
      <c r="F15" s="140" t="s">
        <v>139</v>
      </c>
      <c r="G15" s="139" t="s">
        <v>18</v>
      </c>
      <c r="H15" s="141">
        <v>14</v>
      </c>
      <c r="I15" s="142" t="s">
        <v>417</v>
      </c>
    </row>
    <row r="16" spans="1:19">
      <c r="A16" s="137" t="str">
        <f t="shared" si="1"/>
        <v>법무담당관</v>
      </c>
      <c r="B16" s="138" t="str">
        <f t="shared" si="0"/>
        <v>기획재정위원회</v>
      </c>
      <c r="C16" s="137" t="str">
        <f t="shared" si="2"/>
        <v>기획조정실</v>
      </c>
      <c r="E16" s="139" t="s">
        <v>102</v>
      </c>
      <c r="F16" s="140" t="s">
        <v>140</v>
      </c>
      <c r="G16" s="139" t="s">
        <v>18</v>
      </c>
      <c r="H16" s="141">
        <v>15</v>
      </c>
      <c r="I16" s="142" t="s">
        <v>418</v>
      </c>
    </row>
    <row r="17" spans="1:9">
      <c r="A17" s="137" t="str">
        <f t="shared" si="1"/>
        <v>규제개혁추진단</v>
      </c>
      <c r="B17" s="138" t="str">
        <f t="shared" si="0"/>
        <v>기획재정위원회</v>
      </c>
      <c r="C17" s="137" t="str">
        <f t="shared" si="2"/>
        <v>기획조정실</v>
      </c>
      <c r="E17" s="139" t="s">
        <v>102</v>
      </c>
      <c r="F17" s="140" t="s">
        <v>141</v>
      </c>
      <c r="G17" s="139" t="s">
        <v>18</v>
      </c>
      <c r="H17" s="141">
        <v>16</v>
      </c>
      <c r="I17" s="142" t="s">
        <v>419</v>
      </c>
    </row>
    <row r="18" spans="1:9">
      <c r="A18" s="137" t="str">
        <f t="shared" si="1"/>
        <v>따복공동체지원단</v>
      </c>
      <c r="B18" s="138" t="str">
        <f t="shared" si="0"/>
        <v>기획재정위원회</v>
      </c>
      <c r="C18" s="137" t="str">
        <f t="shared" si="2"/>
        <v>기획조정실</v>
      </c>
      <c r="E18" s="139" t="s">
        <v>102</v>
      </c>
      <c r="F18" s="140" t="s">
        <v>142</v>
      </c>
      <c r="G18" s="139" t="s">
        <v>18</v>
      </c>
      <c r="H18" s="141">
        <v>17</v>
      </c>
      <c r="I18" s="142" t="s">
        <v>420</v>
      </c>
    </row>
    <row r="19" spans="1:9">
      <c r="A19" s="137" t="str">
        <f t="shared" si="1"/>
        <v>정보기획담당관</v>
      </c>
      <c r="B19" s="138" t="str">
        <f t="shared" si="0"/>
        <v>기획재정위원회</v>
      </c>
      <c r="C19" s="137" t="str">
        <f t="shared" si="2"/>
        <v>기획조정실</v>
      </c>
      <c r="E19" s="139" t="s">
        <v>102</v>
      </c>
      <c r="F19" s="140" t="s">
        <v>143</v>
      </c>
      <c r="G19" s="139" t="s">
        <v>18</v>
      </c>
      <c r="H19" s="141">
        <v>18</v>
      </c>
      <c r="I19" s="142" t="s">
        <v>421</v>
      </c>
    </row>
    <row r="20" spans="1:9">
      <c r="A20" s="137" t="str">
        <f t="shared" si="1"/>
        <v>정보통신보안담당관</v>
      </c>
      <c r="B20" s="138" t="str">
        <f t="shared" si="0"/>
        <v>기획재정위원회</v>
      </c>
      <c r="C20" s="137" t="str">
        <f t="shared" si="2"/>
        <v>기획조정실</v>
      </c>
      <c r="E20" s="139" t="s">
        <v>102</v>
      </c>
      <c r="F20" s="140" t="s">
        <v>144</v>
      </c>
      <c r="G20" s="139" t="s">
        <v>18</v>
      </c>
      <c r="H20" s="141">
        <v>19</v>
      </c>
      <c r="I20" s="142" t="s">
        <v>422</v>
      </c>
    </row>
    <row r="21" spans="1:9">
      <c r="A21" s="137" t="str">
        <f t="shared" si="1"/>
        <v>빅데이터담당관</v>
      </c>
      <c r="B21" s="138" t="str">
        <f t="shared" si="0"/>
        <v>기획재정위원회</v>
      </c>
      <c r="C21" s="137" t="str">
        <f t="shared" si="2"/>
        <v>기획조정실</v>
      </c>
      <c r="E21" s="139" t="s">
        <v>102</v>
      </c>
      <c r="F21" s="140" t="s">
        <v>145</v>
      </c>
      <c r="G21" s="139" t="s">
        <v>18</v>
      </c>
      <c r="H21" s="141">
        <v>20</v>
      </c>
      <c r="I21" s="142" t="s">
        <v>423</v>
      </c>
    </row>
    <row r="22" spans="1:9">
      <c r="A22" s="137" t="str">
        <f t="shared" si="1"/>
        <v>기획예산담당관</v>
      </c>
      <c r="B22" s="138" t="str">
        <f t="shared" si="0"/>
        <v>기획재정위원회</v>
      </c>
      <c r="C22" s="137" t="str">
        <f t="shared" si="2"/>
        <v>균형발전기획실</v>
      </c>
      <c r="E22" s="139" t="s">
        <v>308</v>
      </c>
      <c r="F22" s="140" t="s">
        <v>309</v>
      </c>
      <c r="G22" s="139" t="s">
        <v>18</v>
      </c>
      <c r="H22" s="141">
        <v>21</v>
      </c>
      <c r="I22" s="142" t="s">
        <v>178</v>
      </c>
    </row>
    <row r="23" spans="1:9">
      <c r="A23" s="137" t="str">
        <f t="shared" si="1"/>
        <v>균형발전담당관</v>
      </c>
      <c r="B23" s="138" t="str">
        <f t="shared" si="0"/>
        <v>기획재정위원회</v>
      </c>
      <c r="C23" s="137" t="str">
        <f t="shared" si="2"/>
        <v>균형발전기획실</v>
      </c>
      <c r="E23" s="139" t="s">
        <v>308</v>
      </c>
      <c r="F23" s="140" t="s">
        <v>311</v>
      </c>
      <c r="G23" s="139" t="s">
        <v>18</v>
      </c>
      <c r="H23" s="141">
        <v>22</v>
      </c>
      <c r="I23" s="142" t="s">
        <v>180</v>
      </c>
    </row>
    <row r="24" spans="1:9">
      <c r="A24" s="137" t="str">
        <f t="shared" si="1"/>
        <v>통일기반조성담당관</v>
      </c>
      <c r="B24" s="138" t="str">
        <f t="shared" si="0"/>
        <v>기획재정위원회</v>
      </c>
      <c r="C24" s="137" t="str">
        <f t="shared" si="2"/>
        <v>균형발전기획실</v>
      </c>
      <c r="E24" s="139" t="s">
        <v>308</v>
      </c>
      <c r="F24" s="140" t="s">
        <v>315</v>
      </c>
      <c r="G24" s="139" t="s">
        <v>18</v>
      </c>
      <c r="H24" s="141">
        <v>23</v>
      </c>
      <c r="I24" s="142" t="s">
        <v>182</v>
      </c>
    </row>
    <row r="25" spans="1:9">
      <c r="A25" s="137" t="str">
        <f t="shared" si="1"/>
        <v>DMZ정책담당관</v>
      </c>
      <c r="B25" s="138" t="str">
        <f t="shared" si="0"/>
        <v>기획재정위원회</v>
      </c>
      <c r="C25" s="137" t="str">
        <f t="shared" si="2"/>
        <v>균형발전기획실</v>
      </c>
      <c r="E25" s="139" t="s">
        <v>308</v>
      </c>
      <c r="F25" s="140" t="s">
        <v>317</v>
      </c>
      <c r="G25" s="139" t="s">
        <v>18</v>
      </c>
      <c r="H25" s="141">
        <v>24</v>
      </c>
      <c r="I25" s="142" t="s">
        <v>184</v>
      </c>
    </row>
    <row r="26" spans="1:9">
      <c r="A26" s="137" t="str">
        <f t="shared" si="1"/>
        <v>군관협력담당관</v>
      </c>
      <c r="B26" s="138" t="str">
        <f t="shared" si="0"/>
        <v>기획재정위원회</v>
      </c>
      <c r="C26" s="137" t="str">
        <f t="shared" si="2"/>
        <v>균형발전기획실</v>
      </c>
      <c r="E26" s="139" t="s">
        <v>308</v>
      </c>
      <c r="F26" s="140" t="s">
        <v>321</v>
      </c>
      <c r="G26" s="139" t="s">
        <v>18</v>
      </c>
      <c r="H26" s="141">
        <v>25</v>
      </c>
      <c r="I26" s="142" t="s">
        <v>186</v>
      </c>
    </row>
    <row r="27" spans="1:9">
      <c r="A27" s="137" t="str">
        <f t="shared" si="1"/>
        <v>경제정책과</v>
      </c>
      <c r="B27" s="138" t="str">
        <f t="shared" si="0"/>
        <v>경제과학기술위원회</v>
      </c>
      <c r="C27" s="137" t="str">
        <f t="shared" si="2"/>
        <v>경제실</v>
      </c>
      <c r="E27" s="139" t="s">
        <v>323</v>
      </c>
      <c r="F27" s="140" t="s">
        <v>324</v>
      </c>
      <c r="G27" s="139" t="s">
        <v>9</v>
      </c>
      <c r="H27" s="141">
        <v>26</v>
      </c>
      <c r="I27" s="142" t="s">
        <v>189</v>
      </c>
    </row>
    <row r="28" spans="1:9">
      <c r="A28" s="137" t="str">
        <f t="shared" si="1"/>
        <v>일자리정책과</v>
      </c>
      <c r="B28" s="138" t="str">
        <f t="shared" si="0"/>
        <v>경제과학기술위원회</v>
      </c>
      <c r="C28" s="137" t="str">
        <f t="shared" si="2"/>
        <v>경제실</v>
      </c>
      <c r="E28" s="139" t="s">
        <v>323</v>
      </c>
      <c r="F28" s="140" t="s">
        <v>326</v>
      </c>
      <c r="G28" s="139" t="s">
        <v>9</v>
      </c>
      <c r="H28" s="141">
        <v>27</v>
      </c>
      <c r="I28" s="142" t="s">
        <v>191</v>
      </c>
    </row>
    <row r="29" spans="1:9">
      <c r="A29" s="137" t="str">
        <f t="shared" si="1"/>
        <v>경기일자리센터</v>
      </c>
      <c r="B29" s="138" t="str">
        <f t="shared" si="0"/>
        <v>경제과학기술위원회</v>
      </c>
      <c r="C29" s="137" t="str">
        <f t="shared" si="2"/>
        <v>경제실</v>
      </c>
      <c r="E29" s="139" t="s">
        <v>323</v>
      </c>
      <c r="F29" s="140" t="s">
        <v>328</v>
      </c>
      <c r="G29" s="139" t="s">
        <v>9</v>
      </c>
      <c r="H29" s="141">
        <v>28</v>
      </c>
      <c r="I29" s="142" t="s">
        <v>193</v>
      </c>
    </row>
    <row r="30" spans="1:9">
      <c r="A30" s="137" t="str">
        <f t="shared" si="1"/>
        <v>사회적경제과</v>
      </c>
      <c r="B30" s="138" t="str">
        <f t="shared" si="0"/>
        <v>경제과학기술위원회</v>
      </c>
      <c r="C30" s="137" t="str">
        <f t="shared" si="2"/>
        <v>경제실</v>
      </c>
      <c r="E30" s="139" t="s">
        <v>323</v>
      </c>
      <c r="F30" s="140" t="s">
        <v>330</v>
      </c>
      <c r="G30" s="139" t="s">
        <v>9</v>
      </c>
      <c r="H30" s="141">
        <v>29</v>
      </c>
      <c r="I30" s="142" t="s">
        <v>194</v>
      </c>
    </row>
    <row r="31" spans="1:9">
      <c r="A31" s="137" t="str">
        <f t="shared" si="1"/>
        <v>기업지원과</v>
      </c>
      <c r="B31" s="138" t="str">
        <f t="shared" si="0"/>
        <v>경제과학기술위원회</v>
      </c>
      <c r="C31" s="137" t="str">
        <f t="shared" si="2"/>
        <v>경제실</v>
      </c>
      <c r="E31" s="139" t="s">
        <v>323</v>
      </c>
      <c r="F31" s="140" t="s">
        <v>332</v>
      </c>
      <c r="G31" s="139" t="s">
        <v>9</v>
      </c>
      <c r="H31" s="141">
        <v>30</v>
      </c>
      <c r="I31" s="142" t="s">
        <v>196</v>
      </c>
    </row>
    <row r="32" spans="1:9">
      <c r="A32" s="137" t="str">
        <f t="shared" si="1"/>
        <v>산업정책과</v>
      </c>
      <c r="B32" s="138" t="str">
        <f t="shared" si="0"/>
        <v>경제과학기술위원회</v>
      </c>
      <c r="C32" s="137" t="str">
        <f t="shared" si="2"/>
        <v>경제실</v>
      </c>
      <c r="E32" s="139" t="s">
        <v>323</v>
      </c>
      <c r="F32" s="140" t="s">
        <v>334</v>
      </c>
      <c r="G32" s="139" t="s">
        <v>9</v>
      </c>
      <c r="H32" s="141">
        <v>31</v>
      </c>
      <c r="I32" s="142" t="s">
        <v>198</v>
      </c>
    </row>
    <row r="33" spans="1:9">
      <c r="A33" s="137" t="str">
        <f t="shared" si="1"/>
        <v>특화산업과</v>
      </c>
      <c r="B33" s="138" t="str">
        <f t="shared" si="0"/>
        <v>경제과학기술위원회</v>
      </c>
      <c r="C33" s="137" t="str">
        <f t="shared" si="2"/>
        <v>경제실</v>
      </c>
      <c r="E33" s="139" t="s">
        <v>323</v>
      </c>
      <c r="F33" s="140" t="s">
        <v>336</v>
      </c>
      <c r="G33" s="139" t="s">
        <v>9</v>
      </c>
      <c r="H33" s="141">
        <v>32</v>
      </c>
      <c r="I33" s="142" t="s">
        <v>424</v>
      </c>
    </row>
    <row r="34" spans="1:9">
      <c r="A34" s="137" t="str">
        <f t="shared" si="1"/>
        <v>과학기술과</v>
      </c>
      <c r="B34" s="138" t="str">
        <f t="shared" ref="B34:B65" si="3">G34</f>
        <v>경제과학기술위원회</v>
      </c>
      <c r="C34" s="137" t="str">
        <f t="shared" si="2"/>
        <v>경제실</v>
      </c>
      <c r="E34" s="139" t="s">
        <v>323</v>
      </c>
      <c r="F34" s="140" t="s">
        <v>338</v>
      </c>
      <c r="G34" s="139" t="s">
        <v>9</v>
      </c>
      <c r="H34" s="141">
        <v>33</v>
      </c>
      <c r="I34" s="142" t="s">
        <v>425</v>
      </c>
    </row>
    <row r="35" spans="1:9">
      <c r="A35" s="137" t="str">
        <f t="shared" si="1"/>
        <v>외교정책과</v>
      </c>
      <c r="B35" s="138" t="str">
        <f t="shared" si="3"/>
        <v>경제과학기술위원회</v>
      </c>
      <c r="C35" s="137" t="str">
        <f t="shared" si="2"/>
        <v>경제실</v>
      </c>
      <c r="E35" s="139" t="s">
        <v>323</v>
      </c>
      <c r="F35" s="140" t="s">
        <v>339</v>
      </c>
      <c r="G35" s="139" t="s">
        <v>9</v>
      </c>
      <c r="H35" s="141">
        <v>34</v>
      </c>
      <c r="I35" s="142" t="s">
        <v>426</v>
      </c>
    </row>
    <row r="36" spans="1:9">
      <c r="A36" s="137" t="str">
        <f t="shared" si="1"/>
        <v>국제통상과</v>
      </c>
      <c r="B36" s="138" t="str">
        <f t="shared" si="3"/>
        <v>경제과학기술위원회</v>
      </c>
      <c r="C36" s="137" t="str">
        <f t="shared" si="2"/>
        <v>경제실</v>
      </c>
      <c r="E36" s="139" t="s">
        <v>323</v>
      </c>
      <c r="F36" s="140" t="s">
        <v>340</v>
      </c>
      <c r="G36" s="139" t="s">
        <v>9</v>
      </c>
      <c r="H36" s="141">
        <v>35</v>
      </c>
      <c r="I36" s="142" t="s">
        <v>427</v>
      </c>
    </row>
    <row r="37" spans="1:9">
      <c r="A37" s="137" t="str">
        <f t="shared" si="1"/>
        <v>투자진흥과</v>
      </c>
      <c r="B37" s="138" t="str">
        <f t="shared" si="3"/>
        <v>경제과학기술위원회</v>
      </c>
      <c r="C37" s="137" t="str">
        <f t="shared" si="2"/>
        <v>경제실</v>
      </c>
      <c r="E37" s="139" t="s">
        <v>323</v>
      </c>
      <c r="F37" s="140" t="s">
        <v>341</v>
      </c>
      <c r="G37" s="139" t="s">
        <v>9</v>
      </c>
      <c r="H37" s="141">
        <v>36</v>
      </c>
      <c r="I37" s="142" t="s">
        <v>428</v>
      </c>
    </row>
    <row r="38" spans="1:9">
      <c r="A38" s="137" t="str">
        <f t="shared" si="1"/>
        <v>기술학교</v>
      </c>
      <c r="B38" s="138" t="str">
        <f t="shared" si="3"/>
        <v>경제과학기술위원회</v>
      </c>
      <c r="C38" s="137" t="str">
        <f t="shared" si="2"/>
        <v>경제실</v>
      </c>
      <c r="E38" s="139" t="s">
        <v>323</v>
      </c>
      <c r="F38" s="140" t="s">
        <v>342</v>
      </c>
      <c r="G38" s="139" t="s">
        <v>9</v>
      </c>
      <c r="H38" s="141">
        <v>37</v>
      </c>
      <c r="I38" s="142" t="s">
        <v>429</v>
      </c>
    </row>
    <row r="39" spans="1:9">
      <c r="A39" s="137" t="str">
        <f t="shared" si="1"/>
        <v>총무과</v>
      </c>
      <c r="B39" s="138" t="str">
        <f t="shared" si="3"/>
        <v>안전행정위원회</v>
      </c>
      <c r="C39" s="137" t="str">
        <f t="shared" si="2"/>
        <v>자치행정국</v>
      </c>
      <c r="E39" s="139" t="s">
        <v>104</v>
      </c>
      <c r="F39" s="140" t="s">
        <v>158</v>
      </c>
      <c r="G39" s="139" t="s">
        <v>60</v>
      </c>
      <c r="H39" s="141">
        <v>38</v>
      </c>
      <c r="I39" s="142" t="s">
        <v>201</v>
      </c>
    </row>
    <row r="40" spans="1:9">
      <c r="A40" s="137" t="str">
        <f t="shared" si="1"/>
        <v>자치행정과</v>
      </c>
      <c r="B40" s="138" t="str">
        <f t="shared" si="3"/>
        <v>안전행정위원회</v>
      </c>
      <c r="C40" s="137" t="str">
        <f t="shared" si="2"/>
        <v>자치행정국</v>
      </c>
      <c r="E40" s="139" t="s">
        <v>104</v>
      </c>
      <c r="F40" s="140" t="s">
        <v>160</v>
      </c>
      <c r="G40" s="139" t="s">
        <v>60</v>
      </c>
      <c r="H40" s="141">
        <v>39</v>
      </c>
      <c r="I40" s="142" t="s">
        <v>203</v>
      </c>
    </row>
    <row r="41" spans="1:9">
      <c r="A41" s="137" t="str">
        <f t="shared" si="1"/>
        <v>인사과</v>
      </c>
      <c r="B41" s="138" t="str">
        <f t="shared" si="3"/>
        <v>안전행정위원회</v>
      </c>
      <c r="C41" s="137" t="str">
        <f t="shared" si="2"/>
        <v>자치행정국</v>
      </c>
      <c r="E41" s="139" t="s">
        <v>104</v>
      </c>
      <c r="F41" s="140" t="s">
        <v>162</v>
      </c>
      <c r="G41" s="139" t="s">
        <v>60</v>
      </c>
      <c r="H41" s="141">
        <v>40</v>
      </c>
      <c r="I41" s="142" t="s">
        <v>205</v>
      </c>
    </row>
    <row r="42" spans="1:9">
      <c r="A42" s="137" t="str">
        <f t="shared" si="1"/>
        <v>언제나민원실</v>
      </c>
      <c r="B42" s="138" t="str">
        <f t="shared" si="3"/>
        <v>안전행정위원회</v>
      </c>
      <c r="C42" s="137" t="str">
        <f t="shared" si="2"/>
        <v>자치행정국</v>
      </c>
      <c r="E42" s="139" t="s">
        <v>104</v>
      </c>
      <c r="F42" s="140" t="s">
        <v>164</v>
      </c>
      <c r="G42" s="139" t="s">
        <v>60</v>
      </c>
      <c r="H42" s="141">
        <v>41</v>
      </c>
      <c r="I42" s="142" t="s">
        <v>430</v>
      </c>
    </row>
    <row r="43" spans="1:9">
      <c r="A43" s="137" t="str">
        <f t="shared" si="1"/>
        <v>세정과</v>
      </c>
      <c r="B43" s="138" t="str">
        <f t="shared" si="3"/>
        <v>안전행정위원회</v>
      </c>
      <c r="C43" s="137" t="str">
        <f t="shared" si="2"/>
        <v>자치행정국</v>
      </c>
      <c r="E43" s="139" t="s">
        <v>104</v>
      </c>
      <c r="F43" s="140" t="s">
        <v>166</v>
      </c>
      <c r="G43" s="139" t="s">
        <v>60</v>
      </c>
      <c r="H43" s="141">
        <v>42</v>
      </c>
      <c r="I43" s="142" t="s">
        <v>431</v>
      </c>
    </row>
    <row r="44" spans="1:9">
      <c r="A44" s="137" t="str">
        <f t="shared" si="1"/>
        <v>세원관리과</v>
      </c>
      <c r="B44" s="138" t="str">
        <f t="shared" si="3"/>
        <v>안전행정위원회</v>
      </c>
      <c r="C44" s="137" t="str">
        <f t="shared" si="2"/>
        <v>자치행정국</v>
      </c>
      <c r="E44" s="139" t="s">
        <v>104</v>
      </c>
      <c r="F44" s="140" t="s">
        <v>167</v>
      </c>
      <c r="G44" s="139" t="s">
        <v>60</v>
      </c>
      <c r="H44" s="141">
        <v>43</v>
      </c>
      <c r="I44" s="142" t="s">
        <v>432</v>
      </c>
    </row>
    <row r="45" spans="1:9">
      <c r="A45" s="137" t="str">
        <f t="shared" si="1"/>
        <v>회계과</v>
      </c>
      <c r="B45" s="138" t="str">
        <f t="shared" si="3"/>
        <v>안전행정위원회</v>
      </c>
      <c r="C45" s="137" t="str">
        <f t="shared" si="2"/>
        <v>자치행정국</v>
      </c>
      <c r="E45" s="139" t="s">
        <v>104</v>
      </c>
      <c r="F45" s="140" t="s">
        <v>168</v>
      </c>
      <c r="G45" s="139" t="s">
        <v>60</v>
      </c>
      <c r="H45" s="141">
        <v>44</v>
      </c>
      <c r="I45" s="142" t="s">
        <v>433</v>
      </c>
    </row>
    <row r="46" spans="1:9">
      <c r="A46" s="137" t="str">
        <f t="shared" si="1"/>
        <v>특별사법경찰단</v>
      </c>
      <c r="B46" s="138" t="str">
        <f t="shared" si="3"/>
        <v>안전행정위원회</v>
      </c>
      <c r="C46" s="137" t="str">
        <f t="shared" si="2"/>
        <v>자치행정국</v>
      </c>
      <c r="E46" s="139" t="s">
        <v>104</v>
      </c>
      <c r="F46" s="140" t="s">
        <v>169</v>
      </c>
      <c r="G46" s="139" t="s">
        <v>60</v>
      </c>
      <c r="H46" s="141">
        <v>45</v>
      </c>
      <c r="I46" s="142" t="s">
        <v>434</v>
      </c>
    </row>
    <row r="47" spans="1:9">
      <c r="A47" s="137" t="str">
        <f t="shared" si="1"/>
        <v>소방행정과</v>
      </c>
      <c r="B47" s="138" t="str">
        <f t="shared" si="3"/>
        <v>안전행정위원회</v>
      </c>
      <c r="C47" s="137" t="str">
        <f t="shared" si="2"/>
        <v>재난안전본부</v>
      </c>
      <c r="E47" s="139" t="s">
        <v>206</v>
      </c>
      <c r="F47" s="140" t="s">
        <v>207</v>
      </c>
      <c r="G47" s="139" t="s">
        <v>60</v>
      </c>
      <c r="H47" s="141">
        <v>46</v>
      </c>
      <c r="I47" s="142" t="s">
        <v>208</v>
      </c>
    </row>
    <row r="48" spans="1:9">
      <c r="A48" s="137" t="str">
        <f t="shared" si="1"/>
        <v>재난안전과</v>
      </c>
      <c r="B48" s="138" t="str">
        <f t="shared" si="3"/>
        <v>안전행정위원회</v>
      </c>
      <c r="C48" s="137" t="str">
        <f t="shared" si="2"/>
        <v>재난안전본부</v>
      </c>
      <c r="E48" s="139" t="s">
        <v>206</v>
      </c>
      <c r="F48" s="140" t="s">
        <v>209</v>
      </c>
      <c r="G48" s="139" t="s">
        <v>60</v>
      </c>
      <c r="H48" s="141">
        <v>47</v>
      </c>
      <c r="I48" s="142" t="s">
        <v>210</v>
      </c>
    </row>
    <row r="49" spans="1:9">
      <c r="A49" s="137" t="str">
        <f t="shared" si="1"/>
        <v>재난대응과</v>
      </c>
      <c r="B49" s="138" t="str">
        <f t="shared" si="3"/>
        <v>안전행정위원회</v>
      </c>
      <c r="C49" s="137" t="str">
        <f t="shared" si="2"/>
        <v>재난안전본부</v>
      </c>
      <c r="E49" s="139" t="s">
        <v>206</v>
      </c>
      <c r="F49" s="140" t="s">
        <v>211</v>
      </c>
      <c r="G49" s="139" t="s">
        <v>60</v>
      </c>
      <c r="H49" s="141">
        <v>48</v>
      </c>
      <c r="I49" s="142" t="s">
        <v>212</v>
      </c>
    </row>
    <row r="50" spans="1:9">
      <c r="A50" s="137" t="str">
        <f t="shared" si="1"/>
        <v>재난종합지휘센터</v>
      </c>
      <c r="B50" s="138" t="str">
        <f t="shared" si="3"/>
        <v>안전행정위원회</v>
      </c>
      <c r="C50" s="137" t="str">
        <f t="shared" si="2"/>
        <v>재난안전본부</v>
      </c>
      <c r="E50" s="139" t="s">
        <v>206</v>
      </c>
      <c r="F50" s="140" t="s">
        <v>213</v>
      </c>
      <c r="G50" s="139" t="s">
        <v>60</v>
      </c>
      <c r="H50" s="141">
        <v>49</v>
      </c>
      <c r="I50" s="142" t="s">
        <v>214</v>
      </c>
    </row>
    <row r="51" spans="1:9">
      <c r="A51" s="137" t="str">
        <f t="shared" si="1"/>
        <v>안전교육훈련담당관</v>
      </c>
      <c r="B51" s="138" t="str">
        <f t="shared" si="3"/>
        <v>안전행정위원회</v>
      </c>
      <c r="C51" s="137" t="str">
        <f t="shared" si="2"/>
        <v>재난안전본부</v>
      </c>
      <c r="E51" s="139" t="s">
        <v>206</v>
      </c>
      <c r="F51" s="140" t="s">
        <v>215</v>
      </c>
      <c r="G51" s="139" t="s">
        <v>60</v>
      </c>
      <c r="H51" s="141">
        <v>50</v>
      </c>
      <c r="I51" s="142" t="s">
        <v>216</v>
      </c>
    </row>
    <row r="52" spans="1:9">
      <c r="A52" s="137" t="str">
        <f t="shared" si="1"/>
        <v>청문감사담당관</v>
      </c>
      <c r="B52" s="138" t="str">
        <f t="shared" si="3"/>
        <v>안전행정위원회</v>
      </c>
      <c r="C52" s="137" t="str">
        <f t="shared" si="2"/>
        <v>재난안전본부</v>
      </c>
      <c r="E52" s="139" t="s">
        <v>206</v>
      </c>
      <c r="F52" s="140" t="s">
        <v>217</v>
      </c>
      <c r="G52" s="139" t="s">
        <v>60</v>
      </c>
      <c r="H52" s="141">
        <v>51</v>
      </c>
      <c r="I52" s="142" t="s">
        <v>218</v>
      </c>
    </row>
    <row r="53" spans="1:9">
      <c r="A53" s="137" t="str">
        <f t="shared" si="1"/>
        <v>특수대응단</v>
      </c>
      <c r="B53" s="138" t="str">
        <f t="shared" si="3"/>
        <v>안전행정위원회</v>
      </c>
      <c r="C53" s="137" t="str">
        <f t="shared" si="2"/>
        <v>재난안전본부</v>
      </c>
      <c r="E53" s="139" t="s">
        <v>206</v>
      </c>
      <c r="F53" s="140" t="s">
        <v>219</v>
      </c>
      <c r="G53" s="139" t="s">
        <v>60</v>
      </c>
      <c r="H53" s="141">
        <v>52</v>
      </c>
      <c r="I53" s="142" t="s">
        <v>220</v>
      </c>
    </row>
    <row r="54" spans="1:9">
      <c r="A54" s="137" t="str">
        <f t="shared" si="1"/>
        <v>안전기획과</v>
      </c>
      <c r="B54" s="138" t="str">
        <f t="shared" si="3"/>
        <v>안전행정위원회</v>
      </c>
      <c r="C54" s="137" t="str">
        <f t="shared" si="2"/>
        <v>재난안전본부</v>
      </c>
      <c r="E54" s="139" t="s">
        <v>206</v>
      </c>
      <c r="F54" s="140" t="s">
        <v>221</v>
      </c>
      <c r="G54" s="139" t="s">
        <v>60</v>
      </c>
      <c r="H54" s="141">
        <v>53</v>
      </c>
      <c r="I54" s="142" t="s">
        <v>222</v>
      </c>
    </row>
    <row r="55" spans="1:9">
      <c r="A55" s="137" t="str">
        <f t="shared" si="1"/>
        <v>재난대책과</v>
      </c>
      <c r="B55" s="138" t="str">
        <f t="shared" si="3"/>
        <v>안전행정위원회</v>
      </c>
      <c r="C55" s="137" t="str">
        <f t="shared" si="2"/>
        <v>재난안전본부</v>
      </c>
      <c r="E55" s="139" t="s">
        <v>206</v>
      </c>
      <c r="F55" s="140" t="s">
        <v>223</v>
      </c>
      <c r="G55" s="139" t="s">
        <v>60</v>
      </c>
      <c r="H55" s="141">
        <v>54</v>
      </c>
      <c r="I55" s="142" t="s">
        <v>224</v>
      </c>
    </row>
    <row r="56" spans="1:9">
      <c r="A56" s="137" t="str">
        <f t="shared" si="1"/>
        <v>기동안전점검단</v>
      </c>
      <c r="B56" s="138" t="str">
        <f t="shared" si="3"/>
        <v>안전행정위원회</v>
      </c>
      <c r="C56" s="137" t="str">
        <f t="shared" si="2"/>
        <v>재난안전본부</v>
      </c>
      <c r="E56" s="139" t="s">
        <v>206</v>
      </c>
      <c r="F56" s="140" t="s">
        <v>225</v>
      </c>
      <c r="G56" s="139" t="s">
        <v>60</v>
      </c>
      <c r="H56" s="141">
        <v>55</v>
      </c>
      <c r="I56" s="142" t="s">
        <v>226</v>
      </c>
    </row>
    <row r="57" spans="1:9">
      <c r="A57" s="137" t="str">
        <f t="shared" si="1"/>
        <v>소방행정기획과</v>
      </c>
      <c r="B57" s="138" t="str">
        <f t="shared" si="3"/>
        <v>안전행정위원회</v>
      </c>
      <c r="C57" s="137" t="str">
        <f t="shared" si="2"/>
        <v>재난안전본부</v>
      </c>
      <c r="E57" s="139" t="s">
        <v>112</v>
      </c>
      <c r="F57" s="140" t="s">
        <v>227</v>
      </c>
      <c r="G57" s="139" t="s">
        <v>60</v>
      </c>
      <c r="H57" s="141">
        <v>56</v>
      </c>
      <c r="I57" s="142" t="s">
        <v>228</v>
      </c>
    </row>
    <row r="58" spans="1:9">
      <c r="A58" s="137" t="str">
        <f t="shared" si="1"/>
        <v>특수대응단(북부)</v>
      </c>
      <c r="B58" s="138" t="str">
        <f t="shared" si="3"/>
        <v>안전행정위원회</v>
      </c>
      <c r="C58" s="137" t="str">
        <f t="shared" si="2"/>
        <v>재난안전본부</v>
      </c>
      <c r="E58" s="139" t="s">
        <v>112</v>
      </c>
      <c r="F58" s="140" t="s">
        <v>219</v>
      </c>
      <c r="G58" s="139" t="s">
        <v>60</v>
      </c>
      <c r="H58" s="141">
        <v>57</v>
      </c>
      <c r="I58" s="142" t="s">
        <v>229</v>
      </c>
    </row>
    <row r="59" spans="1:9">
      <c r="A59" s="137" t="str">
        <f t="shared" si="1"/>
        <v>소방학교</v>
      </c>
      <c r="B59" s="138" t="str">
        <f t="shared" si="3"/>
        <v>안전행정위원회</v>
      </c>
      <c r="C59" s="137" t="str">
        <f t="shared" si="2"/>
        <v>재난안전본부</v>
      </c>
      <c r="E59" s="139" t="s">
        <v>117</v>
      </c>
      <c r="F59" s="140" t="s">
        <v>230</v>
      </c>
      <c r="G59" s="139" t="s">
        <v>60</v>
      </c>
      <c r="H59" s="141">
        <v>58</v>
      </c>
      <c r="I59" s="142" t="s">
        <v>265</v>
      </c>
    </row>
    <row r="60" spans="1:9">
      <c r="A60" s="137" t="str">
        <f t="shared" si="1"/>
        <v>수원소방서</v>
      </c>
      <c r="B60" s="138" t="str">
        <f t="shared" si="3"/>
        <v>안전행정위원회</v>
      </c>
      <c r="C60" s="137" t="str">
        <f t="shared" si="2"/>
        <v>재난안전본부</v>
      </c>
      <c r="E60" s="139" t="s">
        <v>118</v>
      </c>
      <c r="F60" s="140" t="s">
        <v>231</v>
      </c>
      <c r="G60" s="139" t="s">
        <v>60</v>
      </c>
      <c r="H60" s="141">
        <v>59</v>
      </c>
      <c r="I60" s="142" t="s">
        <v>267</v>
      </c>
    </row>
    <row r="61" spans="1:9">
      <c r="A61" s="137" t="str">
        <f t="shared" si="1"/>
        <v>성남소방서</v>
      </c>
      <c r="B61" s="138" t="str">
        <f t="shared" si="3"/>
        <v>안전행정위원회</v>
      </c>
      <c r="C61" s="137" t="str">
        <f t="shared" si="2"/>
        <v>재난안전본부</v>
      </c>
      <c r="E61" s="139" t="s">
        <v>118</v>
      </c>
      <c r="F61" s="140" t="s">
        <v>232</v>
      </c>
      <c r="G61" s="139" t="s">
        <v>60</v>
      </c>
      <c r="H61" s="141">
        <v>60</v>
      </c>
      <c r="I61" s="142" t="s">
        <v>269</v>
      </c>
    </row>
    <row r="62" spans="1:9">
      <c r="A62" s="137" t="str">
        <f t="shared" si="1"/>
        <v>분당소방서</v>
      </c>
      <c r="B62" s="138" t="str">
        <f t="shared" si="3"/>
        <v>안전행정위원회</v>
      </c>
      <c r="C62" s="137" t="str">
        <f t="shared" si="2"/>
        <v>재난안전본부</v>
      </c>
      <c r="E62" s="139" t="s">
        <v>118</v>
      </c>
      <c r="F62" s="140" t="s">
        <v>233</v>
      </c>
      <c r="G62" s="139" t="s">
        <v>60</v>
      </c>
      <c r="H62" s="141">
        <v>61</v>
      </c>
      <c r="I62" s="142" t="s">
        <v>271</v>
      </c>
    </row>
    <row r="63" spans="1:9">
      <c r="A63" s="137" t="str">
        <f t="shared" si="1"/>
        <v>부천소방서</v>
      </c>
      <c r="B63" s="138" t="str">
        <f t="shared" si="3"/>
        <v>안전행정위원회</v>
      </c>
      <c r="C63" s="137" t="str">
        <f t="shared" si="2"/>
        <v>재난안전본부</v>
      </c>
      <c r="E63" s="139" t="s">
        <v>118</v>
      </c>
      <c r="F63" s="140" t="s">
        <v>234</v>
      </c>
      <c r="G63" s="139" t="s">
        <v>60</v>
      </c>
      <c r="H63" s="141">
        <v>62</v>
      </c>
      <c r="I63" s="142" t="s">
        <v>435</v>
      </c>
    </row>
    <row r="64" spans="1:9">
      <c r="A64" s="137" t="str">
        <f t="shared" si="1"/>
        <v>안양소방서</v>
      </c>
      <c r="B64" s="138" t="str">
        <f t="shared" si="3"/>
        <v>안전행정위원회</v>
      </c>
      <c r="C64" s="137" t="str">
        <f t="shared" si="2"/>
        <v>재난안전본부</v>
      </c>
      <c r="E64" s="139" t="s">
        <v>118</v>
      </c>
      <c r="F64" s="140" t="s">
        <v>235</v>
      </c>
      <c r="G64" s="139" t="s">
        <v>60</v>
      </c>
      <c r="H64" s="141">
        <v>63</v>
      </c>
      <c r="I64" s="142" t="s">
        <v>436</v>
      </c>
    </row>
    <row r="65" spans="1:9">
      <c r="A65" s="137" t="str">
        <f t="shared" si="1"/>
        <v>안산소방서</v>
      </c>
      <c r="B65" s="138" t="str">
        <f t="shared" si="3"/>
        <v>안전행정위원회</v>
      </c>
      <c r="C65" s="137" t="str">
        <f t="shared" si="2"/>
        <v>재난안전본부</v>
      </c>
      <c r="E65" s="139" t="s">
        <v>118</v>
      </c>
      <c r="F65" s="140" t="s">
        <v>236</v>
      </c>
      <c r="G65" s="139" t="s">
        <v>60</v>
      </c>
      <c r="H65" s="141">
        <v>64</v>
      </c>
      <c r="I65" s="142" t="s">
        <v>437</v>
      </c>
    </row>
    <row r="66" spans="1:9">
      <c r="A66" s="137" t="str">
        <f t="shared" si="1"/>
        <v>용인소방서</v>
      </c>
      <c r="B66" s="138" t="str">
        <f t="shared" ref="B66:B97" si="4">G66</f>
        <v>안전행정위원회</v>
      </c>
      <c r="C66" s="137" t="str">
        <f t="shared" si="2"/>
        <v>재난안전본부</v>
      </c>
      <c r="E66" s="139" t="s">
        <v>118</v>
      </c>
      <c r="F66" s="140" t="s">
        <v>237</v>
      </c>
      <c r="G66" s="139" t="s">
        <v>60</v>
      </c>
      <c r="H66" s="141">
        <v>65</v>
      </c>
      <c r="I66" s="142" t="s">
        <v>438</v>
      </c>
    </row>
    <row r="67" spans="1:9">
      <c r="A67" s="137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38" t="str">
        <f t="shared" si="4"/>
        <v>안전행정위원회</v>
      </c>
      <c r="C67" s="137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39" t="s">
        <v>118</v>
      </c>
      <c r="F67" s="140" t="s">
        <v>238</v>
      </c>
      <c r="G67" s="139" t="s">
        <v>60</v>
      </c>
      <c r="H67" s="141">
        <v>66</v>
      </c>
      <c r="I67" s="142" t="s">
        <v>439</v>
      </c>
    </row>
    <row r="68" spans="1:9">
      <c r="A68" s="137" t="str">
        <f t="shared" si="5"/>
        <v>송탄소방서</v>
      </c>
      <c r="B68" s="138" t="str">
        <f t="shared" si="4"/>
        <v>안전행정위원회</v>
      </c>
      <c r="C68" s="137" t="str">
        <f t="shared" si="6"/>
        <v>재난안전본부</v>
      </c>
      <c r="E68" s="139" t="s">
        <v>118</v>
      </c>
      <c r="F68" s="140" t="s">
        <v>239</v>
      </c>
      <c r="G68" s="139" t="s">
        <v>60</v>
      </c>
      <c r="H68" s="141">
        <v>67</v>
      </c>
      <c r="I68" s="142" t="s">
        <v>440</v>
      </c>
    </row>
    <row r="69" spans="1:9">
      <c r="A69" s="137" t="str">
        <f t="shared" si="5"/>
        <v>광명소방서</v>
      </c>
      <c r="B69" s="138" t="str">
        <f t="shared" si="4"/>
        <v>안전행정위원회</v>
      </c>
      <c r="C69" s="137" t="str">
        <f t="shared" si="6"/>
        <v>재난안전본부</v>
      </c>
      <c r="E69" s="139" t="s">
        <v>118</v>
      </c>
      <c r="F69" s="140" t="s">
        <v>240</v>
      </c>
      <c r="G69" s="139" t="s">
        <v>60</v>
      </c>
      <c r="H69" s="141">
        <v>68</v>
      </c>
      <c r="I69" s="142" t="s">
        <v>441</v>
      </c>
    </row>
    <row r="70" spans="1:9">
      <c r="A70" s="137" t="str">
        <f t="shared" si="5"/>
        <v>시흥소방서</v>
      </c>
      <c r="B70" s="138" t="str">
        <f t="shared" si="4"/>
        <v>안전행정위원회</v>
      </c>
      <c r="C70" s="137" t="str">
        <f t="shared" si="6"/>
        <v>재난안전본부</v>
      </c>
      <c r="E70" s="139" t="s">
        <v>118</v>
      </c>
      <c r="F70" s="140" t="s">
        <v>241</v>
      </c>
      <c r="G70" s="139" t="s">
        <v>60</v>
      </c>
      <c r="H70" s="141">
        <v>69</v>
      </c>
      <c r="I70" s="142" t="s">
        <v>442</v>
      </c>
    </row>
    <row r="71" spans="1:9">
      <c r="A71" s="137" t="str">
        <f t="shared" si="5"/>
        <v>군포소방서</v>
      </c>
      <c r="B71" s="138" t="str">
        <f t="shared" si="4"/>
        <v>안전행정위원회</v>
      </c>
      <c r="C71" s="137" t="str">
        <f t="shared" si="6"/>
        <v>재난안전본부</v>
      </c>
      <c r="E71" s="139" t="s">
        <v>118</v>
      </c>
      <c r="F71" s="140" t="s">
        <v>242</v>
      </c>
      <c r="G71" s="139" t="s">
        <v>60</v>
      </c>
      <c r="H71" s="141">
        <v>70</v>
      </c>
      <c r="I71" s="142" t="s">
        <v>443</v>
      </c>
    </row>
    <row r="72" spans="1:9">
      <c r="A72" s="137" t="str">
        <f t="shared" si="5"/>
        <v>화성소방서</v>
      </c>
      <c r="B72" s="138" t="str">
        <f t="shared" si="4"/>
        <v>안전행정위원회</v>
      </c>
      <c r="C72" s="137" t="str">
        <f t="shared" si="6"/>
        <v>재난안전본부</v>
      </c>
      <c r="E72" s="139" t="s">
        <v>118</v>
      </c>
      <c r="F72" s="140" t="s">
        <v>243</v>
      </c>
      <c r="G72" s="139" t="s">
        <v>60</v>
      </c>
      <c r="H72" s="141">
        <v>71</v>
      </c>
      <c r="I72" s="142" t="s">
        <v>444</v>
      </c>
    </row>
    <row r="73" spans="1:9">
      <c r="A73" s="137" t="str">
        <f t="shared" si="5"/>
        <v>이천소방서</v>
      </c>
      <c r="B73" s="138" t="str">
        <f t="shared" si="4"/>
        <v>안전행정위원회</v>
      </c>
      <c r="C73" s="137" t="str">
        <f t="shared" si="6"/>
        <v>재난안전본부</v>
      </c>
      <c r="E73" s="139" t="s">
        <v>118</v>
      </c>
      <c r="F73" s="140" t="s">
        <v>244</v>
      </c>
      <c r="G73" s="139" t="s">
        <v>60</v>
      </c>
      <c r="H73" s="141">
        <v>72</v>
      </c>
      <c r="I73" s="142" t="s">
        <v>445</v>
      </c>
    </row>
    <row r="74" spans="1:9">
      <c r="A74" s="137" t="str">
        <f t="shared" si="5"/>
        <v>김포소방서</v>
      </c>
      <c r="B74" s="138" t="str">
        <f t="shared" si="4"/>
        <v>안전행정위원회</v>
      </c>
      <c r="C74" s="137" t="str">
        <f t="shared" si="6"/>
        <v>재난안전본부</v>
      </c>
      <c r="E74" s="139" t="s">
        <v>118</v>
      </c>
      <c r="F74" s="140" t="s">
        <v>245</v>
      </c>
      <c r="G74" s="139" t="s">
        <v>60</v>
      </c>
      <c r="H74" s="141">
        <v>73</v>
      </c>
      <c r="I74" s="142" t="s">
        <v>446</v>
      </c>
    </row>
    <row r="75" spans="1:9">
      <c r="A75" s="137" t="str">
        <f t="shared" si="5"/>
        <v>광주소방서</v>
      </c>
      <c r="B75" s="138" t="str">
        <f t="shared" si="4"/>
        <v>안전행정위원회</v>
      </c>
      <c r="C75" s="137" t="str">
        <f t="shared" si="6"/>
        <v>재난안전본부</v>
      </c>
      <c r="E75" s="139" t="s">
        <v>118</v>
      </c>
      <c r="F75" s="140" t="s">
        <v>246</v>
      </c>
      <c r="G75" s="139" t="s">
        <v>60</v>
      </c>
      <c r="H75" s="141">
        <v>74</v>
      </c>
      <c r="I75" s="142" t="s">
        <v>447</v>
      </c>
    </row>
    <row r="76" spans="1:9">
      <c r="A76" s="137" t="str">
        <f t="shared" si="5"/>
        <v>안성소방서</v>
      </c>
      <c r="B76" s="138" t="str">
        <f t="shared" si="4"/>
        <v>안전행정위원회</v>
      </c>
      <c r="C76" s="137" t="str">
        <f t="shared" si="6"/>
        <v>재난안전본부</v>
      </c>
      <c r="E76" s="139" t="s">
        <v>118</v>
      </c>
      <c r="F76" s="140" t="s">
        <v>247</v>
      </c>
      <c r="G76" s="139" t="s">
        <v>60</v>
      </c>
      <c r="H76" s="141">
        <v>75</v>
      </c>
      <c r="I76" s="142" t="s">
        <v>448</v>
      </c>
    </row>
    <row r="77" spans="1:9">
      <c r="A77" s="137" t="str">
        <f t="shared" si="5"/>
        <v>하남소방서</v>
      </c>
      <c r="B77" s="138" t="str">
        <f t="shared" si="4"/>
        <v>안전행정위원회</v>
      </c>
      <c r="C77" s="137" t="str">
        <f t="shared" si="6"/>
        <v>재난안전본부</v>
      </c>
      <c r="E77" s="139" t="s">
        <v>118</v>
      </c>
      <c r="F77" s="140" t="s">
        <v>248</v>
      </c>
      <c r="G77" s="139" t="s">
        <v>60</v>
      </c>
      <c r="H77" s="141">
        <v>76</v>
      </c>
      <c r="I77" s="142" t="s">
        <v>449</v>
      </c>
    </row>
    <row r="78" spans="1:9">
      <c r="A78" s="137" t="str">
        <f t="shared" si="5"/>
        <v>의왕소방서</v>
      </c>
      <c r="B78" s="138" t="str">
        <f t="shared" si="4"/>
        <v>안전행정위원회</v>
      </c>
      <c r="C78" s="137" t="str">
        <f t="shared" si="6"/>
        <v>재난안전본부</v>
      </c>
      <c r="E78" s="139" t="s">
        <v>118</v>
      </c>
      <c r="F78" s="140" t="s">
        <v>249</v>
      </c>
      <c r="G78" s="139" t="s">
        <v>60</v>
      </c>
      <c r="H78" s="141">
        <v>77</v>
      </c>
      <c r="I78" s="142" t="s">
        <v>450</v>
      </c>
    </row>
    <row r="79" spans="1:9">
      <c r="A79" s="137" t="str">
        <f t="shared" si="5"/>
        <v>오산소방서</v>
      </c>
      <c r="B79" s="138" t="str">
        <f t="shared" si="4"/>
        <v>안전행정위원회</v>
      </c>
      <c r="C79" s="137" t="str">
        <f t="shared" si="6"/>
        <v>재난안전본부</v>
      </c>
      <c r="E79" s="139" t="s">
        <v>118</v>
      </c>
      <c r="F79" s="140" t="s">
        <v>250</v>
      </c>
      <c r="G79" s="139" t="s">
        <v>60</v>
      </c>
      <c r="H79" s="141">
        <v>78</v>
      </c>
      <c r="I79" s="142" t="s">
        <v>451</v>
      </c>
    </row>
    <row r="80" spans="1:9">
      <c r="A80" s="137" t="str">
        <f t="shared" si="5"/>
        <v>여주소방서</v>
      </c>
      <c r="B80" s="138" t="str">
        <f t="shared" si="4"/>
        <v>안전행정위원회</v>
      </c>
      <c r="C80" s="137" t="str">
        <f t="shared" si="6"/>
        <v>재난안전본부</v>
      </c>
      <c r="E80" s="139" t="s">
        <v>118</v>
      </c>
      <c r="F80" s="140" t="s">
        <v>251</v>
      </c>
      <c r="G80" s="139" t="s">
        <v>60</v>
      </c>
      <c r="H80" s="141">
        <v>79</v>
      </c>
      <c r="I80" s="142" t="s">
        <v>452</v>
      </c>
    </row>
    <row r="81" spans="1:9">
      <c r="A81" s="137" t="str">
        <f t="shared" si="5"/>
        <v>양평소방서</v>
      </c>
      <c r="B81" s="138" t="str">
        <f t="shared" si="4"/>
        <v>안전행정위원회</v>
      </c>
      <c r="C81" s="137" t="str">
        <f t="shared" si="6"/>
        <v>재난안전본부</v>
      </c>
      <c r="E81" s="139" t="s">
        <v>118</v>
      </c>
      <c r="F81" s="140" t="s">
        <v>252</v>
      </c>
      <c r="G81" s="139" t="s">
        <v>60</v>
      </c>
      <c r="H81" s="141">
        <v>80</v>
      </c>
      <c r="I81" s="142" t="s">
        <v>453</v>
      </c>
    </row>
    <row r="82" spans="1:9">
      <c r="A82" s="137" t="str">
        <f t="shared" si="5"/>
        <v>과천소방서</v>
      </c>
      <c r="B82" s="138" t="str">
        <f t="shared" si="4"/>
        <v>안전행정위원회</v>
      </c>
      <c r="C82" s="137" t="str">
        <f t="shared" si="6"/>
        <v>재난안전본부</v>
      </c>
      <c r="E82" s="139" t="s">
        <v>118</v>
      </c>
      <c r="F82" s="140" t="s">
        <v>253</v>
      </c>
      <c r="G82" s="139" t="s">
        <v>60</v>
      </c>
      <c r="H82" s="141">
        <v>81</v>
      </c>
      <c r="I82" s="142" t="s">
        <v>454</v>
      </c>
    </row>
    <row r="83" spans="1:9">
      <c r="A83" s="137" t="str">
        <f t="shared" si="5"/>
        <v>고양소방서</v>
      </c>
      <c r="B83" s="138" t="str">
        <f t="shared" si="4"/>
        <v>안전행정위원회</v>
      </c>
      <c r="C83" s="137" t="str">
        <f t="shared" si="6"/>
        <v>재난안전본부</v>
      </c>
      <c r="E83" s="139" t="s">
        <v>118</v>
      </c>
      <c r="F83" s="140" t="s">
        <v>254</v>
      </c>
      <c r="G83" s="139" t="s">
        <v>60</v>
      </c>
      <c r="H83" s="141">
        <v>82</v>
      </c>
      <c r="I83" s="142" t="s">
        <v>455</v>
      </c>
    </row>
    <row r="84" spans="1:9">
      <c r="A84" s="137" t="str">
        <f t="shared" si="5"/>
        <v>일산소방서</v>
      </c>
      <c r="B84" s="138" t="str">
        <f t="shared" si="4"/>
        <v>안전행정위원회</v>
      </c>
      <c r="C84" s="137" t="str">
        <f t="shared" si="6"/>
        <v>재난안전본부</v>
      </c>
      <c r="E84" s="139" t="s">
        <v>118</v>
      </c>
      <c r="F84" s="140" t="s">
        <v>255</v>
      </c>
      <c r="G84" s="139" t="s">
        <v>60</v>
      </c>
      <c r="H84" s="141">
        <v>83</v>
      </c>
      <c r="I84" s="142" t="s">
        <v>456</v>
      </c>
    </row>
    <row r="85" spans="1:9">
      <c r="A85" s="137" t="str">
        <f t="shared" si="5"/>
        <v>의정부소방서</v>
      </c>
      <c r="B85" s="138" t="str">
        <f t="shared" si="4"/>
        <v>안전행정위원회</v>
      </c>
      <c r="C85" s="137" t="str">
        <f t="shared" si="6"/>
        <v>재난안전본부</v>
      </c>
      <c r="E85" s="139" t="s">
        <v>118</v>
      </c>
      <c r="F85" s="140" t="s">
        <v>256</v>
      </c>
      <c r="G85" s="139" t="s">
        <v>60</v>
      </c>
      <c r="H85" s="141">
        <v>84</v>
      </c>
      <c r="I85" s="142" t="s">
        <v>457</v>
      </c>
    </row>
    <row r="86" spans="1:9">
      <c r="A86" s="137" t="str">
        <f t="shared" si="5"/>
        <v>남양주소방서</v>
      </c>
      <c r="B86" s="138" t="str">
        <f t="shared" si="4"/>
        <v>안전행정위원회</v>
      </c>
      <c r="C86" s="137" t="str">
        <f t="shared" si="6"/>
        <v>재난안전본부</v>
      </c>
      <c r="E86" s="139" t="s">
        <v>118</v>
      </c>
      <c r="F86" s="140" t="s">
        <v>257</v>
      </c>
      <c r="G86" s="139" t="s">
        <v>60</v>
      </c>
      <c r="H86" s="141">
        <v>85</v>
      </c>
      <c r="I86" s="142" t="s">
        <v>458</v>
      </c>
    </row>
    <row r="87" spans="1:9">
      <c r="A87" s="137" t="str">
        <f t="shared" si="5"/>
        <v>파주소방서</v>
      </c>
      <c r="B87" s="138" t="str">
        <f t="shared" si="4"/>
        <v>안전행정위원회</v>
      </c>
      <c r="C87" s="137" t="str">
        <f t="shared" si="6"/>
        <v>재난안전본부</v>
      </c>
      <c r="E87" s="139" t="s">
        <v>118</v>
      </c>
      <c r="F87" s="140" t="s">
        <v>258</v>
      </c>
      <c r="G87" s="139" t="s">
        <v>60</v>
      </c>
      <c r="H87" s="141">
        <v>86</v>
      </c>
      <c r="I87" s="142" t="s">
        <v>459</v>
      </c>
    </row>
    <row r="88" spans="1:9">
      <c r="A88" s="137" t="str">
        <f t="shared" si="5"/>
        <v>구리소방서</v>
      </c>
      <c r="B88" s="138" t="str">
        <f t="shared" si="4"/>
        <v>안전행정위원회</v>
      </c>
      <c r="C88" s="137" t="str">
        <f t="shared" si="6"/>
        <v>재난안전본부</v>
      </c>
      <c r="E88" s="139" t="s">
        <v>118</v>
      </c>
      <c r="F88" s="140" t="s">
        <v>259</v>
      </c>
      <c r="G88" s="139" t="s">
        <v>60</v>
      </c>
      <c r="H88" s="141">
        <v>87</v>
      </c>
      <c r="I88" s="142" t="s">
        <v>460</v>
      </c>
    </row>
    <row r="89" spans="1:9">
      <c r="A89" s="137" t="str">
        <f t="shared" si="5"/>
        <v>포천소방서</v>
      </c>
      <c r="B89" s="138" t="str">
        <f t="shared" si="4"/>
        <v>안전행정위원회</v>
      </c>
      <c r="C89" s="137" t="str">
        <f t="shared" si="6"/>
        <v>재난안전본부</v>
      </c>
      <c r="E89" s="139" t="s">
        <v>118</v>
      </c>
      <c r="F89" s="140" t="s">
        <v>260</v>
      </c>
      <c r="G89" s="139" t="s">
        <v>60</v>
      </c>
      <c r="H89" s="141">
        <v>88</v>
      </c>
      <c r="I89" s="142" t="s">
        <v>461</v>
      </c>
    </row>
    <row r="90" spans="1:9">
      <c r="A90" s="137" t="str">
        <f t="shared" si="5"/>
        <v>양주소방서</v>
      </c>
      <c r="B90" s="138" t="str">
        <f t="shared" si="4"/>
        <v>안전행정위원회</v>
      </c>
      <c r="C90" s="137" t="str">
        <f t="shared" si="6"/>
        <v>재난안전본부</v>
      </c>
      <c r="E90" s="139" t="s">
        <v>118</v>
      </c>
      <c r="F90" s="140" t="s">
        <v>261</v>
      </c>
      <c r="G90" s="139" t="s">
        <v>60</v>
      </c>
      <c r="H90" s="141">
        <v>89</v>
      </c>
      <c r="I90" s="142" t="s">
        <v>462</v>
      </c>
    </row>
    <row r="91" spans="1:9">
      <c r="A91" s="137" t="str">
        <f t="shared" si="5"/>
        <v>동두천소방서</v>
      </c>
      <c r="B91" s="138" t="str">
        <f t="shared" si="4"/>
        <v>안전행정위원회</v>
      </c>
      <c r="C91" s="137" t="str">
        <f t="shared" si="6"/>
        <v>재난안전본부</v>
      </c>
      <c r="E91" s="139" t="s">
        <v>118</v>
      </c>
      <c r="F91" s="140" t="s">
        <v>262</v>
      </c>
      <c r="G91" s="139" t="s">
        <v>60</v>
      </c>
      <c r="H91" s="141">
        <v>90</v>
      </c>
      <c r="I91" s="142" t="s">
        <v>463</v>
      </c>
    </row>
    <row r="92" spans="1:9">
      <c r="A92" s="137" t="str">
        <f t="shared" si="5"/>
        <v>가평소방서</v>
      </c>
      <c r="B92" s="138" t="str">
        <f t="shared" si="4"/>
        <v>안전행정위원회</v>
      </c>
      <c r="C92" s="137" t="str">
        <f t="shared" si="6"/>
        <v>재난안전본부</v>
      </c>
      <c r="E92" s="139" t="s">
        <v>118</v>
      </c>
      <c r="F92" s="140" t="s">
        <v>263</v>
      </c>
      <c r="G92" s="139" t="s">
        <v>60</v>
      </c>
      <c r="H92" s="141">
        <v>91</v>
      </c>
      <c r="I92" s="142" t="s">
        <v>464</v>
      </c>
    </row>
    <row r="93" spans="1:9">
      <c r="A93" s="137" t="str">
        <f t="shared" si="5"/>
        <v>연천소방서</v>
      </c>
      <c r="B93" s="138" t="str">
        <f t="shared" si="4"/>
        <v>안전행정위원회</v>
      </c>
      <c r="C93" s="137" t="str">
        <f t="shared" si="6"/>
        <v>재난안전본부</v>
      </c>
      <c r="E93" s="139" t="s">
        <v>118</v>
      </c>
      <c r="F93" s="140" t="s">
        <v>264</v>
      </c>
      <c r="G93" s="139" t="s">
        <v>60</v>
      </c>
      <c r="H93" s="141">
        <v>92</v>
      </c>
      <c r="I93" s="142" t="s">
        <v>465</v>
      </c>
    </row>
    <row r="94" spans="1:9">
      <c r="A94" s="137" t="str">
        <f t="shared" si="5"/>
        <v>행정관리담당관</v>
      </c>
      <c r="B94" s="138" t="str">
        <f t="shared" si="4"/>
        <v>안전행정위원회</v>
      </c>
      <c r="C94" s="137" t="str">
        <f t="shared" si="6"/>
        <v>균형발전기획실</v>
      </c>
      <c r="E94" s="139" t="s">
        <v>308</v>
      </c>
      <c r="F94" s="140" t="s">
        <v>313</v>
      </c>
      <c r="G94" s="139" t="s">
        <v>60</v>
      </c>
      <c r="H94" s="141">
        <v>93</v>
      </c>
      <c r="I94" s="142" t="s">
        <v>273</v>
      </c>
    </row>
    <row r="95" spans="1:9">
      <c r="A95" s="137" t="str">
        <f t="shared" si="5"/>
        <v>비상기획담당관</v>
      </c>
      <c r="B95" s="138" t="str">
        <f t="shared" si="4"/>
        <v>안전행정위원회</v>
      </c>
      <c r="C95" s="137" t="str">
        <f t="shared" si="6"/>
        <v>균형발전기획실</v>
      </c>
      <c r="E95" s="139" t="s">
        <v>308</v>
      </c>
      <c r="F95" s="140" t="s">
        <v>319</v>
      </c>
      <c r="G95" s="139" t="s">
        <v>60</v>
      </c>
      <c r="H95" s="141">
        <v>94</v>
      </c>
      <c r="I95" s="142" t="s">
        <v>275</v>
      </c>
    </row>
    <row r="96" spans="1:9">
      <c r="A96" s="137" t="str">
        <f t="shared" si="5"/>
        <v>인재개발원</v>
      </c>
      <c r="B96" s="138" t="str">
        <f t="shared" si="4"/>
        <v>안전행정위원회</v>
      </c>
      <c r="C96" s="137" t="str">
        <f t="shared" si="6"/>
        <v>인재개발원</v>
      </c>
      <c r="E96" s="139" t="s">
        <v>114</v>
      </c>
      <c r="F96" s="140" t="s">
        <v>376</v>
      </c>
      <c r="G96" s="139" t="s">
        <v>60</v>
      </c>
      <c r="H96" s="141">
        <v>95</v>
      </c>
      <c r="I96" s="142" t="s">
        <v>281</v>
      </c>
    </row>
    <row r="97" spans="1:9">
      <c r="A97" s="137" t="str">
        <f t="shared" si="5"/>
        <v>문화정책과</v>
      </c>
      <c r="B97" s="138" t="str">
        <f t="shared" si="4"/>
        <v>문화체육관광위원회</v>
      </c>
      <c r="C97" s="137" t="str">
        <f t="shared" si="6"/>
        <v>문화체육관광국</v>
      </c>
      <c r="E97" s="139" t="s">
        <v>105</v>
      </c>
      <c r="F97" s="140" t="s">
        <v>177</v>
      </c>
      <c r="G97" s="139" t="s">
        <v>13</v>
      </c>
      <c r="H97" s="141">
        <v>96</v>
      </c>
      <c r="I97" s="142" t="s">
        <v>287</v>
      </c>
    </row>
    <row r="98" spans="1:9">
      <c r="A98" s="137" t="str">
        <f t="shared" si="5"/>
        <v>종무과</v>
      </c>
      <c r="B98" s="138" t="str">
        <f t="shared" ref="B98:B129" si="7">G98</f>
        <v>문화체육관광위원회</v>
      </c>
      <c r="C98" s="137" t="str">
        <f t="shared" si="6"/>
        <v>문화체육관광국</v>
      </c>
      <c r="E98" s="139" t="s">
        <v>105</v>
      </c>
      <c r="F98" s="140" t="s">
        <v>179</v>
      </c>
      <c r="G98" s="139" t="s">
        <v>13</v>
      </c>
      <c r="H98" s="141">
        <v>97</v>
      </c>
      <c r="I98" s="142" t="s">
        <v>289</v>
      </c>
    </row>
    <row r="99" spans="1:9">
      <c r="A99" s="137" t="str">
        <f t="shared" si="5"/>
        <v>체육과</v>
      </c>
      <c r="B99" s="138" t="str">
        <f t="shared" si="7"/>
        <v>문화체육관광위원회</v>
      </c>
      <c r="C99" s="137" t="str">
        <f t="shared" si="6"/>
        <v>문화체육관광국</v>
      </c>
      <c r="E99" s="139" t="s">
        <v>105</v>
      </c>
      <c r="F99" s="140" t="s">
        <v>181</v>
      </c>
      <c r="G99" s="139" t="s">
        <v>13</v>
      </c>
      <c r="H99" s="141">
        <v>98</v>
      </c>
      <c r="I99" s="142" t="s">
        <v>291</v>
      </c>
    </row>
    <row r="100" spans="1:9">
      <c r="A100" s="137" t="str">
        <f t="shared" si="5"/>
        <v>문화유산과</v>
      </c>
      <c r="B100" s="138" t="str">
        <f t="shared" si="7"/>
        <v>문화체육관광위원회</v>
      </c>
      <c r="C100" s="137" t="str">
        <f t="shared" si="6"/>
        <v>문화체육관광국</v>
      </c>
      <c r="E100" s="139" t="s">
        <v>105</v>
      </c>
      <c r="F100" s="140" t="s">
        <v>183</v>
      </c>
      <c r="G100" s="139" t="s">
        <v>13</v>
      </c>
      <c r="H100" s="141">
        <v>99</v>
      </c>
      <c r="I100" s="142" t="s">
        <v>293</v>
      </c>
    </row>
    <row r="101" spans="1:9">
      <c r="A101" s="137" t="str">
        <f t="shared" si="5"/>
        <v>콘텐츠산업과</v>
      </c>
      <c r="B101" s="138" t="str">
        <f t="shared" si="7"/>
        <v>문화체육관광위원회</v>
      </c>
      <c r="C101" s="137" t="str">
        <f t="shared" si="6"/>
        <v>문화체육관광국</v>
      </c>
      <c r="E101" s="139" t="s">
        <v>105</v>
      </c>
      <c r="F101" s="140" t="s">
        <v>185</v>
      </c>
      <c r="G101" s="139" t="s">
        <v>13</v>
      </c>
      <c r="H101" s="141">
        <v>100</v>
      </c>
      <c r="I101" s="142" t="s">
        <v>295</v>
      </c>
    </row>
    <row r="102" spans="1:9">
      <c r="A102" s="137" t="str">
        <f t="shared" si="5"/>
        <v>관광과</v>
      </c>
      <c r="B102" s="138" t="str">
        <f t="shared" si="7"/>
        <v>문화체육관광위원회</v>
      </c>
      <c r="C102" s="137" t="str">
        <f t="shared" si="6"/>
        <v>문화체육관광국</v>
      </c>
      <c r="E102" s="139" t="s">
        <v>105</v>
      </c>
      <c r="F102" s="140" t="s">
        <v>187</v>
      </c>
      <c r="G102" s="139" t="s">
        <v>13</v>
      </c>
      <c r="H102" s="141">
        <v>101</v>
      </c>
      <c r="I102" s="142" t="s">
        <v>297</v>
      </c>
    </row>
    <row r="103" spans="1:9">
      <c r="A103" s="137" t="str">
        <f t="shared" si="5"/>
        <v>농업정책과</v>
      </c>
      <c r="B103" s="138" t="str">
        <f t="shared" si="7"/>
        <v>농정해양위원회</v>
      </c>
      <c r="C103" s="137" t="str">
        <f t="shared" si="6"/>
        <v>농정해양국</v>
      </c>
      <c r="E103" s="139" t="s">
        <v>64</v>
      </c>
      <c r="F103" s="140" t="s">
        <v>188</v>
      </c>
      <c r="G103" s="139" t="s">
        <v>63</v>
      </c>
      <c r="H103" s="141">
        <v>102</v>
      </c>
      <c r="I103" s="142" t="s">
        <v>298</v>
      </c>
    </row>
    <row r="104" spans="1:9">
      <c r="A104" s="137" t="str">
        <f t="shared" si="5"/>
        <v>해양항만정책과</v>
      </c>
      <c r="B104" s="138" t="str">
        <f t="shared" si="7"/>
        <v>농정해양위원회</v>
      </c>
      <c r="C104" s="137" t="str">
        <f t="shared" si="6"/>
        <v>농정해양국</v>
      </c>
      <c r="E104" s="139" t="s">
        <v>64</v>
      </c>
      <c r="F104" s="140" t="s">
        <v>190</v>
      </c>
      <c r="G104" s="139" t="s">
        <v>63</v>
      </c>
      <c r="H104" s="141">
        <v>103</v>
      </c>
      <c r="I104" s="142" t="s">
        <v>299</v>
      </c>
    </row>
    <row r="105" spans="1:9">
      <c r="A105" s="137" t="str">
        <f t="shared" si="5"/>
        <v>농식품유통과</v>
      </c>
      <c r="B105" s="138" t="str">
        <f t="shared" si="7"/>
        <v>농정해양위원회</v>
      </c>
      <c r="C105" s="137" t="str">
        <f t="shared" si="6"/>
        <v>농정해양국</v>
      </c>
      <c r="E105" s="139" t="s">
        <v>64</v>
      </c>
      <c r="F105" s="140" t="s">
        <v>192</v>
      </c>
      <c r="G105" s="139" t="s">
        <v>63</v>
      </c>
      <c r="H105" s="141">
        <v>104</v>
      </c>
      <c r="I105" s="142" t="s">
        <v>301</v>
      </c>
    </row>
    <row r="106" spans="1:9">
      <c r="A106" s="137" t="str">
        <f t="shared" si="5"/>
        <v>친환경농업과</v>
      </c>
      <c r="B106" s="138" t="str">
        <f t="shared" si="7"/>
        <v>농정해양위원회</v>
      </c>
      <c r="C106" s="137" t="str">
        <f t="shared" si="6"/>
        <v>농정해양국</v>
      </c>
      <c r="E106" s="139" t="s">
        <v>64</v>
      </c>
      <c r="F106" s="140" t="s">
        <v>65</v>
      </c>
      <c r="G106" s="139" t="s">
        <v>63</v>
      </c>
      <c r="H106" s="141">
        <v>105</v>
      </c>
      <c r="I106" s="142" t="s">
        <v>303</v>
      </c>
    </row>
    <row r="107" spans="1:9">
      <c r="A107" s="137" t="str">
        <f t="shared" si="5"/>
        <v>수산과</v>
      </c>
      <c r="B107" s="138" t="str">
        <f t="shared" si="7"/>
        <v>농정해양위원회</v>
      </c>
      <c r="C107" s="137" t="str">
        <f t="shared" si="6"/>
        <v>농정해양국</v>
      </c>
      <c r="E107" s="139" t="s">
        <v>64</v>
      </c>
      <c r="F107" s="140" t="s">
        <v>195</v>
      </c>
      <c r="G107" s="139" t="s">
        <v>63</v>
      </c>
      <c r="H107" s="141">
        <v>106</v>
      </c>
      <c r="I107" s="142" t="s">
        <v>304</v>
      </c>
    </row>
    <row r="108" spans="1:9">
      <c r="A108" s="137" t="str">
        <f t="shared" si="5"/>
        <v>해양수산자원연구소</v>
      </c>
      <c r="B108" s="138" t="str">
        <f t="shared" si="7"/>
        <v>농정해양위원회</v>
      </c>
      <c r="C108" s="137" t="str">
        <f t="shared" si="6"/>
        <v>농정해양국</v>
      </c>
      <c r="E108" s="139" t="s">
        <v>64</v>
      </c>
      <c r="F108" s="140" t="s">
        <v>197</v>
      </c>
      <c r="G108" s="139" t="s">
        <v>63</v>
      </c>
      <c r="H108" s="141">
        <v>107</v>
      </c>
      <c r="I108" s="142" t="s">
        <v>466</v>
      </c>
    </row>
    <row r="109" spans="1:9">
      <c r="A109" s="137" t="str">
        <f t="shared" si="5"/>
        <v>축산정책과</v>
      </c>
      <c r="B109" s="138" t="str">
        <f t="shared" si="7"/>
        <v>농정해양위원회</v>
      </c>
      <c r="C109" s="137" t="str">
        <f t="shared" si="6"/>
        <v>축산산림국</v>
      </c>
      <c r="E109" s="139" t="s">
        <v>66</v>
      </c>
      <c r="F109" s="140" t="s">
        <v>343</v>
      </c>
      <c r="G109" s="139" t="s">
        <v>63</v>
      </c>
      <c r="H109" s="141">
        <v>108</v>
      </c>
      <c r="I109" s="142" t="s">
        <v>305</v>
      </c>
    </row>
    <row r="110" spans="1:9">
      <c r="A110" s="137" t="str">
        <f t="shared" si="5"/>
        <v>동물방역위생과</v>
      </c>
      <c r="B110" s="138" t="str">
        <f t="shared" si="7"/>
        <v>농정해양위원회</v>
      </c>
      <c r="C110" s="137" t="str">
        <f t="shared" si="6"/>
        <v>축산산림국</v>
      </c>
      <c r="E110" s="139" t="s">
        <v>66</v>
      </c>
      <c r="F110" s="140" t="s">
        <v>67</v>
      </c>
      <c r="G110" s="139" t="s">
        <v>63</v>
      </c>
      <c r="H110" s="141">
        <v>109</v>
      </c>
      <c r="I110" s="142" t="s">
        <v>307</v>
      </c>
    </row>
    <row r="111" spans="1:9">
      <c r="A111" s="137" t="str">
        <f t="shared" si="5"/>
        <v>산림과</v>
      </c>
      <c r="B111" s="138" t="str">
        <f t="shared" si="7"/>
        <v>농정해양위원회</v>
      </c>
      <c r="C111" s="137" t="str">
        <f t="shared" si="6"/>
        <v>축산산림국</v>
      </c>
      <c r="E111" s="139" t="s">
        <v>66</v>
      </c>
      <c r="F111" s="140" t="s">
        <v>346</v>
      </c>
      <c r="G111" s="139" t="s">
        <v>63</v>
      </c>
      <c r="H111" s="141">
        <v>110</v>
      </c>
      <c r="I111" s="142" t="s">
        <v>467</v>
      </c>
    </row>
    <row r="112" spans="1:9">
      <c r="A112" s="137" t="str">
        <f t="shared" si="5"/>
        <v>축산위생연구소</v>
      </c>
      <c r="B112" s="138" t="str">
        <f t="shared" si="7"/>
        <v>농정해양위원회</v>
      </c>
      <c r="C112" s="137" t="str">
        <f t="shared" si="6"/>
        <v>축산산림국</v>
      </c>
      <c r="E112" s="139" t="s">
        <v>66</v>
      </c>
      <c r="F112" s="140" t="s">
        <v>348</v>
      </c>
      <c r="G112" s="139" t="s">
        <v>63</v>
      </c>
      <c r="H112" s="141">
        <v>111</v>
      </c>
      <c r="I112" s="142" t="s">
        <v>468</v>
      </c>
    </row>
    <row r="113" spans="1:9">
      <c r="A113" s="137" t="str">
        <f t="shared" si="5"/>
        <v>북부축산위생연구소</v>
      </c>
      <c r="B113" s="138" t="str">
        <f t="shared" si="7"/>
        <v>농정해양위원회</v>
      </c>
      <c r="C113" s="137" t="str">
        <f t="shared" si="6"/>
        <v>축산산림국</v>
      </c>
      <c r="E113" s="139" t="s">
        <v>66</v>
      </c>
      <c r="F113" s="140" t="s">
        <v>349</v>
      </c>
      <c r="G113" s="139" t="s">
        <v>63</v>
      </c>
      <c r="H113" s="141">
        <v>112</v>
      </c>
      <c r="I113" s="142" t="s">
        <v>469</v>
      </c>
    </row>
    <row r="114" spans="1:9">
      <c r="A114" s="137" t="str">
        <f t="shared" si="5"/>
        <v>산림환경연구소</v>
      </c>
      <c r="B114" s="138" t="str">
        <f t="shared" si="7"/>
        <v>농정해양위원회</v>
      </c>
      <c r="C114" s="137" t="str">
        <f t="shared" si="6"/>
        <v>축산산림국</v>
      </c>
      <c r="E114" s="139" t="s">
        <v>66</v>
      </c>
      <c r="F114" s="140" t="s">
        <v>350</v>
      </c>
      <c r="G114" s="139" t="s">
        <v>63</v>
      </c>
      <c r="H114" s="141">
        <v>113</v>
      </c>
      <c r="I114" s="142" t="s">
        <v>470</v>
      </c>
    </row>
    <row r="115" spans="1:9">
      <c r="A115" s="137" t="str">
        <f t="shared" si="5"/>
        <v>농업기술원(총무과)</v>
      </c>
      <c r="B115" s="138" t="str">
        <f t="shared" si="7"/>
        <v>농정해양위원회</v>
      </c>
      <c r="C115" s="137" t="str">
        <f t="shared" si="6"/>
        <v>농업기술원</v>
      </c>
      <c r="E115" s="139" t="s">
        <v>113</v>
      </c>
      <c r="F115" s="140" t="s">
        <v>370</v>
      </c>
      <c r="G115" s="139" t="s">
        <v>63</v>
      </c>
      <c r="H115" s="141">
        <v>114</v>
      </c>
      <c r="I115" s="142" t="s">
        <v>310</v>
      </c>
    </row>
    <row r="116" spans="1:9">
      <c r="A116" s="137" t="str">
        <f t="shared" si="5"/>
        <v>작물연구과</v>
      </c>
      <c r="B116" s="138" t="str">
        <f t="shared" si="7"/>
        <v>농정해양위원회</v>
      </c>
      <c r="C116" s="137" t="str">
        <f t="shared" si="6"/>
        <v>농업기술원</v>
      </c>
      <c r="E116" s="139" t="s">
        <v>113</v>
      </c>
      <c r="F116" s="140" t="s">
        <v>399</v>
      </c>
      <c r="G116" s="139" t="s">
        <v>63</v>
      </c>
      <c r="H116" s="141">
        <v>115</v>
      </c>
      <c r="I116" s="142" t="s">
        <v>312</v>
      </c>
    </row>
    <row r="117" spans="1:9">
      <c r="A117" s="137" t="str">
        <f t="shared" si="5"/>
        <v>원예연구과</v>
      </c>
      <c r="B117" s="138" t="str">
        <f t="shared" si="7"/>
        <v>농정해양위원회</v>
      </c>
      <c r="C117" s="137" t="str">
        <f t="shared" si="6"/>
        <v>농업기술원</v>
      </c>
      <c r="E117" s="139" t="s">
        <v>113</v>
      </c>
      <c r="F117" s="140" t="s">
        <v>400</v>
      </c>
      <c r="G117" s="139" t="s">
        <v>63</v>
      </c>
      <c r="H117" s="141">
        <v>116</v>
      </c>
      <c r="I117" s="142" t="s">
        <v>314</v>
      </c>
    </row>
    <row r="118" spans="1:9">
      <c r="A118" s="137" t="str">
        <f t="shared" si="5"/>
        <v>환경농업연구과</v>
      </c>
      <c r="B118" s="138" t="str">
        <f t="shared" si="7"/>
        <v>농정해양위원회</v>
      </c>
      <c r="C118" s="137" t="str">
        <f t="shared" si="6"/>
        <v>농업기술원</v>
      </c>
      <c r="E118" s="139" t="s">
        <v>113</v>
      </c>
      <c r="F118" s="140" t="s">
        <v>401</v>
      </c>
      <c r="G118" s="139" t="s">
        <v>63</v>
      </c>
      <c r="H118" s="141">
        <v>117</v>
      </c>
      <c r="I118" s="142" t="s">
        <v>316</v>
      </c>
    </row>
    <row r="119" spans="1:9">
      <c r="A119" s="137" t="str">
        <f t="shared" si="5"/>
        <v>지원기획과</v>
      </c>
      <c r="B119" s="138" t="str">
        <f t="shared" si="7"/>
        <v>농정해양위원회</v>
      </c>
      <c r="C119" s="137" t="str">
        <f t="shared" si="6"/>
        <v>농업기술원</v>
      </c>
      <c r="E119" s="139" t="s">
        <v>113</v>
      </c>
      <c r="F119" s="140" t="s">
        <v>402</v>
      </c>
      <c r="G119" s="139" t="s">
        <v>63</v>
      </c>
      <c r="H119" s="141">
        <v>118</v>
      </c>
      <c r="I119" s="142" t="s">
        <v>318</v>
      </c>
    </row>
    <row r="120" spans="1:9">
      <c r="A120" s="137" t="str">
        <f t="shared" si="5"/>
        <v>기술보급과</v>
      </c>
      <c r="B120" s="138" t="str">
        <f t="shared" si="7"/>
        <v>농정해양위원회</v>
      </c>
      <c r="C120" s="137" t="str">
        <f t="shared" si="6"/>
        <v>농업기술원</v>
      </c>
      <c r="E120" s="139" t="s">
        <v>113</v>
      </c>
      <c r="F120" s="140" t="s">
        <v>403</v>
      </c>
      <c r="G120" s="139" t="s">
        <v>63</v>
      </c>
      <c r="H120" s="141">
        <v>119</v>
      </c>
      <c r="I120" s="142" t="s">
        <v>320</v>
      </c>
    </row>
    <row r="121" spans="1:9">
      <c r="A121" s="137" t="str">
        <f t="shared" si="5"/>
        <v>농촌자원과</v>
      </c>
      <c r="B121" s="138" t="str">
        <f t="shared" si="7"/>
        <v>농정해양위원회</v>
      </c>
      <c r="C121" s="137" t="str">
        <f t="shared" si="6"/>
        <v>농업기술원</v>
      </c>
      <c r="E121" s="139" t="s">
        <v>113</v>
      </c>
      <c r="F121" s="140" t="s">
        <v>404</v>
      </c>
      <c r="G121" s="139" t="s">
        <v>63</v>
      </c>
      <c r="H121" s="141">
        <v>120</v>
      </c>
      <c r="I121" s="142" t="s">
        <v>322</v>
      </c>
    </row>
    <row r="122" spans="1:9">
      <c r="A122" s="137" t="str">
        <f t="shared" si="5"/>
        <v>종자관리소</v>
      </c>
      <c r="B122" s="138" t="str">
        <f t="shared" si="7"/>
        <v>농정해양위원회</v>
      </c>
      <c r="C122" s="137" t="str">
        <f t="shared" si="6"/>
        <v>농업기술원</v>
      </c>
      <c r="E122" s="139" t="s">
        <v>113</v>
      </c>
      <c r="F122" s="140" t="s">
        <v>405</v>
      </c>
      <c r="G122" s="139" t="s">
        <v>63</v>
      </c>
      <c r="H122" s="141">
        <v>121</v>
      </c>
      <c r="I122" s="142" t="s">
        <v>471</v>
      </c>
    </row>
    <row r="123" spans="1:9">
      <c r="A123" s="137" t="str">
        <f t="shared" si="5"/>
        <v>버섯연구소</v>
      </c>
      <c r="B123" s="138" t="str">
        <f t="shared" si="7"/>
        <v>농정해양위원회</v>
      </c>
      <c r="C123" s="137" t="str">
        <f t="shared" si="6"/>
        <v>농업기술원</v>
      </c>
      <c r="E123" s="139" t="s">
        <v>113</v>
      </c>
      <c r="F123" s="140" t="s">
        <v>406</v>
      </c>
      <c r="G123" s="139" t="s">
        <v>63</v>
      </c>
      <c r="H123" s="141">
        <v>122</v>
      </c>
      <c r="I123" s="142" t="s">
        <v>472</v>
      </c>
    </row>
    <row r="124" spans="1:9">
      <c r="A124" s="137" t="str">
        <f t="shared" si="5"/>
        <v>소득자원연구소</v>
      </c>
      <c r="B124" s="138" t="str">
        <f t="shared" si="7"/>
        <v>농정해양위원회</v>
      </c>
      <c r="C124" s="137" t="str">
        <f t="shared" si="6"/>
        <v>농업기술원</v>
      </c>
      <c r="E124" s="139" t="s">
        <v>113</v>
      </c>
      <c r="F124" s="140" t="s">
        <v>407</v>
      </c>
      <c r="G124" s="139" t="s">
        <v>63</v>
      </c>
      <c r="H124" s="141">
        <v>123</v>
      </c>
      <c r="I124" s="142" t="s">
        <v>473</v>
      </c>
    </row>
    <row r="125" spans="1:9">
      <c r="A125" s="137" t="str">
        <f t="shared" si="5"/>
        <v>선인장다육식물연구소</v>
      </c>
      <c r="B125" s="138" t="str">
        <f t="shared" si="7"/>
        <v>농정해양위원회</v>
      </c>
      <c r="C125" s="137" t="str">
        <f t="shared" si="6"/>
        <v>농업기술원</v>
      </c>
      <c r="E125" s="139" t="s">
        <v>113</v>
      </c>
      <c r="F125" s="140" t="s">
        <v>408</v>
      </c>
      <c r="G125" s="139" t="s">
        <v>63</v>
      </c>
      <c r="H125" s="141">
        <v>124</v>
      </c>
      <c r="I125" s="142" t="s">
        <v>474</v>
      </c>
    </row>
    <row r="126" spans="1:9">
      <c r="A126" s="137" t="str">
        <f t="shared" si="5"/>
        <v>무한돌봄복지과</v>
      </c>
      <c r="B126" s="138" t="str">
        <f t="shared" si="7"/>
        <v>보건복지위원회</v>
      </c>
      <c r="C126" s="137" t="str">
        <f t="shared" si="6"/>
        <v>보건복지국</v>
      </c>
      <c r="E126" s="139" t="s">
        <v>106</v>
      </c>
      <c r="F126" s="140" t="s">
        <v>272</v>
      </c>
      <c r="G126" s="139" t="s">
        <v>395</v>
      </c>
      <c r="H126" s="141">
        <v>125</v>
      </c>
      <c r="I126" s="142" t="s">
        <v>325</v>
      </c>
    </row>
    <row r="127" spans="1:9">
      <c r="A127" s="137" t="str">
        <f t="shared" si="5"/>
        <v>사회적일자리과</v>
      </c>
      <c r="B127" s="138" t="str">
        <f t="shared" si="7"/>
        <v>보건복지위원회</v>
      </c>
      <c r="C127" s="137" t="str">
        <f t="shared" si="6"/>
        <v>보건복지국</v>
      </c>
      <c r="E127" s="139" t="s">
        <v>106</v>
      </c>
      <c r="F127" s="140" t="s">
        <v>274</v>
      </c>
      <c r="G127" s="139" t="s">
        <v>395</v>
      </c>
      <c r="H127" s="141">
        <v>126</v>
      </c>
      <c r="I127" s="142" t="s">
        <v>327</v>
      </c>
    </row>
    <row r="128" spans="1:9">
      <c r="A128" s="137" t="str">
        <f t="shared" si="5"/>
        <v>노인복지과</v>
      </c>
      <c r="B128" s="138" t="str">
        <f t="shared" si="7"/>
        <v>보건복지위원회</v>
      </c>
      <c r="C128" s="137" t="str">
        <f t="shared" si="6"/>
        <v>보건복지국</v>
      </c>
      <c r="E128" s="139" t="s">
        <v>106</v>
      </c>
      <c r="F128" s="140" t="s">
        <v>276</v>
      </c>
      <c r="G128" s="139" t="s">
        <v>395</v>
      </c>
      <c r="H128" s="141">
        <v>127</v>
      </c>
      <c r="I128" s="142" t="s">
        <v>329</v>
      </c>
    </row>
    <row r="129" spans="1:9">
      <c r="A129" s="137" t="str">
        <f t="shared" si="5"/>
        <v>장애인복지과</v>
      </c>
      <c r="B129" s="138" t="str">
        <f t="shared" si="7"/>
        <v>보건복지위원회</v>
      </c>
      <c r="C129" s="137" t="str">
        <f t="shared" si="6"/>
        <v>보건복지국</v>
      </c>
      <c r="E129" s="139" t="s">
        <v>106</v>
      </c>
      <c r="F129" s="140" t="s">
        <v>81</v>
      </c>
      <c r="G129" s="139" t="s">
        <v>395</v>
      </c>
      <c r="H129" s="141">
        <v>128</v>
      </c>
      <c r="I129" s="142" t="s">
        <v>331</v>
      </c>
    </row>
    <row r="130" spans="1:9">
      <c r="A130" s="137" t="str">
        <f t="shared" si="5"/>
        <v>보건정책과</v>
      </c>
      <c r="B130" s="138" t="str">
        <f t="shared" ref="B130:B161" si="8">G130</f>
        <v>보건복지위원회</v>
      </c>
      <c r="C130" s="137" t="str">
        <f t="shared" si="6"/>
        <v>보건복지국</v>
      </c>
      <c r="E130" s="139" t="s">
        <v>106</v>
      </c>
      <c r="F130" s="140" t="s">
        <v>277</v>
      </c>
      <c r="G130" s="139" t="s">
        <v>395</v>
      </c>
      <c r="H130" s="141">
        <v>129</v>
      </c>
      <c r="I130" s="142" t="s">
        <v>333</v>
      </c>
    </row>
    <row r="131" spans="1:9">
      <c r="A131" s="137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38" t="str">
        <f t="shared" si="8"/>
        <v>보건복지위원회</v>
      </c>
      <c r="C131" s="137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39" t="s">
        <v>106</v>
      </c>
      <c r="F131" s="140" t="s">
        <v>278</v>
      </c>
      <c r="G131" s="139" t="s">
        <v>395</v>
      </c>
      <c r="H131" s="141">
        <v>130</v>
      </c>
      <c r="I131" s="142" t="s">
        <v>335</v>
      </c>
    </row>
    <row r="132" spans="1:9">
      <c r="A132" s="137" t="str">
        <f t="shared" si="9"/>
        <v>식품안전과</v>
      </c>
      <c r="B132" s="138" t="str">
        <f t="shared" si="8"/>
        <v>보건복지위원회</v>
      </c>
      <c r="C132" s="137" t="str">
        <f t="shared" si="10"/>
        <v>보건복지국</v>
      </c>
      <c r="E132" s="139" t="s">
        <v>106</v>
      </c>
      <c r="F132" s="140" t="s">
        <v>279</v>
      </c>
      <c r="G132" s="139" t="s">
        <v>395</v>
      </c>
      <c r="H132" s="141">
        <v>131</v>
      </c>
      <c r="I132" s="142" t="s">
        <v>337</v>
      </c>
    </row>
    <row r="133" spans="1:9">
      <c r="A133" s="137" t="str">
        <f t="shared" si="9"/>
        <v>사회복지담당관</v>
      </c>
      <c r="B133" s="138" t="str">
        <f t="shared" si="8"/>
        <v>보건복지위원회</v>
      </c>
      <c r="C133" s="137" t="str">
        <f t="shared" si="10"/>
        <v>복지여성실</v>
      </c>
      <c r="E133" s="139" t="s">
        <v>69</v>
      </c>
      <c r="F133" s="140" t="s">
        <v>82</v>
      </c>
      <c r="G133" s="139" t="s">
        <v>395</v>
      </c>
      <c r="H133" s="141">
        <v>132</v>
      </c>
      <c r="I133" s="142" t="s">
        <v>344</v>
      </c>
    </row>
    <row r="134" spans="1:9">
      <c r="A134" s="137" t="str">
        <f t="shared" si="9"/>
        <v>보건위생담당관</v>
      </c>
      <c r="B134" s="138" t="str">
        <f t="shared" si="8"/>
        <v>보건복지위원회</v>
      </c>
      <c r="C134" s="137" t="str">
        <f t="shared" si="10"/>
        <v>복지여성실</v>
      </c>
      <c r="E134" s="139" t="s">
        <v>69</v>
      </c>
      <c r="F134" s="140" t="s">
        <v>302</v>
      </c>
      <c r="G134" s="139" t="s">
        <v>395</v>
      </c>
      <c r="H134" s="141">
        <v>133</v>
      </c>
      <c r="I134" s="142" t="s">
        <v>345</v>
      </c>
    </row>
    <row r="135" spans="1:9">
      <c r="A135" s="137" t="str">
        <f t="shared" si="9"/>
        <v>보건환경연구원(총무과)</v>
      </c>
      <c r="B135" s="138" t="str">
        <f t="shared" si="8"/>
        <v>보건복지위원회</v>
      </c>
      <c r="C135" s="137" t="str">
        <f t="shared" si="10"/>
        <v>보건환경연구원</v>
      </c>
      <c r="E135" s="139" t="s">
        <v>115</v>
      </c>
      <c r="F135" s="140" t="s">
        <v>379</v>
      </c>
      <c r="G135" s="139" t="s">
        <v>395</v>
      </c>
      <c r="H135" s="141">
        <v>134</v>
      </c>
      <c r="I135" s="142" t="s">
        <v>353</v>
      </c>
    </row>
    <row r="136" spans="1:9">
      <c r="A136" s="137" t="str">
        <f t="shared" si="9"/>
        <v>보건연구부</v>
      </c>
      <c r="B136" s="138" t="str">
        <f t="shared" si="8"/>
        <v>보건복지위원회</v>
      </c>
      <c r="C136" s="137" t="str">
        <f t="shared" si="10"/>
        <v>보건환경연구원</v>
      </c>
      <c r="E136" s="139" t="s">
        <v>115</v>
      </c>
      <c r="F136" s="140" t="s">
        <v>396</v>
      </c>
      <c r="G136" s="139" t="s">
        <v>395</v>
      </c>
      <c r="H136" s="141">
        <v>135</v>
      </c>
      <c r="I136" s="142" t="s">
        <v>355</v>
      </c>
    </row>
    <row r="137" spans="1:9">
      <c r="A137" s="147" t="str">
        <f t="shared" si="9"/>
        <v>북부지원</v>
      </c>
      <c r="B137" s="148" t="str">
        <f t="shared" si="8"/>
        <v>보건복지위원회</v>
      </c>
      <c r="C137" s="147" t="str">
        <f t="shared" si="10"/>
        <v>보건환경연구원</v>
      </c>
      <c r="D137" s="149"/>
      <c r="E137" s="150" t="s">
        <v>115</v>
      </c>
      <c r="F137" s="151" t="s">
        <v>397</v>
      </c>
      <c r="G137" s="150" t="s">
        <v>395</v>
      </c>
      <c r="H137" s="152">
        <v>136</v>
      </c>
      <c r="I137" s="153" t="s">
        <v>357</v>
      </c>
    </row>
    <row r="138" spans="1:9">
      <c r="A138" s="137" t="str">
        <f t="shared" si="9"/>
        <v>수원농산물검사소</v>
      </c>
      <c r="B138" s="138" t="str">
        <f t="shared" si="8"/>
        <v>보건복지위원회</v>
      </c>
      <c r="C138" s="137" t="str">
        <f t="shared" si="10"/>
        <v>보건환경연구원</v>
      </c>
      <c r="E138" s="139" t="s">
        <v>115</v>
      </c>
      <c r="F138" s="140" t="s">
        <v>398</v>
      </c>
      <c r="G138" s="139" t="s">
        <v>395</v>
      </c>
      <c r="H138" s="141">
        <v>137</v>
      </c>
      <c r="I138" s="142" t="s">
        <v>359</v>
      </c>
    </row>
    <row r="139" spans="1:9">
      <c r="A139" s="137" t="str">
        <f t="shared" si="9"/>
        <v>철도물류정책과</v>
      </c>
      <c r="B139" s="138" t="str">
        <f t="shared" si="8"/>
        <v>건설교통위원회</v>
      </c>
      <c r="C139" s="137" t="str">
        <f t="shared" si="10"/>
        <v>철도국</v>
      </c>
      <c r="E139" s="139" t="s">
        <v>199</v>
      </c>
      <c r="F139" s="140" t="s">
        <v>200</v>
      </c>
      <c r="G139" s="139" t="s">
        <v>10</v>
      </c>
      <c r="H139" s="141">
        <v>138</v>
      </c>
      <c r="I139" s="142" t="s">
        <v>363</v>
      </c>
    </row>
    <row r="140" spans="1:9">
      <c r="A140" s="137" t="str">
        <f t="shared" si="9"/>
        <v>광역도시철도과</v>
      </c>
      <c r="B140" s="138" t="str">
        <f t="shared" si="8"/>
        <v>건설교통위원회</v>
      </c>
      <c r="C140" s="137" t="str">
        <f t="shared" si="10"/>
        <v>철도국</v>
      </c>
      <c r="E140" s="139" t="s">
        <v>199</v>
      </c>
      <c r="F140" s="140" t="s">
        <v>202</v>
      </c>
      <c r="G140" s="139" t="s">
        <v>10</v>
      </c>
      <c r="H140" s="141">
        <v>139</v>
      </c>
      <c r="I140" s="142" t="s">
        <v>365</v>
      </c>
    </row>
    <row r="141" spans="1:9">
      <c r="A141" s="137" t="str">
        <f t="shared" si="9"/>
        <v>철도건설과</v>
      </c>
      <c r="B141" s="138" t="str">
        <f t="shared" si="8"/>
        <v>건설교통위원회</v>
      </c>
      <c r="C141" s="137" t="str">
        <f t="shared" si="10"/>
        <v>철도국</v>
      </c>
      <c r="E141" s="139" t="s">
        <v>199</v>
      </c>
      <c r="F141" s="140" t="s">
        <v>204</v>
      </c>
      <c r="G141" s="139" t="s">
        <v>10</v>
      </c>
      <c r="H141" s="141">
        <v>140</v>
      </c>
      <c r="I141" s="142" t="s">
        <v>367</v>
      </c>
    </row>
    <row r="142" spans="1:9">
      <c r="A142" s="137" t="str">
        <f t="shared" si="9"/>
        <v>교통정책과</v>
      </c>
      <c r="B142" s="138" t="str">
        <f t="shared" si="8"/>
        <v>건설교통위원회</v>
      </c>
      <c r="C142" s="137" t="str">
        <f t="shared" si="10"/>
        <v>교통국</v>
      </c>
      <c r="E142" s="139" t="s">
        <v>351</v>
      </c>
      <c r="F142" s="140" t="s">
        <v>352</v>
      </c>
      <c r="G142" s="139" t="s">
        <v>10</v>
      </c>
      <c r="H142" s="141">
        <v>141</v>
      </c>
      <c r="I142" s="142" t="s">
        <v>371</v>
      </c>
    </row>
    <row r="143" spans="1:9">
      <c r="A143" s="137" t="str">
        <f t="shared" si="9"/>
        <v>버스정책과</v>
      </c>
      <c r="B143" s="138" t="str">
        <f t="shared" si="8"/>
        <v>건설교통위원회</v>
      </c>
      <c r="C143" s="137" t="str">
        <f t="shared" si="10"/>
        <v>교통국</v>
      </c>
      <c r="E143" s="139" t="s">
        <v>351</v>
      </c>
      <c r="F143" s="140" t="s">
        <v>354</v>
      </c>
      <c r="G143" s="139" t="s">
        <v>10</v>
      </c>
      <c r="H143" s="141">
        <v>142</v>
      </c>
      <c r="I143" s="142" t="s">
        <v>372</v>
      </c>
    </row>
    <row r="144" spans="1:9">
      <c r="A144" s="137" t="str">
        <f t="shared" si="9"/>
        <v>굿모닝버스추진단</v>
      </c>
      <c r="B144" s="138" t="str">
        <f t="shared" si="8"/>
        <v>건설교통위원회</v>
      </c>
      <c r="C144" s="137" t="str">
        <f t="shared" si="10"/>
        <v>교통국</v>
      </c>
      <c r="E144" s="139" t="s">
        <v>351</v>
      </c>
      <c r="F144" s="140" t="s">
        <v>356</v>
      </c>
      <c r="G144" s="139" t="s">
        <v>10</v>
      </c>
      <c r="H144" s="141">
        <v>143</v>
      </c>
      <c r="I144" s="142" t="s">
        <v>373</v>
      </c>
    </row>
    <row r="145" spans="1:9">
      <c r="A145" s="137" t="str">
        <f t="shared" si="9"/>
        <v>택시정책과</v>
      </c>
      <c r="B145" s="138" t="str">
        <f t="shared" si="8"/>
        <v>건설교통위원회</v>
      </c>
      <c r="C145" s="137" t="str">
        <f t="shared" si="10"/>
        <v>교통국</v>
      </c>
      <c r="E145" s="139" t="s">
        <v>351</v>
      </c>
      <c r="F145" s="140" t="s">
        <v>358</v>
      </c>
      <c r="G145" s="139" t="s">
        <v>10</v>
      </c>
      <c r="H145" s="141">
        <v>144</v>
      </c>
      <c r="I145" s="142" t="s">
        <v>374</v>
      </c>
    </row>
    <row r="146" spans="1:9">
      <c r="A146" s="137" t="str">
        <f t="shared" si="9"/>
        <v>교통정보센터</v>
      </c>
      <c r="B146" s="138" t="str">
        <f t="shared" si="8"/>
        <v>건설교통위원회</v>
      </c>
      <c r="C146" s="137" t="str">
        <f t="shared" si="10"/>
        <v>교통국</v>
      </c>
      <c r="E146" s="139" t="s">
        <v>351</v>
      </c>
      <c r="F146" s="140" t="s">
        <v>360</v>
      </c>
      <c r="G146" s="139" t="s">
        <v>10</v>
      </c>
      <c r="H146" s="141">
        <v>145</v>
      </c>
      <c r="I146" s="142" t="s">
        <v>375</v>
      </c>
    </row>
    <row r="147" spans="1:9">
      <c r="A147" s="137" t="str">
        <f t="shared" si="9"/>
        <v>건설안전과</v>
      </c>
      <c r="B147" s="138" t="str">
        <f t="shared" si="8"/>
        <v>건설교통위원회</v>
      </c>
      <c r="C147" s="137" t="str">
        <f t="shared" si="10"/>
        <v>건설국</v>
      </c>
      <c r="E147" s="139" t="s">
        <v>361</v>
      </c>
      <c r="F147" s="140" t="s">
        <v>362</v>
      </c>
      <c r="G147" s="139" t="s">
        <v>10</v>
      </c>
      <c r="H147" s="141">
        <v>146</v>
      </c>
      <c r="I147" s="142" t="s">
        <v>377</v>
      </c>
    </row>
    <row r="148" spans="1:9">
      <c r="A148" s="137" t="str">
        <f t="shared" si="9"/>
        <v>도로정책과</v>
      </c>
      <c r="B148" s="138" t="str">
        <f t="shared" si="8"/>
        <v>건설교통위원회</v>
      </c>
      <c r="C148" s="137" t="str">
        <f t="shared" si="10"/>
        <v>건설국</v>
      </c>
      <c r="E148" s="139" t="s">
        <v>361</v>
      </c>
      <c r="F148" s="140" t="s">
        <v>364</v>
      </c>
      <c r="G148" s="139" t="s">
        <v>10</v>
      </c>
      <c r="H148" s="141">
        <v>147</v>
      </c>
      <c r="I148" s="142" t="s">
        <v>475</v>
      </c>
    </row>
    <row r="149" spans="1:9">
      <c r="A149" s="137" t="str">
        <f t="shared" si="9"/>
        <v>하천과</v>
      </c>
      <c r="B149" s="138" t="str">
        <f t="shared" si="8"/>
        <v>건설교통위원회</v>
      </c>
      <c r="C149" s="137" t="str">
        <f t="shared" si="10"/>
        <v>건설국</v>
      </c>
      <c r="E149" s="139" t="s">
        <v>361</v>
      </c>
      <c r="F149" s="140" t="s">
        <v>366</v>
      </c>
      <c r="G149" s="139" t="s">
        <v>10</v>
      </c>
      <c r="H149" s="141">
        <v>148</v>
      </c>
      <c r="I149" s="142" t="s">
        <v>476</v>
      </c>
    </row>
    <row r="150" spans="1:9">
      <c r="A150" s="137" t="str">
        <f t="shared" si="9"/>
        <v>건설기술과</v>
      </c>
      <c r="B150" s="138" t="str">
        <f t="shared" si="8"/>
        <v>건설교통위원회</v>
      </c>
      <c r="C150" s="137" t="str">
        <f t="shared" si="10"/>
        <v>건설국</v>
      </c>
      <c r="E150" s="139" t="s">
        <v>361</v>
      </c>
      <c r="F150" s="140" t="s">
        <v>368</v>
      </c>
      <c r="G150" s="139" t="s">
        <v>10</v>
      </c>
      <c r="H150" s="141">
        <v>149</v>
      </c>
      <c r="I150" s="142" t="s">
        <v>477</v>
      </c>
    </row>
    <row r="151" spans="1:9">
      <c r="A151" s="137" t="str">
        <f t="shared" si="9"/>
        <v>관리과</v>
      </c>
      <c r="B151" s="138" t="str">
        <f t="shared" si="8"/>
        <v>건설교통위원회</v>
      </c>
      <c r="C151" s="137" t="str">
        <f t="shared" si="10"/>
        <v>건설본부</v>
      </c>
      <c r="E151" s="139" t="s">
        <v>116</v>
      </c>
      <c r="F151" s="140" t="s">
        <v>409</v>
      </c>
      <c r="G151" s="139" t="s">
        <v>10</v>
      </c>
      <c r="H151" s="141">
        <v>150</v>
      </c>
      <c r="I151" s="142" t="s">
        <v>380</v>
      </c>
    </row>
    <row r="152" spans="1:9">
      <c r="A152" s="137" t="str">
        <f t="shared" si="9"/>
        <v>도로건설과</v>
      </c>
      <c r="B152" s="138" t="str">
        <f t="shared" si="8"/>
        <v>건설교통위원회</v>
      </c>
      <c r="C152" s="137" t="str">
        <f t="shared" si="10"/>
        <v>건설본부</v>
      </c>
      <c r="E152" s="139" t="s">
        <v>116</v>
      </c>
      <c r="F152" s="140" t="s">
        <v>410</v>
      </c>
      <c r="G152" s="139" t="s">
        <v>10</v>
      </c>
      <c r="H152" s="141">
        <v>151</v>
      </c>
      <c r="I152" s="142" t="s">
        <v>381</v>
      </c>
    </row>
    <row r="153" spans="1:9">
      <c r="A153" s="137" t="str">
        <f t="shared" si="9"/>
        <v>북부도로과</v>
      </c>
      <c r="B153" s="138" t="str">
        <f t="shared" si="8"/>
        <v>건설교통위원회</v>
      </c>
      <c r="C153" s="137" t="str">
        <f t="shared" si="10"/>
        <v>건설본부</v>
      </c>
      <c r="E153" s="139" t="s">
        <v>116</v>
      </c>
      <c r="F153" s="140" t="s">
        <v>411</v>
      </c>
      <c r="G153" s="139" t="s">
        <v>10</v>
      </c>
      <c r="H153" s="141">
        <v>152</v>
      </c>
      <c r="I153" s="142" t="s">
        <v>382</v>
      </c>
    </row>
    <row r="154" spans="1:9">
      <c r="A154" s="137" t="str">
        <f t="shared" si="9"/>
        <v>건축시설과</v>
      </c>
      <c r="B154" s="138" t="str">
        <f t="shared" si="8"/>
        <v>건설교통위원회</v>
      </c>
      <c r="C154" s="137" t="str">
        <f t="shared" si="10"/>
        <v>건설본부</v>
      </c>
      <c r="E154" s="139" t="s">
        <v>116</v>
      </c>
      <c r="F154" s="140" t="s">
        <v>412</v>
      </c>
      <c r="G154" s="139" t="s">
        <v>10</v>
      </c>
      <c r="H154" s="141">
        <v>153</v>
      </c>
      <c r="I154" s="142" t="s">
        <v>383</v>
      </c>
    </row>
    <row r="155" spans="1:9">
      <c r="A155" s="137" t="str">
        <f t="shared" si="9"/>
        <v>신청사건립추진단</v>
      </c>
      <c r="B155" s="138" t="str">
        <f t="shared" si="8"/>
        <v>건설교통위원회</v>
      </c>
      <c r="C155" s="137" t="str">
        <f t="shared" si="10"/>
        <v>건설본부</v>
      </c>
      <c r="E155" s="139" t="s">
        <v>116</v>
      </c>
      <c r="F155" s="140" t="s">
        <v>413</v>
      </c>
      <c r="G155" s="139" t="s">
        <v>10</v>
      </c>
      <c r="H155" s="141">
        <v>154</v>
      </c>
      <c r="I155" s="142" t="s">
        <v>384</v>
      </c>
    </row>
    <row r="156" spans="1:9">
      <c r="A156" s="137" t="str">
        <f t="shared" si="9"/>
        <v>지역정책과</v>
      </c>
      <c r="B156" s="138" t="str">
        <f t="shared" si="8"/>
        <v>도시환경위원회</v>
      </c>
      <c r="C156" s="137" t="str">
        <f t="shared" si="10"/>
        <v>도시주택실</v>
      </c>
      <c r="E156" s="139" t="s">
        <v>103</v>
      </c>
      <c r="F156" s="140" t="s">
        <v>146</v>
      </c>
      <c r="G156" s="139" t="s">
        <v>11</v>
      </c>
      <c r="H156" s="141">
        <v>155</v>
      </c>
      <c r="I156" s="142" t="s">
        <v>386</v>
      </c>
    </row>
    <row r="157" spans="1:9">
      <c r="A157" s="137" t="str">
        <f t="shared" si="9"/>
        <v>도시정책과</v>
      </c>
      <c r="B157" s="138" t="str">
        <f t="shared" si="8"/>
        <v>도시환경위원회</v>
      </c>
      <c r="C157" s="137" t="str">
        <f t="shared" si="10"/>
        <v>도시주택실</v>
      </c>
      <c r="E157" s="139" t="s">
        <v>103</v>
      </c>
      <c r="F157" s="140" t="s">
        <v>148</v>
      </c>
      <c r="G157" s="139" t="s">
        <v>11</v>
      </c>
      <c r="H157" s="141">
        <v>156</v>
      </c>
      <c r="I157" s="142" t="s">
        <v>478</v>
      </c>
    </row>
    <row r="158" spans="1:9">
      <c r="A158" s="137" t="str">
        <f t="shared" si="9"/>
        <v>도시주택과</v>
      </c>
      <c r="B158" s="138" t="str">
        <f t="shared" si="8"/>
        <v>도시환경위원회</v>
      </c>
      <c r="C158" s="137" t="str">
        <f t="shared" si="10"/>
        <v>도시주택실</v>
      </c>
      <c r="E158" s="139" t="s">
        <v>103</v>
      </c>
      <c r="F158" s="140" t="s">
        <v>150</v>
      </c>
      <c r="G158" s="139" t="s">
        <v>11</v>
      </c>
      <c r="H158" s="141">
        <v>157</v>
      </c>
      <c r="I158" s="142" t="s">
        <v>479</v>
      </c>
    </row>
    <row r="159" spans="1:9">
      <c r="A159" s="137" t="str">
        <f t="shared" si="9"/>
        <v>주택정책과</v>
      </c>
      <c r="B159" s="138" t="str">
        <f t="shared" si="8"/>
        <v>도시환경위원회</v>
      </c>
      <c r="C159" s="137" t="str">
        <f t="shared" si="10"/>
        <v>도시주택실</v>
      </c>
      <c r="E159" s="139" t="s">
        <v>103</v>
      </c>
      <c r="F159" s="140" t="s">
        <v>151</v>
      </c>
      <c r="G159" s="139" t="s">
        <v>11</v>
      </c>
      <c r="H159" s="141">
        <v>158</v>
      </c>
      <c r="I159" s="142" t="s">
        <v>480</v>
      </c>
    </row>
    <row r="160" spans="1:9">
      <c r="A160" s="137" t="str">
        <f t="shared" si="9"/>
        <v>건축디자인과</v>
      </c>
      <c r="B160" s="138" t="str">
        <f t="shared" si="8"/>
        <v>도시환경위원회</v>
      </c>
      <c r="C160" s="137" t="str">
        <f t="shared" si="10"/>
        <v>도시주택실</v>
      </c>
      <c r="E160" s="139" t="s">
        <v>103</v>
      </c>
      <c r="F160" s="140" t="s">
        <v>152</v>
      </c>
      <c r="G160" s="139" t="s">
        <v>11</v>
      </c>
      <c r="H160" s="141">
        <v>159</v>
      </c>
      <c r="I160" s="142" t="s">
        <v>481</v>
      </c>
    </row>
    <row r="161" spans="1:9">
      <c r="A161" s="137" t="str">
        <f t="shared" si="9"/>
        <v>공공택지과</v>
      </c>
      <c r="B161" s="138" t="str">
        <f t="shared" si="8"/>
        <v>도시환경위원회</v>
      </c>
      <c r="C161" s="137" t="str">
        <f t="shared" si="10"/>
        <v>도시주택실</v>
      </c>
      <c r="E161" s="139" t="s">
        <v>103</v>
      </c>
      <c r="F161" s="140" t="s">
        <v>153</v>
      </c>
      <c r="G161" s="139" t="s">
        <v>11</v>
      </c>
      <c r="H161" s="141">
        <v>160</v>
      </c>
      <c r="I161" s="142" t="s">
        <v>482</v>
      </c>
    </row>
    <row r="162" spans="1:9">
      <c r="A162" s="137" t="str">
        <f t="shared" si="9"/>
        <v>토지정보과</v>
      </c>
      <c r="B162" s="138" t="str">
        <f t="shared" ref="B162:B188" si="11">G162</f>
        <v>도시환경위원회</v>
      </c>
      <c r="C162" s="137" t="str">
        <f t="shared" si="10"/>
        <v>도시주택실</v>
      </c>
      <c r="E162" s="139" t="s">
        <v>103</v>
      </c>
      <c r="F162" s="140" t="s">
        <v>154</v>
      </c>
      <c r="G162" s="139" t="s">
        <v>11</v>
      </c>
      <c r="H162" s="141">
        <v>161</v>
      </c>
      <c r="I162" s="142" t="s">
        <v>483</v>
      </c>
    </row>
    <row r="163" spans="1:9">
      <c r="A163" s="137" t="str">
        <f t="shared" si="9"/>
        <v>도시개발과</v>
      </c>
      <c r="B163" s="138" t="str">
        <f t="shared" si="11"/>
        <v>도시환경위원회</v>
      </c>
      <c r="C163" s="137" t="str">
        <f t="shared" si="10"/>
        <v>도시주택실</v>
      </c>
      <c r="E163" s="139" t="s">
        <v>103</v>
      </c>
      <c r="F163" s="140" t="s">
        <v>155</v>
      </c>
      <c r="G163" s="139" t="s">
        <v>11</v>
      </c>
      <c r="H163" s="141">
        <v>162</v>
      </c>
      <c r="I163" s="142" t="s">
        <v>484</v>
      </c>
    </row>
    <row r="164" spans="1:9">
      <c r="A164" s="137" t="str">
        <f t="shared" si="9"/>
        <v>도시재생과</v>
      </c>
      <c r="B164" s="138" t="str">
        <f t="shared" si="11"/>
        <v>도시환경위원회</v>
      </c>
      <c r="C164" s="137" t="str">
        <f t="shared" si="10"/>
        <v>도시주택실</v>
      </c>
      <c r="E164" s="139" t="s">
        <v>103</v>
      </c>
      <c r="F164" s="140" t="s">
        <v>156</v>
      </c>
      <c r="G164" s="139" t="s">
        <v>11</v>
      </c>
      <c r="H164" s="141">
        <v>163</v>
      </c>
      <c r="I164" s="142" t="s">
        <v>485</v>
      </c>
    </row>
    <row r="165" spans="1:9">
      <c r="A165" s="137" t="str">
        <f t="shared" si="9"/>
        <v>도시계획상임기획단</v>
      </c>
      <c r="B165" s="138" t="str">
        <f t="shared" si="11"/>
        <v>도시환경위원회</v>
      </c>
      <c r="C165" s="137" t="str">
        <f t="shared" si="10"/>
        <v>도시주택실</v>
      </c>
      <c r="E165" s="139" t="s">
        <v>103</v>
      </c>
      <c r="F165" s="140" t="s">
        <v>157</v>
      </c>
      <c r="G165" s="139" t="s">
        <v>11</v>
      </c>
      <c r="H165" s="141">
        <v>164</v>
      </c>
      <c r="I165" s="142" t="s">
        <v>486</v>
      </c>
    </row>
    <row r="166" spans="1:9">
      <c r="A166" s="137" t="str">
        <f t="shared" si="9"/>
        <v>환경정책과</v>
      </c>
      <c r="B166" s="138" t="str">
        <f t="shared" si="11"/>
        <v>도시환경위원회</v>
      </c>
      <c r="C166" s="137" t="str">
        <f t="shared" si="10"/>
        <v>환경국</v>
      </c>
      <c r="E166" s="139" t="s">
        <v>107</v>
      </c>
      <c r="F166" s="140" t="s">
        <v>280</v>
      </c>
      <c r="G166" s="139" t="s">
        <v>11</v>
      </c>
      <c r="H166" s="141">
        <v>165</v>
      </c>
      <c r="I166" s="142" t="s">
        <v>388</v>
      </c>
    </row>
    <row r="167" spans="1:9">
      <c r="A167" s="137" t="str">
        <f t="shared" si="9"/>
        <v>기후대기과</v>
      </c>
      <c r="B167" s="138" t="str">
        <f t="shared" si="11"/>
        <v>도시환경위원회</v>
      </c>
      <c r="C167" s="137" t="str">
        <f t="shared" si="10"/>
        <v>환경국</v>
      </c>
      <c r="E167" s="139" t="s">
        <v>107</v>
      </c>
      <c r="F167" s="140" t="s">
        <v>282</v>
      </c>
      <c r="G167" s="139" t="s">
        <v>11</v>
      </c>
      <c r="H167" s="141">
        <v>166</v>
      </c>
      <c r="I167" s="142" t="s">
        <v>389</v>
      </c>
    </row>
    <row r="168" spans="1:9">
      <c r="A168" s="137" t="str">
        <f t="shared" si="9"/>
        <v>환경안전관리과</v>
      </c>
      <c r="B168" s="138" t="str">
        <f t="shared" si="11"/>
        <v>도시환경위원회</v>
      </c>
      <c r="C168" s="137" t="str">
        <f t="shared" si="10"/>
        <v>환경국</v>
      </c>
      <c r="E168" s="139" t="s">
        <v>107</v>
      </c>
      <c r="F168" s="140" t="s">
        <v>283</v>
      </c>
      <c r="G168" s="139" t="s">
        <v>11</v>
      </c>
      <c r="H168" s="141">
        <v>167</v>
      </c>
      <c r="I168" s="142" t="s">
        <v>390</v>
      </c>
    </row>
    <row r="169" spans="1:9">
      <c r="A169" s="137" t="str">
        <f t="shared" si="9"/>
        <v>자원순환과</v>
      </c>
      <c r="B169" s="138" t="str">
        <f t="shared" si="11"/>
        <v>도시환경위원회</v>
      </c>
      <c r="C169" s="137" t="str">
        <f t="shared" si="10"/>
        <v>환경국</v>
      </c>
      <c r="E169" s="139" t="s">
        <v>107</v>
      </c>
      <c r="F169" s="140" t="s">
        <v>284</v>
      </c>
      <c r="G169" s="139" t="s">
        <v>11</v>
      </c>
      <c r="H169" s="141">
        <v>168</v>
      </c>
      <c r="I169" s="142" t="s">
        <v>391</v>
      </c>
    </row>
    <row r="170" spans="1:9">
      <c r="A170" s="137" t="str">
        <f t="shared" si="9"/>
        <v>북부환경관리과</v>
      </c>
      <c r="B170" s="138" t="str">
        <f t="shared" si="11"/>
        <v>도시환경위원회</v>
      </c>
      <c r="C170" s="137" t="str">
        <f t="shared" si="10"/>
        <v>환경국</v>
      </c>
      <c r="E170" s="139" t="s">
        <v>107</v>
      </c>
      <c r="F170" s="140" t="s">
        <v>285</v>
      </c>
      <c r="G170" s="139" t="s">
        <v>11</v>
      </c>
      <c r="H170" s="141">
        <v>169</v>
      </c>
      <c r="I170" s="142" t="s">
        <v>392</v>
      </c>
    </row>
    <row r="171" spans="1:9">
      <c r="A171" s="137" t="str">
        <f t="shared" si="9"/>
        <v>공단환경관리사업소</v>
      </c>
      <c r="B171" s="138" t="str">
        <f t="shared" si="11"/>
        <v>도시환경위원회</v>
      </c>
      <c r="C171" s="137" t="str">
        <f t="shared" si="10"/>
        <v>환경국</v>
      </c>
      <c r="E171" s="139" t="s">
        <v>107</v>
      </c>
      <c r="F171" s="140" t="s">
        <v>286</v>
      </c>
      <c r="G171" s="139" t="s">
        <v>11</v>
      </c>
      <c r="H171" s="141">
        <v>170</v>
      </c>
      <c r="I171" s="142" t="s">
        <v>487</v>
      </c>
    </row>
    <row r="172" spans="1:9">
      <c r="A172" s="137" t="str">
        <f t="shared" si="9"/>
        <v>공원녹지과</v>
      </c>
      <c r="B172" s="138" t="str">
        <f t="shared" si="11"/>
        <v>도시환경위원회</v>
      </c>
      <c r="C172" s="137" t="str">
        <f t="shared" si="10"/>
        <v>축산산림국</v>
      </c>
      <c r="E172" s="139" t="s">
        <v>66</v>
      </c>
      <c r="F172" s="140" t="s">
        <v>347</v>
      </c>
      <c r="G172" s="139" t="s">
        <v>11</v>
      </c>
      <c r="H172" s="141">
        <v>171</v>
      </c>
      <c r="I172" s="142" t="s">
        <v>488</v>
      </c>
    </row>
    <row r="173" spans="1:9">
      <c r="A173" s="137" t="str">
        <f t="shared" si="9"/>
        <v>대기연구부</v>
      </c>
      <c r="B173" s="138" t="str">
        <f t="shared" si="11"/>
        <v>도시환경위원회</v>
      </c>
      <c r="C173" s="137" t="str">
        <f t="shared" si="10"/>
        <v>보건환경연구원</v>
      </c>
      <c r="E173" s="139" t="s">
        <v>115</v>
      </c>
      <c r="F173" s="140" t="s">
        <v>414</v>
      </c>
      <c r="G173" s="139" t="s">
        <v>11</v>
      </c>
      <c r="H173" s="141">
        <v>172</v>
      </c>
      <c r="I173" s="142" t="s">
        <v>489</v>
      </c>
    </row>
    <row r="174" spans="1:9">
      <c r="A174" s="137" t="str">
        <f t="shared" si="9"/>
        <v>수질연구부</v>
      </c>
      <c r="B174" s="138" t="str">
        <f t="shared" si="11"/>
        <v>도시환경위원회</v>
      </c>
      <c r="C174" s="137" t="str">
        <f t="shared" si="10"/>
        <v>보건환경연구원</v>
      </c>
      <c r="E174" s="139" t="s">
        <v>115</v>
      </c>
      <c r="F174" s="140" t="s">
        <v>415</v>
      </c>
      <c r="G174" s="139" t="s">
        <v>11</v>
      </c>
      <c r="H174" s="141">
        <v>173</v>
      </c>
      <c r="I174" s="142" t="s">
        <v>490</v>
      </c>
    </row>
    <row r="175" spans="1:9">
      <c r="A175" s="147" t="str">
        <f t="shared" si="9"/>
        <v>북부지원</v>
      </c>
      <c r="B175" s="148" t="str">
        <f t="shared" ref="B175" si="12">G175</f>
        <v>도시환경위원회</v>
      </c>
      <c r="C175" s="147" t="str">
        <f t="shared" si="10"/>
        <v>보건환경연구원</v>
      </c>
      <c r="D175" s="149"/>
      <c r="E175" s="150" t="s">
        <v>115</v>
      </c>
      <c r="F175" s="151" t="s">
        <v>397</v>
      </c>
      <c r="G175" s="150" t="s">
        <v>11</v>
      </c>
      <c r="H175" s="152" t="s">
        <v>544</v>
      </c>
      <c r="I175" s="153">
        <v>2903</v>
      </c>
    </row>
    <row r="176" spans="1:9">
      <c r="A176" s="137" t="str">
        <f t="shared" si="9"/>
        <v>수자원본부</v>
      </c>
      <c r="B176" s="138" t="str">
        <f t="shared" si="11"/>
        <v>도시환경위원회</v>
      </c>
      <c r="C176" s="137" t="str">
        <f t="shared" si="10"/>
        <v>수자원본부</v>
      </c>
      <c r="E176" s="139" t="s">
        <v>385</v>
      </c>
      <c r="F176" s="140" t="s">
        <v>385</v>
      </c>
      <c r="G176" s="139" t="s">
        <v>11</v>
      </c>
      <c r="H176" s="141">
        <v>174</v>
      </c>
      <c r="I176" s="142" t="s">
        <v>491</v>
      </c>
    </row>
    <row r="177" spans="1:9">
      <c r="A177" s="137" t="str">
        <f t="shared" si="9"/>
        <v>교육정책과</v>
      </c>
      <c r="B177" s="138" t="str">
        <f t="shared" si="11"/>
        <v>여성가족교육협력위원회</v>
      </c>
      <c r="C177" s="137" t="str">
        <f t="shared" si="10"/>
        <v>교육협력국</v>
      </c>
      <c r="E177" s="139" t="s">
        <v>170</v>
      </c>
      <c r="F177" s="140" t="s">
        <v>171</v>
      </c>
      <c r="G177" s="139" t="s">
        <v>416</v>
      </c>
      <c r="H177" s="141">
        <v>175</v>
      </c>
      <c r="I177" s="142" t="s">
        <v>492</v>
      </c>
    </row>
    <row r="178" spans="1:9">
      <c r="A178" s="137" t="str">
        <f t="shared" si="9"/>
        <v>교육협력과</v>
      </c>
      <c r="B178" s="138" t="str">
        <f t="shared" si="11"/>
        <v>여성가족교육협력위원회</v>
      </c>
      <c r="C178" s="137" t="str">
        <f t="shared" si="10"/>
        <v>교육협력국</v>
      </c>
      <c r="E178" s="139" t="s">
        <v>170</v>
      </c>
      <c r="F178" s="140" t="s">
        <v>173</v>
      </c>
      <c r="G178" s="139" t="s">
        <v>416</v>
      </c>
      <c r="H178" s="141">
        <v>176</v>
      </c>
      <c r="I178" s="142" t="s">
        <v>493</v>
      </c>
    </row>
    <row r="179" spans="1:9">
      <c r="A179" s="137" t="str">
        <f t="shared" si="9"/>
        <v>도서관정책과</v>
      </c>
      <c r="B179" s="138" t="str">
        <f t="shared" si="11"/>
        <v>여성가족교육협력위원회</v>
      </c>
      <c r="C179" s="137" t="str">
        <f t="shared" si="10"/>
        <v>교육협력국</v>
      </c>
      <c r="E179" s="139" t="s">
        <v>170</v>
      </c>
      <c r="F179" s="140" t="s">
        <v>175</v>
      </c>
      <c r="G179" s="139" t="s">
        <v>416</v>
      </c>
      <c r="H179" s="141">
        <v>177</v>
      </c>
      <c r="I179" s="142" t="s">
        <v>494</v>
      </c>
    </row>
    <row r="180" spans="1:9">
      <c r="A180" s="137" t="str">
        <f t="shared" si="9"/>
        <v>여성가족과</v>
      </c>
      <c r="B180" s="138" t="str">
        <f t="shared" si="11"/>
        <v>여성가족교육협력위원회</v>
      </c>
      <c r="C180" s="137" t="str">
        <f t="shared" si="10"/>
        <v>여성가족국</v>
      </c>
      <c r="E180" s="139" t="s">
        <v>108</v>
      </c>
      <c r="F180" s="140" t="s">
        <v>85</v>
      </c>
      <c r="G180" s="139" t="s">
        <v>416</v>
      </c>
      <c r="H180" s="141">
        <v>178</v>
      </c>
      <c r="I180" s="142" t="s">
        <v>495</v>
      </c>
    </row>
    <row r="181" spans="1:9">
      <c r="A181" s="137" t="str">
        <f t="shared" si="9"/>
        <v>보육정책과</v>
      </c>
      <c r="B181" s="138" t="str">
        <f t="shared" si="11"/>
        <v>여성가족교육협력위원회</v>
      </c>
      <c r="C181" s="137" t="str">
        <f t="shared" si="10"/>
        <v>여성가족국</v>
      </c>
      <c r="E181" s="139" t="s">
        <v>108</v>
      </c>
      <c r="F181" s="140" t="s">
        <v>288</v>
      </c>
      <c r="G181" s="139" t="s">
        <v>416</v>
      </c>
      <c r="H181" s="141">
        <v>179</v>
      </c>
      <c r="I181" s="142" t="s">
        <v>496</v>
      </c>
    </row>
    <row r="182" spans="1:9">
      <c r="A182" s="137" t="str">
        <f t="shared" si="9"/>
        <v>아동청소년과</v>
      </c>
      <c r="B182" s="138" t="str">
        <f t="shared" si="11"/>
        <v>여성가족교육협력위원회</v>
      </c>
      <c r="C182" s="137" t="str">
        <f t="shared" si="10"/>
        <v>여성가족국</v>
      </c>
      <c r="E182" s="139" t="s">
        <v>108</v>
      </c>
      <c r="F182" s="140" t="s">
        <v>290</v>
      </c>
      <c r="G182" s="139" t="s">
        <v>416</v>
      </c>
      <c r="H182" s="141">
        <v>180</v>
      </c>
      <c r="I182" s="142" t="s">
        <v>497</v>
      </c>
    </row>
    <row r="183" spans="1:9">
      <c r="A183" s="137" t="str">
        <f t="shared" si="9"/>
        <v>다문화가족과</v>
      </c>
      <c r="B183" s="138" t="str">
        <f t="shared" si="11"/>
        <v>여성가족교육협력위원회</v>
      </c>
      <c r="C183" s="137" t="str">
        <f t="shared" si="10"/>
        <v>여성가족국</v>
      </c>
      <c r="E183" s="139" t="s">
        <v>108</v>
      </c>
      <c r="F183" s="140" t="s">
        <v>292</v>
      </c>
      <c r="G183" s="139" t="s">
        <v>416</v>
      </c>
      <c r="H183" s="141">
        <v>181</v>
      </c>
      <c r="I183" s="142" t="s">
        <v>498</v>
      </c>
    </row>
    <row r="184" spans="1:9">
      <c r="A184" s="137" t="str">
        <f t="shared" si="9"/>
        <v>여성비전센터</v>
      </c>
      <c r="B184" s="138" t="str">
        <f t="shared" si="11"/>
        <v>여성가족교육협력위원회</v>
      </c>
      <c r="C184" s="137" t="str">
        <f t="shared" si="10"/>
        <v>여성가족국</v>
      </c>
      <c r="E184" s="139" t="s">
        <v>108</v>
      </c>
      <c r="F184" s="140" t="s">
        <v>294</v>
      </c>
      <c r="G184" s="139" t="s">
        <v>416</v>
      </c>
      <c r="H184" s="141">
        <v>182</v>
      </c>
      <c r="I184" s="142" t="s">
        <v>499</v>
      </c>
    </row>
    <row r="185" spans="1:9">
      <c r="A185" s="137" t="str">
        <f t="shared" si="9"/>
        <v>여성능력개발센터</v>
      </c>
      <c r="B185" s="138" t="str">
        <f t="shared" si="11"/>
        <v>여성가족교육협력위원회</v>
      </c>
      <c r="C185" s="137" t="str">
        <f t="shared" si="10"/>
        <v>여성가족국</v>
      </c>
      <c r="E185" s="139" t="s">
        <v>108</v>
      </c>
      <c r="F185" s="140" t="s">
        <v>296</v>
      </c>
      <c r="G185" s="139" t="s">
        <v>416</v>
      </c>
      <c r="H185" s="141">
        <v>183</v>
      </c>
      <c r="I185" s="142" t="s">
        <v>500</v>
      </c>
    </row>
    <row r="186" spans="1:9">
      <c r="A186" s="137" t="str">
        <f t="shared" si="9"/>
        <v>가족여성담당관</v>
      </c>
      <c r="B186" s="138" t="str">
        <f t="shared" si="11"/>
        <v>여성가족교육협력위원회</v>
      </c>
      <c r="C186" s="137" t="str">
        <f t="shared" si="10"/>
        <v>복지여성실</v>
      </c>
      <c r="E186" s="139" t="s">
        <v>69</v>
      </c>
      <c r="F186" s="140" t="s">
        <v>84</v>
      </c>
      <c r="G186" s="139" t="s">
        <v>416</v>
      </c>
      <c r="H186" s="141">
        <v>184</v>
      </c>
      <c r="I186" s="142" t="s">
        <v>501</v>
      </c>
    </row>
    <row r="187" spans="1:9">
      <c r="A187" s="137" t="str">
        <f t="shared" si="9"/>
        <v>보육청소년담당관</v>
      </c>
      <c r="B187" s="138" t="str">
        <f t="shared" si="11"/>
        <v>여성가족교육협력위원회</v>
      </c>
      <c r="C187" s="137" t="str">
        <f t="shared" si="10"/>
        <v>복지여성실</v>
      </c>
      <c r="E187" s="139" t="s">
        <v>69</v>
      </c>
      <c r="F187" s="140" t="s">
        <v>300</v>
      </c>
      <c r="G187" s="139" t="s">
        <v>416</v>
      </c>
      <c r="H187" s="141">
        <v>185</v>
      </c>
      <c r="I187" s="142" t="s">
        <v>502</v>
      </c>
    </row>
    <row r="188" spans="1:9">
      <c r="A188" s="137" t="str">
        <f t="shared" si="9"/>
        <v>북부여성비전센터</v>
      </c>
      <c r="B188" s="138" t="str">
        <f t="shared" si="11"/>
        <v>여성가족교육협력위원회</v>
      </c>
      <c r="C188" s="137" t="str">
        <f t="shared" si="10"/>
        <v>복지여성실</v>
      </c>
      <c r="E188" s="139" t="s">
        <v>69</v>
      </c>
      <c r="F188" s="139" t="s">
        <v>70</v>
      </c>
      <c r="G188" s="139" t="s">
        <v>416</v>
      </c>
      <c r="H188" s="141">
        <v>186</v>
      </c>
      <c r="I188" s="142" t="s">
        <v>503</v>
      </c>
    </row>
  </sheetData>
  <phoneticPr fontId="2" type="noConversion"/>
  <conditionalFormatting sqref="H1:I1 A1 C1">
    <cfRule type="containsText" dxfId="106" priority="5" operator="containsText" text="@@">
      <formula>NOT(ISERROR(SEARCH("@@",A1)))</formula>
    </cfRule>
  </conditionalFormatting>
  <conditionalFormatting sqref="B1">
    <cfRule type="containsText" dxfId="105" priority="4" operator="containsText" text="@@">
      <formula>NOT(ISERROR(SEARCH("@@",B1)))</formula>
    </cfRule>
  </conditionalFormatting>
  <conditionalFormatting sqref="F1">
    <cfRule type="containsText" dxfId="104" priority="3" operator="containsText" text="@@">
      <formula>NOT(ISERROR(SEARCH("@@",F1)))</formula>
    </cfRule>
  </conditionalFormatting>
  <conditionalFormatting sqref="E1">
    <cfRule type="containsText" dxfId="103" priority="2" operator="containsText" text="@@">
      <formula>NOT(ISERROR(SEARCH("@@",E1)))</formula>
    </cfRule>
  </conditionalFormatting>
  <conditionalFormatting sqref="G1">
    <cfRule type="containsText" dxfId="102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4" width="9" style="26"/>
    <col min="15" max="15" width="9.25" style="26" bestFit="1" customWidth="1"/>
    <col min="16" max="16384" width="9" style="26"/>
  </cols>
  <sheetData>
    <row r="1" spans="1:13" ht="33" customHeight="1">
      <c r="A1" s="393" t="s">
        <v>542</v>
      </c>
      <c r="B1" s="393"/>
      <c r="C1" s="393"/>
      <c r="D1" s="393"/>
      <c r="E1" s="393"/>
      <c r="F1" s="393"/>
      <c r="G1" s="48"/>
      <c r="H1" s="394" t="s">
        <v>543</v>
      </c>
      <c r="I1" s="394"/>
      <c r="J1" s="392">
        <v>124682800</v>
      </c>
      <c r="K1" s="392"/>
      <c r="L1" s="392"/>
      <c r="M1" s="392"/>
    </row>
    <row r="2" spans="1:13" s="41" customFormat="1" ht="22.5" customHeight="1">
      <c r="E2" s="42"/>
      <c r="F2" s="42"/>
      <c r="L2" s="42"/>
      <c r="M2" s="42" t="s">
        <v>77</v>
      </c>
    </row>
    <row r="3" spans="1:13" ht="27.95" customHeight="1">
      <c r="A3" s="395" t="s">
        <v>75</v>
      </c>
      <c r="B3" s="397" t="s">
        <v>86</v>
      </c>
      <c r="C3" s="397"/>
      <c r="D3" s="397"/>
      <c r="E3" s="397"/>
      <c r="F3" s="397"/>
      <c r="G3" s="43"/>
      <c r="H3" s="395" t="s">
        <v>75</v>
      </c>
      <c r="I3" s="397" t="s">
        <v>87</v>
      </c>
      <c r="J3" s="397"/>
      <c r="K3" s="397"/>
      <c r="L3" s="397"/>
      <c r="M3" s="397"/>
    </row>
    <row r="4" spans="1:13" ht="27.95" customHeight="1">
      <c r="A4" s="396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555</v>
      </c>
      <c r="H4" s="396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555</v>
      </c>
    </row>
    <row r="5" spans="1:13" s="38" customFormat="1" ht="27.95" customHeight="1">
      <c r="A5" s="31" t="s">
        <v>90</v>
      </c>
      <c r="B5" s="35">
        <f>SUM(B6,B9)</f>
        <v>0</v>
      </c>
      <c r="C5" s="31" t="str">
        <f>IF(B5='16년3추 일입'!V3,"OK","@@")</f>
        <v>OK</v>
      </c>
      <c r="D5" s="35">
        <f>SUM(D6,D9)</f>
        <v>0</v>
      </c>
      <c r="E5" s="31" t="str">
        <f>IF(D5='16년 3추일출'!X3,"OK","@@")</f>
        <v>@@</v>
      </c>
      <c r="F5" s="31"/>
      <c r="G5" s="26"/>
      <c r="H5" s="31" t="s">
        <v>90</v>
      </c>
      <c r="I5" s="35">
        <f>SUM(I6,I9)</f>
        <v>0</v>
      </c>
      <c r="J5" s="31" t="str">
        <f>IF(I5='16년3추 일입'!AA3,"OK","@@")</f>
        <v>OK</v>
      </c>
      <c r="K5" s="35">
        <f>SUM(K6,K9)</f>
        <v>0</v>
      </c>
      <c r="L5" s="31" t="str">
        <f>IF(K5='16년 3추일출'!AC3,"OK","@@")</f>
        <v>OK</v>
      </c>
      <c r="M5" s="31"/>
    </row>
    <row r="6" spans="1:13" ht="27.95" customHeight="1">
      <c r="A6" s="27" t="s">
        <v>89</v>
      </c>
      <c r="B6" s="34">
        <f>SUM(B7:B8)</f>
        <v>0</v>
      </c>
      <c r="C6" s="27" t="str">
        <f>IF(B6='16년3추 일입'!V6,"OK","@@")</f>
        <v>OK</v>
      </c>
      <c r="D6" s="34">
        <f>SUM(D7:D8)</f>
        <v>0</v>
      </c>
      <c r="E6" s="27" t="str">
        <f>IF($D$6='16년 3추일출'!$X$6,"OK","@@")</f>
        <v>OK</v>
      </c>
      <c r="F6" s="27"/>
      <c r="H6" s="27" t="s">
        <v>89</v>
      </c>
      <c r="I6" s="34">
        <f>SUM(I7:I8)</f>
        <v>0</v>
      </c>
      <c r="J6" s="27" t="str">
        <f>IF(I6='16년3추 일입'!AA6,"OK","@@")</f>
        <v>OK</v>
      </c>
      <c r="K6" s="34">
        <f>SUM(K7:K8)</f>
        <v>0</v>
      </c>
      <c r="L6" s="27" t="str">
        <f>IF($K6='16년 3추일출'!$AC6,"OK","@@")</f>
        <v>OK</v>
      </c>
      <c r="M6" s="27"/>
    </row>
    <row r="7" spans="1:13" s="38" customFormat="1" ht="27.95" customHeight="1">
      <c r="A7" s="44" t="s">
        <v>540</v>
      </c>
      <c r="B7" s="45">
        <f>SUMIFS('16년3추 일입'!$V$7:$V$566,'16년3추 일입'!$T$7:$T$566,"도비")</f>
        <v>0</v>
      </c>
      <c r="C7" s="44"/>
      <c r="D7" s="45">
        <f>SUMIFS('16년 3추일출'!$X$12:$X$620,'16년 3추일출'!$V$12:$V$620,"도비")</f>
        <v>0</v>
      </c>
      <c r="E7" s="44"/>
      <c r="F7" s="44"/>
      <c r="H7" s="44" t="s">
        <v>540</v>
      </c>
      <c r="I7" s="45">
        <f>SUMIFS('16년3추 일입'!$AA$7:$AA$566,'16년3추 일입'!$Y$7:$Y$566,"도비")</f>
        <v>0</v>
      </c>
      <c r="J7" s="44"/>
      <c r="K7" s="45">
        <f>SUMIFS('16년 3추일출'!$AC$12:$AC$620,'16년 3추일출'!$AA$12:$AA$620,"도비")</f>
        <v>0</v>
      </c>
      <c r="L7" s="44"/>
      <c r="M7" s="44"/>
    </row>
    <row r="8" spans="1:13" s="38" customFormat="1" ht="27.95" customHeight="1">
      <c r="A8" s="44" t="s">
        <v>88</v>
      </c>
      <c r="B8" s="45">
        <f>SUMIFS('16년3추 일입'!$V$7:$V$566,'16년3추 일입'!$T$7:$T$566,"국비")+SUMIFS('16년3추 일입'!$V$7:$V$566,'16년3추 일입'!$T$7:$T$566,"지특")+SUMIFS('16년3추 일입'!$V$7:$V$566,'16년3추 일입'!$T$7:$T$566,"기금")+SUMIFS('16년3추 일입'!$V$7:$V$566,'16년3추 일입'!$T$7:$T$566,"분권")+SUMIFS('16년3추 일입'!$V$7:$V$566,'16년3추 일입'!$T$7:$T$566,"특교")</f>
        <v>0</v>
      </c>
      <c r="C8" s="44"/>
      <c r="D8" s="45">
        <f>SUMIFS('16년 3추일출'!$X$12:$X$620,'16년 3추일출'!$V$12:$V$620,"국비")+SUMIFS('16년 3추일출'!$X$12:$X$620,'16년 3추일출'!$V$12:$V$620,"지특")+SUMIFS('16년 3추일출'!$X$12:$X$620,'16년 3추일출'!$V$12:$V$620,"기금")+SUMIFS('16년 3추일출'!$X$12:$X$620,'16년 3추일출'!$V$12:$V$620,"분권")+SUMIFS('16년 3추일출'!$X$12:$X$620,'16년 3추일출'!$V$12:$V$620,"특교")</f>
        <v>0</v>
      </c>
      <c r="E8" s="44"/>
      <c r="F8" s="44"/>
      <c r="H8" s="44" t="s">
        <v>88</v>
      </c>
      <c r="I8" s="45">
        <f>SUMIFS('16년3추 일입'!$AA$7:$AA$566,'16년3추 일입'!$Y$7:$Y$566,"국비")+SUMIFS('16년3추 일입'!$AA$7:$AA$566,'16년3추 일입'!$Y$7:$Y$566,"지특")+SUMIFS('16년3추 일입'!$AA$7:$AA$566,'16년3추 일입'!$Y$7:$Y$566,"기금")+SUMIFS('16년3추 일입'!$AA$7:$AA$566,'16년3추 일입'!$Y$7:$Y$566,"분권")+SUMIFS('16년3추 일입'!$AA$7:$AA$566,'16년3추 일입'!$Y$7:$Y$566,"특교")</f>
        <v>0</v>
      </c>
      <c r="J8" s="44"/>
      <c r="K8" s="45">
        <f>SUMIFS('16년 3추일출'!$AC$12:$AC$620,'16년 3추일출'!$AA$12:$AA$620,"국비")+SUMIFS('16년 3추일출'!$AC$12:$AC$620,'16년 3추일출'!$AA$12:$AA$620,"지특")+SUMIFS('16년 3추일출'!$AC$12:$AC$620,'16년 3추일출'!$AA$12:$AA$620,"기금")+SUMIFS('16년 3추일출'!$AC$12:$AC$620,'16년 3추일출'!$AA$12:$AA$620,"분권")+SUMIFS('16년 3추일출'!$AC$12:$AC$620,'16년 3추일출'!$AA$12:$AA$620,"특교")</f>
        <v>0</v>
      </c>
      <c r="L8" s="44"/>
      <c r="M8" s="44"/>
    </row>
    <row r="9" spans="1:13" ht="27.95" customHeight="1">
      <c r="A9" s="27" t="s">
        <v>83</v>
      </c>
      <c r="B9" s="34">
        <f>SUM(B10:B14)</f>
        <v>0</v>
      </c>
      <c r="C9" s="27" t="str">
        <f>IF(B9='16년3추 일입'!U6,"OK","@@")</f>
        <v>OK</v>
      </c>
      <c r="D9" s="34">
        <f>SUM(D10:D14)</f>
        <v>0</v>
      </c>
      <c r="E9" s="27" t="str">
        <f>IF(B9=D9,"OK","@@")</f>
        <v>OK</v>
      </c>
      <c r="F9" s="166">
        <f>D9-B9</f>
        <v>0</v>
      </c>
      <c r="H9" s="27" t="s">
        <v>83</v>
      </c>
      <c r="I9" s="34">
        <f>SUM(I10:I14)</f>
        <v>0</v>
      </c>
      <c r="J9" s="27" t="str">
        <f>IF(I9='16년3추 일입'!Z6,"OK","@@")</f>
        <v>OK</v>
      </c>
      <c r="K9" s="34">
        <f>SUM(K10:K14)</f>
        <v>0</v>
      </c>
      <c r="L9" s="27" t="str">
        <f>IF(I9=K9,"OK","@@")</f>
        <v>OK</v>
      </c>
      <c r="M9" s="27"/>
    </row>
    <row r="10" spans="1:13" ht="27.95" customHeight="1">
      <c r="A10" s="36" t="s">
        <v>59</v>
      </c>
      <c r="B10" s="37">
        <f>SUMIFS('16년3추 일입'!$U$7:$U$566,'16년3추 일입'!$T$7:$T$566,'15년검증'!$A10)</f>
        <v>0</v>
      </c>
      <c r="C10" s="28"/>
      <c r="D10" s="37">
        <f>SUMIFS('16년 3추일출'!$W$12:$W$620,'16년 3추일출'!$V$12:$V$620,'15년검증'!$A10)</f>
        <v>0</v>
      </c>
      <c r="E10" s="28" t="str">
        <f t="shared" ref="E10:E14" si="0">IF(B10=D10,"OK","@@")</f>
        <v>OK</v>
      </c>
      <c r="F10" s="168">
        <f t="shared" ref="F10:F14" si="1">D10-B10</f>
        <v>0</v>
      </c>
      <c r="H10" s="36" t="s">
        <v>59</v>
      </c>
      <c r="I10" s="37">
        <f>SUMIFS('16년3추 일입'!$Z$7:$Z$566,'16년3추 일입'!$Y$7:$Y$566,'15년검증'!$A10)</f>
        <v>0</v>
      </c>
      <c r="J10" s="28"/>
      <c r="K10" s="37">
        <f>SUMIFS('16년 3추일출'!$AB$12:$AB$620,'16년 3추일출'!$AA$12:$AA$620,'15년검증'!$A10)</f>
        <v>0</v>
      </c>
      <c r="L10" s="28" t="str">
        <f t="shared" ref="L10:L14" si="2">IF(I10=K10,"OK","@@")</f>
        <v>OK</v>
      </c>
      <c r="M10" s="168">
        <f>K10-I10</f>
        <v>0</v>
      </c>
    </row>
    <row r="11" spans="1:13" ht="27.95" customHeight="1">
      <c r="A11" s="36" t="s">
        <v>521</v>
      </c>
      <c r="B11" s="37">
        <f>SUMIFS('16년3추 일입'!$U$7:$U$566,'16년3추 일입'!$T$7:$T$566,'15년검증'!$A11)</f>
        <v>0</v>
      </c>
      <c r="C11" s="28"/>
      <c r="D11" s="37">
        <f>SUMIFS('16년 3추일출'!$W$12:$W$620,'16년 3추일출'!$V$12:$V$620,'15년검증'!$A11)</f>
        <v>0</v>
      </c>
      <c r="E11" s="28" t="str">
        <f t="shared" si="0"/>
        <v>OK</v>
      </c>
      <c r="F11" s="168">
        <f t="shared" si="1"/>
        <v>0</v>
      </c>
      <c r="H11" s="36" t="s">
        <v>521</v>
      </c>
      <c r="I11" s="37">
        <f>SUMIFS('16년3추 일입'!$Z$7:$Z$566,'16년3추 일입'!$Y$7:$Y$566,'15년검증'!$A11)</f>
        <v>0</v>
      </c>
      <c r="J11" s="28"/>
      <c r="K11" s="37">
        <f>SUMIFS('16년 3추일출'!$AB$12:$AB$620,'16년 3추일출'!$AA$12:$AA$620,'15년검증'!$A11)</f>
        <v>0</v>
      </c>
      <c r="L11" s="28" t="str">
        <f t="shared" si="2"/>
        <v>OK</v>
      </c>
      <c r="M11" s="168">
        <f t="shared" ref="M11:M14" si="3">K11-I11</f>
        <v>0</v>
      </c>
    </row>
    <row r="12" spans="1:13" ht="27.95" customHeight="1">
      <c r="A12" s="36" t="s">
        <v>72</v>
      </c>
      <c r="B12" s="37">
        <f>SUMIFS('16년3추 일입'!$U$7:$U$566,'16년3추 일입'!$T$7:$T$566,'15년검증'!$A12)</f>
        <v>0</v>
      </c>
      <c r="C12" s="28"/>
      <c r="D12" s="37">
        <f>SUMIFS('16년 3추일출'!$W$12:$W$620,'16년 3추일출'!$V$12:$V$620,'15년검증'!$A12)</f>
        <v>0</v>
      </c>
      <c r="E12" s="28" t="str">
        <f t="shared" si="0"/>
        <v>OK</v>
      </c>
      <c r="F12" s="168">
        <f t="shared" si="1"/>
        <v>0</v>
      </c>
      <c r="H12" s="36" t="s">
        <v>72</v>
      </c>
      <c r="I12" s="37">
        <f>SUMIFS('16년3추 일입'!$Z$7:$Z$566,'16년3추 일입'!$Y$7:$Y$566,'15년검증'!$A12)</f>
        <v>0</v>
      </c>
      <c r="J12" s="28"/>
      <c r="K12" s="37">
        <f>SUMIFS('16년 3추일출'!$AB$12:$AB$620,'16년 3추일출'!$AA$12:$AA$620,'15년검증'!$A12)</f>
        <v>0</v>
      </c>
      <c r="L12" s="28" t="str">
        <f t="shared" si="2"/>
        <v>OK</v>
      </c>
      <c r="M12" s="168">
        <f t="shared" si="3"/>
        <v>0</v>
      </c>
    </row>
    <row r="13" spans="1:13" ht="27.95" customHeight="1">
      <c r="A13" s="36" t="s">
        <v>80</v>
      </c>
      <c r="B13" s="37">
        <f>SUMIFS('16년3추 일입'!$U$7:$U$566,'16년3추 일입'!$T$7:$T$566,'15년검증'!$A13)</f>
        <v>0</v>
      </c>
      <c r="C13" s="28"/>
      <c r="D13" s="37">
        <f>SUMIFS('16년 3추일출'!$W$12:$W$620,'16년 3추일출'!$V$12:$V$620,'15년검증'!$A13)</f>
        <v>0</v>
      </c>
      <c r="E13" s="28" t="str">
        <f t="shared" si="0"/>
        <v>OK</v>
      </c>
      <c r="F13" s="168">
        <f t="shared" si="1"/>
        <v>0</v>
      </c>
      <c r="H13" s="36" t="s">
        <v>80</v>
      </c>
      <c r="I13" s="37">
        <f>SUMIFS('16년3추 일입'!$Z$7:$Z$566,'16년3추 일입'!$Y$7:$Y$566,'15년검증'!$A13)</f>
        <v>0</v>
      </c>
      <c r="J13" s="28"/>
      <c r="K13" s="37">
        <f>SUMIFS('16년 3추일출'!$AB$12:$AB$620,'16년 3추일출'!$AA$12:$AA$620,'15년검증'!$A13)</f>
        <v>0</v>
      </c>
      <c r="L13" s="28" t="str">
        <f t="shared" si="2"/>
        <v>OK</v>
      </c>
      <c r="M13" s="168">
        <f t="shared" si="3"/>
        <v>0</v>
      </c>
    </row>
    <row r="14" spans="1:13" ht="27.95" customHeight="1">
      <c r="A14" s="36" t="s">
        <v>518</v>
      </c>
      <c r="B14" s="37">
        <f>SUMIFS('16년3추 일입'!$U$7:$U$566,'16년3추 일입'!$T$7:$T$566,'15년검증'!$A14)</f>
        <v>0</v>
      </c>
      <c r="C14" s="28"/>
      <c r="D14" s="37">
        <f>SUMIFS('16년 3추일출'!$W$12:$W$620,'16년 3추일출'!$V$12:$V$620,'15년검증'!$A14)</f>
        <v>0</v>
      </c>
      <c r="E14" s="28" t="str">
        <f t="shared" si="0"/>
        <v>OK</v>
      </c>
      <c r="F14" s="168">
        <f t="shared" si="1"/>
        <v>0</v>
      </c>
      <c r="H14" s="36" t="s">
        <v>518</v>
      </c>
      <c r="I14" s="37">
        <f>SUMIFS('16년3추 일입'!$Z$7:$Z$566,'16년3추 일입'!$Y$7:$Y$566,'15년검증'!$A14)</f>
        <v>0</v>
      </c>
      <c r="J14" s="28"/>
      <c r="K14" s="37">
        <f>SUMIFS('16년 3추일출'!$AB$12:$AB$620,'16년 3추일출'!$AA$12:$AA$620,'15년검증'!$A14)</f>
        <v>0</v>
      </c>
      <c r="L14" s="28" t="str">
        <f t="shared" si="2"/>
        <v>OK</v>
      </c>
      <c r="M14" s="168">
        <f t="shared" si="3"/>
        <v>0</v>
      </c>
    </row>
    <row r="15" spans="1:13" ht="27.95" customHeight="1"/>
    <row r="16" spans="1:13" ht="27.95" customHeight="1">
      <c r="G16" s="39"/>
      <c r="H16" s="65" t="s">
        <v>539</v>
      </c>
      <c r="I16" s="390" t="str">
        <f>IFERROR(INDEX('16년 3추일출'!AC12:AC620,MATCH("*예비비*",'16년 3추일출'!G12:G620,0)),"")</f>
        <v/>
      </c>
      <c r="J16" s="390"/>
      <c r="K16" s="390"/>
      <c r="L16" s="390"/>
      <c r="M16" s="390"/>
    </row>
    <row r="17" spans="1:13" ht="27.95" customHeight="1"/>
    <row r="18" spans="1:13" ht="27.95" customHeight="1">
      <c r="G18" s="39"/>
      <c r="I18" s="390">
        <f>SUM(I5-K5)</f>
        <v>0</v>
      </c>
      <c r="J18" s="390"/>
      <c r="K18" s="390"/>
      <c r="L18" s="390"/>
      <c r="M18" s="390"/>
    </row>
    <row r="19" spans="1:13" ht="27.95" customHeight="1">
      <c r="A19" s="39"/>
      <c r="B19" s="39"/>
      <c r="C19" s="39"/>
      <c r="D19" s="39"/>
      <c r="E19" s="40"/>
      <c r="F19" s="40"/>
      <c r="G19" s="39"/>
      <c r="H19" s="39"/>
      <c r="I19" s="39"/>
      <c r="J19" s="39"/>
      <c r="K19" s="39"/>
      <c r="L19" s="40"/>
      <c r="M19" s="40"/>
    </row>
    <row r="20" spans="1:13" ht="27.95" customHeight="1">
      <c r="G20" s="39"/>
      <c r="H20" s="146" t="s">
        <v>541</v>
      </c>
      <c r="I20" s="391" t="str">
        <f>IFERROR(SUM(J1+I16),"")</f>
        <v/>
      </c>
      <c r="J20" s="391"/>
      <c r="K20" s="391"/>
      <c r="L20" s="391"/>
      <c r="M20" s="391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6384" width="9" style="26"/>
  </cols>
  <sheetData>
    <row r="1" spans="1:13" ht="33" customHeight="1">
      <c r="A1" s="393" t="s">
        <v>538</v>
      </c>
      <c r="B1" s="393"/>
      <c r="C1" s="393"/>
      <c r="D1" s="393"/>
      <c r="E1" s="393"/>
      <c r="F1" s="393"/>
      <c r="G1" s="48"/>
      <c r="H1" s="394" t="s">
        <v>525</v>
      </c>
      <c r="I1" s="394"/>
      <c r="J1" s="392">
        <v>22466366</v>
      </c>
      <c r="K1" s="392"/>
      <c r="L1" s="392"/>
      <c r="M1" s="392"/>
    </row>
    <row r="2" spans="1:13" s="41" customFormat="1" ht="22.5" customHeight="1">
      <c r="E2" s="42"/>
      <c r="F2" s="42"/>
      <c r="L2" s="42"/>
      <c r="M2" s="42" t="s">
        <v>77</v>
      </c>
    </row>
    <row r="3" spans="1:13" ht="27.95" customHeight="1">
      <c r="A3" s="395" t="s">
        <v>75</v>
      </c>
      <c r="B3" s="397" t="s">
        <v>86</v>
      </c>
      <c r="C3" s="397"/>
      <c r="D3" s="397"/>
      <c r="E3" s="397"/>
      <c r="F3" s="397"/>
      <c r="G3" s="43"/>
      <c r="H3" s="398" t="s">
        <v>75</v>
      </c>
      <c r="I3" s="397" t="s">
        <v>87</v>
      </c>
      <c r="J3" s="397"/>
      <c r="K3" s="397"/>
      <c r="L3" s="397"/>
      <c r="M3" s="397"/>
    </row>
    <row r="4" spans="1:13" ht="27.95" customHeight="1">
      <c r="A4" s="396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555</v>
      </c>
      <c r="H4" s="398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555</v>
      </c>
    </row>
    <row r="5" spans="1:13" s="38" customFormat="1" ht="27.95" customHeight="1">
      <c r="A5" s="31" t="s">
        <v>90</v>
      </c>
      <c r="B5" s="35" t="e">
        <f>SUM(B6,B9)</f>
        <v>#REF!</v>
      </c>
      <c r="C5" s="31" t="e">
        <f>IF(B5=#REF!,"OK","@@")</f>
        <v>#REF!</v>
      </c>
      <c r="D5" s="35" t="e">
        <f>SUM(D6,D9)</f>
        <v>#REF!</v>
      </c>
      <c r="E5" s="31" t="e">
        <f>IF(D5=#REF!,"OK","@@")</f>
        <v>#REF!</v>
      </c>
      <c r="F5" s="165"/>
      <c r="G5" s="26"/>
      <c r="H5" s="31" t="s">
        <v>90</v>
      </c>
      <c r="I5" s="35" t="e">
        <f>SUM(I6,I9)</f>
        <v>#REF!</v>
      </c>
      <c r="J5" s="31" t="e">
        <f>IF(I5=#REF!,"OK","@@")</f>
        <v>#REF!</v>
      </c>
      <c r="K5" s="35" t="e">
        <f>SUM(K6,K9)</f>
        <v>#REF!</v>
      </c>
      <c r="L5" s="31" t="e">
        <f>IF(K5=#REF!,"OK","@@")</f>
        <v>#REF!</v>
      </c>
      <c r="M5" s="31"/>
    </row>
    <row r="6" spans="1:13" ht="27.95" customHeight="1">
      <c r="A6" s="27" t="s">
        <v>89</v>
      </c>
      <c r="B6" s="34" t="e">
        <f>SUM(B7:B8)</f>
        <v>#REF!</v>
      </c>
      <c r="C6" s="27" t="e">
        <f>IF(B6=#REF!,"OK","@@")</f>
        <v>#REF!</v>
      </c>
      <c r="D6" s="34" t="e">
        <f>SUM(D7:D8)</f>
        <v>#REF!</v>
      </c>
      <c r="E6" s="27" t="e">
        <f>IF($D$6=#REF!,"OK","@@")</f>
        <v>#REF!</v>
      </c>
      <c r="F6" s="166"/>
      <c r="H6" s="27" t="s">
        <v>89</v>
      </c>
      <c r="I6" s="34" t="e">
        <f>SUM(I7:I8)</f>
        <v>#REF!</v>
      </c>
      <c r="J6" s="27" t="e">
        <f>IF(I6=#REF!,"OK","@@")</f>
        <v>#REF!</v>
      </c>
      <c r="K6" s="34" t="e">
        <f>SUM(K7:K8)</f>
        <v>#REF!</v>
      </c>
      <c r="L6" s="27" t="e">
        <f>IF($K6=#REF!,"OK","@@")</f>
        <v>#REF!</v>
      </c>
      <c r="M6" s="27"/>
    </row>
    <row r="7" spans="1:13" s="38" customFormat="1" ht="27.95" customHeight="1">
      <c r="A7" s="44" t="s">
        <v>540</v>
      </c>
      <c r="B7" s="45" t="e">
        <f>SUMIFS(#REF!,#REF!,"도비")</f>
        <v>#REF!</v>
      </c>
      <c r="C7" s="44"/>
      <c r="D7" s="45" t="e">
        <f>SUMIFS(#REF!,#REF!,"도비")</f>
        <v>#REF!</v>
      </c>
      <c r="E7" s="44"/>
      <c r="F7" s="167"/>
      <c r="H7" s="44" t="s">
        <v>540</v>
      </c>
      <c r="I7" s="45" t="e">
        <f>SUMIFS(#REF!,#REF!,"도비")</f>
        <v>#REF!</v>
      </c>
      <c r="J7" s="44"/>
      <c r="K7" s="45" t="e">
        <f>SUMIFS(#REF!,#REF!,"도비")</f>
        <v>#REF!</v>
      </c>
      <c r="L7" s="44"/>
      <c r="M7" s="44"/>
    </row>
    <row r="8" spans="1:13" s="38" customFormat="1" ht="27.95" customHeight="1">
      <c r="A8" s="44" t="s">
        <v>88</v>
      </c>
      <c r="B8" s="45" t="e">
        <f>SUMIFS(#REF!,#REF!,"국비")+SUMIFS(#REF!,#REF!,"광특")+SUMIFS(#REF!,#REF!,"기금")+SUMIFS(#REF!,#REF!,"분권")+SUMIFS(#REF!,#REF!,"특교")</f>
        <v>#REF!</v>
      </c>
      <c r="C8" s="44"/>
      <c r="D8" s="45" t="e">
        <f>SUMIFS(#REF!,#REF!,"국비")+SUMIFS(#REF!,#REF!,"광특")+SUMIFS(#REF!,#REF!,"기금")+SUMIFS(#REF!,#REF!,"분권")+SUMIFS(#REF!,#REF!,"특교")</f>
        <v>#REF!</v>
      </c>
      <c r="E8" s="44"/>
      <c r="F8" s="167"/>
      <c r="H8" s="44" t="s">
        <v>88</v>
      </c>
      <c r="I8" s="45" t="e">
        <f>SUMIFS(#REF!,#REF!,"국비")+SUMIFS(#REF!,#REF!,"광특")+SUMIFS(#REF!,#REF!,"기금")+SUMIFS(#REF!,#REF!,"분권")+SUMIFS(#REF!,#REF!,"특교")</f>
        <v>#REF!</v>
      </c>
      <c r="J8" s="44"/>
      <c r="K8" s="45" t="e">
        <f>SUMIFS(#REF!,#REF!,"국비")+SUMIFS(#REF!,#REF!,"광특")+SUMIFS(#REF!,#REF!,"기금")+SUMIFS(#REF!,#REF!,"분권")+SUMIFS(#REF!,#REF!,"특교")</f>
        <v>#REF!</v>
      </c>
      <c r="L8" s="44"/>
      <c r="M8" s="44"/>
    </row>
    <row r="9" spans="1:13" ht="27.95" customHeight="1">
      <c r="A9" s="27" t="s">
        <v>83</v>
      </c>
      <c r="B9" s="34" t="e">
        <f>SUM(B10:B14)</f>
        <v>#REF!</v>
      </c>
      <c r="C9" s="27" t="e">
        <f>IF(B9=#REF!,"OK","@@")</f>
        <v>#REF!</v>
      </c>
      <c r="D9" s="34" t="e">
        <f>SUM(D10:D14)</f>
        <v>#REF!</v>
      </c>
      <c r="E9" s="27" t="e">
        <f>IF(B9=D9,"OK","@@")</f>
        <v>#REF!</v>
      </c>
      <c r="F9" s="166" t="e">
        <f t="shared" ref="F9" si="0">D9-B9</f>
        <v>#REF!</v>
      </c>
      <c r="H9" s="27" t="s">
        <v>83</v>
      </c>
      <c r="I9" s="34" t="e">
        <f>SUM(I10:I14)</f>
        <v>#REF!</v>
      </c>
      <c r="J9" s="27" t="e">
        <f>IF(I9=#REF!,"OK","@@")</f>
        <v>#REF!</v>
      </c>
      <c r="K9" s="34" t="e">
        <f>SUM(K10:K14)</f>
        <v>#REF!</v>
      </c>
      <c r="L9" s="27" t="e">
        <f>IF(I9=K9,"OK","@@")</f>
        <v>#REF!</v>
      </c>
      <c r="M9" s="166" t="e">
        <f>K9-I9</f>
        <v>#REF!</v>
      </c>
    </row>
    <row r="10" spans="1:13" ht="27.95" customHeight="1">
      <c r="A10" s="36" t="s">
        <v>59</v>
      </c>
      <c r="B10" s="37" t="e">
        <f>SUMIFS(#REF!,#REF!,'2추검증'!$A10)</f>
        <v>#REF!</v>
      </c>
      <c r="C10" s="28"/>
      <c r="D10" s="37" t="e">
        <f>SUMIFS(#REF!,#REF!,'2추검증'!$A10)</f>
        <v>#REF!</v>
      </c>
      <c r="E10" s="28" t="e">
        <f t="shared" ref="E10:E14" si="1">IF(B10=D10,"OK","@@")</f>
        <v>#REF!</v>
      </c>
      <c r="F10" s="168" t="e">
        <f>D10-B10</f>
        <v>#REF!</v>
      </c>
      <c r="H10" s="36" t="s">
        <v>59</v>
      </c>
      <c r="I10" s="37" t="e">
        <f>SUMIFS(#REF!,#REF!,'2추검증'!$A10)</f>
        <v>#REF!</v>
      </c>
      <c r="J10" s="28"/>
      <c r="K10" s="37" t="e">
        <f>SUMIFS(#REF!,#REF!,'2추검증'!$A10)</f>
        <v>#REF!</v>
      </c>
      <c r="L10" s="28" t="e">
        <f t="shared" ref="L10:L14" si="2">IF(I10=K10,"OK","@@")</f>
        <v>#REF!</v>
      </c>
      <c r="M10" s="168" t="e">
        <f t="shared" ref="M10:M14" si="3">K10-I10</f>
        <v>#REF!</v>
      </c>
    </row>
    <row r="11" spans="1:13" ht="27.95" customHeight="1">
      <c r="A11" s="36" t="s">
        <v>79</v>
      </c>
      <c r="B11" s="37" t="e">
        <f>SUMIFS(#REF!,#REF!,'2추검증'!$A11)</f>
        <v>#REF!</v>
      </c>
      <c r="C11" s="28"/>
      <c r="D11" s="37" t="e">
        <f>SUMIFS(#REF!,#REF!,'2추검증'!$A11)</f>
        <v>#REF!</v>
      </c>
      <c r="E11" s="28" t="e">
        <f t="shared" si="1"/>
        <v>#REF!</v>
      </c>
      <c r="F11" s="168" t="e">
        <f t="shared" ref="F11:F14" si="4">D11-B11</f>
        <v>#REF!</v>
      </c>
      <c r="H11" s="36" t="s">
        <v>79</v>
      </c>
      <c r="I11" s="37" t="e">
        <f>SUMIFS(#REF!,#REF!,'2추검증'!$A11)</f>
        <v>#REF!</v>
      </c>
      <c r="J11" s="28"/>
      <c r="K11" s="37" t="e">
        <f>SUMIFS(#REF!,#REF!,'2추검증'!$A11)</f>
        <v>#REF!</v>
      </c>
      <c r="L11" s="28" t="e">
        <f t="shared" si="2"/>
        <v>#REF!</v>
      </c>
      <c r="M11" s="168" t="e">
        <f t="shared" si="3"/>
        <v>#REF!</v>
      </c>
    </row>
    <row r="12" spans="1:13" ht="27.95" customHeight="1">
      <c r="A12" s="36" t="s">
        <v>72</v>
      </c>
      <c r="B12" s="37" t="e">
        <f>SUMIFS(#REF!,#REF!,'2추검증'!$A12)</f>
        <v>#REF!</v>
      </c>
      <c r="C12" s="28"/>
      <c r="D12" s="37" t="e">
        <f>SUMIFS(#REF!,#REF!,'2추검증'!$A12)</f>
        <v>#REF!</v>
      </c>
      <c r="E12" s="28" t="e">
        <f t="shared" si="1"/>
        <v>#REF!</v>
      </c>
      <c r="F12" s="168" t="e">
        <f t="shared" si="4"/>
        <v>#REF!</v>
      </c>
      <c r="H12" s="36" t="s">
        <v>72</v>
      </c>
      <c r="I12" s="37" t="e">
        <f>SUMIFS(#REF!,#REF!,'2추검증'!$A12)</f>
        <v>#REF!</v>
      </c>
      <c r="J12" s="28"/>
      <c r="K12" s="37" t="e">
        <f>SUMIFS(#REF!,#REF!,'2추검증'!$A12)</f>
        <v>#REF!</v>
      </c>
      <c r="L12" s="28" t="e">
        <f t="shared" si="2"/>
        <v>#REF!</v>
      </c>
      <c r="M12" s="168" t="e">
        <f t="shared" si="3"/>
        <v>#REF!</v>
      </c>
    </row>
    <row r="13" spans="1:13" ht="27.95" customHeight="1">
      <c r="A13" s="36" t="s">
        <v>80</v>
      </c>
      <c r="B13" s="37" t="e">
        <f>SUMIFS(#REF!,#REF!,'2추검증'!$A13)</f>
        <v>#REF!</v>
      </c>
      <c r="C13" s="28"/>
      <c r="D13" s="37" t="e">
        <f>SUMIFS(#REF!,#REF!,'2추검증'!$A13)</f>
        <v>#REF!</v>
      </c>
      <c r="E13" s="28" t="e">
        <f t="shared" si="1"/>
        <v>#REF!</v>
      </c>
      <c r="F13" s="168" t="e">
        <f t="shared" si="4"/>
        <v>#REF!</v>
      </c>
      <c r="H13" s="36" t="s">
        <v>80</v>
      </c>
      <c r="I13" s="37" t="e">
        <f>SUMIFS(#REF!,#REF!,'2추검증'!$A13)</f>
        <v>#REF!</v>
      </c>
      <c r="J13" s="28"/>
      <c r="K13" s="37" t="e">
        <f>SUMIFS(#REF!,#REF!,'2추검증'!$A13)</f>
        <v>#REF!</v>
      </c>
      <c r="L13" s="28" t="e">
        <f t="shared" si="2"/>
        <v>#REF!</v>
      </c>
      <c r="M13" s="168" t="e">
        <f t="shared" si="3"/>
        <v>#REF!</v>
      </c>
    </row>
    <row r="14" spans="1:13" ht="27.95" customHeight="1">
      <c r="A14" s="36" t="s">
        <v>526</v>
      </c>
      <c r="B14" s="37" t="e">
        <f>SUMIFS(#REF!,#REF!,'2추검증'!$A14)</f>
        <v>#REF!</v>
      </c>
      <c r="C14" s="28"/>
      <c r="D14" s="37" t="e">
        <f>SUMIFS(#REF!,#REF!,'2추검증'!$A14)</f>
        <v>#REF!</v>
      </c>
      <c r="E14" s="28" t="e">
        <f t="shared" si="1"/>
        <v>#REF!</v>
      </c>
      <c r="F14" s="168" t="e">
        <f t="shared" si="4"/>
        <v>#REF!</v>
      </c>
      <c r="H14" s="36" t="s">
        <v>518</v>
      </c>
      <c r="I14" s="37" t="e">
        <f>SUMIFS(#REF!,#REF!,'2추검증'!$A14)</f>
        <v>#REF!</v>
      </c>
      <c r="J14" s="28"/>
      <c r="K14" s="37" t="e">
        <f>SUMIFS(#REF!,#REF!,'2추검증'!$A14)</f>
        <v>#REF!</v>
      </c>
      <c r="L14" s="28" t="e">
        <f t="shared" si="2"/>
        <v>#REF!</v>
      </c>
      <c r="M14" s="168" t="e">
        <f t="shared" si="3"/>
        <v>#REF!</v>
      </c>
    </row>
    <row r="15" spans="1:13" ht="27.95" customHeight="1"/>
    <row r="16" spans="1:13" ht="27.95" customHeight="1">
      <c r="G16" s="39"/>
      <c r="H16" s="65" t="s">
        <v>539</v>
      </c>
      <c r="I16" s="390" t="str">
        <f>IFERROR(INDEX(#REF!,MATCH("*예비비*",#REF!,0)),"")</f>
        <v/>
      </c>
      <c r="J16" s="390"/>
      <c r="K16" s="390"/>
      <c r="L16" s="390"/>
      <c r="M16" s="390"/>
    </row>
    <row r="17" spans="1:13" ht="27.95" customHeight="1"/>
    <row r="18" spans="1:13" ht="27.95" customHeight="1">
      <c r="G18" s="39"/>
      <c r="I18" s="390" t="e">
        <f>SUM(I5-K5)</f>
        <v>#REF!</v>
      </c>
      <c r="J18" s="390"/>
      <c r="K18" s="390"/>
      <c r="L18" s="390"/>
      <c r="M18" s="390"/>
    </row>
    <row r="19" spans="1:13" ht="27.95" customHeight="1">
      <c r="A19" s="39"/>
      <c r="B19" s="39"/>
      <c r="C19" s="39"/>
      <c r="D19" s="39"/>
      <c r="E19" s="40"/>
      <c r="F19" s="40"/>
      <c r="G19" s="39"/>
      <c r="H19" s="39"/>
      <c r="I19" s="39"/>
      <c r="J19" s="39"/>
      <c r="K19" s="39"/>
      <c r="L19" s="40"/>
      <c r="M19" s="40"/>
    </row>
    <row r="20" spans="1:13" ht="27.95" customHeight="1">
      <c r="G20" s="39"/>
      <c r="H20" s="146" t="s">
        <v>541</v>
      </c>
      <c r="I20" s="391" t="str">
        <f>IFERROR(SUM(J1-I16),"")</f>
        <v/>
      </c>
      <c r="J20" s="391"/>
      <c r="K20" s="391"/>
      <c r="L20" s="391"/>
      <c r="M20" s="391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99" t="s">
        <v>57</v>
      </c>
      <c r="E16" s="399"/>
      <c r="F16" s="399"/>
      <c r="G16" s="399"/>
      <c r="H16" s="399"/>
      <c r="I16" s="399"/>
      <c r="J16" s="399"/>
      <c r="K16" s="399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400" t="s">
        <v>56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99" t="s">
        <v>57</v>
      </c>
      <c r="E16" s="399"/>
      <c r="F16" s="399"/>
      <c r="G16" s="399"/>
      <c r="H16" s="399"/>
      <c r="I16" s="399"/>
      <c r="J16" s="399"/>
      <c r="K16" s="399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99" t="s">
        <v>57</v>
      </c>
      <c r="C33" s="399"/>
      <c r="D33" s="399"/>
      <c r="E33" s="399"/>
      <c r="F33" s="399"/>
      <c r="G33" s="399"/>
      <c r="H33" s="399"/>
      <c r="I33" s="399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99" t="s">
        <v>57</v>
      </c>
      <c r="C24" s="399"/>
      <c r="D24" s="399"/>
      <c r="E24" s="399"/>
      <c r="F24" s="399"/>
      <c r="G24" s="399"/>
      <c r="H24" s="399"/>
      <c r="I24" s="399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2" customWidth="1"/>
    <col min="2" max="2" width="22" style="52" customWidth="1"/>
    <col min="3" max="3" width="17.875" style="52" customWidth="1"/>
    <col min="4" max="4" width="14.75" style="52" customWidth="1"/>
    <col min="5" max="5" width="15.25" style="52" customWidth="1"/>
    <col min="6" max="6" width="14.25" style="52" customWidth="1"/>
    <col min="7" max="7" width="13.5" style="52" customWidth="1"/>
    <col min="8" max="8" width="17.25" style="52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2"/>
  </cols>
  <sheetData>
    <row r="1" spans="2:16" ht="33" customHeight="1">
      <c r="B1" s="401" t="s">
        <v>530</v>
      </c>
      <c r="C1" s="402"/>
      <c r="D1" s="402"/>
      <c r="E1" s="402"/>
      <c r="F1" s="402"/>
      <c r="G1" s="402"/>
      <c r="H1" s="402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20</v>
      </c>
      <c r="C3" s="71"/>
      <c r="D3" s="50" t="s">
        <v>120</v>
      </c>
      <c r="E3" s="50">
        <f>SUM(D7:E7)</f>
        <v>0</v>
      </c>
      <c r="F3" s="50" t="s">
        <v>121</v>
      </c>
      <c r="G3" s="50">
        <f>SUM(F7:G7)</f>
        <v>0</v>
      </c>
      <c r="H3" s="51"/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33" customHeight="1">
      <c r="B5" s="403" t="s">
        <v>24</v>
      </c>
      <c r="C5" s="405" t="s">
        <v>25</v>
      </c>
      <c r="D5" s="407" t="s">
        <v>26</v>
      </c>
      <c r="E5" s="407"/>
      <c r="F5" s="407" t="s">
        <v>27</v>
      </c>
      <c r="G5" s="407"/>
      <c r="H5" s="408" t="s">
        <v>28</v>
      </c>
      <c r="I5" s="414" t="s">
        <v>29</v>
      </c>
      <c r="J5" s="414"/>
      <c r="K5" s="410" t="s">
        <v>30</v>
      </c>
      <c r="L5" s="412" t="s">
        <v>31</v>
      </c>
      <c r="M5" s="414" t="s">
        <v>32</v>
      </c>
      <c r="N5" s="415"/>
      <c r="O5" s="416" t="s">
        <v>33</v>
      </c>
      <c r="P5" s="417"/>
    </row>
    <row r="6" spans="2:16" ht="33" customHeight="1">
      <c r="B6" s="404"/>
      <c r="C6" s="406"/>
      <c r="D6" s="77" t="s">
        <v>34</v>
      </c>
      <c r="E6" s="77" t="s">
        <v>35</v>
      </c>
      <c r="F6" s="77" t="s">
        <v>34</v>
      </c>
      <c r="G6" s="77" t="s">
        <v>35</v>
      </c>
      <c r="H6" s="409"/>
      <c r="I6" s="78" t="s">
        <v>36</v>
      </c>
      <c r="J6" s="79" t="s">
        <v>37</v>
      </c>
      <c r="K6" s="411"/>
      <c r="L6" s="413"/>
      <c r="M6" s="80" t="s">
        <v>36</v>
      </c>
      <c r="N6" s="81" t="s">
        <v>37</v>
      </c>
      <c r="O6" s="418"/>
      <c r="P6" s="419"/>
    </row>
    <row r="7" spans="2:16" ht="45" customHeight="1" thickBot="1">
      <c r="B7" s="82" t="s">
        <v>38</v>
      </c>
      <c r="C7" s="83">
        <f t="shared" ref="C7:H7" si="0">SUM(C8:C18)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4">
        <f t="shared" si="0"/>
        <v>17818538715</v>
      </c>
      <c r="I7" s="85">
        <f>E25+D25</f>
        <v>0</v>
      </c>
      <c r="J7" s="86">
        <f>F25+G25</f>
        <v>0</v>
      </c>
      <c r="K7" s="87">
        <f>I7-J7</f>
        <v>0</v>
      </c>
      <c r="L7" s="88" t="s">
        <v>39</v>
      </c>
      <c r="M7" s="89">
        <f>D24+E24</f>
        <v>0</v>
      </c>
      <c r="N7" s="90">
        <f>F24+G24</f>
        <v>0</v>
      </c>
      <c r="O7" s="91">
        <v>0</v>
      </c>
      <c r="P7" s="91">
        <v>0</v>
      </c>
    </row>
    <row r="8" spans="2:16" ht="45" hidden="1" customHeight="1" thickBot="1">
      <c r="B8" s="92" t="s">
        <v>40</v>
      </c>
      <c r="C8" s="83">
        <v>0</v>
      </c>
      <c r="D8" s="18"/>
      <c r="E8" s="18"/>
      <c r="F8" s="18"/>
      <c r="G8" s="18"/>
      <c r="H8" s="84">
        <f>C8-F8+G8</f>
        <v>0</v>
      </c>
      <c r="I8" s="93">
        <f>D7+E7</f>
        <v>0</v>
      </c>
      <c r="J8" s="94">
        <f>F7+G7</f>
        <v>0</v>
      </c>
      <c r="K8" s="95">
        <f>I8-J8</f>
        <v>0</v>
      </c>
      <c r="L8" s="96"/>
      <c r="M8" s="97"/>
      <c r="N8" s="98"/>
      <c r="O8" s="99"/>
      <c r="P8" s="99"/>
    </row>
    <row r="9" spans="2:16" ht="45" customHeight="1">
      <c r="B9" s="100" t="s">
        <v>94</v>
      </c>
      <c r="C9" s="101">
        <v>43594098</v>
      </c>
      <c r="D9" s="18">
        <f>SUMIFS('16년3추 일입'!$N$7:$N$566,'16년3추 일입'!$A$7:$A$566,'15년총괄표'!$B9)</f>
        <v>0</v>
      </c>
      <c r="E9" s="18">
        <f>SUMIFS('16년3추 일입'!$O$7:$O$566,'16년3추 일입'!$A$7:$A$566,'15년총괄표'!$B9)</f>
        <v>0</v>
      </c>
      <c r="F9" s="18">
        <f>SUMIFS('16년 3추일출'!$N$12:$N$620,'16년 3추일출'!$A$12:$A$620,'15년총괄표'!$B9)</f>
        <v>0</v>
      </c>
      <c r="G9" s="18">
        <f>SUMIFS('16년 3추일출'!$O$12:$O$620,'16년 3추일출'!$A$12:$A$620,'15년총괄표'!$B9)</f>
        <v>0</v>
      </c>
      <c r="H9" s="84">
        <f>C9+F9+G9</f>
        <v>43594098</v>
      </c>
      <c r="I9" s="428" t="s">
        <v>41</v>
      </c>
      <c r="J9" s="429"/>
      <c r="K9" s="75"/>
      <c r="N9" s="102" t="s">
        <v>42</v>
      </c>
    </row>
    <row r="10" spans="2:16" ht="45" customHeight="1" thickBot="1">
      <c r="B10" s="100" t="s">
        <v>95</v>
      </c>
      <c r="C10" s="83">
        <v>5206191432</v>
      </c>
      <c r="D10" s="18">
        <f>SUMIFS('16년3추 일입'!$N$7:$N$566,'16년3추 일입'!$A$7:$A$566,'15년총괄표'!$B10)</f>
        <v>0</v>
      </c>
      <c r="E10" s="18">
        <f>SUMIFS('16년3추 일입'!$O$7:$O$566,'16년3추 일입'!$A$7:$A$566,'15년총괄표'!$B10)</f>
        <v>0</v>
      </c>
      <c r="F10" s="18">
        <f>SUMIFS('16년 3추일출'!$N$12:$N$620,'16년 3추일출'!$A$12:$A$620,'15년총괄표'!$B10)</f>
        <v>0</v>
      </c>
      <c r="G10" s="18">
        <f>SUMIFS('16년 3추일출'!$O$12:$O$620,'16년 3추일출'!$A$12:$A$620,'15년총괄표'!$B10)</f>
        <v>0</v>
      </c>
      <c r="H10" s="84">
        <f t="shared" ref="H10:H18" si="1">C10+F10+G10</f>
        <v>5206191432</v>
      </c>
      <c r="I10" s="103" t="e">
        <f>#REF!+#REF!</f>
        <v>#REF!</v>
      </c>
      <c r="J10" s="104" t="e">
        <f>#REF!+#REF!</f>
        <v>#REF!</v>
      </c>
      <c r="K10" s="75"/>
      <c r="N10" s="105">
        <f>M7-N7</f>
        <v>0</v>
      </c>
    </row>
    <row r="11" spans="2:16" ht="45" customHeight="1">
      <c r="B11" s="100" t="s">
        <v>96</v>
      </c>
      <c r="C11" s="83">
        <v>506163851</v>
      </c>
      <c r="D11" s="18">
        <f>SUMIFS('16년3추 일입'!$N$7:$N$566,'16년3추 일입'!$A$7:$A$566,'15년총괄표'!$B11)</f>
        <v>0</v>
      </c>
      <c r="E11" s="18">
        <f>SUMIFS('16년3추 일입'!$O$7:$O$566,'16년3추 일입'!$A$7:$A$566,'15년총괄표'!$B11)</f>
        <v>0</v>
      </c>
      <c r="F11" s="18">
        <f>SUMIFS('16년 3추일출'!$N$12:$N$620,'16년 3추일출'!$A$12:$A$620,'15년총괄표'!$B11)</f>
        <v>0</v>
      </c>
      <c r="G11" s="18">
        <f>SUMIFS('16년 3추일출'!$O$12:$O$620,'16년 3추일출'!$A$12:$A$620,'15년총괄표'!$B11)</f>
        <v>0</v>
      </c>
      <c r="H11" s="84">
        <f t="shared" si="1"/>
        <v>506163851</v>
      </c>
      <c r="J11" s="106"/>
      <c r="K11" s="107"/>
    </row>
    <row r="12" spans="2:16" ht="45" customHeight="1">
      <c r="B12" s="100" t="s">
        <v>97</v>
      </c>
      <c r="C12" s="83">
        <v>1207474631</v>
      </c>
      <c r="D12" s="18">
        <f>SUMIFS('16년3추 일입'!$N$7:$N$566,'16년3추 일입'!$A$7:$A$566,'15년총괄표'!$B12)</f>
        <v>0</v>
      </c>
      <c r="E12" s="18">
        <f>SUMIFS('16년3추 일입'!$O$7:$O$566,'16년3추 일입'!$A$7:$A$566,'15년총괄표'!$B12)</f>
        <v>0</v>
      </c>
      <c r="F12" s="18">
        <f>SUMIFS('16년 3추일출'!$N$12:$N$620,'16년 3추일출'!$A$12:$A$620,'15년총괄표'!$B12)</f>
        <v>0</v>
      </c>
      <c r="G12" s="18">
        <f>SUMIFS('16년 3추일출'!$O$12:$O$620,'16년 3추일출'!$A$12:$A$620,'15년총괄표'!$B12)</f>
        <v>0</v>
      </c>
      <c r="H12" s="84">
        <f t="shared" si="1"/>
        <v>1207474631</v>
      </c>
      <c r="J12" s="108"/>
      <c r="L12" s="109"/>
      <c r="M12" s="109"/>
    </row>
    <row r="13" spans="2:16" ht="45" customHeight="1">
      <c r="B13" s="100" t="s">
        <v>98</v>
      </c>
      <c r="C13" s="83">
        <v>309073261</v>
      </c>
      <c r="D13" s="18">
        <f>SUMIFS('16년3추 일입'!$N$7:$N$566,'16년3추 일입'!$A$7:$A$566,'15년총괄표'!$B13)</f>
        <v>0</v>
      </c>
      <c r="E13" s="18">
        <f>SUMIFS('16년3추 일입'!$O$7:$O$566,'16년3추 일입'!$A$7:$A$566,'15년총괄표'!$B13)</f>
        <v>0</v>
      </c>
      <c r="F13" s="18">
        <f>SUMIFS('16년 3추일출'!$N$12:$N$620,'16년 3추일출'!$A$12:$A$620,'15년총괄표'!$B13)</f>
        <v>0</v>
      </c>
      <c r="G13" s="18">
        <f>SUMIFS('16년 3추일출'!$O$12:$O$620,'16년 3추일출'!$A$12:$A$620,'15년총괄표'!$B13)</f>
        <v>0</v>
      </c>
      <c r="H13" s="84">
        <f t="shared" si="1"/>
        <v>309073261</v>
      </c>
      <c r="K13" s="13"/>
      <c r="L13" s="14"/>
      <c r="N13" s="67" t="s">
        <v>43</v>
      </c>
    </row>
    <row r="14" spans="2:16" s="112" customFormat="1" ht="45" customHeight="1">
      <c r="B14" s="100" t="s">
        <v>99</v>
      </c>
      <c r="C14" s="110">
        <v>442431566</v>
      </c>
      <c r="D14" s="18">
        <f>SUMIFS('16년3추 일입'!$N$7:$N$566,'16년3추 일입'!$A$7:$A$566,'15년총괄표'!$B14)</f>
        <v>0</v>
      </c>
      <c r="E14" s="18">
        <f>SUMIFS('16년3추 일입'!$O$7:$O$566,'16년3추 일입'!$A$7:$A$566,'15년총괄표'!$B14)</f>
        <v>0</v>
      </c>
      <c r="F14" s="18">
        <f>SUMIFS('16년 3추일출'!$N$12:$N$620,'16년 3추일출'!$A$12:$A$620,'15년총괄표'!$B14)</f>
        <v>0</v>
      </c>
      <c r="G14" s="18">
        <f>SUMIFS('16년 3추일출'!$O$12:$O$620,'16년 3추일출'!$A$12:$A$620,'15년총괄표'!$B14)</f>
        <v>0</v>
      </c>
      <c r="H14" s="84">
        <f t="shared" si="1"/>
        <v>442431566</v>
      </c>
      <c r="I14" s="111"/>
      <c r="J14" s="111"/>
      <c r="K14" s="13"/>
      <c r="L14" s="14"/>
      <c r="M14" s="97"/>
      <c r="N14" s="98">
        <f>N10-K7</f>
        <v>0</v>
      </c>
      <c r="O14" s="111"/>
      <c r="P14" s="111"/>
    </row>
    <row r="15" spans="2:16" s="112" customFormat="1" ht="45" customHeight="1">
      <c r="B15" s="100" t="s">
        <v>68</v>
      </c>
      <c r="C15" s="110">
        <v>3621498611</v>
      </c>
      <c r="D15" s="18">
        <f>SUMIFS('16년3추 일입'!$N$7:$N$566,'16년3추 일입'!$A$7:$A$566,'15년총괄표'!$B15)</f>
        <v>0</v>
      </c>
      <c r="E15" s="18">
        <f>SUMIFS('16년3추 일입'!$O$7:$O$566,'16년3추 일입'!$A$7:$A$566,'15년총괄표'!$B15)</f>
        <v>0</v>
      </c>
      <c r="F15" s="18">
        <f>SUMIFS('16년 3추일출'!$N$12:$N$620,'16년 3추일출'!$A$12:$A$620,'15년총괄표'!$B15)</f>
        <v>0</v>
      </c>
      <c r="G15" s="18">
        <f>SUMIFS('16년 3추일출'!$O$12:$O$620,'16년 3추일출'!$A$12:$A$620,'15년총괄표'!$B15)</f>
        <v>0</v>
      </c>
      <c r="H15" s="84">
        <f t="shared" si="1"/>
        <v>3621498611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45" customHeight="1">
      <c r="B16" s="100" t="s">
        <v>100</v>
      </c>
      <c r="C16" s="110">
        <v>1291490754</v>
      </c>
      <c r="D16" s="18">
        <f>SUMIFS('16년3추 일입'!$N$7:$N$566,'16년3추 일입'!$A$7:$A$566,'15년총괄표'!$B16)</f>
        <v>0</v>
      </c>
      <c r="E16" s="18">
        <f>SUMIFS('16년3추 일입'!$O$7:$O$566,'16년3추 일입'!$A$7:$A$566,'15년총괄표'!$B16)</f>
        <v>0</v>
      </c>
      <c r="F16" s="18">
        <f>SUMIFS('16년 3추일출'!$N$12:$N$620,'16년 3추일출'!$A$12:$A$620,'15년총괄표'!$B16)</f>
        <v>0</v>
      </c>
      <c r="G16" s="18">
        <f>SUMIFS('16년 3추일출'!$O$12:$O$620,'16년 3추일출'!$A$12:$A$620,'15년총괄표'!$B16)</f>
        <v>0</v>
      </c>
      <c r="H16" s="84">
        <f t="shared" si="1"/>
        <v>1291490754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45" customHeight="1">
      <c r="B17" s="113" t="s">
        <v>101</v>
      </c>
      <c r="C17" s="114">
        <v>1095793534</v>
      </c>
      <c r="D17" s="18">
        <f>SUMIFS('16년3추 일입'!$N$7:$N$566,'16년3추 일입'!$A$7:$A$566,'15년총괄표'!$B17)</f>
        <v>0</v>
      </c>
      <c r="E17" s="18">
        <f>SUMIFS('16년3추 일입'!$O$7:$O$566,'16년3추 일입'!$A$7:$A$566,'15년총괄표'!$B17)</f>
        <v>0</v>
      </c>
      <c r="F17" s="18">
        <f>SUMIFS('16년 3추일출'!$N$12:$N$620,'16년 3추일출'!$A$12:$A$620,'15년총괄표'!$B17)</f>
        <v>0</v>
      </c>
      <c r="G17" s="18">
        <f>SUMIFS('16년 3추일출'!$O$12:$O$620,'16년 3추일출'!$A$12:$A$620,'15년총괄표'!$B17)</f>
        <v>0</v>
      </c>
      <c r="H17" s="84">
        <f t="shared" si="1"/>
        <v>1095793534</v>
      </c>
      <c r="I17" s="115"/>
      <c r="J17" s="115"/>
      <c r="K17" s="13"/>
      <c r="L17" s="14"/>
      <c r="M17" s="115"/>
      <c r="N17" s="115"/>
      <c r="O17" s="115"/>
      <c r="P17" s="115"/>
    </row>
    <row r="18" spans="2:16" s="112" customFormat="1" ht="45" customHeight="1" thickBot="1">
      <c r="B18" s="117" t="s">
        <v>524</v>
      </c>
      <c r="C18" s="118">
        <v>4094826977</v>
      </c>
      <c r="D18" s="19">
        <f>SUMIFS('16년3추 일입'!$N$7:$N$566,'16년3추 일입'!$A$7:$A$566,'15년총괄표'!$B18)</f>
        <v>0</v>
      </c>
      <c r="E18" s="19">
        <f>SUMIFS('16년3추 일입'!$O$7:$O$566,'16년3추 일입'!$A$7:$A$566,'15년총괄표'!$B18)</f>
        <v>0</v>
      </c>
      <c r="F18" s="19">
        <f>SUMIFS('16년 3추일출'!$N$12:$N$620,'16년 3추일출'!$A$12:$A$620,'15년총괄표'!$B18)</f>
        <v>0</v>
      </c>
      <c r="G18" s="19">
        <f>SUMIFS('16년 3추일출'!$O$12:$O$620,'16년 3추일출'!$A$12:$A$620,'15년총괄표'!$B18)</f>
        <v>0</v>
      </c>
      <c r="H18" s="119">
        <f t="shared" si="1"/>
        <v>4094826977</v>
      </c>
      <c r="I18" s="111"/>
      <c r="J18" s="111"/>
      <c r="K18" s="13"/>
      <c r="L18" s="14"/>
      <c r="M18" s="111"/>
      <c r="N18" s="111"/>
      <c r="O18" s="111"/>
      <c r="P18" s="111"/>
    </row>
    <row r="19" spans="2:16" ht="18" customHeight="1">
      <c r="B19" s="73"/>
      <c r="C19" s="73"/>
      <c r="D19" s="73"/>
      <c r="E19" s="73"/>
      <c r="F19" s="73"/>
      <c r="G19" s="73"/>
      <c r="H19" s="73"/>
      <c r="K19" s="13"/>
      <c r="L19" s="14"/>
    </row>
    <row r="20" spans="2:16" ht="20.25">
      <c r="B20" s="120" t="s">
        <v>44</v>
      </c>
      <c r="C20" s="70"/>
      <c r="D20" s="70"/>
      <c r="E20" s="70"/>
      <c r="F20" s="70"/>
      <c r="G20" s="70"/>
      <c r="H20" s="121"/>
      <c r="K20" s="13"/>
      <c r="L20" s="14"/>
    </row>
    <row r="21" spans="2:16" ht="19.5" thickBot="1">
      <c r="B21" s="72"/>
      <c r="C21" s="73"/>
      <c r="D21" s="73"/>
      <c r="E21" s="73"/>
      <c r="F21" s="73"/>
      <c r="G21" s="73"/>
      <c r="H21" s="74" t="s">
        <v>14</v>
      </c>
    </row>
    <row r="22" spans="2:16" ht="33" customHeight="1">
      <c r="B22" s="420" t="s">
        <v>45</v>
      </c>
      <c r="C22" s="422" t="s">
        <v>46</v>
      </c>
      <c r="D22" s="424" t="s">
        <v>26</v>
      </c>
      <c r="E22" s="425"/>
      <c r="F22" s="424" t="s">
        <v>27</v>
      </c>
      <c r="G22" s="425"/>
      <c r="H22" s="426" t="s">
        <v>28</v>
      </c>
    </row>
    <row r="23" spans="2:16" ht="33" customHeight="1">
      <c r="B23" s="421"/>
      <c r="C23" s="423"/>
      <c r="D23" s="77" t="s">
        <v>34</v>
      </c>
      <c r="E23" s="77" t="s">
        <v>35</v>
      </c>
      <c r="F23" s="77" t="s">
        <v>34</v>
      </c>
      <c r="G23" s="77" t="s">
        <v>35</v>
      </c>
      <c r="H23" s="427"/>
      <c r="I23" s="67" t="s">
        <v>47</v>
      </c>
    </row>
    <row r="24" spans="2:16" ht="45" customHeight="1">
      <c r="B24" s="82" t="s">
        <v>48</v>
      </c>
      <c r="C24" s="83">
        <f t="shared" ref="C24:G24" si="2">SUM(C25:C26)</f>
        <v>17818538715</v>
      </c>
      <c r="D24" s="18">
        <f t="shared" si="2"/>
        <v>0</v>
      </c>
      <c r="E24" s="83">
        <f t="shared" si="2"/>
        <v>0</v>
      </c>
      <c r="F24" s="18">
        <f t="shared" si="2"/>
        <v>0</v>
      </c>
      <c r="G24" s="83">
        <f t="shared" si="2"/>
        <v>0</v>
      </c>
      <c r="H24" s="84">
        <f>SUM(H25:H26)</f>
        <v>17818538715</v>
      </c>
      <c r="I24" s="75">
        <f>C24+D24+E24</f>
        <v>17818538715</v>
      </c>
      <c r="J24" s="75">
        <f>I24-H24</f>
        <v>0</v>
      </c>
      <c r="K24" s="75" t="s">
        <v>49</v>
      </c>
    </row>
    <row r="25" spans="2:16" ht="45" customHeight="1">
      <c r="B25" s="82" t="s">
        <v>15</v>
      </c>
      <c r="C25" s="83">
        <v>14504760931</v>
      </c>
      <c r="D25" s="18">
        <f>'16년3추 일입'!$N$6</f>
        <v>0</v>
      </c>
      <c r="E25" s="18">
        <f>'16년3추 일입'!$O$6</f>
        <v>0</v>
      </c>
      <c r="F25" s="18">
        <f>'16년 3추일출'!$N$6</f>
        <v>0</v>
      </c>
      <c r="G25" s="18">
        <f>'16년 3추일출'!$O$6</f>
        <v>0</v>
      </c>
      <c r="H25" s="84">
        <f>C25+F25+G25</f>
        <v>14504760931</v>
      </c>
      <c r="I25" s="75">
        <f>C25+D25+E25</f>
        <v>14504760931</v>
      </c>
      <c r="J25" s="75">
        <f>I25-H25</f>
        <v>0</v>
      </c>
      <c r="K25" s="75" t="s">
        <v>49</v>
      </c>
    </row>
    <row r="26" spans="2:16" ht="45" customHeight="1" thickBot="1">
      <c r="B26" s="122" t="s">
        <v>50</v>
      </c>
      <c r="C26" s="123">
        <v>3313777784</v>
      </c>
      <c r="D26" s="19"/>
      <c r="E26" s="19"/>
      <c r="F26" s="19"/>
      <c r="G26" s="19"/>
      <c r="H26" s="119">
        <f>C26+F26+G26</f>
        <v>3313777784</v>
      </c>
      <c r="I26" s="75">
        <f>C26+D26+E26</f>
        <v>3313777784</v>
      </c>
      <c r="J26" s="75">
        <f>I26-H26</f>
        <v>0</v>
      </c>
      <c r="K26" s="75" t="s">
        <v>49</v>
      </c>
    </row>
    <row r="27" spans="2:16" ht="9" customHeight="1">
      <c r="B27" s="73"/>
      <c r="C27" s="73"/>
      <c r="D27" s="73"/>
      <c r="E27" s="73"/>
      <c r="F27" s="73"/>
      <c r="G27" s="73"/>
      <c r="H27" s="73"/>
    </row>
    <row r="28" spans="2:16" ht="20.25" hidden="1" customHeight="1"/>
    <row r="29" spans="2:16" ht="20.25" hidden="1" customHeight="1"/>
    <row r="30" spans="2:16" ht="14.25" hidden="1">
      <c r="B30" s="124" t="s">
        <v>16</v>
      </c>
      <c r="C30" s="125" t="s">
        <v>51</v>
      </c>
      <c r="D30" s="126" t="s">
        <v>52</v>
      </c>
      <c r="E30" s="125" t="s">
        <v>53</v>
      </c>
      <c r="G30" s="67"/>
      <c r="H30" s="67"/>
      <c r="O30" s="52"/>
      <c r="P30" s="52"/>
    </row>
    <row r="31" spans="2:16" ht="15" hidden="1">
      <c r="B31" s="127" t="s">
        <v>17</v>
      </c>
      <c r="C31" s="128">
        <v>39922113</v>
      </c>
      <c r="D31" s="129"/>
      <c r="E31" s="129">
        <f>SUM(C31:D31)</f>
        <v>39922113</v>
      </c>
      <c r="G31" s="67"/>
      <c r="H31" s="67"/>
      <c r="O31" s="52"/>
      <c r="P31" s="52"/>
    </row>
    <row r="32" spans="2:16" ht="15" hidden="1">
      <c r="B32" s="127" t="s">
        <v>18</v>
      </c>
      <c r="C32" s="128">
        <v>3302571667</v>
      </c>
      <c r="D32" s="128">
        <v>1780946434</v>
      </c>
      <c r="E32" s="129">
        <f t="shared" ref="E32:E41" si="3">SUM(C32:D32)</f>
        <v>5083518101</v>
      </c>
      <c r="G32" s="67"/>
      <c r="H32" s="67"/>
      <c r="O32" s="52"/>
      <c r="P32" s="52"/>
    </row>
    <row r="33" spans="2:16" ht="15" hidden="1">
      <c r="B33" s="127" t="s">
        <v>9</v>
      </c>
      <c r="C33" s="128">
        <v>155329320</v>
      </c>
      <c r="D33" s="128">
        <v>384743740</v>
      </c>
      <c r="E33" s="129">
        <f t="shared" si="3"/>
        <v>540073060</v>
      </c>
      <c r="G33" s="67"/>
      <c r="H33" s="67"/>
      <c r="O33" s="52"/>
      <c r="P33" s="52"/>
    </row>
    <row r="34" spans="2:16" ht="15" hidden="1">
      <c r="B34" s="130" t="s">
        <v>60</v>
      </c>
      <c r="C34" s="128">
        <v>1142858974</v>
      </c>
      <c r="D34" s="129"/>
      <c r="E34" s="129">
        <f t="shared" si="3"/>
        <v>1142858974</v>
      </c>
      <c r="G34" s="67"/>
      <c r="H34" s="67"/>
      <c r="O34" s="52"/>
      <c r="P34" s="52"/>
    </row>
    <row r="35" spans="2:16" ht="15" hidden="1">
      <c r="B35" s="127" t="s">
        <v>13</v>
      </c>
      <c r="C35" s="128">
        <v>224243208</v>
      </c>
      <c r="D35" s="128">
        <v>52484400</v>
      </c>
      <c r="E35" s="129">
        <f t="shared" si="3"/>
        <v>276727608</v>
      </c>
      <c r="G35" s="67"/>
      <c r="H35" s="67"/>
      <c r="O35" s="52"/>
      <c r="P35" s="52"/>
    </row>
    <row r="36" spans="2:16" ht="15" hidden="1">
      <c r="B36" s="130" t="s">
        <v>92</v>
      </c>
      <c r="C36" s="128">
        <v>466978999</v>
      </c>
      <c r="D36" s="129"/>
      <c r="E36" s="129">
        <f t="shared" si="3"/>
        <v>466978999</v>
      </c>
      <c r="G36" s="67"/>
      <c r="H36" s="67"/>
      <c r="O36" s="52"/>
      <c r="P36" s="52"/>
    </row>
    <row r="37" spans="2:16" ht="15" hidden="1">
      <c r="B37" s="130" t="s">
        <v>93</v>
      </c>
      <c r="C37" s="128">
        <v>3254006708</v>
      </c>
      <c r="D37" s="129"/>
      <c r="E37" s="129">
        <f t="shared" si="3"/>
        <v>3254006708</v>
      </c>
      <c r="G37" s="67"/>
      <c r="H37" s="67"/>
      <c r="O37" s="52"/>
      <c r="P37" s="52"/>
    </row>
    <row r="38" spans="2:16" ht="15" hidden="1">
      <c r="B38" s="127" t="s">
        <v>10</v>
      </c>
      <c r="C38" s="128">
        <v>1220859831</v>
      </c>
      <c r="D38" s="129"/>
      <c r="E38" s="129">
        <f t="shared" si="3"/>
        <v>1220859831</v>
      </c>
      <c r="G38" s="67"/>
      <c r="H38" s="67"/>
      <c r="O38" s="52"/>
      <c r="P38" s="52"/>
    </row>
    <row r="39" spans="2:16" ht="15" hidden="1">
      <c r="B39" s="127" t="s">
        <v>11</v>
      </c>
      <c r="C39" s="128">
        <v>866963933</v>
      </c>
      <c r="D39" s="128">
        <v>28360000</v>
      </c>
      <c r="E39" s="129">
        <f t="shared" si="3"/>
        <v>895323933</v>
      </c>
      <c r="G39" s="67"/>
      <c r="H39" s="67"/>
      <c r="O39" s="52"/>
      <c r="P39" s="52"/>
    </row>
    <row r="40" spans="2:16" ht="15" hidden="1">
      <c r="B40" s="127" t="s">
        <v>12</v>
      </c>
      <c r="C40" s="128">
        <v>4882582917</v>
      </c>
      <c r="D40" s="129"/>
      <c r="E40" s="129">
        <f t="shared" si="3"/>
        <v>4882582917</v>
      </c>
      <c r="G40" s="67"/>
      <c r="H40" s="67"/>
      <c r="O40" s="52"/>
      <c r="P40" s="52"/>
    </row>
    <row r="41" spans="2:16" ht="15" hidden="1">
      <c r="B41" s="127" t="s">
        <v>19</v>
      </c>
      <c r="C41" s="129">
        <f>SUM(C31:C40)</f>
        <v>15556317670</v>
      </c>
      <c r="D41" s="129">
        <f>SUM(D31:D40)</f>
        <v>2246534574</v>
      </c>
      <c r="E41" s="129">
        <f t="shared" si="3"/>
        <v>17802852244</v>
      </c>
      <c r="G41" s="67"/>
      <c r="H41" s="67"/>
      <c r="O41" s="52"/>
      <c r="P41" s="52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3" customFormat="1">
      <c r="B54" s="430" t="s">
        <v>16</v>
      </c>
      <c r="C54" s="432" t="s">
        <v>549</v>
      </c>
      <c r="D54" s="430" t="s">
        <v>547</v>
      </c>
      <c r="E54" s="430" t="s">
        <v>548</v>
      </c>
      <c r="F54" s="432" t="s">
        <v>53</v>
      </c>
      <c r="I54" s="75"/>
      <c r="J54" s="75"/>
      <c r="K54" s="75"/>
      <c r="L54" s="75"/>
      <c r="M54" s="75"/>
      <c r="N54" s="75"/>
      <c r="O54" s="75"/>
      <c r="P54" s="75"/>
    </row>
    <row r="55" spans="2:16" s="73" customFormat="1">
      <c r="B55" s="431"/>
      <c r="C55" s="433"/>
      <c r="D55" s="431"/>
      <c r="E55" s="431"/>
      <c r="F55" s="433"/>
      <c r="I55" s="75"/>
      <c r="J55" s="75"/>
      <c r="K55" s="75"/>
      <c r="L55" s="75"/>
      <c r="M55" s="75"/>
      <c r="N55" s="75"/>
      <c r="O55" s="75"/>
      <c r="P55" s="75"/>
    </row>
    <row r="56" spans="2:16">
      <c r="B56" s="155" t="s">
        <v>19</v>
      </c>
      <c r="C56" s="156">
        <f>SUM(C57:C66)</f>
        <v>14504760931</v>
      </c>
      <c r="D56" s="156">
        <f>SUM(D57:D66)</f>
        <v>1174065395</v>
      </c>
      <c r="E56" s="156">
        <f>SUM(E57:E66)</f>
        <v>2139712389</v>
      </c>
      <c r="F56" s="156">
        <f>SUM(C56:E56)</f>
        <v>17818538715</v>
      </c>
    </row>
    <row r="57" spans="2:16">
      <c r="B57" s="157" t="s">
        <v>17</v>
      </c>
      <c r="C57" s="158">
        <v>43594098</v>
      </c>
      <c r="D57" s="158"/>
      <c r="E57" s="158"/>
      <c r="F57" s="156">
        <f t="shared" ref="F57:F66" si="4">SUM(C57:E57)</f>
        <v>43594098</v>
      </c>
    </row>
    <row r="58" spans="2:16">
      <c r="B58" s="157" t="s">
        <v>18</v>
      </c>
      <c r="C58" s="158">
        <v>3440363748</v>
      </c>
      <c r="D58" s="158">
        <v>24291000</v>
      </c>
      <c r="E58" s="158">
        <v>1741536684</v>
      </c>
      <c r="F58" s="156">
        <f t="shared" si="4"/>
        <v>5206191432</v>
      </c>
    </row>
    <row r="59" spans="2:16">
      <c r="B59" s="157" t="s">
        <v>9</v>
      </c>
      <c r="C59" s="158">
        <v>203612581</v>
      </c>
      <c r="D59" s="158"/>
      <c r="E59" s="158">
        <v>302551270</v>
      </c>
      <c r="F59" s="156">
        <f t="shared" si="4"/>
        <v>506163851</v>
      </c>
    </row>
    <row r="60" spans="2:16">
      <c r="B60" s="157" t="s">
        <v>551</v>
      </c>
      <c r="C60" s="158">
        <v>1207474631</v>
      </c>
      <c r="D60" s="158"/>
      <c r="E60" s="158"/>
      <c r="F60" s="156">
        <f t="shared" si="4"/>
        <v>1207474631</v>
      </c>
    </row>
    <row r="61" spans="2:16">
      <c r="B61" s="157" t="s">
        <v>13</v>
      </c>
      <c r="C61" s="158">
        <v>246448826</v>
      </c>
      <c r="D61" s="158"/>
      <c r="E61" s="158">
        <v>62624435</v>
      </c>
      <c r="F61" s="156">
        <f t="shared" si="4"/>
        <v>309073261</v>
      </c>
    </row>
    <row r="62" spans="2:16">
      <c r="B62" s="157" t="s">
        <v>63</v>
      </c>
      <c r="C62" s="158">
        <v>442431566</v>
      </c>
      <c r="D62" s="158"/>
      <c r="E62" s="158"/>
      <c r="F62" s="156">
        <f t="shared" si="4"/>
        <v>442431566</v>
      </c>
    </row>
    <row r="63" spans="2:16">
      <c r="B63" s="157" t="s">
        <v>395</v>
      </c>
      <c r="C63" s="158">
        <v>2784804193</v>
      </c>
      <c r="D63" s="158">
        <v>836694418</v>
      </c>
      <c r="E63" s="158"/>
      <c r="F63" s="156">
        <f t="shared" si="4"/>
        <v>3621498611</v>
      </c>
    </row>
    <row r="64" spans="2:16">
      <c r="B64" s="157" t="s">
        <v>10</v>
      </c>
      <c r="C64" s="158">
        <v>1163747689</v>
      </c>
      <c r="D64" s="158">
        <f>125570000+2173065</f>
        <v>127743065</v>
      </c>
      <c r="E64" s="158"/>
      <c r="F64" s="156">
        <f t="shared" si="4"/>
        <v>1291490754</v>
      </c>
    </row>
    <row r="65" spans="2:6">
      <c r="B65" s="157" t="s">
        <v>11</v>
      </c>
      <c r="C65" s="158">
        <v>1043870622</v>
      </c>
      <c r="D65" s="159">
        <f>4191000+14731912</f>
        <v>18922912</v>
      </c>
      <c r="E65" s="159">
        <v>33000000</v>
      </c>
      <c r="F65" s="156">
        <f t="shared" si="4"/>
        <v>1095793534</v>
      </c>
    </row>
    <row r="66" spans="2:6">
      <c r="B66" s="160" t="s">
        <v>416</v>
      </c>
      <c r="C66" s="158">
        <v>3928412977</v>
      </c>
      <c r="D66" s="158">
        <v>166414000</v>
      </c>
      <c r="E66" s="158"/>
      <c r="F66" s="156">
        <f t="shared" si="4"/>
        <v>4094826977</v>
      </c>
    </row>
    <row r="145" spans="9:9" ht="24">
      <c r="I145" s="107" t="s">
        <v>55</v>
      </c>
    </row>
    <row r="275" spans="9:11">
      <c r="I275" s="131"/>
      <c r="K275" s="67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2" customWidth="1"/>
    <col min="2" max="2" width="22" style="52" customWidth="1"/>
    <col min="3" max="3" width="17.875" style="52" customWidth="1"/>
    <col min="4" max="4" width="14.75" style="52" customWidth="1"/>
    <col min="5" max="5" width="15.25" style="52" customWidth="1"/>
    <col min="6" max="6" width="14.25" style="52" customWidth="1"/>
    <col min="7" max="7" width="13.5" style="52" customWidth="1"/>
    <col min="8" max="8" width="17.25" style="52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2"/>
  </cols>
  <sheetData>
    <row r="1" spans="2:16" ht="33" customHeight="1">
      <c r="B1" s="401" t="s">
        <v>533</v>
      </c>
      <c r="C1" s="402"/>
      <c r="D1" s="402"/>
      <c r="E1" s="402"/>
      <c r="F1" s="402"/>
      <c r="G1" s="402"/>
      <c r="H1" s="402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119</v>
      </c>
      <c r="C3" s="71"/>
      <c r="D3" s="132"/>
      <c r="E3" s="49">
        <f>SUM(D7:E7)</f>
        <v>0</v>
      </c>
      <c r="F3" s="49"/>
      <c r="G3" s="49">
        <f>SUM(F7:G7)</f>
        <v>0</v>
      </c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24" customHeight="1">
      <c r="B5" s="403" t="s">
        <v>24</v>
      </c>
      <c r="C5" s="405" t="s">
        <v>25</v>
      </c>
      <c r="D5" s="407" t="s">
        <v>26</v>
      </c>
      <c r="E5" s="407"/>
      <c r="F5" s="407" t="s">
        <v>27</v>
      </c>
      <c r="G5" s="407"/>
      <c r="H5" s="408" t="s">
        <v>28</v>
      </c>
      <c r="I5" s="414" t="s">
        <v>29</v>
      </c>
      <c r="J5" s="414"/>
      <c r="K5" s="410" t="s">
        <v>30</v>
      </c>
      <c r="L5" s="412" t="s">
        <v>31</v>
      </c>
      <c r="M5" s="414" t="s">
        <v>32</v>
      </c>
      <c r="N5" s="415"/>
      <c r="O5" s="416" t="s">
        <v>33</v>
      </c>
      <c r="P5" s="417"/>
    </row>
    <row r="6" spans="2:16" ht="24" customHeight="1">
      <c r="B6" s="404"/>
      <c r="C6" s="406"/>
      <c r="D6" s="77" t="s">
        <v>34</v>
      </c>
      <c r="E6" s="77" t="s">
        <v>35</v>
      </c>
      <c r="F6" s="77" t="s">
        <v>34</v>
      </c>
      <c r="G6" s="77" t="s">
        <v>35</v>
      </c>
      <c r="H6" s="409"/>
      <c r="I6" s="78" t="s">
        <v>36</v>
      </c>
      <c r="J6" s="79" t="s">
        <v>37</v>
      </c>
      <c r="K6" s="411"/>
      <c r="L6" s="413"/>
      <c r="M6" s="80" t="s">
        <v>36</v>
      </c>
      <c r="N6" s="81" t="s">
        <v>37</v>
      </c>
      <c r="O6" s="418"/>
      <c r="P6" s="419"/>
    </row>
    <row r="7" spans="2:16" ht="30.75" customHeight="1" thickBot="1">
      <c r="B7" s="82" t="s">
        <v>38</v>
      </c>
      <c r="C7" s="83">
        <f t="shared" ref="C7:H7" si="0">SUM(C8:C33)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4">
        <f t="shared" si="0"/>
        <v>17818538715</v>
      </c>
      <c r="I7" s="85" t="e">
        <f>#REF!+#REF!</f>
        <v>#REF!</v>
      </c>
      <c r="J7" s="86" t="e">
        <f>#REF!+#REF!</f>
        <v>#REF!</v>
      </c>
      <c r="K7" s="87" t="e">
        <f>I7-J7</f>
        <v>#REF!</v>
      </c>
      <c r="L7" s="88" t="s">
        <v>39</v>
      </c>
      <c r="M7" s="89" t="e">
        <f>#REF!+#REF!</f>
        <v>#REF!</v>
      </c>
      <c r="N7" s="90" t="e">
        <f>#REF!+#REF!</f>
        <v>#REF!</v>
      </c>
      <c r="O7" s="91">
        <v>0</v>
      </c>
      <c r="P7" s="91">
        <v>0</v>
      </c>
    </row>
    <row r="8" spans="2:16" ht="30.75" customHeight="1">
      <c r="B8" s="100" t="s">
        <v>110</v>
      </c>
      <c r="C8" s="101">
        <v>1230140</v>
      </c>
      <c r="D8" s="18">
        <f>SUMIFS('16년3추 일입'!$N$7:$N$566,'16년3추 일입'!$B$7:$B$566,'15년총괄표(실국별)'!$B8)</f>
        <v>0</v>
      </c>
      <c r="E8" s="18">
        <f>SUMIFS('16년3추 일입'!$O$7:$O$566,'16년3추 일입'!$B$7:$B$566,'15년총괄표(실국별)'!$B8)</f>
        <v>0</v>
      </c>
      <c r="F8" s="18">
        <f>SUMIFS('16년 3추일출'!$N$12:$N$620,'16년 3추일출'!$B$12:$B$620,'15년총괄표(실국별)'!$B8)</f>
        <v>0</v>
      </c>
      <c r="G8" s="18">
        <f>SUMIFS('16년 3추일출'!$O$12:$O$620,'16년 3추일출'!$B$12:$B$620,'15년총괄표(실국별)'!$B8)</f>
        <v>0</v>
      </c>
      <c r="H8" s="84">
        <f>C8+F8+G8</f>
        <v>1230140</v>
      </c>
      <c r="I8" s="428" t="s">
        <v>41</v>
      </c>
      <c r="J8" s="429"/>
      <c r="K8" s="75"/>
      <c r="N8" s="102" t="s">
        <v>42</v>
      </c>
    </row>
    <row r="9" spans="2:16" ht="30.75" customHeight="1" thickBot="1">
      <c r="B9" s="100" t="s">
        <v>102</v>
      </c>
      <c r="C9" s="83">
        <v>4995050831</v>
      </c>
      <c r="D9" s="18">
        <f>SUMIFS('16년3추 일입'!$N$7:$N$566,'16년3추 일입'!$B$7:$B$566,'15년총괄표(실국별)'!$B9)</f>
        <v>0</v>
      </c>
      <c r="E9" s="18">
        <f>SUMIFS('16년3추 일입'!$O$7:$O$566,'16년3추 일입'!$B$7:$B$566,'15년총괄표(실국별)'!$B9)</f>
        <v>0</v>
      </c>
      <c r="F9" s="18">
        <f>SUMIFS('16년 3추일출'!$N$12:$N$620,'16년 3추일출'!$B$12:$B$620,'15년총괄표(실국별)'!$B9)</f>
        <v>0</v>
      </c>
      <c r="G9" s="18">
        <f>SUMIFS('16년 3추일출'!$O$12:$O$620,'16년 3추일출'!$B$12:$B$620,'15년총괄표(실국별)'!$B9)</f>
        <v>0</v>
      </c>
      <c r="H9" s="84">
        <f t="shared" ref="H9:H33" si="1">C9+F9+G9</f>
        <v>4995050831</v>
      </c>
      <c r="I9" s="103" t="e">
        <f>#REF!+#REF!</f>
        <v>#REF!</v>
      </c>
      <c r="J9" s="104" t="e">
        <f>#REF!+#REF!</f>
        <v>#REF!</v>
      </c>
      <c r="K9" s="75"/>
      <c r="N9" s="105" t="e">
        <f>#REF!-#REF!</f>
        <v>#REF!</v>
      </c>
    </row>
    <row r="10" spans="2:16" ht="30.75" customHeight="1" thickBot="1">
      <c r="B10" s="100" t="s">
        <v>103</v>
      </c>
      <c r="C10" s="83">
        <v>350475445</v>
      </c>
      <c r="D10" s="18">
        <f>SUMIFS('16년3추 일입'!$N$7:$N$566,'16년3추 일입'!$B$7:$B$566,'15년총괄표(실국별)'!$B10)</f>
        <v>0</v>
      </c>
      <c r="E10" s="18">
        <f>SUMIFS('16년3추 일입'!$O$7:$O$566,'16년3추 일입'!$B$7:$B$566,'15년총괄표(실국별)'!$B10)</f>
        <v>0</v>
      </c>
      <c r="F10" s="18">
        <f>SUMIFS('16년 3추일출'!$N$12:$N$620,'16년 3추일출'!$B$12:$B$620,'15년총괄표(실국별)'!$B10)</f>
        <v>0</v>
      </c>
      <c r="G10" s="18">
        <f>SUMIFS('16년 3추일출'!$O$12:$O$620,'16년 3추일출'!$B$12:$B$620,'15년총괄표(실국별)'!$B10)</f>
        <v>0</v>
      </c>
      <c r="H10" s="84">
        <f t="shared" si="1"/>
        <v>350475445</v>
      </c>
      <c r="I10" s="103" t="e">
        <f>#REF!+#REF!</f>
        <v>#REF!</v>
      </c>
      <c r="J10" s="104" t="e">
        <f>#REF!+#REF!</f>
        <v>#REF!</v>
      </c>
      <c r="K10" s="75"/>
      <c r="N10" s="105" t="e">
        <f>#REF!-#REF!</f>
        <v>#REF!</v>
      </c>
    </row>
    <row r="11" spans="2:16" ht="30.75" customHeight="1">
      <c r="B11" s="100" t="s">
        <v>104</v>
      </c>
      <c r="C11" s="83">
        <v>489102362</v>
      </c>
      <c r="D11" s="18">
        <f>SUMIFS('16년3추 일입'!$N$7:$N$566,'16년3추 일입'!$B$7:$B$566,'15년총괄표(실국별)'!$B11)</f>
        <v>0</v>
      </c>
      <c r="E11" s="18">
        <f>SUMIFS('16년3추 일입'!$O$7:$O$566,'16년3추 일입'!$B$7:$B$566,'15년총괄표(실국별)'!$B11)</f>
        <v>0</v>
      </c>
      <c r="F11" s="18">
        <f>SUMIFS('16년 3추일출'!$N$12:$N$620,'16년 3추일출'!$B$12:$B$620,'15년총괄표(실국별)'!$B11)</f>
        <v>0</v>
      </c>
      <c r="G11" s="18">
        <f>SUMIFS('16년 3추일출'!$O$12:$O$620,'16년 3추일출'!$B$12:$B$620,'15년총괄표(실국별)'!$B11)</f>
        <v>0</v>
      </c>
      <c r="H11" s="84">
        <f t="shared" si="1"/>
        <v>489102362</v>
      </c>
      <c r="J11" s="106"/>
      <c r="K11" s="107"/>
    </row>
    <row r="12" spans="2:16" ht="30.75" customHeight="1">
      <c r="B12" s="100" t="s">
        <v>170</v>
      </c>
      <c r="C12" s="83">
        <v>2124399774</v>
      </c>
      <c r="D12" s="18">
        <f>SUMIFS('16년3추 일입'!$N$7:$N$566,'16년3추 일입'!$B$7:$B$566,'15년총괄표(실국별)'!$B12)</f>
        <v>0</v>
      </c>
      <c r="E12" s="18">
        <f>SUMIFS('16년3추 일입'!$O$7:$O$566,'16년3추 일입'!$B$7:$B$566,'15년총괄표(실국별)'!$B12)</f>
        <v>0</v>
      </c>
      <c r="F12" s="18">
        <f>SUMIFS('16년 3추일출'!$N$12:$N$620,'16년 3추일출'!$B$12:$B$620,'15년총괄표(실국별)'!$B12)</f>
        <v>0</v>
      </c>
      <c r="G12" s="18">
        <f>SUMIFS('16년 3추일출'!$O$12:$O$620,'16년 3추일출'!$B$12:$B$620,'15년총괄표(실국별)'!$B12)</f>
        <v>0</v>
      </c>
      <c r="H12" s="84">
        <f t="shared" si="1"/>
        <v>2124399774</v>
      </c>
      <c r="J12" s="108"/>
      <c r="L12" s="109"/>
      <c r="M12" s="109"/>
    </row>
    <row r="13" spans="2:16" ht="30.75" customHeight="1">
      <c r="B13" s="100" t="s">
        <v>105</v>
      </c>
      <c r="C13" s="83">
        <v>309073261</v>
      </c>
      <c r="D13" s="18">
        <f>SUMIFS('16년3추 일입'!$N$7:$N$566,'16년3추 일입'!$B$7:$B$566,'15년총괄표(실국별)'!$B13)</f>
        <v>0</v>
      </c>
      <c r="E13" s="18">
        <f>SUMIFS('16년3추 일입'!$O$7:$O$566,'16년3추 일입'!$B$7:$B$566,'15년총괄표(실국별)'!$B13)</f>
        <v>0</v>
      </c>
      <c r="F13" s="18">
        <f>SUMIFS('16년 3추일출'!$N$12:$N$620,'16년 3추일출'!$B$12:$B$620,'15년총괄표(실국별)'!$B13)</f>
        <v>0</v>
      </c>
      <c r="G13" s="18">
        <f>SUMIFS('16년 3추일출'!$O$12:$O$620,'16년 3추일출'!$B$12:$B$620,'15년총괄표(실국별)'!$B13)</f>
        <v>0</v>
      </c>
      <c r="H13" s="84">
        <f t="shared" si="1"/>
        <v>309073261</v>
      </c>
      <c r="K13" s="13"/>
      <c r="L13" s="14"/>
      <c r="N13" s="67" t="s">
        <v>43</v>
      </c>
    </row>
    <row r="14" spans="2:16" s="112" customFormat="1" ht="30.75" customHeight="1">
      <c r="B14" s="100" t="s">
        <v>64</v>
      </c>
      <c r="C14" s="110">
        <v>255604029</v>
      </c>
      <c r="D14" s="18">
        <f>SUMIFS('16년3추 일입'!$N$7:$N$566,'16년3추 일입'!$B$7:$B$566,'15년총괄표(실국별)'!$B14)</f>
        <v>0</v>
      </c>
      <c r="E14" s="18">
        <f>SUMIFS('16년3추 일입'!$O$7:$O$566,'16년3추 일입'!$B$7:$B$566,'15년총괄표(실국별)'!$B14)</f>
        <v>0</v>
      </c>
      <c r="F14" s="18">
        <f>SUMIFS('16년 3추일출'!$N$12:$N$620,'16년 3추일출'!$B$12:$B$620,'15년총괄표(실국별)'!$B14)</f>
        <v>0</v>
      </c>
      <c r="G14" s="18">
        <f>SUMIFS('16년 3추일출'!$O$12:$O$620,'16년 3추일출'!$B$12:$B$620,'15년총괄표(실국별)'!$B14)</f>
        <v>0</v>
      </c>
      <c r="H14" s="84">
        <f t="shared" si="1"/>
        <v>255604029</v>
      </c>
      <c r="I14" s="111"/>
      <c r="J14" s="111"/>
      <c r="K14" s="13"/>
      <c r="L14" s="14"/>
      <c r="M14" s="97"/>
      <c r="N14" s="98" t="e">
        <f>N10-#REF!</f>
        <v>#REF!</v>
      </c>
      <c r="O14" s="111"/>
      <c r="P14" s="111"/>
    </row>
    <row r="15" spans="2:16" s="112" customFormat="1" ht="30.75" customHeight="1">
      <c r="B15" s="100" t="s">
        <v>199</v>
      </c>
      <c r="C15" s="110">
        <v>205393587</v>
      </c>
      <c r="D15" s="18">
        <f>SUMIFS('16년3추 일입'!$N$7:$N$566,'16년3추 일입'!$B$7:$B$566,'15년총괄표(실국별)'!$B15)</f>
        <v>0</v>
      </c>
      <c r="E15" s="18">
        <f>SUMIFS('16년3추 일입'!$O$7:$O$566,'16년3추 일입'!$B$7:$B$566,'15년총괄표(실국별)'!$B15)</f>
        <v>0</v>
      </c>
      <c r="F15" s="18">
        <f>SUMIFS('16년 3추일출'!$N$12:$N$620,'16년 3추일출'!$B$12:$B$620,'15년총괄표(실국별)'!$B15)</f>
        <v>0</v>
      </c>
      <c r="G15" s="18">
        <f>SUMIFS('16년 3추일출'!$O$12:$O$620,'16년 3추일출'!$B$12:$B$620,'15년총괄표(실국별)'!$B15)</f>
        <v>0</v>
      </c>
      <c r="H15" s="84">
        <f t="shared" si="1"/>
        <v>205393587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30.75" customHeight="1">
      <c r="B16" s="100" t="s">
        <v>206</v>
      </c>
      <c r="C16" s="110">
        <v>694104955</v>
      </c>
      <c r="D16" s="18">
        <f>SUMIFS('16년3추 일입'!$N$7:$N$566,'16년3추 일입'!$B$7:$B$566,'15년총괄표(실국별)'!$B16)</f>
        <v>0</v>
      </c>
      <c r="E16" s="18">
        <f>SUMIFS('16년3추 일입'!$O$7:$O$566,'16년3추 일입'!$B$7:$B$566,'15년총괄표(실국별)'!$B16)</f>
        <v>0</v>
      </c>
      <c r="F16" s="18">
        <f>SUMIFS('16년 3추일출'!$N$12:$N$620,'16년 3추일출'!$B$12:$B$620,'15년총괄표(실국별)'!$B16)</f>
        <v>0</v>
      </c>
      <c r="G16" s="18">
        <f>SUMIFS('16년 3추일출'!$O$12:$O$620,'16년 3추일출'!$B$12:$B$620,'15년총괄표(실국별)'!$B16)</f>
        <v>0</v>
      </c>
      <c r="H16" s="84">
        <f t="shared" si="1"/>
        <v>694104955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30.75" customHeight="1">
      <c r="B17" s="113" t="s">
        <v>61</v>
      </c>
      <c r="C17" s="114">
        <v>30412373</v>
      </c>
      <c r="D17" s="18">
        <f>SUMIFS('16년3추 일입'!$N$7:$N$566,'16년3추 일입'!$B$7:$B$566,'15년총괄표(실국별)'!$B17)</f>
        <v>0</v>
      </c>
      <c r="E17" s="18">
        <f>SUMIFS('16년3추 일입'!$O$7:$O$566,'16년3추 일입'!$B$7:$B$566,'15년총괄표(실국별)'!$B17)</f>
        <v>0</v>
      </c>
      <c r="F17" s="18">
        <f>SUMIFS('16년 3추일출'!$N$12:$N$620,'16년 3추일출'!$B$12:$B$620,'15년총괄표(실국별)'!$B17)</f>
        <v>0</v>
      </c>
      <c r="G17" s="18">
        <f>SUMIFS('16년 3추일출'!$O$12:$O$620,'16년 3추일출'!$B$12:$B$620,'15년총괄표(실국별)'!$B17)</f>
        <v>0</v>
      </c>
      <c r="H17" s="84">
        <f t="shared" si="1"/>
        <v>30412373</v>
      </c>
      <c r="I17" s="115"/>
      <c r="J17" s="115"/>
      <c r="K17" s="13"/>
      <c r="L17" s="14"/>
      <c r="M17" s="115"/>
      <c r="N17" s="115"/>
      <c r="O17" s="115"/>
      <c r="P17" s="115"/>
    </row>
    <row r="18" spans="2:16" ht="30.75" customHeight="1" thickBot="1">
      <c r="B18" s="100" t="s">
        <v>111</v>
      </c>
      <c r="C18" s="83">
        <v>12731214</v>
      </c>
      <c r="D18" s="18">
        <f>SUMIFS('16년3추 일입'!$N$7:$N$566,'16년3추 일입'!$B$7:$B$566,'15년총괄표(실국별)'!$B18)</f>
        <v>0</v>
      </c>
      <c r="E18" s="18">
        <f>SUMIFS('16년3추 일입'!$O$7:$O$566,'16년3추 일입'!$B$7:$B$566,'15년총괄표(실국별)'!$B18)</f>
        <v>0</v>
      </c>
      <c r="F18" s="18">
        <f>SUMIFS('16년 3추일출'!$N$12:$N$620,'16년 3추일출'!$B$12:$B$620,'15년총괄표(실국별)'!$B18)</f>
        <v>0</v>
      </c>
      <c r="G18" s="18">
        <f>SUMIFS('16년 3추일출'!$O$12:$O$620,'16년 3추일출'!$B$12:$B$620,'15년총괄표(실국별)'!$B18)</f>
        <v>0</v>
      </c>
      <c r="H18" s="84">
        <f t="shared" si="1"/>
        <v>12731214</v>
      </c>
      <c r="I18" s="103" t="e">
        <f>#REF!+#REF!</f>
        <v>#REF!</v>
      </c>
      <c r="J18" s="104" t="e">
        <f>#REF!+#REF!</f>
        <v>#REF!</v>
      </c>
      <c r="K18" s="75"/>
      <c r="N18" s="105" t="e">
        <f>#REF!-#REF!</f>
        <v>#REF!</v>
      </c>
    </row>
    <row r="19" spans="2:16" ht="30.75" customHeight="1">
      <c r="B19" s="100" t="s">
        <v>109</v>
      </c>
      <c r="C19" s="83">
        <v>450511</v>
      </c>
      <c r="D19" s="18">
        <f>SUMIFS('16년3추 일입'!$N$7:$N$566,'16년3추 일입'!$B$7:$B$566,'15년총괄표(실국별)'!$B19)</f>
        <v>0</v>
      </c>
      <c r="E19" s="18">
        <f>SUMIFS('16년3추 일입'!$O$7:$O$566,'16년3추 일입'!$B$7:$B$566,'15년총괄표(실국별)'!$B19)</f>
        <v>0</v>
      </c>
      <c r="F19" s="18">
        <f>SUMIFS('16년 3추일출'!$N$12:$N$620,'16년 3추일출'!$B$12:$B$620,'15년총괄표(실국별)'!$B19)</f>
        <v>0</v>
      </c>
      <c r="G19" s="18">
        <f>SUMIFS('16년 3추일출'!$O$12:$O$620,'16년 3추일출'!$B$12:$B$620,'15년총괄표(실국별)'!$B19)</f>
        <v>0</v>
      </c>
      <c r="H19" s="84">
        <f t="shared" si="1"/>
        <v>450511</v>
      </c>
      <c r="J19" s="106"/>
      <c r="K19" s="107"/>
    </row>
    <row r="20" spans="2:16" ht="30.75" customHeight="1">
      <c r="B20" s="100" t="s">
        <v>106</v>
      </c>
      <c r="C20" s="83">
        <v>2803637639</v>
      </c>
      <c r="D20" s="18">
        <f>SUMIFS('16년3추 일입'!$N$7:$N$566,'16년3추 일입'!$B$7:$B$566,'15년총괄표(실국별)'!$B20)</f>
        <v>0</v>
      </c>
      <c r="E20" s="18">
        <f>SUMIFS('16년3추 일입'!$O$7:$O$566,'16년3추 일입'!$B$7:$B$566,'15년총괄표(실국별)'!$B20)</f>
        <v>0</v>
      </c>
      <c r="F20" s="18">
        <f>SUMIFS('16년 3추일출'!$N$12:$N$620,'16년 3추일출'!$B$12:$B$620,'15년총괄표(실국별)'!$B20)</f>
        <v>0</v>
      </c>
      <c r="G20" s="18">
        <f>SUMIFS('16년 3추일출'!$O$12:$O$620,'16년 3추일출'!$B$12:$B$620,'15년총괄표(실국별)'!$B20)</f>
        <v>0</v>
      </c>
      <c r="H20" s="84">
        <f t="shared" si="1"/>
        <v>2803637639</v>
      </c>
      <c r="J20" s="108"/>
      <c r="L20" s="109"/>
      <c r="M20" s="109"/>
    </row>
    <row r="21" spans="2:16" ht="30.75" customHeight="1">
      <c r="B21" s="100" t="s">
        <v>107</v>
      </c>
      <c r="C21" s="83">
        <v>96522924</v>
      </c>
      <c r="D21" s="18">
        <f>SUMIFS('16년3추 일입'!$N$7:$N$566,'16년3추 일입'!$B$7:$B$566,'15년총괄표(실국별)'!$B21)</f>
        <v>0</v>
      </c>
      <c r="E21" s="18">
        <f>SUMIFS('16년3추 일입'!$O$7:$O$566,'16년3추 일입'!$B$7:$B$566,'15년총괄표(실국별)'!$B21)</f>
        <v>0</v>
      </c>
      <c r="F21" s="18">
        <f>SUMIFS('16년 3추일출'!$N$12:$N$620,'16년 3추일출'!$B$12:$B$620,'15년총괄표(실국별)'!$B21)</f>
        <v>0</v>
      </c>
      <c r="G21" s="18">
        <f>SUMIFS('16년 3추일출'!$O$12:$O$620,'16년 3추일출'!$B$12:$B$620,'15년총괄표(실국별)'!$B21)</f>
        <v>0</v>
      </c>
      <c r="H21" s="84">
        <f t="shared" si="1"/>
        <v>96522924</v>
      </c>
      <c r="K21" s="13"/>
      <c r="L21" s="14"/>
      <c r="N21" s="67" t="s">
        <v>43</v>
      </c>
    </row>
    <row r="22" spans="2:16" s="112" customFormat="1" ht="30.75" customHeight="1">
      <c r="B22" s="100" t="s">
        <v>108</v>
      </c>
      <c r="C22" s="110">
        <v>1454395771</v>
      </c>
      <c r="D22" s="18">
        <f>SUMIFS('16년3추 일입'!$N$7:$N$566,'16년3추 일입'!$B$7:$B$566,'15년총괄표(실국별)'!$B22)</f>
        <v>0</v>
      </c>
      <c r="E22" s="18">
        <f>SUMIFS('16년3추 일입'!$O$7:$O$566,'16년3추 일입'!$B$7:$B$566,'15년총괄표(실국별)'!$B22)</f>
        <v>0</v>
      </c>
      <c r="F22" s="18">
        <f>SUMIFS('16년 3추일출'!$N$12:$N$620,'16년 3추일출'!$B$12:$B$620,'15년총괄표(실국별)'!$B22)</f>
        <v>0</v>
      </c>
      <c r="G22" s="18">
        <f>SUMIFS('16년 3추일출'!$O$12:$O$620,'16년 3추일출'!$B$12:$B$620,'15년총괄표(실국별)'!$B22)</f>
        <v>0</v>
      </c>
      <c r="H22" s="84">
        <f t="shared" si="1"/>
        <v>1454395771</v>
      </c>
      <c r="I22" s="111"/>
      <c r="J22" s="111"/>
      <c r="K22" s="13"/>
      <c r="L22" s="14"/>
      <c r="M22" s="97"/>
      <c r="N22" s="98" t="e">
        <f>N18-#REF!</f>
        <v>#REF!</v>
      </c>
      <c r="O22" s="111"/>
      <c r="P22" s="111"/>
    </row>
    <row r="23" spans="2:16" s="112" customFormat="1" ht="30.75" customHeight="1">
      <c r="B23" s="100" t="s">
        <v>369</v>
      </c>
      <c r="C23" s="110">
        <v>35645539</v>
      </c>
      <c r="D23" s="18">
        <f>SUMIFS('16년3추 일입'!$N$7:$N$566,'16년3추 일입'!$B$7:$B$566,'15년총괄표(실국별)'!$B23)</f>
        <v>0</v>
      </c>
      <c r="E23" s="18">
        <f>SUMIFS('16년3추 일입'!$O$7:$O$566,'16년3추 일입'!$B$7:$B$566,'15년총괄표(실국별)'!$B23)</f>
        <v>0</v>
      </c>
      <c r="F23" s="18">
        <f>SUMIFS('16년 3추일출'!$N$12:$N$620,'16년 3추일출'!$B$12:$B$620,'15년총괄표(실국별)'!$B23)</f>
        <v>0</v>
      </c>
      <c r="G23" s="18">
        <f>SUMIFS('16년 3추일출'!$O$12:$O$620,'16년 3추일출'!$B$12:$B$620,'15년총괄표(실국별)'!$B23)</f>
        <v>0</v>
      </c>
      <c r="H23" s="84">
        <f t="shared" si="1"/>
        <v>35645539</v>
      </c>
      <c r="I23" s="111"/>
      <c r="J23" s="111"/>
      <c r="K23" s="13"/>
      <c r="L23" s="14"/>
      <c r="M23" s="111"/>
      <c r="N23" s="111"/>
      <c r="O23" s="111"/>
      <c r="P23" s="111"/>
    </row>
    <row r="24" spans="2:16" s="112" customFormat="1" ht="30.75" customHeight="1">
      <c r="B24" s="100" t="s">
        <v>376</v>
      </c>
      <c r="C24" s="110">
        <v>10314647</v>
      </c>
      <c r="D24" s="18">
        <f>SUMIFS('16년3추 일입'!$N$7:$N$566,'16년3추 일입'!$B$7:$B$566,'15년총괄표(실국별)'!$B24)</f>
        <v>0</v>
      </c>
      <c r="E24" s="18">
        <f>SUMIFS('16년3추 일입'!$O$7:$O$566,'16년3추 일입'!$B$7:$B$566,'15년총괄표(실국별)'!$B24)</f>
        <v>0</v>
      </c>
      <c r="F24" s="18">
        <f>SUMIFS('16년 3추일출'!$N$12:$N$620,'16년 3추일출'!$B$12:$B$620,'15년총괄표(실국별)'!$B24)</f>
        <v>0</v>
      </c>
      <c r="G24" s="18">
        <f>SUMIFS('16년 3추일출'!$O$12:$O$620,'16년 3추일출'!$B$12:$B$620,'15년총괄표(실국별)'!$B24)</f>
        <v>0</v>
      </c>
      <c r="H24" s="84">
        <f t="shared" si="1"/>
        <v>10314647</v>
      </c>
      <c r="I24" s="111"/>
      <c r="J24" s="111"/>
      <c r="K24" s="13"/>
      <c r="L24" s="14"/>
      <c r="M24" s="111"/>
      <c r="N24" s="111"/>
      <c r="O24" s="111"/>
      <c r="P24" s="111"/>
    </row>
    <row r="25" spans="2:16" s="116" customFormat="1" ht="30.75" customHeight="1">
      <c r="B25" s="113" t="s">
        <v>378</v>
      </c>
      <c r="C25" s="114">
        <v>8202067</v>
      </c>
      <c r="D25" s="18">
        <f>SUMIFS('16년3추 일입'!$N$7:$N$566,'16년3추 일입'!$B$7:$B$566,'15년총괄표(실국별)'!$B25)</f>
        <v>0</v>
      </c>
      <c r="E25" s="18">
        <f>SUMIFS('16년3추 일입'!$O$7:$O$566,'16년3추 일입'!$B$7:$B$566,'15년총괄표(실국별)'!$B25)</f>
        <v>0</v>
      </c>
      <c r="F25" s="18">
        <f>SUMIFS('16년 3추일출'!$N$12:$N$620,'16년 3추일출'!$B$12:$B$620,'15년총괄표(실국별)'!$B25)</f>
        <v>0</v>
      </c>
      <c r="G25" s="18">
        <f>SUMIFS('16년 3추일출'!$O$12:$O$620,'16년 3추일출'!$B$12:$B$620,'15년총괄표(실국별)'!$B25)</f>
        <v>0</v>
      </c>
      <c r="H25" s="84">
        <f t="shared" si="1"/>
        <v>8202067</v>
      </c>
      <c r="I25" s="115"/>
      <c r="J25" s="115"/>
      <c r="K25" s="13"/>
      <c r="L25" s="14"/>
      <c r="M25" s="115"/>
      <c r="N25" s="115"/>
      <c r="O25" s="115"/>
      <c r="P25" s="115"/>
    </row>
    <row r="26" spans="2:16" ht="30.75" customHeight="1" thickBot="1">
      <c r="B26" s="100" t="s">
        <v>385</v>
      </c>
      <c r="C26" s="83">
        <v>631831527</v>
      </c>
      <c r="D26" s="18">
        <f>SUMIFS('16년3추 일입'!$N$7:$N$566,'16년3추 일입'!$B$7:$B$566,'15년총괄표(실국별)'!$B26)</f>
        <v>0</v>
      </c>
      <c r="E26" s="18">
        <f>SUMIFS('16년3추 일입'!$O$7:$O$566,'16년3추 일입'!$B$7:$B$566,'15년총괄표(실국별)'!$B26)</f>
        <v>0</v>
      </c>
      <c r="F26" s="18">
        <f>SUMIFS('16년 3추일출'!$N$12:$N$620,'16년 3추일출'!$B$12:$B$620,'15년총괄표(실국별)'!$B26)</f>
        <v>0</v>
      </c>
      <c r="G26" s="18">
        <f>SUMIFS('16년 3추일출'!$O$12:$O$620,'16년 3추일출'!$B$12:$B$620,'15년총괄표(실국별)'!$B26)</f>
        <v>0</v>
      </c>
      <c r="H26" s="84">
        <f t="shared" si="1"/>
        <v>631831527</v>
      </c>
      <c r="I26" s="103" t="e">
        <f>#REF!+#REF!</f>
        <v>#REF!</v>
      </c>
      <c r="J26" s="104" t="e">
        <f>#REF!+#REF!</f>
        <v>#REF!</v>
      </c>
      <c r="K26" s="75"/>
      <c r="N26" s="105">
        <f>M2-N2</f>
        <v>0</v>
      </c>
    </row>
    <row r="27" spans="2:16" ht="30.75" customHeight="1">
      <c r="B27" s="100" t="s">
        <v>69</v>
      </c>
      <c r="C27" s="83">
        <v>1328409175</v>
      </c>
      <c r="D27" s="18">
        <f>SUMIFS('16년3추 일입'!$N$7:$N$566,'16년3추 일입'!$B$7:$B$566,'15년총괄표(실국별)'!$B27)</f>
        <v>0</v>
      </c>
      <c r="E27" s="18">
        <f>SUMIFS('16년3추 일입'!$O$7:$O$566,'16년3추 일입'!$B$7:$B$566,'15년총괄표(실국별)'!$B27)</f>
        <v>0</v>
      </c>
      <c r="F27" s="18">
        <f>SUMIFS('16년 3추일출'!$N$12:$N$620,'16년 3추일출'!$B$12:$B$620,'15년총괄표(실국별)'!$B27)</f>
        <v>0</v>
      </c>
      <c r="G27" s="18">
        <f>SUMIFS('16년 3추일출'!$O$12:$O$620,'16년 3추일출'!$B$12:$B$620,'15년총괄표(실국별)'!$B27)</f>
        <v>0</v>
      </c>
      <c r="H27" s="84">
        <f t="shared" si="1"/>
        <v>1328409175</v>
      </c>
      <c r="J27" s="106"/>
      <c r="K27" s="107"/>
    </row>
    <row r="28" spans="2:16" ht="30.75" customHeight="1">
      <c r="B28" s="100" t="s">
        <v>308</v>
      </c>
      <c r="C28" s="83">
        <v>223863128</v>
      </c>
      <c r="D28" s="18">
        <f>SUMIFS('16년3추 일입'!$N$7:$N$566,'16년3추 일입'!$B$7:$B$566,'15년총괄표(실국별)'!$B28)</f>
        <v>0</v>
      </c>
      <c r="E28" s="18">
        <f>SUMIFS('16년3추 일입'!$O$7:$O$566,'16년3추 일입'!$B$7:$B$566,'15년총괄표(실국별)'!$B28)</f>
        <v>0</v>
      </c>
      <c r="F28" s="18">
        <f>SUMIFS('16년 3추일출'!$N$12:$N$620,'16년 3추일출'!$B$12:$B$620,'15년총괄표(실국별)'!$B28)</f>
        <v>0</v>
      </c>
      <c r="G28" s="18">
        <f>SUMIFS('16년 3추일출'!$O$12:$O$620,'16년 3추일출'!$B$12:$B$620,'15년총괄표(실국별)'!$B28)</f>
        <v>0</v>
      </c>
      <c r="H28" s="84">
        <f t="shared" si="1"/>
        <v>223863128</v>
      </c>
      <c r="J28" s="108"/>
      <c r="L28" s="109"/>
      <c r="M28" s="109"/>
    </row>
    <row r="29" spans="2:16" ht="30.75" customHeight="1">
      <c r="B29" s="100" t="s">
        <v>323</v>
      </c>
      <c r="C29" s="83">
        <v>506163851</v>
      </c>
      <c r="D29" s="18">
        <f>SUMIFS('16년3추 일입'!$N$7:$N$566,'16년3추 일입'!$B$7:$B$566,'15년총괄표(실국별)'!$B29)</f>
        <v>0</v>
      </c>
      <c r="E29" s="18">
        <f>SUMIFS('16년3추 일입'!$O$7:$O$566,'16년3추 일입'!$B$7:$B$566,'15년총괄표(실국별)'!$B29)</f>
        <v>0</v>
      </c>
      <c r="F29" s="18">
        <f>SUMIFS('16년 3추일출'!$N$12:$N$620,'16년 3추일출'!$B$12:$B$620,'15년총괄표(실국별)'!$B29)</f>
        <v>0</v>
      </c>
      <c r="G29" s="18">
        <f>SUMIFS('16년 3추일출'!$O$12:$O$620,'16년 3추일출'!$B$12:$B$620,'15년총괄표(실국별)'!$B29)</f>
        <v>0</v>
      </c>
      <c r="H29" s="84">
        <f t="shared" si="1"/>
        <v>506163851</v>
      </c>
      <c r="K29" s="13"/>
      <c r="L29" s="14"/>
      <c r="N29" s="67" t="s">
        <v>43</v>
      </c>
    </row>
    <row r="30" spans="2:16" s="112" customFormat="1" ht="30.75" customHeight="1">
      <c r="B30" s="100" t="s">
        <v>66</v>
      </c>
      <c r="C30" s="110">
        <v>165426798</v>
      </c>
      <c r="D30" s="18">
        <f>SUMIFS('16년3추 일입'!$N$7:$N$566,'16년3추 일입'!$B$7:$B$566,'15년총괄표(실국별)'!$B30)</f>
        <v>0</v>
      </c>
      <c r="E30" s="18">
        <f>SUMIFS('16년3추 일입'!$O$7:$O$566,'16년3추 일입'!$B$7:$B$566,'15년총괄표(실국별)'!$B30)</f>
        <v>0</v>
      </c>
      <c r="F30" s="18">
        <f>SUMIFS('16년 3추일출'!$N$12:$N$620,'16년 3추일출'!$B$12:$B$620,'15년총괄표(실국별)'!$B30)</f>
        <v>0</v>
      </c>
      <c r="G30" s="18">
        <f>SUMIFS('16년 3추일출'!$O$12:$O$620,'16년 3추일출'!$B$12:$B$620,'15년총괄표(실국별)'!$B30)</f>
        <v>0</v>
      </c>
      <c r="H30" s="84">
        <f t="shared" si="1"/>
        <v>165426798</v>
      </c>
      <c r="I30" s="111"/>
      <c r="J30" s="111"/>
      <c r="K30" s="13"/>
      <c r="L30" s="14"/>
      <c r="M30" s="97"/>
      <c r="N30" s="98">
        <f>N26-K2</f>
        <v>0</v>
      </c>
      <c r="O30" s="111"/>
      <c r="P30" s="111"/>
    </row>
    <row r="31" spans="2:16" ht="30.75" customHeight="1" thickBot="1">
      <c r="B31" s="100" t="s">
        <v>351</v>
      </c>
      <c r="C31" s="83">
        <v>466950444</v>
      </c>
      <c r="D31" s="18">
        <f>SUMIFS('16년3추 일입'!$N$7:$N$566,'16년3추 일입'!$B$7:$B$566,'15년총괄표(실국별)'!$B31)</f>
        <v>0</v>
      </c>
      <c r="E31" s="18">
        <f>SUMIFS('16년3추 일입'!$O$7:$O$566,'16년3추 일입'!$B$7:$B$566,'15년총괄표(실국별)'!$B31)</f>
        <v>0</v>
      </c>
      <c r="F31" s="18">
        <f>SUMIFS('16년 3추일출'!$N$12:$N$620,'16년 3추일출'!$B$12:$B$620,'15년총괄표(실국별)'!$B31)</f>
        <v>0</v>
      </c>
      <c r="G31" s="18">
        <f>SUMIFS('16년 3추일출'!$O$12:$O$620,'16년 3추일출'!$B$12:$B$620,'15년총괄표(실국별)'!$B31)</f>
        <v>0</v>
      </c>
      <c r="H31" s="84">
        <f t="shared" si="1"/>
        <v>466950444</v>
      </c>
      <c r="I31" s="103" t="e">
        <f>#REF!+#REF!</f>
        <v>#REF!</v>
      </c>
      <c r="J31" s="104" t="e">
        <f>#REF!+#REF!</f>
        <v>#REF!</v>
      </c>
      <c r="K31" s="75"/>
      <c r="N31" s="105" t="e">
        <f>M7-N7</f>
        <v>#REF!</v>
      </c>
    </row>
    <row r="32" spans="2:16" ht="30.75" customHeight="1">
      <c r="B32" s="100" t="s">
        <v>361</v>
      </c>
      <c r="C32" s="83">
        <v>570450422</v>
      </c>
      <c r="D32" s="18">
        <f>SUMIFS('16년3추 일입'!$N$7:$N$566,'16년3추 일입'!$B$7:$B$566,'15년총괄표(실국별)'!$B32)</f>
        <v>0</v>
      </c>
      <c r="E32" s="18">
        <f>SUMIFS('16년3추 일입'!$O$7:$O$566,'16년3추 일입'!$B$7:$B$566,'15년총괄표(실국별)'!$B32)</f>
        <v>0</v>
      </c>
      <c r="F32" s="18">
        <f>SUMIFS('16년 3추일출'!$N$12:$N$620,'16년 3추일출'!$B$12:$B$620,'15년총괄표(실국별)'!$B32)</f>
        <v>0</v>
      </c>
      <c r="G32" s="18">
        <f>SUMIFS('16년 3추일출'!$O$12:$O$620,'16년 3추일출'!$B$12:$B$620,'15년총괄표(실국별)'!$B32)</f>
        <v>0</v>
      </c>
      <c r="H32" s="84">
        <f t="shared" si="1"/>
        <v>570450422</v>
      </c>
      <c r="J32" s="106"/>
      <c r="K32" s="107"/>
    </row>
    <row r="33" spans="2:16" ht="30.75" customHeight="1" thickBot="1">
      <c r="B33" s="117" t="s">
        <v>387</v>
      </c>
      <c r="C33" s="123">
        <v>48696301</v>
      </c>
      <c r="D33" s="19">
        <f>SUMIFS('16년3추 일입'!$N$7:$N$566,'16년3추 일입'!$B$7:$B$566,'15년총괄표(실국별)'!$B33)</f>
        <v>0</v>
      </c>
      <c r="E33" s="19">
        <f>SUMIFS('16년3추 일입'!$O$7:$O$566,'16년3추 일입'!$B$7:$B$566,'15년총괄표(실국별)'!$B33)</f>
        <v>0</v>
      </c>
      <c r="F33" s="19">
        <f>SUMIFS('16년 3추일출'!$N$12:$N$620,'16년 3추일출'!$B$12:$B$620,'15년총괄표(실국별)'!$B33)</f>
        <v>0</v>
      </c>
      <c r="G33" s="19">
        <f>SUMIFS('16년 3추일출'!$O$12:$O$620,'16년 3추일출'!$B$12:$B$620,'15년총괄표(실국별)'!$B33)</f>
        <v>0</v>
      </c>
      <c r="H33" s="119">
        <f t="shared" si="1"/>
        <v>48696301</v>
      </c>
      <c r="J33" s="108"/>
      <c r="L33" s="109"/>
      <c r="M33" s="109"/>
    </row>
    <row r="34" spans="2:16" ht="18" customHeight="1">
      <c r="B34" s="73"/>
      <c r="C34" s="73"/>
      <c r="D34" s="73"/>
      <c r="E34" s="73"/>
      <c r="F34" s="73"/>
      <c r="G34" s="73"/>
      <c r="H34" s="73"/>
      <c r="K34" s="13"/>
      <c r="L34" s="14"/>
    </row>
    <row r="35" spans="2:16" ht="20.25" customHeight="1"/>
    <row r="36" spans="2:16" ht="20.25" customHeight="1"/>
    <row r="37" spans="2:16" s="73" customFormat="1">
      <c r="B37" s="157" t="s">
        <v>550</v>
      </c>
      <c r="C37" s="161" t="s">
        <v>549</v>
      </c>
      <c r="D37" s="157" t="s">
        <v>547</v>
      </c>
      <c r="E37" s="157" t="s">
        <v>548</v>
      </c>
      <c r="F37" s="161" t="s">
        <v>53</v>
      </c>
      <c r="G37" s="75"/>
      <c r="H37" s="75"/>
      <c r="I37" s="75"/>
      <c r="J37" s="75"/>
      <c r="K37" s="75"/>
      <c r="L37" s="75"/>
      <c r="M37" s="75"/>
      <c r="N37" s="75"/>
    </row>
    <row r="38" spans="2:16" s="73" customFormat="1">
      <c r="B38" s="157" t="s">
        <v>19</v>
      </c>
      <c r="C38" s="162">
        <f>SUM(C39:C64)</f>
        <v>14504760931</v>
      </c>
      <c r="D38" s="162">
        <f>SUM(D39:D64)</f>
        <v>1174065395</v>
      </c>
      <c r="E38" s="162">
        <f>SUM(E39:E64)</f>
        <v>2139712389</v>
      </c>
      <c r="F38" s="162">
        <f>SUM(C38:E38)</f>
        <v>17818538715</v>
      </c>
      <c r="I38" s="75"/>
      <c r="J38" s="75"/>
      <c r="K38" s="75"/>
      <c r="L38" s="75"/>
      <c r="M38" s="75"/>
      <c r="N38" s="75"/>
      <c r="O38" s="75"/>
      <c r="P38" s="75"/>
    </row>
    <row r="39" spans="2:16" s="73" customFormat="1">
      <c r="B39" s="157" t="s">
        <v>110</v>
      </c>
      <c r="C39" s="163">
        <v>1230140</v>
      </c>
      <c r="D39" s="163"/>
      <c r="E39" s="163"/>
      <c r="F39" s="162">
        <f t="shared" ref="F39:F64" si="2">SUM(C39:E39)</f>
        <v>1230140</v>
      </c>
      <c r="G39" s="75"/>
      <c r="H39" s="75"/>
      <c r="I39" s="75"/>
      <c r="J39" s="75"/>
      <c r="K39" s="75"/>
      <c r="L39" s="75"/>
      <c r="M39" s="75"/>
      <c r="N39" s="75"/>
    </row>
    <row r="40" spans="2:16" s="73" customFormat="1">
      <c r="B40" s="157" t="s">
        <v>102</v>
      </c>
      <c r="C40" s="163">
        <v>3253514147</v>
      </c>
      <c r="D40" s="163"/>
      <c r="E40" s="163">
        <v>1741536684</v>
      </c>
      <c r="F40" s="162">
        <f t="shared" si="2"/>
        <v>4995050831</v>
      </c>
      <c r="H40" s="75"/>
      <c r="I40" s="75"/>
      <c r="J40" s="75"/>
      <c r="K40" s="75"/>
      <c r="L40" s="75"/>
      <c r="M40" s="75"/>
      <c r="N40" s="75"/>
    </row>
    <row r="41" spans="2:16" s="73" customFormat="1">
      <c r="B41" s="157" t="s">
        <v>103</v>
      </c>
      <c r="C41" s="163">
        <v>302743533</v>
      </c>
      <c r="D41" s="163">
        <v>14731912</v>
      </c>
      <c r="E41" s="163">
        <v>33000000</v>
      </c>
      <c r="F41" s="162">
        <f t="shared" si="2"/>
        <v>350475445</v>
      </c>
      <c r="H41" s="75"/>
      <c r="I41" s="75"/>
      <c r="J41" s="75"/>
      <c r="K41" s="75"/>
      <c r="L41" s="75"/>
      <c r="M41" s="75"/>
      <c r="N41" s="75"/>
    </row>
    <row r="42" spans="2:16" s="73" customFormat="1">
      <c r="B42" s="157" t="s">
        <v>104</v>
      </c>
      <c r="C42" s="163">
        <v>489102362</v>
      </c>
      <c r="D42" s="163"/>
      <c r="E42" s="163"/>
      <c r="F42" s="162">
        <f t="shared" si="2"/>
        <v>489102362</v>
      </c>
      <c r="G42" s="75"/>
      <c r="H42" s="75"/>
      <c r="I42" s="75"/>
      <c r="J42" s="75"/>
      <c r="K42" s="75"/>
      <c r="L42" s="75"/>
      <c r="M42" s="75"/>
      <c r="N42" s="75"/>
    </row>
    <row r="43" spans="2:16" s="73" customFormat="1">
      <c r="B43" s="157" t="s">
        <v>170</v>
      </c>
      <c r="C43" s="163">
        <v>1957985774</v>
      </c>
      <c r="D43" s="163">
        <v>166414000</v>
      </c>
      <c r="E43" s="163"/>
      <c r="F43" s="162">
        <f t="shared" si="2"/>
        <v>2124399774</v>
      </c>
      <c r="H43" s="75"/>
      <c r="I43" s="75"/>
      <c r="J43" s="75"/>
      <c r="K43" s="75"/>
      <c r="L43" s="75"/>
      <c r="M43" s="75"/>
      <c r="N43" s="75"/>
    </row>
    <row r="44" spans="2:16" s="73" customFormat="1">
      <c r="B44" s="157" t="s">
        <v>105</v>
      </c>
      <c r="C44" s="163">
        <v>246448826</v>
      </c>
      <c r="D44" s="163"/>
      <c r="E44" s="163">
        <v>62624435</v>
      </c>
      <c r="F44" s="162">
        <f t="shared" si="2"/>
        <v>309073261</v>
      </c>
      <c r="G44" s="75"/>
      <c r="H44" s="75"/>
      <c r="I44" s="75"/>
      <c r="J44" s="75"/>
      <c r="K44" s="75"/>
      <c r="L44" s="75"/>
      <c r="M44" s="75"/>
      <c r="N44" s="75"/>
    </row>
    <row r="45" spans="2:16" s="73" customFormat="1">
      <c r="B45" s="157" t="s">
        <v>64</v>
      </c>
      <c r="C45" s="163">
        <v>255604029</v>
      </c>
      <c r="D45" s="163"/>
      <c r="E45" s="163"/>
      <c r="F45" s="162">
        <f t="shared" si="2"/>
        <v>255604029</v>
      </c>
      <c r="G45" s="75"/>
      <c r="H45" s="75"/>
      <c r="I45" s="75"/>
      <c r="J45" s="75"/>
      <c r="K45" s="75"/>
      <c r="L45" s="75"/>
      <c r="M45" s="75"/>
      <c r="N45" s="75"/>
    </row>
    <row r="46" spans="2:16" s="73" customFormat="1">
      <c r="B46" s="157" t="s">
        <v>199</v>
      </c>
      <c r="C46" s="163">
        <v>205393587</v>
      </c>
      <c r="D46" s="163"/>
      <c r="E46" s="163"/>
      <c r="F46" s="162">
        <f t="shared" si="2"/>
        <v>205393587</v>
      </c>
      <c r="G46" s="75"/>
      <c r="H46" s="75"/>
      <c r="I46" s="75"/>
      <c r="J46" s="75"/>
      <c r="K46" s="75"/>
      <c r="L46" s="75"/>
      <c r="M46" s="75"/>
      <c r="N46" s="75"/>
    </row>
    <row r="47" spans="2:16" s="73" customFormat="1">
      <c r="B47" s="157" t="s">
        <v>206</v>
      </c>
      <c r="C47" s="163">
        <f>635730961+1074501+3040529+54258964</f>
        <v>694104955</v>
      </c>
      <c r="D47" s="163"/>
      <c r="E47" s="163"/>
      <c r="F47" s="162">
        <f t="shared" si="2"/>
        <v>694104955</v>
      </c>
      <c r="I47" s="75"/>
      <c r="J47" s="75"/>
      <c r="K47" s="75"/>
      <c r="L47" s="75"/>
      <c r="M47" s="75"/>
      <c r="N47" s="75"/>
    </row>
    <row r="48" spans="2:16" s="73" customFormat="1">
      <c r="B48" s="160" t="s">
        <v>61</v>
      </c>
      <c r="C48" s="163">
        <v>30412373</v>
      </c>
      <c r="D48" s="163"/>
      <c r="E48" s="163"/>
      <c r="F48" s="162">
        <f t="shared" si="2"/>
        <v>30412373</v>
      </c>
      <c r="G48" s="75"/>
      <c r="H48" s="75"/>
      <c r="I48" s="75"/>
      <c r="J48" s="75"/>
      <c r="K48" s="75"/>
      <c r="L48" s="75"/>
      <c r="M48" s="75"/>
      <c r="N48" s="75"/>
    </row>
    <row r="49" spans="2:16" s="73" customFormat="1">
      <c r="B49" s="157" t="s">
        <v>111</v>
      </c>
      <c r="C49" s="163">
        <v>12731214</v>
      </c>
      <c r="D49" s="163"/>
      <c r="E49" s="163"/>
      <c r="F49" s="162">
        <f t="shared" si="2"/>
        <v>12731214</v>
      </c>
      <c r="G49" s="75"/>
      <c r="H49" s="75"/>
      <c r="I49" s="75"/>
      <c r="J49" s="75"/>
      <c r="K49" s="75"/>
      <c r="L49" s="75"/>
      <c r="M49" s="75"/>
      <c r="N49" s="75"/>
    </row>
    <row r="50" spans="2:16" s="73" customFormat="1">
      <c r="B50" s="157" t="s">
        <v>109</v>
      </c>
      <c r="C50" s="163">
        <v>450511</v>
      </c>
      <c r="D50" s="163"/>
      <c r="E50" s="163"/>
      <c r="F50" s="162">
        <f t="shared" si="2"/>
        <v>450511</v>
      </c>
      <c r="I50" s="75"/>
      <c r="J50" s="75"/>
      <c r="K50" s="75"/>
      <c r="L50" s="75"/>
      <c r="M50" s="75"/>
      <c r="N50" s="75"/>
      <c r="O50" s="75"/>
      <c r="P50" s="75"/>
    </row>
    <row r="51" spans="2:16" s="73" customFormat="1">
      <c r="B51" s="157" t="s">
        <v>106</v>
      </c>
      <c r="C51" s="163">
        <v>1966943221</v>
      </c>
      <c r="D51" s="163">
        <v>836694418</v>
      </c>
      <c r="E51" s="163"/>
      <c r="F51" s="162">
        <f t="shared" si="2"/>
        <v>2803637639</v>
      </c>
      <c r="I51" s="75"/>
      <c r="J51" s="75"/>
      <c r="K51" s="75"/>
      <c r="L51" s="75"/>
      <c r="M51" s="75"/>
      <c r="N51" s="75"/>
      <c r="O51" s="75"/>
      <c r="P51" s="75"/>
    </row>
    <row r="52" spans="2:16" s="73" customFormat="1">
      <c r="B52" s="157" t="s">
        <v>107</v>
      </c>
      <c r="C52" s="163">
        <v>96522924</v>
      </c>
      <c r="D52" s="163"/>
      <c r="E52" s="163"/>
      <c r="F52" s="162">
        <f t="shared" si="2"/>
        <v>96522924</v>
      </c>
      <c r="I52" s="75"/>
      <c r="J52" s="75"/>
      <c r="K52" s="75"/>
      <c r="L52" s="75"/>
      <c r="M52" s="75"/>
      <c r="N52" s="75"/>
      <c r="O52" s="75"/>
      <c r="P52" s="75"/>
    </row>
    <row r="53" spans="2:16" s="73" customFormat="1">
      <c r="B53" s="157" t="s">
        <v>108</v>
      </c>
      <c r="C53" s="163">
        <v>1454395771</v>
      </c>
      <c r="D53" s="163"/>
      <c r="E53" s="163"/>
      <c r="F53" s="162">
        <f t="shared" si="2"/>
        <v>1454395771</v>
      </c>
      <c r="I53" s="75"/>
      <c r="J53" s="75"/>
      <c r="K53" s="75"/>
      <c r="L53" s="75"/>
      <c r="M53" s="75"/>
      <c r="N53" s="75"/>
      <c r="O53" s="75"/>
      <c r="P53" s="75"/>
    </row>
    <row r="54" spans="2:16" s="73" customFormat="1">
      <c r="B54" s="157" t="s">
        <v>369</v>
      </c>
      <c r="C54" s="163">
        <v>35645539</v>
      </c>
      <c r="D54" s="163"/>
      <c r="E54" s="163"/>
      <c r="F54" s="162">
        <f t="shared" si="2"/>
        <v>35645539</v>
      </c>
      <c r="I54" s="75"/>
      <c r="J54" s="75"/>
      <c r="K54" s="75"/>
      <c r="L54" s="75"/>
      <c r="M54" s="75"/>
      <c r="N54" s="75"/>
      <c r="O54" s="75"/>
      <c r="P54" s="75"/>
    </row>
    <row r="55" spans="2:16" s="73" customFormat="1">
      <c r="B55" s="157" t="s">
        <v>376</v>
      </c>
      <c r="C55" s="163">
        <v>10314647</v>
      </c>
      <c r="D55" s="163"/>
      <c r="E55" s="163"/>
      <c r="F55" s="162">
        <f t="shared" si="2"/>
        <v>10314647</v>
      </c>
      <c r="I55" s="75"/>
      <c r="J55" s="75"/>
      <c r="K55" s="75"/>
      <c r="L55" s="75"/>
      <c r="M55" s="75"/>
      <c r="N55" s="75"/>
      <c r="O55" s="75"/>
      <c r="P55" s="75"/>
    </row>
    <row r="56" spans="2:16" s="73" customFormat="1">
      <c r="B56" s="160" t="s">
        <v>378</v>
      </c>
      <c r="C56" s="163">
        <v>8202067</v>
      </c>
      <c r="D56" s="163"/>
      <c r="E56" s="163"/>
      <c r="F56" s="162">
        <f t="shared" si="2"/>
        <v>8202067</v>
      </c>
      <c r="I56" s="75"/>
      <c r="J56" s="75"/>
      <c r="K56" s="75"/>
      <c r="L56" s="75"/>
      <c r="M56" s="75"/>
      <c r="N56" s="75"/>
      <c r="O56" s="75"/>
      <c r="P56" s="75"/>
    </row>
    <row r="57" spans="2:16" s="73" customFormat="1">
      <c r="B57" s="157" t="s">
        <v>385</v>
      </c>
      <c r="C57" s="163">
        <v>627640527</v>
      </c>
      <c r="D57" s="163">
        <v>4191000</v>
      </c>
      <c r="E57" s="163"/>
      <c r="F57" s="162">
        <f t="shared" si="2"/>
        <v>631831527</v>
      </c>
      <c r="I57" s="75"/>
      <c r="J57" s="75"/>
      <c r="K57" s="75"/>
      <c r="L57" s="75"/>
      <c r="M57" s="75"/>
      <c r="N57" s="75"/>
      <c r="O57" s="75"/>
      <c r="P57" s="75"/>
    </row>
    <row r="58" spans="2:16" s="73" customFormat="1">
      <c r="B58" s="157" t="s">
        <v>69</v>
      </c>
      <c r="C58" s="163">
        <v>1328409175</v>
      </c>
      <c r="D58" s="163"/>
      <c r="E58" s="163"/>
      <c r="F58" s="162">
        <f t="shared" si="2"/>
        <v>1328409175</v>
      </c>
      <c r="I58" s="75"/>
      <c r="J58" s="75"/>
      <c r="K58" s="75"/>
      <c r="L58" s="75"/>
      <c r="M58" s="75"/>
      <c r="N58" s="75"/>
      <c r="O58" s="75"/>
      <c r="P58" s="75"/>
    </row>
    <row r="59" spans="2:16" s="73" customFormat="1">
      <c r="B59" s="157" t="s">
        <v>308</v>
      </c>
      <c r="C59" s="163">
        <v>199572128</v>
      </c>
      <c r="D59" s="163">
        <v>24291000</v>
      </c>
      <c r="E59" s="163"/>
      <c r="F59" s="162">
        <f t="shared" si="2"/>
        <v>223863128</v>
      </c>
      <c r="I59" s="75"/>
      <c r="J59" s="75"/>
      <c r="K59" s="75"/>
      <c r="L59" s="75"/>
      <c r="M59" s="75"/>
      <c r="N59" s="75"/>
      <c r="O59" s="75"/>
      <c r="P59" s="75"/>
    </row>
    <row r="60" spans="2:16" s="73" customFormat="1">
      <c r="B60" s="157" t="s">
        <v>323</v>
      </c>
      <c r="C60" s="163">
        <v>203612581</v>
      </c>
      <c r="D60" s="163"/>
      <c r="E60" s="163">
        <v>302551270</v>
      </c>
      <c r="F60" s="162">
        <f t="shared" si="2"/>
        <v>506163851</v>
      </c>
      <c r="I60" s="75"/>
      <c r="J60" s="75"/>
      <c r="K60" s="75"/>
      <c r="L60" s="75"/>
      <c r="M60" s="75"/>
      <c r="N60" s="75"/>
      <c r="O60" s="75"/>
      <c r="P60" s="75"/>
    </row>
    <row r="61" spans="2:16" s="73" customFormat="1">
      <c r="B61" s="157" t="s">
        <v>66</v>
      </c>
      <c r="C61" s="163">
        <v>165426798</v>
      </c>
      <c r="D61" s="163"/>
      <c r="E61" s="163"/>
      <c r="F61" s="162">
        <f t="shared" si="2"/>
        <v>165426798</v>
      </c>
      <c r="I61" s="75"/>
      <c r="J61" s="75"/>
      <c r="K61" s="75"/>
      <c r="L61" s="75"/>
      <c r="M61" s="75"/>
      <c r="N61" s="75"/>
      <c r="O61" s="75"/>
      <c r="P61" s="75"/>
    </row>
    <row r="62" spans="2:16" s="73" customFormat="1">
      <c r="B62" s="157" t="s">
        <v>351</v>
      </c>
      <c r="C62" s="163">
        <v>341380444</v>
      </c>
      <c r="D62" s="163">
        <v>125570000</v>
      </c>
      <c r="E62" s="163"/>
      <c r="F62" s="162">
        <f t="shared" si="2"/>
        <v>466950444</v>
      </c>
      <c r="I62" s="75"/>
      <c r="J62" s="75"/>
      <c r="K62" s="75"/>
      <c r="L62" s="75"/>
      <c r="M62" s="75"/>
      <c r="N62" s="75"/>
      <c r="O62" s="75"/>
      <c r="P62" s="75"/>
    </row>
    <row r="63" spans="2:16" s="73" customFormat="1">
      <c r="B63" s="157" t="s">
        <v>361</v>
      </c>
      <c r="C63" s="163">
        <v>568277357</v>
      </c>
      <c r="D63" s="163">
        <v>2173065</v>
      </c>
      <c r="E63" s="163"/>
      <c r="F63" s="162">
        <f t="shared" si="2"/>
        <v>570450422</v>
      </c>
      <c r="I63" s="75"/>
      <c r="J63" s="75"/>
      <c r="K63" s="75"/>
      <c r="L63" s="75"/>
      <c r="M63" s="75"/>
      <c r="N63" s="75"/>
      <c r="O63" s="75"/>
      <c r="P63" s="75"/>
    </row>
    <row r="64" spans="2:16" s="73" customFormat="1">
      <c r="B64" s="157" t="s">
        <v>387</v>
      </c>
      <c r="C64" s="163">
        <v>48696301</v>
      </c>
      <c r="D64" s="163"/>
      <c r="E64" s="163"/>
      <c r="F64" s="162">
        <f t="shared" si="2"/>
        <v>48696301</v>
      </c>
      <c r="I64" s="75"/>
      <c r="J64" s="75"/>
      <c r="K64" s="75"/>
      <c r="L64" s="75"/>
      <c r="M64" s="75"/>
      <c r="N64" s="75"/>
      <c r="O64" s="75"/>
      <c r="P64" s="75"/>
    </row>
    <row r="164" spans="1:20" s="67" customFormat="1" ht="24">
      <c r="A164" s="52"/>
      <c r="B164" s="52"/>
      <c r="C164" s="52"/>
      <c r="D164" s="52"/>
      <c r="E164" s="52"/>
      <c r="F164" s="52"/>
      <c r="G164" s="52"/>
      <c r="H164" s="52"/>
      <c r="I164" s="107" t="s">
        <v>55</v>
      </c>
      <c r="Q164" s="52"/>
      <c r="R164" s="52"/>
      <c r="S164" s="52"/>
      <c r="T164" s="52"/>
    </row>
    <row r="294" spans="1:20" s="67" customFormat="1">
      <c r="A294" s="52"/>
      <c r="B294" s="52"/>
      <c r="C294" s="52"/>
      <c r="D294" s="52"/>
      <c r="E294" s="52"/>
      <c r="F294" s="52"/>
      <c r="G294" s="52"/>
      <c r="H294" s="52"/>
      <c r="I294" s="131"/>
      <c r="K294" s="67">
        <v>-50000</v>
      </c>
      <c r="Q294" s="52"/>
      <c r="R294" s="52"/>
      <c r="S294" s="52"/>
      <c r="T294" s="52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zoomScaleNormal="100" workbookViewId="0">
      <selection activeCell="A4" sqref="A4"/>
    </sheetView>
  </sheetViews>
  <sheetFormatPr defaultRowHeight="30" customHeight="1"/>
  <cols>
    <col min="1" max="1" width="7.625" customWidth="1"/>
  </cols>
  <sheetData>
    <row r="1" spans="1:13" ht="24.95" customHeight="1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</row>
    <row r="2" spans="1:13" ht="24.9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24.95" customHeight="1">
      <c r="A3" s="235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</row>
    <row r="4" spans="1:13" s="238" customFormat="1" ht="60" customHeight="1">
      <c r="A4" s="236" t="s">
        <v>612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</row>
    <row r="5" spans="1:13" ht="45" customHeight="1">
      <c r="A5" s="235"/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</row>
    <row r="6" spans="1:13" ht="45" customHeight="1">
      <c r="B6" s="239" t="s">
        <v>613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</row>
    <row r="7" spans="1:13" ht="45" customHeight="1">
      <c r="A7" s="235"/>
      <c r="B7" s="240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</row>
    <row r="8" spans="1:13" ht="45" customHeight="1">
      <c r="A8" s="235"/>
      <c r="B8" s="240"/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</row>
    <row r="9" spans="1:13" ht="30" customHeight="1">
      <c r="A9" s="235"/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</row>
    <row r="10" spans="1:13" ht="30" customHeight="1">
      <c r="A10" s="235"/>
      <c r="B10" s="235"/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</row>
    <row r="11" spans="1:13" ht="30" customHeight="1">
      <c r="A11" s="235"/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</row>
    <row r="12" spans="1:13" ht="45" customHeight="1">
      <c r="A12" s="241" t="s">
        <v>611</v>
      </c>
      <c r="B12" s="235"/>
      <c r="C12" s="235"/>
      <c r="D12" s="235"/>
      <c r="E12" s="235"/>
      <c r="F12" s="235"/>
      <c r="G12" s="235"/>
      <c r="H12" s="235"/>
      <c r="I12" s="235"/>
      <c r="J12" s="235"/>
      <c r="K12" s="235"/>
      <c r="L12" s="235"/>
      <c r="M12" s="235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zoomScale="70" zoomScaleNormal="70" workbookViewId="0"/>
  </sheetViews>
  <sheetFormatPr defaultRowHeight="20.100000000000001" customHeight="1"/>
  <cols>
    <col min="1" max="1" width="22.625" customWidth="1"/>
    <col min="2" max="2" width="17.125" customWidth="1"/>
    <col min="3" max="9" width="15.125" customWidth="1"/>
    <col min="10" max="10" width="17.125" customWidth="1"/>
    <col min="11" max="11" width="3.625" style="244" customWidth="1"/>
    <col min="12" max="16" width="15.625" customWidth="1"/>
  </cols>
  <sheetData>
    <row r="1" spans="1:16" ht="30" customHeight="1">
      <c r="A1" s="242" t="s">
        <v>614</v>
      </c>
      <c r="B1" s="235"/>
      <c r="C1" s="235"/>
      <c r="D1" s="235"/>
      <c r="E1" s="235"/>
      <c r="F1" s="235"/>
      <c r="G1" s="235"/>
      <c r="H1" s="235"/>
      <c r="I1" s="235"/>
      <c r="J1" s="235"/>
      <c r="K1" s="243"/>
    </row>
    <row r="2" spans="1:16" ht="9.9499999999999993" customHeight="1"/>
    <row r="3" spans="1:16" ht="20.100000000000001" customHeight="1">
      <c r="A3" s="245" t="s">
        <v>573</v>
      </c>
      <c r="C3" s="246" t="s">
        <v>574</v>
      </c>
      <c r="D3" s="247">
        <f>SUM(C7:D7)</f>
        <v>0</v>
      </c>
      <c r="E3" s="281"/>
      <c r="F3" s="246" t="s">
        <v>121</v>
      </c>
      <c r="G3" s="247">
        <f>SUM(F7:G7)</f>
        <v>0</v>
      </c>
      <c r="H3" s="281"/>
      <c r="I3" s="281"/>
    </row>
    <row r="4" spans="1:16" ht="15" customHeight="1" thickBot="1">
      <c r="C4" s="248"/>
      <c r="D4" s="248"/>
      <c r="E4" s="248"/>
      <c r="F4" s="249" t="s">
        <v>575</v>
      </c>
      <c r="G4" s="248"/>
      <c r="H4" s="248"/>
      <c r="I4" s="248"/>
      <c r="J4" s="250" t="s">
        <v>77</v>
      </c>
      <c r="K4" s="251"/>
    </row>
    <row r="5" spans="1:16" ht="18" customHeight="1">
      <c r="A5" s="436" t="s">
        <v>576</v>
      </c>
      <c r="B5" s="438" t="s">
        <v>577</v>
      </c>
      <c r="C5" s="442" t="s">
        <v>578</v>
      </c>
      <c r="D5" s="443"/>
      <c r="E5" s="444"/>
      <c r="F5" s="442" t="s">
        <v>579</v>
      </c>
      <c r="G5" s="443"/>
      <c r="H5" s="444"/>
      <c r="I5" s="445" t="s">
        <v>648</v>
      </c>
      <c r="J5" s="440" t="s">
        <v>580</v>
      </c>
      <c r="K5" s="252"/>
      <c r="L5" s="253" t="s">
        <v>581</v>
      </c>
      <c r="M5" s="254"/>
      <c r="N5" s="254"/>
      <c r="O5" s="254"/>
      <c r="P5" s="254"/>
    </row>
    <row r="6" spans="1:16" ht="18" customHeight="1">
      <c r="A6" s="437"/>
      <c r="B6" s="439"/>
      <c r="C6" s="255" t="s">
        <v>582</v>
      </c>
      <c r="D6" s="255" t="s">
        <v>583</v>
      </c>
      <c r="E6" s="318" t="s">
        <v>647</v>
      </c>
      <c r="F6" s="255" t="s">
        <v>582</v>
      </c>
      <c r="G6" s="255" t="s">
        <v>583</v>
      </c>
      <c r="H6" s="318" t="s">
        <v>647</v>
      </c>
      <c r="I6" s="446"/>
      <c r="J6" s="441"/>
      <c r="K6" s="252"/>
      <c r="L6" s="256" t="s">
        <v>576</v>
      </c>
      <c r="M6" s="256" t="s">
        <v>73</v>
      </c>
      <c r="N6" s="256" t="s">
        <v>74</v>
      </c>
      <c r="O6" s="256" t="s">
        <v>584</v>
      </c>
      <c r="P6" s="256" t="s">
        <v>585</v>
      </c>
    </row>
    <row r="7" spans="1:16" ht="21.95" customHeight="1">
      <c r="A7" s="257" t="s">
        <v>586</v>
      </c>
      <c r="B7" s="258">
        <f>SUM(B8:B17)</f>
        <v>0</v>
      </c>
      <c r="C7" s="258">
        <f t="shared" ref="C7:J7" si="0">SUM(C8:C17)</f>
        <v>0</v>
      </c>
      <c r="D7" s="258">
        <f t="shared" ref="D7:E7" si="1">SUM(D8:D17)</f>
        <v>0</v>
      </c>
      <c r="E7" s="258">
        <f t="shared" si="1"/>
        <v>0</v>
      </c>
      <c r="F7" s="258">
        <f t="shared" si="0"/>
        <v>0</v>
      </c>
      <c r="G7" s="258">
        <f t="shared" ref="G7" si="2">SUM(G8:G17)</f>
        <v>0</v>
      </c>
      <c r="H7" s="319">
        <f t="shared" ref="H7:I7" si="3">SUM(H8:H17)</f>
        <v>0</v>
      </c>
      <c r="I7" s="319">
        <f t="shared" si="3"/>
        <v>0</v>
      </c>
      <c r="J7" s="259">
        <f t="shared" si="0"/>
        <v>0</v>
      </c>
      <c r="K7" s="260"/>
      <c r="L7" s="261" t="s">
        <v>586</v>
      </c>
      <c r="M7" s="262">
        <f>SUM(M8:M9)</f>
        <v>0</v>
      </c>
      <c r="N7" s="262">
        <f>SUM(N8:N9)</f>
        <v>0</v>
      </c>
      <c r="O7" s="262">
        <f>M7-N7</f>
        <v>0</v>
      </c>
      <c r="P7" s="263"/>
    </row>
    <row r="8" spans="1:16" ht="21.95" customHeight="1">
      <c r="A8" s="264" t="s">
        <v>509</v>
      </c>
      <c r="B8" s="295"/>
      <c r="C8" s="171">
        <f>SUMIFS('16년3추 일입'!$N$7:$N$15,'16년3추 일입'!$A$7:$A$15,$A8)+SUMIFS('16년 3추특입'!$N$7:$N$33,'16년 3추특입'!$A$7:$A$33,$A8)</f>
        <v>0</v>
      </c>
      <c r="D8" s="171">
        <f>SUMIFS('16년3추 일입'!$O$7:$O$15,'16년3추 일입'!$A$7:$A$15,$A8)+SUMIFS('16년 3추특입'!$O$7:$O$33,'16년 3추특입'!$A$7:$A$33,$A8)</f>
        <v>0</v>
      </c>
      <c r="E8" s="171">
        <f t="shared" ref="E8:E17" si="4">C8+D8</f>
        <v>0</v>
      </c>
      <c r="F8" s="171">
        <f>SUMIFS('16년 3추일출'!$N$11:$N$83,'16년 3추일출'!$A$11:$A$83,$A8)+SUMIFS('16년 3추특출'!$N$7:$N$12,'16년 3추특출'!$A$7:$A$12,$A8)</f>
        <v>0</v>
      </c>
      <c r="G8" s="171">
        <f>SUMIFS('16년 3추일출'!$O$11:$O$83,'16년 3추일출'!$A$11:$A$83,$A8)+SUMIFS('16년 3추특출'!$O$7:$O$26,'16년 3추특출'!$A$7:$A$26,$A8)</f>
        <v>0</v>
      </c>
      <c r="H8" s="320">
        <f t="shared" ref="H8:H17" si="5">F8+G8</f>
        <v>0</v>
      </c>
      <c r="I8" s="320">
        <f t="shared" ref="I8:I17" si="6">E8+H8</f>
        <v>0</v>
      </c>
      <c r="J8" s="265">
        <f t="shared" ref="J8:J17" si="7">B8+F8+G8</f>
        <v>0</v>
      </c>
      <c r="K8" s="260"/>
      <c r="L8" s="266" t="s">
        <v>587</v>
      </c>
      <c r="M8" s="247">
        <f>SUM(C24:D24)</f>
        <v>0</v>
      </c>
      <c r="N8" s="247">
        <f t="shared" ref="N8:N9" si="8">SUM(F24:G24)</f>
        <v>0</v>
      </c>
      <c r="O8" s="247">
        <f>M8-N8</f>
        <v>0</v>
      </c>
      <c r="P8" s="434"/>
    </row>
    <row r="9" spans="1:16" ht="21.95" customHeight="1">
      <c r="A9" s="264" t="s">
        <v>510</v>
      </c>
      <c r="B9" s="295"/>
      <c r="C9" s="171">
        <f>SUMIFS('16년3추 일입'!$N$7:$N$15,'16년3추 일입'!$A$7:$A$15,$A9)+SUMIFS('16년 3추특입'!$N$7:$N$33,'16년 3추특입'!$A$7:$A$33,$A9)</f>
        <v>0</v>
      </c>
      <c r="D9" s="171">
        <f>SUMIFS('16년3추 일입'!$O$7:$O$15,'16년3추 일입'!$A$7:$A$15,$A9)+SUMIFS('16년 3추특입'!$O$7:$O$33,'16년 3추특입'!$A$7:$A$33,$A9)</f>
        <v>0</v>
      </c>
      <c r="E9" s="171">
        <f t="shared" si="4"/>
        <v>0</v>
      </c>
      <c r="F9" s="171">
        <f>SUMIFS('16년 3추일출'!$N$11:$N$83,'16년 3추일출'!$A$11:$A$83,$A9)+SUMIFS('16년 3추특출'!$N$7:$N$12,'16년 3추특출'!$A$7:$A$12,$A9)</f>
        <v>0</v>
      </c>
      <c r="G9" s="171">
        <f>SUMIFS('16년 3추일출'!$O$11:$O$83,'16년 3추일출'!$A$11:$A$83,$A9)+SUMIFS('16년 3추특출'!$O$7:$O$26,'16년 3추특출'!$A$7:$A$26,$A9)</f>
        <v>0</v>
      </c>
      <c r="H9" s="320">
        <f t="shared" si="5"/>
        <v>0</v>
      </c>
      <c r="I9" s="320">
        <f t="shared" si="6"/>
        <v>0</v>
      </c>
      <c r="J9" s="265">
        <f t="shared" si="7"/>
        <v>0</v>
      </c>
      <c r="K9" s="260"/>
      <c r="L9" s="266" t="s">
        <v>588</v>
      </c>
      <c r="M9" s="247">
        <f t="shared" ref="M9" si="9">SUM(C25:D25)</f>
        <v>0</v>
      </c>
      <c r="N9" s="247">
        <f t="shared" si="8"/>
        <v>0</v>
      </c>
      <c r="O9" s="247">
        <f>M9-N9</f>
        <v>0</v>
      </c>
      <c r="P9" s="435"/>
    </row>
    <row r="10" spans="1:16" ht="21.95" customHeight="1">
      <c r="A10" s="264" t="s">
        <v>511</v>
      </c>
      <c r="B10" s="295"/>
      <c r="C10" s="171">
        <f>SUMIFS('16년3추 일입'!$N$7:$N$15,'16년3추 일입'!$A$7:$A$15,$A10)+SUMIFS('16년 3추특입'!$N$7:$N$33,'16년 3추특입'!$A$7:$A$33,$A10)</f>
        <v>0</v>
      </c>
      <c r="D10" s="171">
        <f>SUMIFS('16년3추 일입'!$O$7:$O$15,'16년3추 일입'!$A$7:$A$15,$A10)+SUMIFS('16년 3추특입'!$O$7:$O$33,'16년 3추특입'!$A$7:$A$33,$A10)</f>
        <v>0</v>
      </c>
      <c r="E10" s="171">
        <f t="shared" si="4"/>
        <v>0</v>
      </c>
      <c r="F10" s="171">
        <f>SUMIFS('16년 3추일출'!$N$11:$N$83,'16년 3추일출'!$A$11:$A$83,$A10)+SUMIFS('16년 3추특출'!$N$7:$N$12,'16년 3추특출'!$A$7:$A$12,$A10)</f>
        <v>0</v>
      </c>
      <c r="G10" s="171">
        <f>SUMIFS('16년 3추일출'!$O$11:$O$83,'16년 3추일출'!$A$11:$A$83,$A10)+SUMIFS('16년 3추특출'!$O$7:$O$26,'16년 3추특출'!$A$7:$A$26,$A10)</f>
        <v>0</v>
      </c>
      <c r="H10" s="320">
        <f t="shared" si="5"/>
        <v>0</v>
      </c>
      <c r="I10" s="320">
        <f t="shared" si="6"/>
        <v>0</v>
      </c>
      <c r="J10" s="265">
        <f t="shared" si="7"/>
        <v>0</v>
      </c>
      <c r="K10" s="260"/>
    </row>
    <row r="11" spans="1:16" ht="21.95" customHeight="1">
      <c r="A11" s="264" t="s">
        <v>91</v>
      </c>
      <c r="B11" s="295"/>
      <c r="C11" s="171">
        <f>SUMIFS('16년3추 일입'!$N$7:$N$15,'16년3추 일입'!$A$7:$A$15,$A11)+SUMIFS('16년 3추특입'!$N$7:$N$33,'16년 3추특입'!$A$7:$A$33,$A11)</f>
        <v>0</v>
      </c>
      <c r="D11" s="171">
        <f>SUMIFS('16년3추 일입'!$O$7:$O$15,'16년3추 일입'!$A$7:$A$15,$A11)+SUMIFS('16년 3추특입'!$O$7:$O$33,'16년 3추특입'!$A$7:$A$33,$A11)</f>
        <v>0</v>
      </c>
      <c r="E11" s="171">
        <f t="shared" si="4"/>
        <v>0</v>
      </c>
      <c r="F11" s="171">
        <f>SUMIFS('16년 3추일출'!$N$11:$N$83,'16년 3추일출'!$A$11:$A$83,$A11)+SUMIFS('16년 3추특출'!$N$7:$N$12,'16년 3추특출'!$A$7:$A$12,$A11)</f>
        <v>0</v>
      </c>
      <c r="G11" s="171">
        <f>SUMIFS('16년 3추일출'!$O$11:$O$83,'16년 3추일출'!$A$11:$A$83,$A11)+SUMIFS('16년 3추특출'!$O$7:$O$26,'16년 3추특출'!$A$7:$A$26,$A11)</f>
        <v>0</v>
      </c>
      <c r="H11" s="320">
        <f t="shared" si="5"/>
        <v>0</v>
      </c>
      <c r="I11" s="320">
        <f t="shared" si="6"/>
        <v>0</v>
      </c>
      <c r="J11" s="265">
        <f t="shared" si="7"/>
        <v>0</v>
      </c>
      <c r="K11" s="260"/>
      <c r="L11" s="267"/>
      <c r="M11" s="267"/>
      <c r="N11" s="267"/>
      <c r="O11" s="250"/>
    </row>
    <row r="12" spans="1:16" ht="21.95" customHeight="1">
      <c r="A12" s="264" t="s">
        <v>512</v>
      </c>
      <c r="B12" s="295"/>
      <c r="C12" s="171">
        <f>SUMIFS('16년3추 일입'!$N$7:$N$15,'16년3추 일입'!$A$7:$A$15,$A12)+SUMIFS('16년 3추특입'!$N$7:$N$33,'16년 3추특입'!$A$7:$A$33,$A12)</f>
        <v>0</v>
      </c>
      <c r="D12" s="171">
        <f>SUMIFS('16년3추 일입'!$O$7:$O$15,'16년3추 일입'!$A$7:$A$15,$A12)+SUMIFS('16년 3추특입'!$O$7:$O$33,'16년 3추특입'!$A$7:$A$33,$A12)</f>
        <v>0</v>
      </c>
      <c r="E12" s="171">
        <f t="shared" si="4"/>
        <v>0</v>
      </c>
      <c r="F12" s="171">
        <f>SUMIFS('16년 3추일출'!$N$11:$N$83,'16년 3추일출'!$A$11:$A$83,$A12)+SUMIFS('16년 3추특출'!$N$7:$N$12,'16년 3추특출'!$A$7:$A$12,$A12)</f>
        <v>0</v>
      </c>
      <c r="G12" s="171">
        <f>SUMIFS('16년 3추일출'!$O$11:$O$83,'16년 3추일출'!$A$11:$A$83,$A12)+SUMIFS('16년 3추특출'!$O$7:$O$26,'16년 3추특출'!$A$7:$A$26,$A12)</f>
        <v>0</v>
      </c>
      <c r="H12" s="320">
        <f t="shared" si="5"/>
        <v>0</v>
      </c>
      <c r="I12" s="320">
        <f t="shared" si="6"/>
        <v>0</v>
      </c>
      <c r="J12" s="265">
        <f t="shared" si="7"/>
        <v>0</v>
      </c>
      <c r="K12" s="260"/>
      <c r="L12" s="266"/>
      <c r="M12" s="172"/>
      <c r="N12" s="172"/>
      <c r="O12" s="172"/>
    </row>
    <row r="13" spans="1:16" ht="21.95" customHeight="1">
      <c r="A13" s="264" t="s">
        <v>92</v>
      </c>
      <c r="B13" s="295"/>
      <c r="C13" s="171">
        <f>SUMIFS('16년3추 일입'!$N$7:$N$15,'16년3추 일입'!$A$7:$A$15,$A13)+SUMIFS('16년 3추특입'!$N$7:$N$33,'16년 3추특입'!$A$7:$A$33,$A13)</f>
        <v>0</v>
      </c>
      <c r="D13" s="171">
        <f>SUMIFS('16년3추 일입'!$O$7:$O$15,'16년3추 일입'!$A$7:$A$15,$A13)+SUMIFS('16년 3추특입'!$O$7:$O$33,'16년 3추특입'!$A$7:$A$33,$A13)</f>
        <v>0</v>
      </c>
      <c r="E13" s="171">
        <f t="shared" si="4"/>
        <v>0</v>
      </c>
      <c r="F13" s="171">
        <f>SUMIFS('16년 3추일출'!$N$11:$N$83,'16년 3추일출'!$A$11:$A$83,$A13)+SUMIFS('16년 3추특출'!$N$7:$N$12,'16년 3추특출'!$A$7:$A$12,$A13)</f>
        <v>0</v>
      </c>
      <c r="G13" s="171">
        <f>SUMIFS('16년 3추일출'!$O$11:$O$83,'16년 3추일출'!$A$11:$A$83,$A13)+SUMIFS('16년 3추특출'!$O$7:$O$26,'16년 3추특출'!$A$7:$A$26,$A13)</f>
        <v>0</v>
      </c>
      <c r="H13" s="320">
        <f t="shared" si="5"/>
        <v>0</v>
      </c>
      <c r="I13" s="320">
        <f t="shared" si="6"/>
        <v>0</v>
      </c>
      <c r="J13" s="265">
        <f t="shared" si="7"/>
        <v>0</v>
      </c>
      <c r="K13" s="260"/>
      <c r="L13" s="266"/>
      <c r="M13" s="247"/>
      <c r="N13" s="247"/>
      <c r="O13" s="247"/>
    </row>
    <row r="14" spans="1:16" ht="21.95" customHeight="1">
      <c r="A14" s="264" t="s">
        <v>93</v>
      </c>
      <c r="B14" s="295"/>
      <c r="C14" s="171">
        <f>SUMIFS('16년3추 일입'!$N$7:$N$15,'16년3추 일입'!$A$7:$A$15,$A14)+SUMIFS('16년 3추특입'!$N$7:$N$33,'16년 3추특입'!$A$7:$A$33,$A14)</f>
        <v>0</v>
      </c>
      <c r="D14" s="171">
        <f>SUMIFS('16년3추 일입'!$O$7:$O$15,'16년3추 일입'!$A$7:$A$15,$A14)+SUMIFS('16년 3추특입'!$O$7:$O$33,'16년 3추특입'!$A$7:$A$33,$A14)</f>
        <v>0</v>
      </c>
      <c r="E14" s="171">
        <f t="shared" si="4"/>
        <v>0</v>
      </c>
      <c r="F14" s="171">
        <f>SUMIFS('16년 3추일출'!$N$11:$N$83,'16년 3추일출'!$A$11:$A$83,$A14)+SUMIFS('16년 3추특출'!$N$7:$N$12,'16년 3추특출'!$A$7:$A$12,$A14)</f>
        <v>0</v>
      </c>
      <c r="G14" s="171">
        <f>SUMIFS('16년 3추일출'!$O$11:$O$83,'16년 3추일출'!$A$11:$A$83,$A14)+SUMIFS('16년 3추특출'!$O$7:$O$26,'16년 3추특출'!$A$7:$A$26,$A14)</f>
        <v>0</v>
      </c>
      <c r="H14" s="320">
        <f t="shared" si="5"/>
        <v>0</v>
      </c>
      <c r="I14" s="320">
        <f t="shared" si="6"/>
        <v>0</v>
      </c>
      <c r="J14" s="265">
        <f t="shared" si="7"/>
        <v>0</v>
      </c>
      <c r="K14" s="260"/>
      <c r="L14" s="283"/>
      <c r="M14" s="283"/>
      <c r="N14" s="283"/>
      <c r="O14" s="283"/>
    </row>
    <row r="15" spans="1:16" ht="21.95" customHeight="1">
      <c r="A15" s="264" t="s">
        <v>513</v>
      </c>
      <c r="B15" s="295"/>
      <c r="C15" s="171">
        <f>SUMIFS('16년3추 일입'!$N$7:$N$15,'16년3추 일입'!$A$7:$A$15,$A15)+SUMIFS('16년 3추특입'!$N$7:$N$33,'16년 3추특입'!$A$7:$A$33,$A15)</f>
        <v>0</v>
      </c>
      <c r="D15" s="171">
        <f>SUMIFS('16년3추 일입'!$O$7:$O$15,'16년3추 일입'!$A$7:$A$15,$A15)+SUMIFS('16년 3추특입'!$O$7:$O$33,'16년 3추특입'!$A$7:$A$33,$A15)</f>
        <v>0</v>
      </c>
      <c r="E15" s="171">
        <f t="shared" si="4"/>
        <v>0</v>
      </c>
      <c r="F15" s="171">
        <f>SUMIFS('16년 3추일출'!$N$11:$N$83,'16년 3추일출'!$A$11:$A$83,$A15)+SUMIFS('16년 3추특출'!$N$7:$N$12,'16년 3추특출'!$A$7:$A$12,$A15)</f>
        <v>0</v>
      </c>
      <c r="G15" s="171">
        <f>SUMIFS('16년 3추일출'!$O$11:$O$83,'16년 3추일출'!$A$11:$A$83,$A15)+SUMIFS('16년 3추특출'!$O$7:$O$26,'16년 3추특출'!$A$7:$A$26,$A15)</f>
        <v>0</v>
      </c>
      <c r="H15" s="320">
        <f t="shared" si="5"/>
        <v>0</v>
      </c>
      <c r="I15" s="320">
        <f t="shared" si="6"/>
        <v>0</v>
      </c>
      <c r="J15" s="265">
        <f t="shared" si="7"/>
        <v>0</v>
      </c>
      <c r="K15" s="260"/>
      <c r="L15" s="283"/>
      <c r="M15" s="284"/>
      <c r="N15" s="284"/>
      <c r="O15" s="284"/>
    </row>
    <row r="16" spans="1:16" ht="21.95" customHeight="1">
      <c r="A16" s="268" t="s">
        <v>514</v>
      </c>
      <c r="B16" s="295"/>
      <c r="C16" s="171">
        <f>SUMIFS('16년3추 일입'!$N$7:$N$15,'16년3추 일입'!$A$7:$A$15,$A16)+SUMIFS('16년 3추특입'!$N$7:$N$33,'16년 3추특입'!$A$7:$A$33,$A16)</f>
        <v>0</v>
      </c>
      <c r="D16" s="171">
        <f>SUMIFS('16년3추 일입'!$O$7:$O$15,'16년3추 일입'!$A$7:$A$15,$A16)+SUMIFS('16년 3추특입'!$O$7:$O$33,'16년 3추특입'!$A$7:$A$33,$A16)</f>
        <v>0</v>
      </c>
      <c r="E16" s="171">
        <f t="shared" si="4"/>
        <v>0</v>
      </c>
      <c r="F16" s="171">
        <f>SUMIFS('16년 3추일출'!$N$11:$N$83,'16년 3추일출'!$A$11:$A$83,$A16)+SUMIFS('16년 3추특출'!$N$7:$N$12,'16년 3추특출'!$A$7:$A$12,$A16)</f>
        <v>0</v>
      </c>
      <c r="G16" s="171">
        <f>SUMIFS('16년 3추일출'!$O$11:$O$83,'16년 3추일출'!$A$11:$A$83,$A16)+SUMIFS('16년 3추특출'!$O$7:$O$26,'16년 3추특출'!$A$7:$A$26,$A16)</f>
        <v>0</v>
      </c>
      <c r="H16" s="320">
        <f t="shared" si="5"/>
        <v>0</v>
      </c>
      <c r="I16" s="320">
        <f t="shared" si="6"/>
        <v>0</v>
      </c>
      <c r="J16" s="265">
        <f t="shared" si="7"/>
        <v>0</v>
      </c>
      <c r="K16" s="260"/>
      <c r="L16" s="285"/>
      <c r="M16" s="294"/>
      <c r="N16" s="285"/>
      <c r="O16" s="285"/>
    </row>
    <row r="17" spans="1:16" ht="21.95" customHeight="1" thickBot="1">
      <c r="A17" s="269" t="s">
        <v>515</v>
      </c>
      <c r="B17" s="296"/>
      <c r="C17" s="270">
        <f>SUMIFS('16년3추 일입'!$N$7:$N$15,'16년3추 일입'!$A$7:$A$15,$A17)+SUMIFS('16년 3추특입'!$N$7:$N$33,'16년 3추특입'!$A$7:$A$33,$A17)</f>
        <v>0</v>
      </c>
      <c r="D17" s="270">
        <f>SUMIFS('16년3추 일입'!$O$7:$O$15,'16년3추 일입'!$A$7:$A$15,$A17)+SUMIFS('16년 3추특입'!$O$7:$O$33,'16년 3추특입'!$A$7:$A$33,$A17)</f>
        <v>0</v>
      </c>
      <c r="E17" s="270">
        <f t="shared" si="4"/>
        <v>0</v>
      </c>
      <c r="F17" s="270">
        <f>SUMIFS('16년 3추일출'!$N$11:$N$83,'16년 3추일출'!$A$11:$A$83,$A17)+SUMIFS('16년 3추특출'!$N$7:$N$12,'16년 3추특출'!$A$7:$A$12,$A17)</f>
        <v>0</v>
      </c>
      <c r="G17" s="270">
        <f>SUMIFS('16년 3추일출'!$O$11:$O$83,'16년 3추일출'!$A$11:$A$83,$A17)+SUMIFS('16년 3추특출'!$O$7:$O$26,'16년 3추특출'!$A$7:$A$26,$A17)</f>
        <v>0</v>
      </c>
      <c r="H17" s="321">
        <f t="shared" si="5"/>
        <v>0</v>
      </c>
      <c r="I17" s="321">
        <f t="shared" si="6"/>
        <v>0</v>
      </c>
      <c r="J17" s="271">
        <f t="shared" si="7"/>
        <v>0</v>
      </c>
      <c r="K17" s="260"/>
      <c r="L17" s="285"/>
      <c r="M17" s="285"/>
      <c r="N17" s="285"/>
      <c r="O17" s="285"/>
    </row>
    <row r="18" spans="1:16" ht="20.100000000000001" customHeight="1">
      <c r="L18" s="285"/>
      <c r="M18" s="285"/>
      <c r="N18" s="285"/>
      <c r="O18" s="285"/>
    </row>
    <row r="19" spans="1:16" ht="20.100000000000001" customHeight="1">
      <c r="A19" s="245" t="s">
        <v>589</v>
      </c>
      <c r="L19" s="285"/>
      <c r="M19" s="285"/>
      <c r="N19" s="285"/>
      <c r="O19" s="285"/>
    </row>
    <row r="20" spans="1:16" ht="15" customHeight="1" thickBot="1">
      <c r="J20" s="250" t="s">
        <v>77</v>
      </c>
      <c r="K20" s="251"/>
      <c r="L20" s="285"/>
      <c r="M20" s="294"/>
      <c r="N20" s="285"/>
      <c r="O20" s="285"/>
    </row>
    <row r="21" spans="1:16" ht="18" customHeight="1">
      <c r="A21" s="436" t="s">
        <v>576</v>
      </c>
      <c r="B21" s="438" t="s">
        <v>577</v>
      </c>
      <c r="C21" s="442" t="s">
        <v>578</v>
      </c>
      <c r="D21" s="443"/>
      <c r="E21" s="444"/>
      <c r="F21" s="442" t="s">
        <v>579</v>
      </c>
      <c r="G21" s="443"/>
      <c r="H21" s="444"/>
      <c r="I21" s="445" t="s">
        <v>648</v>
      </c>
      <c r="J21" s="440" t="s">
        <v>580</v>
      </c>
      <c r="K21" s="252"/>
      <c r="L21" s="286"/>
      <c r="M21" s="287"/>
      <c r="N21" s="288"/>
      <c r="O21" s="285"/>
    </row>
    <row r="22" spans="1:16" ht="18" customHeight="1">
      <c r="A22" s="437"/>
      <c r="B22" s="439"/>
      <c r="C22" s="255" t="s">
        <v>582</v>
      </c>
      <c r="D22" s="255" t="s">
        <v>583</v>
      </c>
      <c r="E22" s="318" t="s">
        <v>647</v>
      </c>
      <c r="F22" s="255" t="s">
        <v>582</v>
      </c>
      <c r="G22" s="255" t="s">
        <v>583</v>
      </c>
      <c r="H22" s="318" t="s">
        <v>647</v>
      </c>
      <c r="I22" s="446"/>
      <c r="J22" s="441"/>
      <c r="K22" s="252"/>
      <c r="L22" s="289"/>
      <c r="M22" s="286"/>
      <c r="N22" s="288"/>
      <c r="O22" s="285"/>
    </row>
    <row r="23" spans="1:16" ht="21.95" customHeight="1">
      <c r="A23" s="257" t="s">
        <v>586</v>
      </c>
      <c r="B23" s="258">
        <f>SUM(B24:B25)</f>
        <v>0</v>
      </c>
      <c r="C23" s="258">
        <f t="shared" ref="C23:J23" si="10">SUM(C24:C25)</f>
        <v>0</v>
      </c>
      <c r="D23" s="258">
        <f t="shared" ref="D23:E23" si="11">SUM(D24:D25)</f>
        <v>0</v>
      </c>
      <c r="E23" s="258">
        <f t="shared" si="11"/>
        <v>0</v>
      </c>
      <c r="F23" s="258">
        <f t="shared" si="10"/>
        <v>0</v>
      </c>
      <c r="G23" s="258">
        <f t="shared" ref="G23" si="12">SUM(G24:G25)</f>
        <v>0</v>
      </c>
      <c r="H23" s="319">
        <f t="shared" ref="H23:I23" si="13">SUM(H24:H25)</f>
        <v>0</v>
      </c>
      <c r="I23" s="319">
        <f t="shared" si="13"/>
        <v>0</v>
      </c>
      <c r="J23" s="259">
        <f t="shared" si="10"/>
        <v>0</v>
      </c>
      <c r="K23" s="260"/>
      <c r="L23" s="288"/>
      <c r="M23" s="288"/>
      <c r="N23" s="288"/>
      <c r="O23" s="285"/>
    </row>
    <row r="24" spans="1:16" ht="21.95" customHeight="1">
      <c r="A24" s="264" t="s">
        <v>587</v>
      </c>
      <c r="B24" s="171"/>
      <c r="C24" s="171">
        <f>'16년3추 일입'!N6</f>
        <v>0</v>
      </c>
      <c r="D24" s="171">
        <f>'16년3추 일입'!O6</f>
        <v>0</v>
      </c>
      <c r="E24" s="171">
        <f t="shared" ref="E24:E25" si="14">C24+D24</f>
        <v>0</v>
      </c>
      <c r="F24" s="171">
        <f>'16년 3추일출'!N6</f>
        <v>0</v>
      </c>
      <c r="G24" s="171">
        <f>'16년 3추일출'!O6</f>
        <v>0</v>
      </c>
      <c r="H24" s="320">
        <f t="shared" ref="H24:H25" si="15">F24+G24</f>
        <v>0</v>
      </c>
      <c r="I24" s="320">
        <f t="shared" ref="I24:I25" si="16">E24+H24</f>
        <v>0</v>
      </c>
      <c r="J24" s="265">
        <f>B24+F24+G24</f>
        <v>0</v>
      </c>
      <c r="K24" s="260"/>
      <c r="L24" s="288"/>
      <c r="M24" s="288"/>
      <c r="N24" s="288"/>
      <c r="O24" s="285"/>
    </row>
    <row r="25" spans="1:16" ht="21.95" customHeight="1" thickBot="1">
      <c r="A25" s="269" t="s">
        <v>590</v>
      </c>
      <c r="B25" s="270"/>
      <c r="C25" s="270">
        <f>'16년 3추특입'!N6</f>
        <v>0</v>
      </c>
      <c r="D25" s="270">
        <f>'16년 3추특입'!O6</f>
        <v>0</v>
      </c>
      <c r="E25" s="270">
        <f t="shared" si="14"/>
        <v>0</v>
      </c>
      <c r="F25" s="270">
        <f>'16년 3추특출'!N6</f>
        <v>0</v>
      </c>
      <c r="G25" s="270">
        <f>'16년 3추특출'!O6</f>
        <v>0</v>
      </c>
      <c r="H25" s="321">
        <f t="shared" si="15"/>
        <v>0</v>
      </c>
      <c r="I25" s="321">
        <f t="shared" si="16"/>
        <v>0</v>
      </c>
      <c r="J25" s="271">
        <f t="shared" ref="J25" si="17">B25+F25+G25</f>
        <v>0</v>
      </c>
      <c r="K25" s="260"/>
      <c r="L25" s="288"/>
      <c r="M25" s="288"/>
      <c r="N25" s="288"/>
      <c r="O25" s="285"/>
    </row>
    <row r="26" spans="1:16" ht="20.100000000000001" customHeight="1">
      <c r="L26" s="285"/>
      <c r="M26" s="294"/>
      <c r="N26" s="285"/>
      <c r="O26" s="285"/>
    </row>
    <row r="27" spans="1:16" ht="20.100000000000001" customHeight="1">
      <c r="L27" s="285"/>
      <c r="M27" s="285"/>
      <c r="N27" s="285"/>
      <c r="O27" s="285"/>
    </row>
    <row r="28" spans="1:16" ht="20.100000000000001" customHeight="1">
      <c r="A28" s="253" t="s">
        <v>591</v>
      </c>
      <c r="L28" s="285"/>
      <c r="M28" s="285"/>
      <c r="N28" s="285"/>
      <c r="O28" s="285"/>
    </row>
    <row r="29" spans="1:16" ht="20.100000000000001" customHeight="1">
      <c r="A29" s="256" t="s">
        <v>592</v>
      </c>
      <c r="B29" s="256" t="s">
        <v>593</v>
      </c>
      <c r="C29" s="256" t="s">
        <v>594</v>
      </c>
      <c r="D29" s="256" t="s">
        <v>595</v>
      </c>
      <c r="E29" s="256" t="s">
        <v>596</v>
      </c>
      <c r="F29" s="256" t="s">
        <v>597</v>
      </c>
      <c r="G29" s="282"/>
      <c r="H29" s="282"/>
      <c r="J29" s="244"/>
      <c r="K29" s="290"/>
      <c r="L29" s="290"/>
      <c r="M29" s="290"/>
      <c r="N29" s="290"/>
      <c r="O29" s="282"/>
      <c r="P29" s="282"/>
    </row>
    <row r="30" spans="1:16" ht="20.100000000000001" customHeight="1">
      <c r="A30" s="261" t="s">
        <v>593</v>
      </c>
      <c r="B30" s="258">
        <f>SUM(B31:B40)</f>
        <v>0</v>
      </c>
      <c r="C30" s="258">
        <f t="shared" ref="C30:F30" si="18">SUM(C31:C40)</f>
        <v>0</v>
      </c>
      <c r="D30" s="258">
        <f t="shared" si="18"/>
        <v>0</v>
      </c>
      <c r="E30" s="258">
        <f t="shared" si="18"/>
        <v>0</v>
      </c>
      <c r="F30" s="258">
        <f t="shared" si="18"/>
        <v>0</v>
      </c>
      <c r="G30" s="260"/>
      <c r="H30" s="260"/>
      <c r="J30" s="244"/>
      <c r="K30" s="290"/>
      <c r="L30" s="291"/>
      <c r="M30" s="291"/>
      <c r="N30" s="291"/>
      <c r="O30" s="260"/>
      <c r="P30" s="260"/>
    </row>
    <row r="31" spans="1:16" ht="20.100000000000001" customHeight="1">
      <c r="A31" s="272" t="s">
        <v>598</v>
      </c>
      <c r="B31" s="247">
        <f t="shared" ref="B31:B40" si="19">SUM(D31+E31+F31)</f>
        <v>0</v>
      </c>
      <c r="C31" s="247">
        <f t="shared" ref="C31:C40" si="20">SUM(D31:E31)</f>
        <v>0</v>
      </c>
      <c r="D31" s="323"/>
      <c r="E31" s="323"/>
      <c r="F31" s="323"/>
      <c r="G31" s="322"/>
      <c r="H31" s="322"/>
      <c r="J31" s="244"/>
      <c r="K31" s="292"/>
      <c r="L31" s="293"/>
      <c r="M31" s="293"/>
      <c r="N31" s="293"/>
      <c r="O31" s="281"/>
      <c r="P31" s="281"/>
    </row>
    <row r="32" spans="1:16" ht="20.100000000000001" customHeight="1">
      <c r="A32" s="272" t="s">
        <v>599</v>
      </c>
      <c r="B32" s="247">
        <f t="shared" si="19"/>
        <v>0</v>
      </c>
      <c r="C32" s="247">
        <f t="shared" si="20"/>
        <v>0</v>
      </c>
      <c r="D32" s="323"/>
      <c r="E32" s="323"/>
      <c r="F32" s="323"/>
      <c r="G32" s="322"/>
      <c r="H32" s="322"/>
      <c r="J32" s="244"/>
      <c r="K32" s="292"/>
      <c r="L32" s="293"/>
      <c r="M32" s="293"/>
      <c r="N32" s="293"/>
      <c r="O32" s="281"/>
      <c r="P32" s="281"/>
    </row>
    <row r="33" spans="1:16" ht="20.100000000000001" customHeight="1">
      <c r="A33" s="272" t="s">
        <v>600</v>
      </c>
      <c r="B33" s="247">
        <f t="shared" si="19"/>
        <v>0</v>
      </c>
      <c r="C33" s="247">
        <f t="shared" si="20"/>
        <v>0</v>
      </c>
      <c r="D33" s="323"/>
      <c r="E33" s="323"/>
      <c r="F33" s="323"/>
      <c r="G33" s="281"/>
      <c r="H33" s="281"/>
      <c r="J33" s="244"/>
      <c r="K33" s="292"/>
      <c r="L33" s="293"/>
      <c r="M33" s="293"/>
      <c r="N33" s="293"/>
      <c r="O33" s="281"/>
      <c r="P33" s="281"/>
    </row>
    <row r="34" spans="1:16" ht="20.100000000000001" customHeight="1">
      <c r="A34" s="272" t="s">
        <v>601</v>
      </c>
      <c r="B34" s="247">
        <f t="shared" si="19"/>
        <v>0</v>
      </c>
      <c r="C34" s="247">
        <f t="shared" si="20"/>
        <v>0</v>
      </c>
      <c r="D34" s="323"/>
      <c r="E34" s="323"/>
      <c r="F34" s="323"/>
      <c r="G34" s="281"/>
      <c r="H34" s="281"/>
      <c r="J34" s="244"/>
      <c r="K34" s="292"/>
      <c r="L34" s="293"/>
      <c r="M34" s="293"/>
      <c r="N34" s="293"/>
      <c r="O34" s="281"/>
      <c r="P34" s="281"/>
    </row>
    <row r="35" spans="1:16" ht="20.100000000000001" customHeight="1">
      <c r="A35" s="272" t="s">
        <v>602</v>
      </c>
      <c r="B35" s="247">
        <f t="shared" si="19"/>
        <v>0</v>
      </c>
      <c r="C35" s="247">
        <f t="shared" si="20"/>
        <v>0</v>
      </c>
      <c r="D35" s="323"/>
      <c r="E35" s="323"/>
      <c r="F35" s="323"/>
      <c r="G35" s="281"/>
      <c r="H35" s="281"/>
      <c r="J35" s="244"/>
      <c r="K35" s="292"/>
      <c r="L35" s="293"/>
      <c r="M35" s="293"/>
      <c r="N35" s="293"/>
      <c r="O35" s="281"/>
      <c r="P35" s="281"/>
    </row>
    <row r="36" spans="1:16" ht="20.100000000000001" customHeight="1">
      <c r="A36" s="272" t="s">
        <v>603</v>
      </c>
      <c r="B36" s="247">
        <f t="shared" si="19"/>
        <v>0</v>
      </c>
      <c r="C36" s="247">
        <f t="shared" si="20"/>
        <v>0</v>
      </c>
      <c r="D36" s="323"/>
      <c r="E36" s="323"/>
      <c r="F36" s="323"/>
      <c r="G36" s="281"/>
      <c r="H36" s="281"/>
      <c r="J36" s="244"/>
      <c r="K36" s="292"/>
      <c r="L36" s="293"/>
      <c r="M36" s="293"/>
      <c r="N36" s="293"/>
      <c r="O36" s="281"/>
      <c r="P36" s="281"/>
    </row>
    <row r="37" spans="1:16" ht="20.100000000000001" customHeight="1">
      <c r="A37" s="272" t="s">
        <v>604</v>
      </c>
      <c r="B37" s="247">
        <f t="shared" si="19"/>
        <v>0</v>
      </c>
      <c r="C37" s="247">
        <f t="shared" si="20"/>
        <v>0</v>
      </c>
      <c r="D37" s="323"/>
      <c r="E37" s="323"/>
      <c r="F37" s="323"/>
      <c r="G37" s="281"/>
      <c r="H37" s="281"/>
      <c r="J37" s="244"/>
      <c r="K37" s="292"/>
      <c r="L37" s="293"/>
      <c r="M37" s="293"/>
      <c r="N37" s="293"/>
      <c r="O37" s="281"/>
      <c r="P37" s="281"/>
    </row>
    <row r="38" spans="1:16" ht="20.100000000000001" customHeight="1">
      <c r="A38" s="272" t="s">
        <v>605</v>
      </c>
      <c r="B38" s="247">
        <f t="shared" si="19"/>
        <v>0</v>
      </c>
      <c r="C38" s="247">
        <f t="shared" si="20"/>
        <v>0</v>
      </c>
      <c r="D38" s="323"/>
      <c r="E38" s="323"/>
      <c r="F38" s="323"/>
      <c r="G38" s="281"/>
      <c r="H38" s="281"/>
      <c r="J38" s="244"/>
      <c r="K38" s="292"/>
      <c r="L38" s="293"/>
      <c r="M38" s="293"/>
      <c r="N38" s="293"/>
      <c r="O38" s="281"/>
      <c r="P38" s="281"/>
    </row>
    <row r="39" spans="1:16" ht="20.100000000000001" customHeight="1">
      <c r="A39" s="272" t="s">
        <v>606</v>
      </c>
      <c r="B39" s="247">
        <f t="shared" si="19"/>
        <v>0</v>
      </c>
      <c r="C39" s="247">
        <f t="shared" si="20"/>
        <v>0</v>
      </c>
      <c r="D39" s="323"/>
      <c r="E39" s="323"/>
      <c r="F39" s="323"/>
      <c r="G39" s="281"/>
      <c r="H39" s="281"/>
      <c r="J39" s="244"/>
      <c r="K39" s="292"/>
      <c r="L39" s="293"/>
      <c r="M39" s="293"/>
      <c r="N39" s="293"/>
      <c r="O39" s="281"/>
      <c r="P39" s="281"/>
    </row>
    <row r="40" spans="1:16" ht="20.100000000000001" customHeight="1">
      <c r="A40" s="272" t="s">
        <v>515</v>
      </c>
      <c r="B40" s="247">
        <f t="shared" si="19"/>
        <v>0</v>
      </c>
      <c r="C40" s="247">
        <f t="shared" si="20"/>
        <v>0</v>
      </c>
      <c r="D40" s="323"/>
      <c r="E40" s="323"/>
      <c r="F40" s="323"/>
      <c r="G40" s="281"/>
      <c r="H40" s="281"/>
      <c r="J40" s="244"/>
      <c r="K40" s="292"/>
      <c r="L40" s="293"/>
      <c r="M40" s="293"/>
      <c r="N40" s="293"/>
      <c r="O40" s="281"/>
      <c r="P40" s="281"/>
    </row>
    <row r="41" spans="1:16" ht="20.100000000000001" customHeight="1">
      <c r="L41" s="285"/>
      <c r="M41" s="285"/>
      <c r="N41" s="285"/>
      <c r="O41" s="285"/>
    </row>
    <row r="42" spans="1:16" ht="20.100000000000001" customHeight="1">
      <c r="A42" s="273" t="s">
        <v>607</v>
      </c>
      <c r="B42" s="247"/>
      <c r="C42" s="247"/>
      <c r="L42" s="285"/>
      <c r="M42" s="285"/>
      <c r="N42" s="285"/>
      <c r="O42" s="285"/>
    </row>
    <row r="43" spans="1:16" ht="20.100000000000001" customHeight="1">
      <c r="B43" s="26"/>
      <c r="L43" s="285"/>
      <c r="M43" s="285"/>
      <c r="N43" s="285"/>
      <c r="O43" s="285"/>
    </row>
    <row r="44" spans="1:16" ht="20.100000000000001" customHeight="1">
      <c r="L44" s="285"/>
      <c r="M44" s="285"/>
      <c r="N44" s="285"/>
      <c r="O44" s="285"/>
    </row>
    <row r="45" spans="1:16" ht="20.100000000000001" customHeight="1">
      <c r="L45" s="285"/>
      <c r="M45" s="285"/>
      <c r="N45" s="285"/>
      <c r="O45" s="285"/>
    </row>
    <row r="46" spans="1:16" ht="20.100000000000001" customHeight="1">
      <c r="L46" s="285"/>
      <c r="M46" s="285"/>
      <c r="N46" s="294"/>
      <c r="O46" s="285"/>
    </row>
    <row r="47" spans="1:16" ht="20.100000000000001" customHeight="1">
      <c r="L47" s="285"/>
      <c r="M47" s="285"/>
      <c r="N47" s="285"/>
      <c r="O47" s="285"/>
    </row>
    <row r="48" spans="1:16" ht="20.100000000000001" customHeight="1">
      <c r="L48" s="285"/>
      <c r="M48" s="285"/>
      <c r="N48" s="285"/>
      <c r="O48" s="285"/>
    </row>
    <row r="49" spans="12:15" ht="20.100000000000001" customHeight="1">
      <c r="L49" s="285"/>
      <c r="M49" s="285"/>
      <c r="N49" s="285"/>
      <c r="O49" s="285"/>
    </row>
    <row r="50" spans="12:15" ht="20.100000000000001" customHeight="1">
      <c r="L50" s="285"/>
      <c r="M50" s="285"/>
      <c r="N50" s="285"/>
      <c r="O50" s="285"/>
    </row>
    <row r="51" spans="12:15" ht="20.100000000000001" customHeight="1">
      <c r="L51" s="285"/>
      <c r="M51" s="285"/>
      <c r="N51" s="285"/>
      <c r="O51" s="285"/>
    </row>
    <row r="52" spans="12:15" ht="20.100000000000001" customHeight="1">
      <c r="L52" s="285"/>
      <c r="M52" s="285"/>
      <c r="N52" s="285"/>
      <c r="O52" s="285"/>
    </row>
    <row r="53" spans="12:15" ht="20.100000000000001" customHeight="1">
      <c r="L53" s="285"/>
      <c r="M53" s="285"/>
      <c r="N53" s="285"/>
      <c r="O53" s="285"/>
    </row>
    <row r="54" spans="12:15" ht="20.100000000000001" customHeight="1">
      <c r="L54" s="285"/>
      <c r="M54" s="285"/>
      <c r="N54" s="285"/>
      <c r="O54" s="285"/>
    </row>
    <row r="55" spans="12:15" ht="20.100000000000001" customHeight="1">
      <c r="L55" s="285"/>
      <c r="M55" s="285"/>
      <c r="N55" s="285"/>
      <c r="O55" s="285"/>
    </row>
    <row r="56" spans="12:15" ht="20.100000000000001" customHeight="1">
      <c r="L56" s="285"/>
      <c r="M56" s="285"/>
      <c r="N56" s="285"/>
      <c r="O56" s="285"/>
    </row>
    <row r="57" spans="12:15" ht="20.100000000000001" customHeight="1">
      <c r="L57" s="285"/>
      <c r="M57" s="285"/>
      <c r="N57" s="285"/>
      <c r="O57" s="285"/>
    </row>
    <row r="58" spans="12:15" ht="20.100000000000001" customHeight="1">
      <c r="L58" s="285"/>
      <c r="M58" s="285"/>
      <c r="N58" s="285"/>
      <c r="O58" s="285"/>
    </row>
    <row r="59" spans="12:15" ht="20.100000000000001" customHeight="1">
      <c r="L59" s="285"/>
      <c r="M59" s="285"/>
      <c r="N59" s="285"/>
      <c r="O59" s="285"/>
    </row>
    <row r="60" spans="12:15" ht="20.100000000000001" customHeight="1">
      <c r="L60" s="285"/>
      <c r="M60" s="285"/>
      <c r="N60" s="285"/>
      <c r="O60" s="285"/>
    </row>
    <row r="61" spans="12:15" ht="20.100000000000001" customHeight="1">
      <c r="L61" s="285"/>
      <c r="M61" s="285"/>
      <c r="N61" s="285"/>
      <c r="O61" s="285"/>
    </row>
    <row r="62" spans="12:15" ht="20.100000000000001" customHeight="1">
      <c r="L62" s="285"/>
      <c r="M62" s="285"/>
      <c r="N62" s="285"/>
      <c r="O62" s="285"/>
    </row>
    <row r="63" spans="12:15" ht="20.100000000000001" customHeight="1">
      <c r="L63" s="285"/>
      <c r="M63" s="285"/>
      <c r="N63" s="285"/>
      <c r="O63" s="285"/>
    </row>
    <row r="64" spans="12:15" ht="20.100000000000001" customHeight="1">
      <c r="L64" s="285"/>
      <c r="M64" s="285"/>
      <c r="N64" s="285"/>
      <c r="O64" s="285"/>
    </row>
    <row r="65" spans="12:15" ht="20.100000000000001" customHeight="1">
      <c r="L65" s="285"/>
      <c r="M65" s="285"/>
      <c r="N65" s="285"/>
      <c r="O65" s="285"/>
    </row>
    <row r="66" spans="12:15" ht="20.100000000000001" customHeight="1">
      <c r="L66" s="285"/>
      <c r="M66" s="285"/>
      <c r="N66" s="285"/>
      <c r="O66" s="285"/>
    </row>
  </sheetData>
  <mergeCells count="13">
    <mergeCell ref="A21:A22"/>
    <mergeCell ref="B21:B22"/>
    <mergeCell ref="J21:J22"/>
    <mergeCell ref="C21:E21"/>
    <mergeCell ref="F21:H21"/>
    <mergeCell ref="I21:I22"/>
    <mergeCell ref="P8:P9"/>
    <mergeCell ref="A5:A6"/>
    <mergeCell ref="B5:B6"/>
    <mergeCell ref="J5:J6"/>
    <mergeCell ref="F5:H5"/>
    <mergeCell ref="C5:E5"/>
    <mergeCell ref="I5:I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R7" sqref="R7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customWidth="1"/>
    <col min="5" max="5" width="7.125" style="11" customWidth="1"/>
    <col min="6" max="6" width="7.125" style="169" customWidth="1"/>
    <col min="7" max="7" width="35.75" style="32" customWidth="1"/>
    <col min="8" max="8" width="11.625" style="32" customWidth="1"/>
    <col min="9" max="10" width="11.625" style="208" customWidth="1"/>
    <col min="11" max="16" width="11.625" style="32" customWidth="1"/>
    <col min="17" max="17" width="8.375" style="11" hidden="1" customWidth="1"/>
    <col min="18" max="18" width="37.625" style="32" customWidth="1"/>
    <col min="19" max="19" width="3" style="32" customWidth="1"/>
    <col min="20" max="20" width="6.125" style="21" customWidth="1"/>
    <col min="21" max="21" width="11.625" style="32" customWidth="1"/>
    <col min="22" max="22" width="11.125" style="32" customWidth="1"/>
    <col min="23" max="23" width="6" style="11" customWidth="1"/>
    <col min="24" max="24" width="3" style="32" customWidth="1"/>
    <col min="25" max="25" width="6.125" style="225" customWidth="1"/>
    <col min="26" max="26" width="11.625" style="32" customWidth="1"/>
    <col min="27" max="27" width="11.125" style="32" customWidth="1"/>
    <col min="28" max="28" width="6" style="11" customWidth="1"/>
    <col min="29" max="29" width="3" style="32" customWidth="1"/>
    <col min="30" max="30" width="9.375" style="223" customWidth="1"/>
    <col min="31" max="31" width="3" style="32" customWidth="1"/>
    <col min="32" max="32" width="9.375" style="200" hidden="1" customWidth="1"/>
    <col min="33" max="33" width="3" style="197" hidden="1" customWidth="1"/>
    <col min="34" max="34" width="6.125" style="169" hidden="1" customWidth="1"/>
    <col min="35" max="35" width="3" style="197" hidden="1" customWidth="1"/>
    <col min="36" max="36" width="11.625" style="169" hidden="1" customWidth="1"/>
    <col min="37" max="37" width="5.625" style="169" hidden="1" customWidth="1"/>
    <col min="38" max="38" width="5.625" style="202" hidden="1" customWidth="1"/>
    <col min="39" max="39" width="3" style="197" hidden="1" customWidth="1"/>
    <col min="40" max="40" width="11.625" style="169" hidden="1" customWidth="1"/>
    <col min="41" max="41" width="5.625" style="169" hidden="1" customWidth="1"/>
    <col min="42" max="42" width="5.625" style="202" hidden="1" customWidth="1"/>
    <col min="43" max="43" width="8.75" style="32" customWidth="1"/>
    <col min="44" max="16384" width="8.75" style="32"/>
  </cols>
  <sheetData>
    <row r="1" spans="1:42" ht="32.25" customHeight="1">
      <c r="A1" s="449" t="s">
        <v>615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</row>
    <row r="2" spans="1:42" ht="20.25">
      <c r="A2" s="12" t="s">
        <v>6</v>
      </c>
      <c r="B2" s="12"/>
      <c r="C2" s="12"/>
      <c r="D2" s="53"/>
      <c r="E2" s="53"/>
      <c r="F2" s="183"/>
      <c r="G2" s="12"/>
      <c r="N2" s="22"/>
      <c r="O2" s="22"/>
      <c r="U2" s="22" t="s">
        <v>71</v>
      </c>
      <c r="V2" s="23"/>
      <c r="Z2" s="22" t="s">
        <v>71</v>
      </c>
      <c r="AA2" s="23"/>
    </row>
    <row r="3" spans="1:42" ht="20.25">
      <c r="K3" s="57">
        <f t="shared" ref="K3:O3" si="0">COUNTA(K7:K15)</f>
        <v>0</v>
      </c>
      <c r="L3" s="57">
        <f t="shared" si="0"/>
        <v>0</v>
      </c>
      <c r="M3" s="58"/>
      <c r="N3" s="57">
        <f t="shared" si="0"/>
        <v>0</v>
      </c>
      <c r="O3" s="57">
        <f t="shared" si="0"/>
        <v>0</v>
      </c>
      <c r="P3" s="21"/>
      <c r="Q3" s="25"/>
      <c r="R3" s="54" t="s">
        <v>8</v>
      </c>
      <c r="U3" s="23" t="str">
        <f>IF(U6='16년 3추일출'!$W$6,"OK","@@")</f>
        <v>@@</v>
      </c>
      <c r="V3" s="32">
        <f>SUM(U6:V6)</f>
        <v>0</v>
      </c>
      <c r="W3" s="23" t="str">
        <f>IF(COUNTIF(W6:W837,"@@")&gt;0,"@@","OK")</f>
        <v>OK</v>
      </c>
      <c r="Z3" s="23" t="str">
        <f>IF(Z6='16년 3추일출'!$AB$6,"OK","@@")</f>
        <v>OK</v>
      </c>
      <c r="AA3" s="32">
        <f>SUM(Z6:AA6)</f>
        <v>0</v>
      </c>
      <c r="AB3" s="23" t="str">
        <f>IF(COUNTIF(AB6:AB837,"@@")&gt;0,"@@","OK")</f>
        <v>OK</v>
      </c>
      <c r="AF3" s="186"/>
      <c r="AJ3" s="176" t="str">
        <f>IF(U6=AJ6,"OK","@@")</f>
        <v>OK</v>
      </c>
      <c r="AN3" s="176" t="str">
        <f>IF(Z6=AN6,"OK","@@")</f>
        <v>OK</v>
      </c>
    </row>
    <row r="4" spans="1:42" ht="30" customHeight="1">
      <c r="A4" s="450" t="s">
        <v>528</v>
      </c>
      <c r="B4" s="450" t="s">
        <v>123</v>
      </c>
      <c r="C4" s="450" t="s">
        <v>4</v>
      </c>
      <c r="D4" s="447" t="s">
        <v>124</v>
      </c>
      <c r="E4" s="447" t="s">
        <v>570</v>
      </c>
      <c r="F4" s="453" t="s">
        <v>571</v>
      </c>
      <c r="G4" s="450" t="s">
        <v>125</v>
      </c>
      <c r="H4" s="453" t="s">
        <v>643</v>
      </c>
      <c r="I4" s="447" t="s">
        <v>608</v>
      </c>
      <c r="J4" s="447" t="s">
        <v>644</v>
      </c>
      <c r="K4" s="455" t="s">
        <v>545</v>
      </c>
      <c r="L4" s="456"/>
      <c r="M4" s="457" t="s">
        <v>609</v>
      </c>
      <c r="N4" s="459" t="s">
        <v>546</v>
      </c>
      <c r="O4" s="460"/>
      <c r="P4" s="461" t="s">
        <v>610</v>
      </c>
      <c r="Q4" s="463" t="s">
        <v>572</v>
      </c>
      <c r="R4" s="454" t="s">
        <v>122</v>
      </c>
      <c r="T4" s="468" t="s">
        <v>5</v>
      </c>
      <c r="U4" s="470" t="s">
        <v>7</v>
      </c>
      <c r="V4" s="456"/>
      <c r="W4" s="456"/>
      <c r="Y4" s="471" t="s">
        <v>5</v>
      </c>
      <c r="Z4" s="460" t="s">
        <v>78</v>
      </c>
      <c r="AA4" s="460"/>
      <c r="AB4" s="460"/>
      <c r="AD4" s="466" t="s">
        <v>560</v>
      </c>
      <c r="AF4" s="473" t="s">
        <v>561</v>
      </c>
      <c r="AH4" s="473" t="s">
        <v>559</v>
      </c>
      <c r="AJ4" s="464" t="s">
        <v>565</v>
      </c>
      <c r="AK4" s="464"/>
      <c r="AL4" s="464"/>
      <c r="AN4" s="465" t="s">
        <v>568</v>
      </c>
      <c r="AO4" s="465"/>
      <c r="AP4" s="465"/>
    </row>
    <row r="5" spans="1:42" ht="18" customHeight="1">
      <c r="A5" s="451"/>
      <c r="B5" s="451"/>
      <c r="C5" s="451"/>
      <c r="D5" s="451"/>
      <c r="E5" s="452"/>
      <c r="F5" s="453"/>
      <c r="G5" s="451"/>
      <c r="H5" s="454"/>
      <c r="I5" s="448"/>
      <c r="J5" s="448"/>
      <c r="K5" s="276" t="s">
        <v>0</v>
      </c>
      <c r="L5" s="276" t="s">
        <v>1</v>
      </c>
      <c r="M5" s="458"/>
      <c r="N5" s="184" t="s">
        <v>0</v>
      </c>
      <c r="O5" s="184" t="s">
        <v>1</v>
      </c>
      <c r="P5" s="462"/>
      <c r="Q5" s="463"/>
      <c r="R5" s="454"/>
      <c r="T5" s="469"/>
      <c r="U5" s="66" t="s">
        <v>3</v>
      </c>
      <c r="V5" s="66" t="s">
        <v>2</v>
      </c>
      <c r="W5" s="66" t="s">
        <v>76</v>
      </c>
      <c r="Y5" s="472"/>
      <c r="Z5" s="56" t="s">
        <v>3</v>
      </c>
      <c r="AA5" s="56" t="s">
        <v>2</v>
      </c>
      <c r="AB5" s="56" t="s">
        <v>76</v>
      </c>
      <c r="AD5" s="467"/>
      <c r="AF5" s="474"/>
      <c r="AH5" s="474"/>
      <c r="AJ5" s="206" t="s">
        <v>566</v>
      </c>
      <c r="AK5" s="206" t="s">
        <v>567</v>
      </c>
      <c r="AL5" s="206" t="s">
        <v>569</v>
      </c>
      <c r="AN5" s="205" t="s">
        <v>566</v>
      </c>
      <c r="AO5" s="205" t="s">
        <v>567</v>
      </c>
      <c r="AP5" s="205" t="s">
        <v>569</v>
      </c>
    </row>
    <row r="6" spans="1:42" ht="39.950000000000003" customHeight="1">
      <c r="A6" s="193"/>
      <c r="B6" s="193"/>
      <c r="C6" s="171"/>
      <c r="D6" s="193"/>
      <c r="E6" s="193"/>
      <c r="F6" s="172"/>
      <c r="G6" s="193"/>
      <c r="H6" s="173">
        <f t="shared" ref="H6:P6" si="1">SUM(H7:H15)</f>
        <v>200000</v>
      </c>
      <c r="I6" s="173">
        <f t="shared" si="1"/>
        <v>0</v>
      </c>
      <c r="J6" s="173">
        <f t="shared" si="1"/>
        <v>200000</v>
      </c>
      <c r="K6" s="173">
        <f t="shared" si="1"/>
        <v>0</v>
      </c>
      <c r="L6" s="173">
        <f t="shared" si="1"/>
        <v>0</v>
      </c>
      <c r="M6" s="173">
        <f t="shared" si="1"/>
        <v>200000</v>
      </c>
      <c r="N6" s="173">
        <f t="shared" si="1"/>
        <v>0</v>
      </c>
      <c r="O6" s="173">
        <f t="shared" si="1"/>
        <v>0</v>
      </c>
      <c r="P6" s="173">
        <f t="shared" si="1"/>
        <v>200000</v>
      </c>
      <c r="Q6" s="180"/>
      <c r="R6" s="177"/>
      <c r="T6" s="20"/>
      <c r="U6" s="17">
        <f>SUBTOTAL(9,U7:U749)</f>
        <v>0</v>
      </c>
      <c r="V6" s="17">
        <f>SUBTOTAL(9,V7:V749)</f>
        <v>0</v>
      </c>
      <c r="W6" s="24" t="str">
        <f>IF((K6+L6)=(U6+V6),"OK","검토")</f>
        <v>OK</v>
      </c>
      <c r="Y6" s="226"/>
      <c r="Z6" s="17">
        <f>SUBTOTAL(9,Z7:Z749)</f>
        <v>0</v>
      </c>
      <c r="AA6" s="17">
        <f>SUBTOTAL(9,AA7:AA749)</f>
        <v>0</v>
      </c>
      <c r="AB6" s="24" t="str">
        <f>IF((N6+O6)=(Z6+AA6),"OK","검토")</f>
        <v>OK</v>
      </c>
      <c r="AD6" s="224"/>
      <c r="AF6" s="180"/>
      <c r="AH6" s="181"/>
      <c r="AJ6" s="173">
        <f>SUBTOTAL(9,AJ7:AJ749)</f>
        <v>0</v>
      </c>
      <c r="AK6" s="180">
        <f>SUBTOTAL(9,AK7:AK15)</f>
        <v>0</v>
      </c>
      <c r="AL6" s="207" t="str">
        <f>IF(COUNTIF($AL$7:$AL$9860,"@@")&gt;0,"@@","OK")</f>
        <v>OK</v>
      </c>
      <c r="AN6" s="173">
        <f>SUBTOTAL(9,AN7:AN749)</f>
        <v>0</v>
      </c>
      <c r="AO6" s="180">
        <f>SUBTOTAL(9,AO7:AO15)</f>
        <v>0</v>
      </c>
      <c r="AP6" s="207" t="str">
        <f>IF(COUNTIF($AP$7:$AP$9860,"@@")&gt;0,"@@","OK")</f>
        <v>OK</v>
      </c>
    </row>
    <row r="7" spans="1:42" ht="39.950000000000003" customHeight="1">
      <c r="A7" s="213" t="s">
        <v>654</v>
      </c>
      <c r="B7" s="278" t="s">
        <v>655</v>
      </c>
      <c r="C7" s="279" t="s">
        <v>653</v>
      </c>
      <c r="D7" s="280" t="s">
        <v>651</v>
      </c>
      <c r="E7" s="280">
        <v>460</v>
      </c>
      <c r="F7" s="280">
        <v>36</v>
      </c>
      <c r="G7" s="279" t="s">
        <v>656</v>
      </c>
      <c r="H7" s="233">
        <v>200000</v>
      </c>
      <c r="I7" s="233"/>
      <c r="J7" s="233">
        <f t="shared" ref="J7:J15" si="2">IF(D7="","",H7-I7)</f>
        <v>200000</v>
      </c>
      <c r="K7" s="145"/>
      <c r="L7" s="145"/>
      <c r="M7" s="59">
        <f>IF(H7=0,I7+K7+L7,H7+K7+L7)</f>
        <v>200000</v>
      </c>
      <c r="N7" s="145"/>
      <c r="O7" s="145"/>
      <c r="P7" s="59">
        <f t="shared" ref="P7:P15" si="3">IF(H7=0,I7+N7+O7,H7+N7+O7)</f>
        <v>200000</v>
      </c>
      <c r="Q7" s="228"/>
      <c r="R7" s="217" t="s">
        <v>657</v>
      </c>
      <c r="S7" s="190"/>
      <c r="T7" s="192"/>
      <c r="U7" s="145">
        <f>IF($T7&lt;&gt;"도비",IF($AD7="국도비","직접입력",SUM($K7:$L7)),)</f>
        <v>0</v>
      </c>
      <c r="V7" s="145">
        <f t="shared" ref="V7:V15" si="4">IF($T7="도비",SUM($K7:$L7),IF($AD7="국도비","직접입력",SUM($K7:$L7)-$U7))</f>
        <v>0</v>
      </c>
      <c r="W7" s="191" t="str">
        <f t="shared" ref="W7:W15" si="5">IF($AD7="국도비","ok",IF(($K7+$L7)=($U7+$V7),"ok","검토"))</f>
        <v>ok</v>
      </c>
      <c r="X7" s="190"/>
      <c r="Y7" s="227">
        <f>$T7</f>
        <v>0</v>
      </c>
      <c r="Z7" s="145">
        <f t="shared" ref="Z7:Z15" si="6">IF($Y7&lt;&gt;"도비",IF($AD7="국도비","직접입력",SUM($N7:$O7)),)</f>
        <v>0</v>
      </c>
      <c r="AA7" s="145">
        <f t="shared" ref="AA7:AA15" si="7">IF($Y7="도비",SUM($N7:$O7),IF($AD7="국도비","직접입력",SUM($N7:$O7)-$Z7))</f>
        <v>0</v>
      </c>
      <c r="AB7" s="191" t="str">
        <f t="shared" ref="AB7:AB15" si="8">IF($AD7="국도비","ok",IF(($N7+$O7)=($Z7+$AA7),"ok","검토"))</f>
        <v>ok</v>
      </c>
      <c r="AC7" s="192"/>
      <c r="AD7" s="220" t="str">
        <f>IF(AF7="","",IF($T7="도비","세입없음",$AF7&amp;"-"&amp;TEXT(COUNTIF(AF$7:AF7,AF$7:AF7),"00")))</f>
        <v>1504-01</v>
      </c>
      <c r="AE7" s="190"/>
      <c r="AF7" s="201" t="str">
        <f t="array" ref="AF7">IFERROR(IF($C7="","",INDEX(구분표!$I$2:$I$1001,MATCH(1,(구분표!$B$2:$B$1001='16년3추 일입'!$A7)*(구분표!$C$2:$C$1001='16년3추 일입'!$B7)*(구분표!$A$2:$A$1001='16년3추 일입'!$C7),0))),"@@")</f>
        <v>1504</v>
      </c>
      <c r="AG7" s="199"/>
      <c r="AH7" s="194"/>
      <c r="AI7" s="199"/>
      <c r="AJ7" s="204">
        <f>IF(AD7="","",SUMIFS('16년 3추일출'!$W$12:$W$9239,'16년 3추일출'!$AF$12:$AF$9239,'16년3추 일입'!$AD7))</f>
        <v>0</v>
      </c>
      <c r="AK7" s="194">
        <f>IF(AD7="","",IF(AD7="세입없음","",COUNTIF('16년 3추일출'!$AF$12:$AF$9239,'16년3추 일입'!$AD7)))</f>
        <v>0</v>
      </c>
      <c r="AL7" s="203" t="str">
        <f t="shared" ref="AL7:AL15" si="9">IF(U7=0,"OK",IF(U7=AJ7,"OK","@@"))</f>
        <v>OK</v>
      </c>
      <c r="AM7" s="199"/>
      <c r="AN7" s="204">
        <f>IF(AD7="","",SUMIFS('16년 3추일출'!$AB$12:$AB$9239,'16년 3추일출'!$AF$12:$AF$9239,'16년3추 일입'!$AD7))</f>
        <v>0</v>
      </c>
      <c r="AO7" s="194">
        <f>IF(AD7="","",IF(AD7="세입없음","",COUNTIF('16년 3추일출'!$AF$12:$AF$9239,'16년3추 일입'!$AD7)))</f>
        <v>0</v>
      </c>
      <c r="AP7" s="203" t="str">
        <f t="shared" ref="AP7:AP15" si="10">IF(Z7=0,"OK",IF(Z7=AN7,"OK","@@"))</f>
        <v>OK</v>
      </c>
    </row>
    <row r="8" spans="1:42" ht="39.950000000000003" customHeight="1">
      <c r="A8" s="213"/>
      <c r="B8" s="213"/>
      <c r="C8" s="215"/>
      <c r="D8" s="214"/>
      <c r="E8" s="214"/>
      <c r="F8" s="214"/>
      <c r="G8" s="215"/>
      <c r="H8" s="233"/>
      <c r="I8" s="233"/>
      <c r="J8" s="233" t="str">
        <f t="shared" si="2"/>
        <v/>
      </c>
      <c r="K8" s="145"/>
      <c r="L8" s="145"/>
      <c r="M8" s="59">
        <f t="shared" ref="M8:M15" si="11">IF(H8=0,I8+K8+L8,H8+K8+L8)</f>
        <v>0</v>
      </c>
      <c r="N8" s="145"/>
      <c r="O8" s="145"/>
      <c r="P8" s="59">
        <f t="shared" si="3"/>
        <v>0</v>
      </c>
      <c r="Q8" s="60"/>
      <c r="R8" s="217"/>
      <c r="S8" s="61"/>
      <c r="T8" s="192"/>
      <c r="U8" s="145">
        <f t="shared" ref="U8:U15" si="12">IF($T8&lt;&gt;"도비",IF($AD8="국도비","직접입력",SUM($K8:$L8)),)</f>
        <v>0</v>
      </c>
      <c r="V8" s="145">
        <f t="shared" si="4"/>
        <v>0</v>
      </c>
      <c r="W8" s="63" t="str">
        <f t="shared" si="5"/>
        <v>ok</v>
      </c>
      <c r="X8" s="61"/>
      <c r="Y8" s="227">
        <f>$T8</f>
        <v>0</v>
      </c>
      <c r="Z8" s="145">
        <f t="shared" si="6"/>
        <v>0</v>
      </c>
      <c r="AA8" s="145">
        <f t="shared" si="7"/>
        <v>0</v>
      </c>
      <c r="AB8" s="63" t="str">
        <f t="shared" si="8"/>
        <v>ok</v>
      </c>
      <c r="AC8" s="195"/>
      <c r="AD8" s="220" t="str">
        <f>IF(AF8="","",IF($T8="도비","세입없음",$AF8&amp;"-"&amp;TEXT(COUNTIF(AF$7:AF8,AF$7:AF8),"00")))</f>
        <v/>
      </c>
      <c r="AE8" s="61"/>
      <c r="AF8" s="201" t="str">
        <f t="array" ref="AF8">IFERROR(IF($C8="","",INDEX(구분표!$I$2:$I$1001,MATCH(1,(구분표!$B$2:$B$1001='16년3추 일입'!$A8)*(구분표!$C$2:$C$1001='16년3추 일입'!$B8)*(구분표!$A$2:$A$1001='16년3추 일입'!$C8),0))),"@@")</f>
        <v/>
      </c>
      <c r="AG8" s="195"/>
      <c r="AH8" s="194"/>
      <c r="AI8" s="195"/>
      <c r="AJ8" s="204" t="str">
        <f>IF(AD8="","",SUMIFS('16년 3추일출'!$W$12:$W$9239,'16년 3추일출'!$AF$12:$AF$9239,'16년3추 일입'!$AD8))</f>
        <v/>
      </c>
      <c r="AK8" s="194" t="str">
        <f>IF(AD8="","",IF(AD8="세입없음","",COUNTIF('16년 3추일출'!$AF$12:$AF$9239,'16년3추 일입'!$AD8)))</f>
        <v/>
      </c>
      <c r="AL8" s="203" t="str">
        <f t="shared" si="9"/>
        <v>OK</v>
      </c>
      <c r="AM8" s="195"/>
      <c r="AN8" s="204" t="str">
        <f>IF(AD8="","",SUMIFS('16년 3추일출'!$AB$12:$AB$9239,'16년 3추일출'!$AF$12:$AF$9239,'16년3추 일입'!$AD8))</f>
        <v/>
      </c>
      <c r="AO8" s="194" t="str">
        <f>IF(AD8="","",IF(AD8="세입없음","",COUNTIF('16년 3추일출'!$AF$12:$AF$9239,'16년3추 일입'!$AD8)))</f>
        <v/>
      </c>
      <c r="AP8" s="203" t="str">
        <f t="shared" si="10"/>
        <v>OK</v>
      </c>
    </row>
    <row r="9" spans="1:42" ht="39.950000000000003" customHeight="1">
      <c r="A9" s="213"/>
      <c r="B9" s="213"/>
      <c r="C9" s="215"/>
      <c r="D9" s="214"/>
      <c r="E9" s="214"/>
      <c r="F9" s="214"/>
      <c r="G9" s="215"/>
      <c r="H9" s="233"/>
      <c r="I9" s="233"/>
      <c r="J9" s="233" t="str">
        <f t="shared" si="2"/>
        <v/>
      </c>
      <c r="K9" s="145"/>
      <c r="L9" s="145"/>
      <c r="M9" s="59">
        <f t="shared" si="11"/>
        <v>0</v>
      </c>
      <c r="N9" s="145"/>
      <c r="O9" s="145"/>
      <c r="P9" s="59">
        <f t="shared" si="3"/>
        <v>0</v>
      </c>
      <c r="Q9" s="60"/>
      <c r="R9" s="218"/>
      <c r="S9" s="61"/>
      <c r="T9" s="192"/>
      <c r="U9" s="145">
        <f t="shared" si="12"/>
        <v>0</v>
      </c>
      <c r="V9" s="145">
        <f t="shared" si="4"/>
        <v>0</v>
      </c>
      <c r="W9" s="63" t="str">
        <f t="shared" si="5"/>
        <v>ok</v>
      </c>
      <c r="X9" s="61"/>
      <c r="Y9" s="227">
        <f t="shared" ref="Y9:Y15" si="13">$T9</f>
        <v>0</v>
      </c>
      <c r="Z9" s="145">
        <f t="shared" si="6"/>
        <v>0</v>
      </c>
      <c r="AA9" s="145">
        <f t="shared" si="7"/>
        <v>0</v>
      </c>
      <c r="AB9" s="63" t="str">
        <f t="shared" si="8"/>
        <v>ok</v>
      </c>
      <c r="AC9" s="192"/>
      <c r="AD9" s="220" t="str">
        <f>IF(AF9="","",IF($T9="도비","세입없음",$AF9&amp;"-"&amp;TEXT(COUNTIF(AF$7:AF9,AF$7:AF9),"00")))</f>
        <v/>
      </c>
      <c r="AE9" s="61"/>
      <c r="AF9" s="201" t="str">
        <f t="array" ref="AF9">IFERROR(IF($C9="","",INDEX(구분표!$I$2:$I$1001,MATCH(1,(구분표!$B$2:$B$1001='16년3추 일입'!$A9)*(구분표!$C$2:$C$1001='16년3추 일입'!$B9)*(구분표!$A$2:$A$1001='16년3추 일입'!$C9),0))),"@@")</f>
        <v/>
      </c>
      <c r="AG9" s="199"/>
      <c r="AH9" s="194"/>
      <c r="AI9" s="199"/>
      <c r="AJ9" s="204" t="str">
        <f>IF(AD9="","",SUMIFS('16년 3추일출'!$W$12:$W$9239,'16년 3추일출'!$AF$12:$AF$9239,'16년3추 일입'!$AD9))</f>
        <v/>
      </c>
      <c r="AK9" s="194" t="str">
        <f>IF(AD9="","",IF(AD9="세입없음","",COUNTIF('16년 3추일출'!$AF$12:$AF$9239,'16년3추 일입'!$AD9)))</f>
        <v/>
      </c>
      <c r="AL9" s="203" t="str">
        <f t="shared" si="9"/>
        <v>OK</v>
      </c>
      <c r="AM9" s="199"/>
      <c r="AN9" s="204" t="str">
        <f>IF(AD9="","",SUMIFS('16년 3추일출'!$AB$12:$AB$9239,'16년 3추일출'!$AF$12:$AF$9239,'16년3추 일입'!$AD9))</f>
        <v/>
      </c>
      <c r="AO9" s="194" t="str">
        <f>IF(AD9="","",IF(AD9="세입없음","",COUNTIF('16년 3추일출'!$AF$12:$AF$9239,'16년3추 일입'!$AD9)))</f>
        <v/>
      </c>
      <c r="AP9" s="203" t="str">
        <f t="shared" si="10"/>
        <v>OK</v>
      </c>
    </row>
    <row r="10" spans="1:42" ht="39.950000000000003" customHeight="1">
      <c r="A10" s="213"/>
      <c r="B10" s="213"/>
      <c r="C10" s="215"/>
      <c r="D10" s="214"/>
      <c r="E10" s="214"/>
      <c r="F10" s="214"/>
      <c r="G10" s="215"/>
      <c r="H10" s="233"/>
      <c r="I10" s="233"/>
      <c r="J10" s="233" t="str">
        <f t="shared" si="2"/>
        <v/>
      </c>
      <c r="K10" s="145"/>
      <c r="L10" s="145"/>
      <c r="M10" s="59">
        <f t="shared" si="11"/>
        <v>0</v>
      </c>
      <c r="N10" s="145"/>
      <c r="O10" s="145"/>
      <c r="P10" s="59">
        <f t="shared" si="3"/>
        <v>0</v>
      </c>
      <c r="Q10" s="60"/>
      <c r="R10" s="217"/>
      <c r="S10" s="61"/>
      <c r="T10" s="192"/>
      <c r="U10" s="145">
        <f t="shared" si="12"/>
        <v>0</v>
      </c>
      <c r="V10" s="145">
        <f t="shared" si="4"/>
        <v>0</v>
      </c>
      <c r="W10" s="63" t="str">
        <f t="shared" si="5"/>
        <v>ok</v>
      </c>
      <c r="X10" s="61"/>
      <c r="Y10" s="227">
        <f t="shared" si="13"/>
        <v>0</v>
      </c>
      <c r="Z10" s="145">
        <f t="shared" si="6"/>
        <v>0</v>
      </c>
      <c r="AA10" s="145">
        <f t="shared" si="7"/>
        <v>0</v>
      </c>
      <c r="AB10" s="63" t="str">
        <f t="shared" si="8"/>
        <v>ok</v>
      </c>
      <c r="AC10" s="192"/>
      <c r="AD10" s="220" t="str">
        <f>IF(AF10="","",IF($T10="도비","세입없음",$AF10&amp;"-"&amp;TEXT(COUNTIF(AF$7:AF10,AF$7:AF10),"00")))</f>
        <v/>
      </c>
      <c r="AE10" s="61"/>
      <c r="AF10" s="201" t="str">
        <f t="array" ref="AF10">IFERROR(IF($C10="","",INDEX(구분표!$I$2:$I$1001,MATCH(1,(구분표!$B$2:$B$1001='16년3추 일입'!$A10)*(구분표!$C$2:$C$1001='16년3추 일입'!$B10)*(구분표!$A$2:$A$1001='16년3추 일입'!$C10),0))),"@@")</f>
        <v/>
      </c>
      <c r="AG10" s="199"/>
      <c r="AH10" s="194"/>
      <c r="AI10" s="199"/>
      <c r="AJ10" s="204" t="str">
        <f>IF(AD10="","",SUMIFS('16년 3추일출'!$W$12:$W$9239,'16년 3추일출'!$AF$12:$AF$9239,'16년3추 일입'!$AD10))</f>
        <v/>
      </c>
      <c r="AK10" s="194" t="str">
        <f>IF(AD10="","",IF(AD10="세입없음","",COUNTIF('16년 3추일출'!$AF$12:$AF$9239,'16년3추 일입'!$AD10)))</f>
        <v/>
      </c>
      <c r="AL10" s="203" t="str">
        <f t="shared" si="9"/>
        <v>OK</v>
      </c>
      <c r="AM10" s="199"/>
      <c r="AN10" s="204" t="str">
        <f>IF(AD10="","",SUMIFS('16년 3추일출'!$AB$12:$AB$9239,'16년 3추일출'!$AF$12:$AF$9239,'16년3추 일입'!$AD10))</f>
        <v/>
      </c>
      <c r="AO10" s="194" t="str">
        <f>IF(AD10="","",IF(AD10="세입없음","",COUNTIF('16년 3추일출'!$AF$12:$AF$9239,'16년3추 일입'!$AD10)))</f>
        <v/>
      </c>
      <c r="AP10" s="203" t="str">
        <f t="shared" si="10"/>
        <v>OK</v>
      </c>
    </row>
    <row r="11" spans="1:42" ht="39.950000000000003" customHeight="1">
      <c r="A11" s="213"/>
      <c r="B11" s="213"/>
      <c r="C11" s="215"/>
      <c r="D11" s="214"/>
      <c r="E11" s="214"/>
      <c r="F11" s="214"/>
      <c r="G11" s="215"/>
      <c r="H11" s="233"/>
      <c r="I11" s="233"/>
      <c r="J11" s="233" t="str">
        <f t="shared" si="2"/>
        <v/>
      </c>
      <c r="K11" s="145"/>
      <c r="L11" s="145"/>
      <c r="M11" s="59">
        <f t="shared" si="11"/>
        <v>0</v>
      </c>
      <c r="N11" s="145"/>
      <c r="O11" s="145"/>
      <c r="P11" s="59">
        <f t="shared" si="3"/>
        <v>0</v>
      </c>
      <c r="Q11" s="60"/>
      <c r="R11" s="218"/>
      <c r="S11" s="61"/>
      <c r="T11" s="192"/>
      <c r="U11" s="145">
        <f t="shared" si="12"/>
        <v>0</v>
      </c>
      <c r="V11" s="145">
        <f t="shared" si="4"/>
        <v>0</v>
      </c>
      <c r="W11" s="63" t="str">
        <f t="shared" si="5"/>
        <v>ok</v>
      </c>
      <c r="X11" s="61"/>
      <c r="Y11" s="227">
        <f t="shared" si="13"/>
        <v>0</v>
      </c>
      <c r="Z11" s="145">
        <f t="shared" si="6"/>
        <v>0</v>
      </c>
      <c r="AA11" s="145">
        <f t="shared" si="7"/>
        <v>0</v>
      </c>
      <c r="AB11" s="63" t="str">
        <f t="shared" si="8"/>
        <v>ok</v>
      </c>
      <c r="AC11" s="192"/>
      <c r="AD11" s="220" t="str">
        <f>IF(AF11="","",IF($T11="도비","세입없음",$AF11&amp;"-"&amp;TEXT(COUNTIF(AF$7:AF11,AF$7:AF11),"00")))</f>
        <v/>
      </c>
      <c r="AE11" s="61"/>
      <c r="AF11" s="201" t="str">
        <f t="array" ref="AF11">IFERROR(IF($C11="","",INDEX(구분표!$I$2:$I$1001,MATCH(1,(구분표!$B$2:$B$1001='16년3추 일입'!$A11)*(구분표!$C$2:$C$1001='16년3추 일입'!$B11)*(구분표!$A$2:$A$1001='16년3추 일입'!$C11),0))),"@@")</f>
        <v/>
      </c>
      <c r="AG11" s="199"/>
      <c r="AH11" s="194"/>
      <c r="AI11" s="199"/>
      <c r="AJ11" s="204" t="str">
        <f>IF(AD11="","",SUMIFS('16년 3추일출'!$W$12:$W$9239,'16년 3추일출'!$AF$12:$AF$9239,'16년3추 일입'!$AD11))</f>
        <v/>
      </c>
      <c r="AK11" s="194" t="str">
        <f>IF(AD11="","",IF(AD11="세입없음","",COUNTIF('16년 3추일출'!$AF$12:$AF$9239,'16년3추 일입'!$AD11)))</f>
        <v/>
      </c>
      <c r="AL11" s="203" t="str">
        <f t="shared" si="9"/>
        <v>OK</v>
      </c>
      <c r="AM11" s="199"/>
      <c r="AN11" s="204" t="str">
        <f>IF(AD11="","",SUMIFS('16년 3추일출'!$AB$12:$AB$9239,'16년 3추일출'!$AF$12:$AF$9239,'16년3추 일입'!$AD11))</f>
        <v/>
      </c>
      <c r="AO11" s="194" t="str">
        <f>IF(AD11="","",IF(AD11="세입없음","",COUNTIF('16년 3추일출'!$AF$12:$AF$9239,'16년3추 일입'!$AD11)))</f>
        <v/>
      </c>
      <c r="AP11" s="203" t="str">
        <f t="shared" si="10"/>
        <v>OK</v>
      </c>
    </row>
    <row r="12" spans="1:42" ht="39.950000000000003" customHeight="1">
      <c r="A12" s="213"/>
      <c r="B12" s="213"/>
      <c r="C12" s="215"/>
      <c r="D12" s="214"/>
      <c r="E12" s="214"/>
      <c r="F12" s="214"/>
      <c r="G12" s="215"/>
      <c r="H12" s="233"/>
      <c r="I12" s="233"/>
      <c r="J12" s="233" t="str">
        <f t="shared" si="2"/>
        <v/>
      </c>
      <c r="K12" s="145"/>
      <c r="L12" s="145"/>
      <c r="M12" s="59">
        <f t="shared" si="11"/>
        <v>0</v>
      </c>
      <c r="N12" s="145"/>
      <c r="O12" s="145"/>
      <c r="P12" s="59">
        <f t="shared" si="3"/>
        <v>0</v>
      </c>
      <c r="Q12" s="60"/>
      <c r="R12" s="217"/>
      <c r="S12" s="61"/>
      <c r="T12" s="192"/>
      <c r="U12" s="145">
        <f t="shared" si="12"/>
        <v>0</v>
      </c>
      <c r="V12" s="145">
        <f t="shared" si="4"/>
        <v>0</v>
      </c>
      <c r="W12" s="63" t="str">
        <f t="shared" si="5"/>
        <v>ok</v>
      </c>
      <c r="X12" s="61"/>
      <c r="Y12" s="227">
        <f t="shared" si="13"/>
        <v>0</v>
      </c>
      <c r="Z12" s="145">
        <f t="shared" si="6"/>
        <v>0</v>
      </c>
      <c r="AA12" s="145">
        <f t="shared" si="7"/>
        <v>0</v>
      </c>
      <c r="AB12" s="63" t="str">
        <f t="shared" si="8"/>
        <v>ok</v>
      </c>
      <c r="AC12" s="192"/>
      <c r="AD12" s="220" t="str">
        <f>IF(AF12="","",IF($T12="도비","세입없음",$AF12&amp;"-"&amp;TEXT(COUNTIF(AF$7:AF12,AF$7:AF12),"00")))</f>
        <v/>
      </c>
      <c r="AE12" s="61"/>
      <c r="AF12" s="201" t="str">
        <f t="array" ref="AF12">IFERROR(IF($C12="","",INDEX(구분표!$I$2:$I$1001,MATCH(1,(구분표!$B$2:$B$1001='16년3추 일입'!$A12)*(구분표!$C$2:$C$1001='16년3추 일입'!$B12)*(구분표!$A$2:$A$1001='16년3추 일입'!$C12),0))),"@@")</f>
        <v/>
      </c>
      <c r="AG12" s="199"/>
      <c r="AH12" s="194"/>
      <c r="AI12" s="199"/>
      <c r="AJ12" s="204" t="str">
        <f>IF(AD12="","",SUMIFS('16년 3추일출'!$W$12:$W$9239,'16년 3추일출'!$AF$12:$AF$9239,'16년3추 일입'!$AD12))</f>
        <v/>
      </c>
      <c r="AK12" s="194" t="str">
        <f>IF(AD12="","",IF(AD12="세입없음","",COUNTIF('16년 3추일출'!$AF$12:$AF$9239,'16년3추 일입'!$AD12)))</f>
        <v/>
      </c>
      <c r="AL12" s="203" t="str">
        <f t="shared" si="9"/>
        <v>OK</v>
      </c>
      <c r="AM12" s="199"/>
      <c r="AN12" s="204" t="str">
        <f>IF(AD12="","",SUMIFS('16년 3추일출'!$AB$12:$AB$9239,'16년 3추일출'!$AF$12:$AF$9239,'16년3추 일입'!$AD12))</f>
        <v/>
      </c>
      <c r="AO12" s="194" t="str">
        <f>IF(AD12="","",IF(AD12="세입없음","",COUNTIF('16년 3추일출'!$AF$12:$AF$9239,'16년3추 일입'!$AD12)))</f>
        <v/>
      </c>
      <c r="AP12" s="203" t="str">
        <f t="shared" si="10"/>
        <v>OK</v>
      </c>
    </row>
    <row r="13" spans="1:42" ht="39.950000000000003" customHeight="1">
      <c r="A13" s="213"/>
      <c r="B13" s="213"/>
      <c r="C13" s="215"/>
      <c r="D13" s="214"/>
      <c r="E13" s="214"/>
      <c r="F13" s="214"/>
      <c r="G13" s="215"/>
      <c r="H13" s="233"/>
      <c r="I13" s="233"/>
      <c r="J13" s="233" t="str">
        <f t="shared" si="2"/>
        <v/>
      </c>
      <c r="K13" s="145"/>
      <c r="L13" s="145"/>
      <c r="M13" s="59">
        <f t="shared" si="11"/>
        <v>0</v>
      </c>
      <c r="N13" s="145"/>
      <c r="O13" s="145"/>
      <c r="P13" s="59">
        <f t="shared" si="3"/>
        <v>0</v>
      </c>
      <c r="Q13" s="60"/>
      <c r="R13" s="218"/>
      <c r="S13" s="61"/>
      <c r="T13" s="192"/>
      <c r="U13" s="145">
        <f t="shared" si="12"/>
        <v>0</v>
      </c>
      <c r="V13" s="145">
        <f t="shared" si="4"/>
        <v>0</v>
      </c>
      <c r="W13" s="63" t="str">
        <f t="shared" si="5"/>
        <v>ok</v>
      </c>
      <c r="X13" s="61"/>
      <c r="Y13" s="227">
        <f t="shared" si="13"/>
        <v>0</v>
      </c>
      <c r="Z13" s="145">
        <f t="shared" si="6"/>
        <v>0</v>
      </c>
      <c r="AA13" s="145">
        <f t="shared" si="7"/>
        <v>0</v>
      </c>
      <c r="AB13" s="63" t="str">
        <f t="shared" si="8"/>
        <v>ok</v>
      </c>
      <c r="AC13" s="195"/>
      <c r="AD13" s="220" t="str">
        <f>IF(AF13="","",IF($T13="도비","세입없음",$AF13&amp;"-"&amp;TEXT(COUNTIF(AF$7:AF13,AF$7:AF13),"00")))</f>
        <v/>
      </c>
      <c r="AE13" s="61"/>
      <c r="AF13" s="201" t="str">
        <f t="array" ref="AF13">IFERROR(IF($C13="","",INDEX(구분표!$I$2:$I$1001,MATCH(1,(구분표!$B$2:$B$1001='16년3추 일입'!$A13)*(구분표!$C$2:$C$1001='16년3추 일입'!$B13)*(구분표!$A$2:$A$1001='16년3추 일입'!$C13),0))),"@@")</f>
        <v/>
      </c>
      <c r="AG13" s="195"/>
      <c r="AH13" s="194"/>
      <c r="AI13" s="195"/>
      <c r="AJ13" s="204" t="str">
        <f>IF(AD13="","",SUMIFS('16년 3추일출'!$W$12:$W$9239,'16년 3추일출'!$AF$12:$AF$9239,'16년3추 일입'!$AD13))</f>
        <v/>
      </c>
      <c r="AK13" s="194" t="str">
        <f>IF(AD13="","",IF(AD13="세입없음","",COUNTIF('16년 3추일출'!$AF$12:$AF$9239,'16년3추 일입'!$AD13)))</f>
        <v/>
      </c>
      <c r="AL13" s="203" t="str">
        <f t="shared" si="9"/>
        <v>OK</v>
      </c>
      <c r="AM13" s="195"/>
      <c r="AN13" s="204" t="str">
        <f>IF(AD13="","",SUMIFS('16년 3추일출'!$AB$12:$AB$9239,'16년 3추일출'!$AF$12:$AF$9239,'16년3추 일입'!$AD13))</f>
        <v/>
      </c>
      <c r="AO13" s="194" t="str">
        <f>IF(AD13="","",IF(AD13="세입없음","",COUNTIF('16년 3추일출'!$AF$12:$AF$9239,'16년3추 일입'!$AD13)))</f>
        <v/>
      </c>
      <c r="AP13" s="203" t="str">
        <f t="shared" si="10"/>
        <v>OK</v>
      </c>
    </row>
    <row r="14" spans="1:42" ht="39.950000000000003" customHeight="1">
      <c r="A14" s="213"/>
      <c r="B14" s="213"/>
      <c r="C14" s="215"/>
      <c r="D14" s="214"/>
      <c r="E14" s="214"/>
      <c r="F14" s="214"/>
      <c r="G14" s="215"/>
      <c r="H14" s="233"/>
      <c r="I14" s="233"/>
      <c r="J14" s="233" t="str">
        <f t="shared" si="2"/>
        <v/>
      </c>
      <c r="K14" s="145"/>
      <c r="L14" s="145"/>
      <c r="M14" s="59">
        <f t="shared" si="11"/>
        <v>0</v>
      </c>
      <c r="N14" s="145"/>
      <c r="O14" s="145"/>
      <c r="P14" s="59">
        <f t="shared" si="3"/>
        <v>0</v>
      </c>
      <c r="Q14" s="60"/>
      <c r="R14" s="218"/>
      <c r="S14" s="61"/>
      <c r="T14" s="192"/>
      <c r="U14" s="145">
        <f t="shared" si="12"/>
        <v>0</v>
      </c>
      <c r="V14" s="145">
        <f t="shared" si="4"/>
        <v>0</v>
      </c>
      <c r="W14" s="63" t="str">
        <f t="shared" si="5"/>
        <v>ok</v>
      </c>
      <c r="X14" s="61"/>
      <c r="Y14" s="227">
        <f t="shared" si="13"/>
        <v>0</v>
      </c>
      <c r="Z14" s="145">
        <f t="shared" si="6"/>
        <v>0</v>
      </c>
      <c r="AA14" s="145">
        <f t="shared" si="7"/>
        <v>0</v>
      </c>
      <c r="AB14" s="63" t="str">
        <f t="shared" si="8"/>
        <v>ok</v>
      </c>
      <c r="AC14" s="195"/>
      <c r="AD14" s="220" t="str">
        <f>IF(AF14="","",IF($T14="도비","세입없음",$AF14&amp;"-"&amp;TEXT(COUNTIF(AF$7:AF14,AF$7:AF14),"00")))</f>
        <v/>
      </c>
      <c r="AE14" s="61"/>
      <c r="AF14" s="201" t="str">
        <f t="array" ref="AF14">IFERROR(IF($C14="","",INDEX(구분표!$I$2:$I$1001,MATCH(1,(구분표!$B$2:$B$1001='16년3추 일입'!$A14)*(구분표!$C$2:$C$1001='16년3추 일입'!$B14)*(구분표!$A$2:$A$1001='16년3추 일입'!$C14),0))),"@@")</f>
        <v/>
      </c>
      <c r="AG14" s="195"/>
      <c r="AH14" s="194"/>
      <c r="AI14" s="195"/>
      <c r="AJ14" s="204" t="str">
        <f>IF(AD14="","",SUMIFS('16년 3추일출'!$W$12:$W$9239,'16년 3추일출'!$AF$12:$AF$9239,'16년3추 일입'!$AD14))</f>
        <v/>
      </c>
      <c r="AK14" s="194" t="str">
        <f>IF(AD14="","",IF(AD14="세입없음","",COUNTIF('16년 3추일출'!$AF$12:$AF$9239,'16년3추 일입'!$AD14)))</f>
        <v/>
      </c>
      <c r="AL14" s="203" t="str">
        <f t="shared" si="9"/>
        <v>OK</v>
      </c>
      <c r="AM14" s="195"/>
      <c r="AN14" s="204" t="str">
        <f>IF(AD14="","",SUMIFS('16년 3추일출'!$AB$12:$AB$9239,'16년 3추일출'!$AF$12:$AF$9239,'16년3추 일입'!$AD14))</f>
        <v/>
      </c>
      <c r="AO14" s="194" t="str">
        <f>IF(AD14="","",IF(AD14="세입없음","",COUNTIF('16년 3추일출'!$AF$12:$AF$9239,'16년3추 일입'!$AD14)))</f>
        <v/>
      </c>
      <c r="AP14" s="203" t="str">
        <f t="shared" si="10"/>
        <v>OK</v>
      </c>
    </row>
    <row r="15" spans="1:42" ht="39.950000000000003" customHeight="1">
      <c r="A15" s="213"/>
      <c r="B15" s="213"/>
      <c r="C15" s="215"/>
      <c r="D15" s="214"/>
      <c r="E15" s="214"/>
      <c r="F15" s="214"/>
      <c r="G15" s="215"/>
      <c r="H15" s="233"/>
      <c r="I15" s="233"/>
      <c r="J15" s="233" t="str">
        <f t="shared" si="2"/>
        <v/>
      </c>
      <c r="K15" s="145"/>
      <c r="L15" s="145"/>
      <c r="M15" s="59">
        <f t="shared" si="11"/>
        <v>0</v>
      </c>
      <c r="N15" s="145"/>
      <c r="O15" s="145"/>
      <c r="P15" s="59">
        <f t="shared" si="3"/>
        <v>0</v>
      </c>
      <c r="Q15" s="60"/>
      <c r="R15" s="217"/>
      <c r="S15" s="61"/>
      <c r="T15" s="192"/>
      <c r="U15" s="145">
        <f t="shared" si="12"/>
        <v>0</v>
      </c>
      <c r="V15" s="145">
        <f t="shared" si="4"/>
        <v>0</v>
      </c>
      <c r="W15" s="63" t="str">
        <f t="shared" si="5"/>
        <v>ok</v>
      </c>
      <c r="X15" s="61"/>
      <c r="Y15" s="227">
        <f t="shared" si="13"/>
        <v>0</v>
      </c>
      <c r="Z15" s="145">
        <f t="shared" si="6"/>
        <v>0</v>
      </c>
      <c r="AA15" s="145">
        <f t="shared" si="7"/>
        <v>0</v>
      </c>
      <c r="AB15" s="63" t="str">
        <f t="shared" si="8"/>
        <v>ok</v>
      </c>
      <c r="AC15" s="195"/>
      <c r="AD15" s="220" t="str">
        <f>IF(AF15="","",IF($T15="도비","세입없음",$AF15&amp;"-"&amp;TEXT(COUNTIF(AF$7:AF15,AF$7:AF15),"00")))</f>
        <v/>
      </c>
      <c r="AE15" s="61"/>
      <c r="AF15" s="201" t="str">
        <f t="array" ref="AF15">IFERROR(IF($C15="","",INDEX(구분표!$I$2:$I$1001,MATCH(1,(구분표!$B$2:$B$1001='16년3추 일입'!$A15)*(구분표!$C$2:$C$1001='16년3추 일입'!$B15)*(구분표!$A$2:$A$1001='16년3추 일입'!$C15),0))),"@@")</f>
        <v/>
      </c>
      <c r="AG15" s="195"/>
      <c r="AH15" s="194"/>
      <c r="AI15" s="195"/>
      <c r="AJ15" s="204" t="str">
        <f>IF(AD15="","",SUMIFS('16년 3추일출'!$W$12:$W$9239,'16년 3추일출'!$AF$12:$AF$9239,'16년3추 일입'!$AD15))</f>
        <v/>
      </c>
      <c r="AK15" s="194" t="str">
        <f>IF(AD15="","",IF(AD15="세입없음","",COUNTIF('16년 3추일출'!$AF$12:$AF$9239,'16년3추 일입'!$AD15)))</f>
        <v/>
      </c>
      <c r="AL15" s="203" t="str">
        <f t="shared" si="9"/>
        <v>OK</v>
      </c>
      <c r="AM15" s="195"/>
      <c r="AN15" s="204" t="str">
        <f>IF(AD15="","",SUMIFS('16년 3추일출'!$AB$12:$AB$9239,'16년 3추일출'!$AF$12:$AF$9239,'16년3추 일입'!$AD15))</f>
        <v/>
      </c>
      <c r="AO15" s="194" t="str">
        <f>IF(AD15="","",IF(AD15="세입없음","",COUNTIF('16년 3추일출'!$AF$12:$AF$9239,'16년3추 일입'!$AD15)))</f>
        <v/>
      </c>
      <c r="AP15" s="203" t="str">
        <f t="shared" si="10"/>
        <v>OK</v>
      </c>
    </row>
  </sheetData>
  <sheetProtection formatCells="0" formatColumns="0" formatRows="0" autoFilter="0"/>
  <sortState ref="A7:AH378">
    <sortCondition ref="AF7:AF378"/>
  </sortState>
  <mergeCells count="26"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H7:AH566 AJ7:AL566 AN7:AP566 AD7:AD566">
    <cfRule type="containsText" dxfId="101" priority="230" operator="containsText" text="국도비">
      <formula>NOT(ISERROR(SEARCH("국도비",AD7)))</formula>
    </cfRule>
  </conditionalFormatting>
  <conditionalFormatting sqref="H16:J566">
    <cfRule type="expression" dxfId="100" priority="229">
      <formula>($D16="본예산")</formula>
    </cfRule>
  </conditionalFormatting>
  <conditionalFormatting sqref="AC7:AC15 AG7:AG15 AI7:AI15 AM7:AM15 Z7:AB566 S7:V566">
    <cfRule type="containsText" dxfId="99" priority="228" operator="containsText" text="직접입력">
      <formula>NOT(ISERROR(SEARCH("직접입력",S7)))</formula>
    </cfRule>
  </conditionalFormatting>
  <conditionalFormatting sqref="H9:J9">
    <cfRule type="expression" dxfId="98" priority="1">
      <formula>($D9="본예산")</formula>
    </cfRule>
  </conditionalFormatting>
  <conditionalFormatting sqref="H10:J15">
    <cfRule type="expression" dxfId="97" priority="12">
      <formula>($D10="본예산")</formula>
    </cfRule>
  </conditionalFormatting>
  <conditionalFormatting sqref="H7:J8">
    <cfRule type="expression" dxfId="96" priority="3">
      <formula>($D7="본예산")</formula>
    </cfRule>
  </conditionalFormatting>
  <dataValidations count="1">
    <dataValidation type="list" allowBlank="1" showInputMessage="1" showErrorMessage="1" sqref="D7:D15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AM7:AM15 AG7:AG15</xm:sqref>
        </x14:dataValidation>
        <x14:dataValidation type="list" allowBlank="1" showInputMessage="1" showErrorMessage="1">
          <x14:formula1>
            <xm:f>구분표!$M$2:$M$7</xm:f>
          </x14:formula1>
          <xm:sqref>T7:T15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96"/>
  <sheetViews>
    <sheetView showGridLines="0" view="pageBreakPreview" zoomScale="70" zoomScaleNormal="80" zoomScaleSheetLayoutView="70" workbookViewId="0">
      <selection activeCell="R24" sqref="R24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bestFit="1" customWidth="1"/>
    <col min="5" max="5" width="7.625" style="169" customWidth="1"/>
    <col min="6" max="6" width="7.125" style="11" bestFit="1" customWidth="1"/>
    <col min="7" max="7" width="36" style="32" customWidth="1"/>
    <col min="8" max="8" width="11.625" style="32" customWidth="1"/>
    <col min="9" max="10" width="11.625" style="208" customWidth="1"/>
    <col min="11" max="16" width="11.625" style="32" customWidth="1"/>
    <col min="17" max="17" width="8.375" style="11" hidden="1" customWidth="1"/>
    <col min="18" max="18" width="36.375" style="32" customWidth="1"/>
    <col min="19" max="19" width="3" style="197" customWidth="1"/>
    <col min="20" max="20" width="6.125" style="11" customWidth="1"/>
    <col min="21" max="21" width="3" style="32" customWidth="1"/>
    <col min="22" max="22" width="6.125" style="21" customWidth="1"/>
    <col min="23" max="23" width="11.625" style="32" customWidth="1"/>
    <col min="24" max="24" width="11.125" style="32" customWidth="1"/>
    <col min="25" max="25" width="6" style="11" customWidth="1"/>
    <col min="26" max="26" width="3" style="32" customWidth="1"/>
    <col min="27" max="27" width="6.125" style="46" customWidth="1"/>
    <col min="28" max="28" width="11.625" style="32" customWidth="1"/>
    <col min="29" max="29" width="11.125" style="32" customWidth="1"/>
    <col min="30" max="30" width="6" style="11" customWidth="1"/>
    <col min="31" max="31" width="3" style="197" customWidth="1"/>
    <col min="32" max="32" width="9.375" style="223" customWidth="1"/>
    <col min="33" max="33" width="3" style="197" customWidth="1"/>
    <col min="34" max="35" width="5.625" style="169" hidden="1" customWidth="1"/>
    <col min="36" max="36" width="3" style="169" hidden="1" customWidth="1"/>
    <col min="37" max="37" width="11.625" style="32" hidden="1" customWidth="1"/>
    <col min="38" max="38" width="3" style="197" hidden="1" customWidth="1"/>
    <col min="39" max="39" width="6.125" style="169" hidden="1" customWidth="1"/>
    <col min="40" max="40" width="17.375" style="32" customWidth="1"/>
    <col min="41" max="16384" width="8.75" style="32"/>
  </cols>
  <sheetData>
    <row r="1" spans="1:39" ht="32.25" customHeight="1">
      <c r="A1" s="449" t="s">
        <v>616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</row>
    <row r="2" spans="1:39" ht="20.25">
      <c r="A2" s="12" t="s">
        <v>58</v>
      </c>
      <c r="B2" s="12"/>
      <c r="C2" s="12"/>
      <c r="D2" s="53"/>
      <c r="E2" s="183"/>
      <c r="F2" s="53"/>
      <c r="G2" s="12"/>
      <c r="N2" s="22"/>
      <c r="O2" s="22"/>
      <c r="W2" s="22" t="s">
        <v>71</v>
      </c>
      <c r="X2" s="23"/>
      <c r="AB2" s="22" t="s">
        <v>71</v>
      </c>
      <c r="AC2" s="23"/>
    </row>
    <row r="3" spans="1:39" ht="20.25">
      <c r="K3" s="57">
        <f>COUNTA(K7:K83)-10</f>
        <v>1</v>
      </c>
      <c r="L3" s="57">
        <f>COUNTA(L7:L83)-10</f>
        <v>2</v>
      </c>
      <c r="M3" s="58"/>
      <c r="N3" s="57">
        <f>COUNTA(N7:N83)-10</f>
        <v>0</v>
      </c>
      <c r="O3" s="57">
        <f>COUNTA(O7:O83)-10</f>
        <v>0</v>
      </c>
      <c r="P3" s="21"/>
      <c r="Q3" s="25"/>
      <c r="R3" s="54" t="s">
        <v>8</v>
      </c>
      <c r="W3" s="23" t="str">
        <f>IF(W6='16년3추 일입'!$U$6,"OK","@@")</f>
        <v>@@</v>
      </c>
      <c r="X3" s="32">
        <f>SUM(W6:X6)</f>
        <v>130000</v>
      </c>
      <c r="Y3" s="23" t="str">
        <f>IF(COUNTIF(Y6:Y891,"@@")&gt;0,"@@","OK")</f>
        <v>OK</v>
      </c>
      <c r="AB3" s="23" t="str">
        <f>IF(AB6='16년3추 일입'!$Z$6,"OK","@@")</f>
        <v>OK</v>
      </c>
      <c r="AC3" s="32">
        <f>SUM(AB6:AC6)</f>
        <v>0</v>
      </c>
      <c r="AD3" s="23" t="str">
        <f>IF(COUNTIF(AD6:AD891,"@@")&gt;0,"@@","OK")</f>
        <v>OK</v>
      </c>
      <c r="AK3" s="55"/>
    </row>
    <row r="4" spans="1:39" ht="30" customHeight="1">
      <c r="A4" s="454" t="s">
        <v>528</v>
      </c>
      <c r="B4" s="454" t="s">
        <v>123</v>
      </c>
      <c r="C4" s="454" t="s">
        <v>4</v>
      </c>
      <c r="D4" s="453" t="s">
        <v>124</v>
      </c>
      <c r="E4" s="453" t="s">
        <v>570</v>
      </c>
      <c r="F4" s="453" t="s">
        <v>571</v>
      </c>
      <c r="G4" s="454" t="s">
        <v>125</v>
      </c>
      <c r="H4" s="453" t="s">
        <v>625</v>
      </c>
      <c r="I4" s="453" t="s">
        <v>608</v>
      </c>
      <c r="J4" s="453" t="s">
        <v>644</v>
      </c>
      <c r="K4" s="455" t="s">
        <v>545</v>
      </c>
      <c r="L4" s="456"/>
      <c r="M4" s="457" t="s">
        <v>609</v>
      </c>
      <c r="N4" s="459" t="s">
        <v>546</v>
      </c>
      <c r="O4" s="460"/>
      <c r="P4" s="461" t="s">
        <v>610</v>
      </c>
      <c r="Q4" s="463" t="s">
        <v>572</v>
      </c>
      <c r="R4" s="454" t="s">
        <v>122</v>
      </c>
      <c r="T4" s="473" t="s">
        <v>527</v>
      </c>
      <c r="V4" s="468" t="s">
        <v>5</v>
      </c>
      <c r="W4" s="470" t="s">
        <v>7</v>
      </c>
      <c r="X4" s="456"/>
      <c r="Y4" s="456"/>
      <c r="AA4" s="476" t="s">
        <v>5</v>
      </c>
      <c r="AB4" s="460" t="s">
        <v>78</v>
      </c>
      <c r="AC4" s="460"/>
      <c r="AD4" s="460"/>
      <c r="AF4" s="466" t="s">
        <v>562</v>
      </c>
      <c r="AH4" s="473" t="s">
        <v>563</v>
      </c>
      <c r="AI4" s="473" t="s">
        <v>564</v>
      </c>
      <c r="AK4" s="473" t="s">
        <v>126</v>
      </c>
      <c r="AM4" s="473" t="s">
        <v>559</v>
      </c>
    </row>
    <row r="5" spans="1:39" ht="18" customHeight="1">
      <c r="A5" s="454"/>
      <c r="B5" s="454"/>
      <c r="C5" s="454"/>
      <c r="D5" s="454"/>
      <c r="E5" s="453"/>
      <c r="F5" s="453"/>
      <c r="G5" s="454"/>
      <c r="H5" s="454"/>
      <c r="I5" s="475"/>
      <c r="J5" s="475"/>
      <c r="K5" s="351" t="s">
        <v>0</v>
      </c>
      <c r="L5" s="351" t="s">
        <v>1</v>
      </c>
      <c r="M5" s="458"/>
      <c r="N5" s="184" t="s">
        <v>0</v>
      </c>
      <c r="O5" s="184" t="s">
        <v>1</v>
      </c>
      <c r="P5" s="462"/>
      <c r="Q5" s="463"/>
      <c r="R5" s="454"/>
      <c r="T5" s="474"/>
      <c r="V5" s="469"/>
      <c r="W5" s="66" t="s">
        <v>3</v>
      </c>
      <c r="X5" s="66" t="s">
        <v>2</v>
      </c>
      <c r="Y5" s="66" t="s">
        <v>76</v>
      </c>
      <c r="AA5" s="477"/>
      <c r="AB5" s="56" t="s">
        <v>3</v>
      </c>
      <c r="AC5" s="56" t="s">
        <v>2</v>
      </c>
      <c r="AD5" s="56" t="s">
        <v>76</v>
      </c>
      <c r="AF5" s="467"/>
      <c r="AH5" s="474"/>
      <c r="AI5" s="474"/>
      <c r="AK5" s="474"/>
      <c r="AM5" s="474"/>
    </row>
    <row r="6" spans="1:39" ht="39.950000000000003" customHeight="1">
      <c r="A6" s="193"/>
      <c r="B6" s="193"/>
      <c r="C6" s="171"/>
      <c r="D6" s="193"/>
      <c r="E6" s="193"/>
      <c r="F6" s="172"/>
      <c r="G6" s="193"/>
      <c r="H6" s="173">
        <f t="shared" ref="H6:P6" si="0">SUM(H7,H11,H16,H19,H22,H67,H70,H73,H77,H80)</f>
        <v>400000</v>
      </c>
      <c r="I6" s="173">
        <f t="shared" si="0"/>
        <v>0</v>
      </c>
      <c r="J6" s="173">
        <f t="shared" si="0"/>
        <v>400000</v>
      </c>
      <c r="K6" s="173">
        <f t="shared" si="0"/>
        <v>-50000</v>
      </c>
      <c r="L6" s="173">
        <f t="shared" si="0"/>
        <v>180000</v>
      </c>
      <c r="M6" s="173">
        <f t="shared" si="0"/>
        <v>530000</v>
      </c>
      <c r="N6" s="173">
        <f t="shared" si="0"/>
        <v>0</v>
      </c>
      <c r="O6" s="173">
        <f t="shared" si="0"/>
        <v>0</v>
      </c>
      <c r="P6" s="173">
        <f t="shared" si="0"/>
        <v>400000</v>
      </c>
      <c r="Q6" s="180"/>
      <c r="R6" s="177"/>
      <c r="T6" s="33"/>
      <c r="V6" s="154"/>
      <c r="W6" s="173">
        <f>SUM(W7,W11,W16,W19,W22,W67,W70,W73,W77,W80)</f>
        <v>130000</v>
      </c>
      <c r="X6" s="173">
        <f>SUM(X7,X11,X16,X19,X22,X67,X70,X73,X77,X80)</f>
        <v>0</v>
      </c>
      <c r="Y6" s="24"/>
      <c r="AA6" s="47"/>
      <c r="AB6" s="173">
        <f>SUM(AB7,AB11,AB16,AB19,AB22,AB67,AB70,AB73,AB77,AB80)</f>
        <v>0</v>
      </c>
      <c r="AC6" s="173">
        <f>SUM(AC7,AC11,AC16,AC19,AC22,AC67,AC70,AC73,AC77,AC80)</f>
        <v>0</v>
      </c>
      <c r="AD6" s="24"/>
      <c r="AF6" s="224"/>
      <c r="AH6" s="181"/>
      <c r="AI6" s="178"/>
      <c r="AK6" s="24"/>
      <c r="AM6" s="181"/>
    </row>
    <row r="7" spans="1:39" s="208" customFormat="1" ht="39.950000000000003" hidden="1" customHeight="1">
      <c r="A7" s="360" t="s">
        <v>622</v>
      </c>
      <c r="B7" s="361"/>
      <c r="C7" s="361"/>
      <c r="D7" s="361"/>
      <c r="E7" s="361"/>
      <c r="F7" s="361"/>
      <c r="G7" s="361"/>
      <c r="H7" s="362">
        <f t="shared" ref="H7:P7" si="1">SUM(H8:H10)</f>
        <v>0</v>
      </c>
      <c r="I7" s="362">
        <f t="shared" si="1"/>
        <v>0</v>
      </c>
      <c r="J7" s="362">
        <f t="shared" si="1"/>
        <v>0</v>
      </c>
      <c r="K7" s="362">
        <f t="shared" si="1"/>
        <v>0</v>
      </c>
      <c r="L7" s="362">
        <f t="shared" si="1"/>
        <v>0</v>
      </c>
      <c r="M7" s="362">
        <f t="shared" si="1"/>
        <v>0</v>
      </c>
      <c r="N7" s="362">
        <f t="shared" si="1"/>
        <v>0</v>
      </c>
      <c r="O7" s="362">
        <f t="shared" si="1"/>
        <v>0</v>
      </c>
      <c r="P7" s="362">
        <f t="shared" si="1"/>
        <v>0</v>
      </c>
      <c r="Q7" s="363"/>
      <c r="R7" s="364"/>
      <c r="T7" s="229"/>
      <c r="V7" s="154"/>
      <c r="W7" s="304">
        <f t="shared" ref="W7:X7" si="2">SUM(W8:W10)</f>
        <v>0</v>
      </c>
      <c r="X7" s="304">
        <f t="shared" si="2"/>
        <v>0</v>
      </c>
      <c r="Y7" s="231" t="str">
        <f t="shared" ref="Y7:Y83" si="3">IFERROR(IF(($K7+$L7)=($W7+$X7),"ok","검토"),"검토")</f>
        <v>ok</v>
      </c>
      <c r="AA7" s="232">
        <f t="shared" ref="AA7:AA10" si="4">$V7</f>
        <v>0</v>
      </c>
      <c r="AB7" s="304">
        <f t="shared" ref="AB7:AC7" si="5">SUM(AB8:AB10)</f>
        <v>0</v>
      </c>
      <c r="AC7" s="304">
        <f t="shared" si="5"/>
        <v>0</v>
      </c>
      <c r="AD7" s="178" t="str">
        <f t="shared" ref="AD7:AD82" si="6">IFERROR(IF((N7+O7)=(AB7+AC7),"ok","검토"),"검토")</f>
        <v>ok</v>
      </c>
      <c r="AF7" s="224"/>
      <c r="AH7" s="229" t="str">
        <f t="shared" ref="AH7:AH22" si="7">IF(AF7="","",COUNTIF($AF$7:$AF$10058,$AF7))</f>
        <v/>
      </c>
      <c r="AI7" s="231" t="str">
        <f t="shared" ref="AI7:AI83" si="8">IF(C7="","",IF(AND(V7="도비",AF7="세입없음"),"OK",IF(AND(V7&lt;&gt;"도비",AF7&lt;&gt;""),"Ok","@@")))</f>
        <v/>
      </c>
      <c r="AJ7" s="169"/>
      <c r="AK7" s="178"/>
      <c r="AM7" s="181"/>
    </row>
    <row r="8" spans="1:39" s="208" customFormat="1" ht="39.950000000000003" hidden="1" customHeight="1">
      <c r="A8" s="365" t="s">
        <v>627</v>
      </c>
      <c r="B8" s="365" t="s">
        <v>628</v>
      </c>
      <c r="C8" s="366"/>
      <c r="D8" s="367"/>
      <c r="E8" s="367"/>
      <c r="F8" s="367"/>
      <c r="G8" s="366"/>
      <c r="H8" s="368"/>
      <c r="I8" s="368"/>
      <c r="J8" s="368" t="str">
        <f t="shared" ref="J8:J10" si="9">IF(D8="","",H8-I8)</f>
        <v/>
      </c>
      <c r="K8" s="369"/>
      <c r="L8" s="369"/>
      <c r="M8" s="370">
        <f t="shared" ref="M8:M10" si="10">IF(H8=0,I8+K8+L8,H8+K8+L8)</f>
        <v>0</v>
      </c>
      <c r="N8" s="369"/>
      <c r="O8" s="369"/>
      <c r="P8" s="370">
        <f t="shared" ref="P8:P10" si="11">IF(H8=0,I8+N8+O8,H8+N8+O8)</f>
        <v>0</v>
      </c>
      <c r="Q8" s="371"/>
      <c r="R8" s="372"/>
      <c r="S8" s="209"/>
      <c r="T8" s="216"/>
      <c r="U8" s="189"/>
      <c r="V8" s="154"/>
      <c r="W8" s="145">
        <f t="shared" ref="W8:W83" si="12">IF($V8&lt;&gt;"도비",IF($T8="국도비","직접입력",SUM($K8:$L8)),)</f>
        <v>0</v>
      </c>
      <c r="X8" s="145">
        <f t="shared" ref="X8:X83" si="13">IF($V8="도비",SUM($K8:$L8),IF($T8="국도비","직접입력",SUM($K8:$L8)-$W8))</f>
        <v>0</v>
      </c>
      <c r="Y8" s="211" t="str">
        <f t="shared" si="3"/>
        <v>ok</v>
      </c>
      <c r="Z8" s="209"/>
      <c r="AA8" s="210">
        <f t="shared" si="4"/>
        <v>0</v>
      </c>
      <c r="AB8" s="145">
        <f t="shared" ref="AB8:AB83" si="14">IF($V8&lt;&gt;"도비",IF($T8="국도비","직접입력",SUM(N8:O8)),)</f>
        <v>0</v>
      </c>
      <c r="AC8" s="145">
        <f t="shared" ref="AC8:AC83" si="15">IF($V8="도비",SUM(N8:O8),IF($T8="국도비","직접입력",SUM(N8:O8)-AB8))</f>
        <v>0</v>
      </c>
      <c r="AD8" s="211" t="str">
        <f t="shared" si="6"/>
        <v>ok</v>
      </c>
      <c r="AE8" s="209"/>
      <c r="AF8" s="224"/>
      <c r="AG8" s="209"/>
      <c r="AH8" s="219" t="str">
        <f t="shared" si="7"/>
        <v/>
      </c>
      <c r="AI8" s="219" t="str">
        <f t="shared" si="8"/>
        <v/>
      </c>
      <c r="AJ8" s="221"/>
      <c r="AK8" s="178"/>
      <c r="AL8" s="209"/>
      <c r="AM8" s="181"/>
    </row>
    <row r="9" spans="1:39" s="208" customFormat="1" ht="39.950000000000003" hidden="1" customHeight="1">
      <c r="A9" s="365" t="s">
        <v>627</v>
      </c>
      <c r="B9" s="365" t="s">
        <v>629</v>
      </c>
      <c r="C9" s="366"/>
      <c r="D9" s="367"/>
      <c r="E9" s="367"/>
      <c r="F9" s="367"/>
      <c r="G9" s="366"/>
      <c r="H9" s="368"/>
      <c r="I9" s="368"/>
      <c r="J9" s="368" t="str">
        <f t="shared" si="9"/>
        <v/>
      </c>
      <c r="K9" s="369"/>
      <c r="L9" s="369"/>
      <c r="M9" s="370">
        <f t="shared" si="10"/>
        <v>0</v>
      </c>
      <c r="N9" s="369"/>
      <c r="O9" s="369"/>
      <c r="P9" s="370">
        <f t="shared" si="11"/>
        <v>0</v>
      </c>
      <c r="Q9" s="371"/>
      <c r="R9" s="372"/>
      <c r="S9" s="299"/>
      <c r="T9" s="300"/>
      <c r="U9" s="299"/>
      <c r="V9" s="154"/>
      <c r="W9" s="298">
        <f t="shared" si="12"/>
        <v>0</v>
      </c>
      <c r="X9" s="298">
        <f t="shared" si="13"/>
        <v>0</v>
      </c>
      <c r="Y9" s="297" t="str">
        <f t="shared" si="3"/>
        <v>ok</v>
      </c>
      <c r="Z9" s="299"/>
      <c r="AA9" s="301">
        <f t="shared" si="4"/>
        <v>0</v>
      </c>
      <c r="AB9" s="298">
        <f t="shared" si="14"/>
        <v>0</v>
      </c>
      <c r="AC9" s="298">
        <f t="shared" si="15"/>
        <v>0</v>
      </c>
      <c r="AD9" s="297" t="str">
        <f t="shared" si="6"/>
        <v>ok</v>
      </c>
      <c r="AE9" s="299"/>
      <c r="AF9" s="224"/>
      <c r="AG9" s="299"/>
      <c r="AH9" s="300" t="str">
        <f t="shared" si="7"/>
        <v/>
      </c>
      <c r="AI9" s="300" t="str">
        <f t="shared" si="8"/>
        <v/>
      </c>
      <c r="AJ9" s="302"/>
      <c r="AK9" s="178"/>
      <c r="AL9" s="299"/>
      <c r="AM9" s="181"/>
    </row>
    <row r="10" spans="1:39" s="208" customFormat="1" ht="39.950000000000003" hidden="1" customHeight="1">
      <c r="A10" s="365" t="s">
        <v>627</v>
      </c>
      <c r="B10" s="365" t="s">
        <v>630</v>
      </c>
      <c r="C10" s="366"/>
      <c r="D10" s="367"/>
      <c r="E10" s="367"/>
      <c r="F10" s="367"/>
      <c r="G10" s="366"/>
      <c r="H10" s="368"/>
      <c r="I10" s="368"/>
      <c r="J10" s="368" t="str">
        <f t="shared" si="9"/>
        <v/>
      </c>
      <c r="K10" s="369"/>
      <c r="L10" s="369"/>
      <c r="M10" s="370">
        <f t="shared" si="10"/>
        <v>0</v>
      </c>
      <c r="N10" s="369"/>
      <c r="O10" s="369"/>
      <c r="P10" s="370">
        <f t="shared" si="11"/>
        <v>0</v>
      </c>
      <c r="Q10" s="371"/>
      <c r="R10" s="372"/>
      <c r="S10" s="299"/>
      <c r="T10" s="300"/>
      <c r="U10" s="299"/>
      <c r="V10" s="154"/>
      <c r="W10" s="298">
        <f t="shared" si="12"/>
        <v>0</v>
      </c>
      <c r="X10" s="298">
        <f t="shared" si="13"/>
        <v>0</v>
      </c>
      <c r="Y10" s="297" t="str">
        <f t="shared" si="3"/>
        <v>ok</v>
      </c>
      <c r="Z10" s="299"/>
      <c r="AA10" s="301">
        <f t="shared" si="4"/>
        <v>0</v>
      </c>
      <c r="AB10" s="298">
        <f t="shared" si="14"/>
        <v>0</v>
      </c>
      <c r="AC10" s="298">
        <f t="shared" si="15"/>
        <v>0</v>
      </c>
      <c r="AD10" s="297" t="str">
        <f t="shared" si="6"/>
        <v>ok</v>
      </c>
      <c r="AE10" s="299"/>
      <c r="AF10" s="224"/>
      <c r="AG10" s="299"/>
      <c r="AH10" s="300" t="str">
        <f t="shared" si="7"/>
        <v/>
      </c>
      <c r="AI10" s="300" t="str">
        <f t="shared" si="8"/>
        <v/>
      </c>
      <c r="AJ10" s="302"/>
      <c r="AK10" s="178"/>
      <c r="AL10" s="299"/>
      <c r="AM10" s="181"/>
    </row>
    <row r="11" spans="1:39" s="208" customFormat="1" ht="39.950000000000003" hidden="1" customHeight="1">
      <c r="A11" s="360" t="s">
        <v>623</v>
      </c>
      <c r="B11" s="361"/>
      <c r="C11" s="361"/>
      <c r="D11" s="361"/>
      <c r="E11" s="361"/>
      <c r="F11" s="361"/>
      <c r="G11" s="361"/>
      <c r="H11" s="362">
        <f t="shared" ref="H11:P11" si="16">SUM(H12:H15)</f>
        <v>0</v>
      </c>
      <c r="I11" s="362">
        <f t="shared" si="16"/>
        <v>0</v>
      </c>
      <c r="J11" s="362">
        <f t="shared" si="16"/>
        <v>0</v>
      </c>
      <c r="K11" s="362">
        <f t="shared" si="16"/>
        <v>0</v>
      </c>
      <c r="L11" s="362">
        <f t="shared" si="16"/>
        <v>0</v>
      </c>
      <c r="M11" s="362">
        <f t="shared" si="16"/>
        <v>0</v>
      </c>
      <c r="N11" s="362">
        <f t="shared" si="16"/>
        <v>0</v>
      </c>
      <c r="O11" s="362">
        <f t="shared" si="16"/>
        <v>0</v>
      </c>
      <c r="P11" s="362">
        <f t="shared" si="16"/>
        <v>0</v>
      </c>
      <c r="Q11" s="363"/>
      <c r="R11" s="364"/>
      <c r="T11" s="229"/>
      <c r="V11" s="154"/>
      <c r="W11" s="308">
        <f t="shared" ref="W11:X11" si="17">SUM(W12:W15)</f>
        <v>0</v>
      </c>
      <c r="X11" s="308">
        <f t="shared" si="17"/>
        <v>0</v>
      </c>
      <c r="Y11" s="231" t="str">
        <f t="shared" si="3"/>
        <v>ok</v>
      </c>
      <c r="AA11" s="232">
        <f t="shared" ref="AA11:AA83" si="18">$V11</f>
        <v>0</v>
      </c>
      <c r="AB11" s="308">
        <f t="shared" ref="AB11:AC11" si="19">SUM(AB12:AB15)</f>
        <v>0</v>
      </c>
      <c r="AC11" s="308">
        <f t="shared" si="19"/>
        <v>0</v>
      </c>
      <c r="AD11" s="178" t="str">
        <f t="shared" si="6"/>
        <v>ok</v>
      </c>
      <c r="AF11" s="224"/>
      <c r="AH11" s="229" t="str">
        <f t="shared" si="7"/>
        <v/>
      </c>
      <c r="AI11" s="231" t="str">
        <f t="shared" si="8"/>
        <v/>
      </c>
      <c r="AJ11" s="169"/>
      <c r="AK11" s="178"/>
      <c r="AM11" s="181"/>
    </row>
    <row r="12" spans="1:39" s="208" customFormat="1" ht="39.950000000000003" hidden="1" customHeight="1">
      <c r="A12" s="365"/>
      <c r="B12" s="365"/>
      <c r="C12" s="366"/>
      <c r="D12" s="367"/>
      <c r="E12" s="367"/>
      <c r="F12" s="367"/>
      <c r="G12" s="366"/>
      <c r="H12" s="368"/>
      <c r="I12" s="368"/>
      <c r="J12" s="368" t="str">
        <f t="shared" ref="J12:J15" si="20">IF(D12="","",H12-I12)</f>
        <v/>
      </c>
      <c r="K12" s="369"/>
      <c r="L12" s="369"/>
      <c r="M12" s="370">
        <f t="shared" ref="M12:M72" si="21">IF(H12=0,I12+K12+L12,H12+K12+L12)</f>
        <v>0</v>
      </c>
      <c r="N12" s="369"/>
      <c r="O12" s="369"/>
      <c r="P12" s="370">
        <f t="shared" ref="P12:P72" si="22">IF(H12=0,I12+N12+O12,H12+N12+O12)</f>
        <v>0</v>
      </c>
      <c r="Q12" s="371"/>
      <c r="R12" s="372"/>
      <c r="S12" s="209"/>
      <c r="T12" s="216"/>
      <c r="U12" s="189"/>
      <c r="V12" s="154"/>
      <c r="W12" s="145">
        <f t="shared" si="12"/>
        <v>0</v>
      </c>
      <c r="X12" s="145">
        <f t="shared" si="13"/>
        <v>0</v>
      </c>
      <c r="Y12" s="211" t="str">
        <f t="shared" si="3"/>
        <v>ok</v>
      </c>
      <c r="Z12" s="209"/>
      <c r="AA12" s="210">
        <f t="shared" si="18"/>
        <v>0</v>
      </c>
      <c r="AB12" s="145">
        <f t="shared" si="14"/>
        <v>0</v>
      </c>
      <c r="AC12" s="145">
        <f t="shared" si="15"/>
        <v>0</v>
      </c>
      <c r="AD12" s="211" t="str">
        <f t="shared" si="6"/>
        <v>ok</v>
      </c>
      <c r="AE12" s="209"/>
      <c r="AF12" s="224"/>
      <c r="AG12" s="209"/>
      <c r="AH12" s="219" t="str">
        <f t="shared" si="7"/>
        <v/>
      </c>
      <c r="AI12" s="219" t="str">
        <f t="shared" si="8"/>
        <v/>
      </c>
      <c r="AJ12" s="221"/>
      <c r="AK12" s="178"/>
      <c r="AL12" s="209"/>
      <c r="AM12" s="181"/>
    </row>
    <row r="13" spans="1:39" ht="39.950000000000003" hidden="1" customHeight="1">
      <c r="A13" s="365"/>
      <c r="B13" s="373"/>
      <c r="C13" s="374"/>
      <c r="D13" s="375"/>
      <c r="E13" s="375"/>
      <c r="F13" s="375"/>
      <c r="G13" s="374"/>
      <c r="H13" s="368"/>
      <c r="I13" s="368"/>
      <c r="J13" s="368" t="str">
        <f t="shared" si="20"/>
        <v/>
      </c>
      <c r="K13" s="369"/>
      <c r="L13" s="369"/>
      <c r="M13" s="370">
        <f t="shared" si="21"/>
        <v>0</v>
      </c>
      <c r="N13" s="369"/>
      <c r="O13" s="369"/>
      <c r="P13" s="370">
        <f t="shared" si="22"/>
        <v>0</v>
      </c>
      <c r="Q13" s="376"/>
      <c r="R13" s="372"/>
      <c r="S13" s="198"/>
      <c r="T13" s="216"/>
      <c r="U13" s="61"/>
      <c r="V13" s="154"/>
      <c r="W13" s="145">
        <f t="shared" si="12"/>
        <v>0</v>
      </c>
      <c r="X13" s="145">
        <f t="shared" si="13"/>
        <v>0</v>
      </c>
      <c r="Y13" s="211" t="str">
        <f t="shared" si="3"/>
        <v>ok</v>
      </c>
      <c r="Z13" s="61"/>
      <c r="AA13" s="62">
        <f t="shared" si="18"/>
        <v>0</v>
      </c>
      <c r="AB13" s="145">
        <f t="shared" si="14"/>
        <v>0</v>
      </c>
      <c r="AC13" s="145">
        <f t="shared" si="15"/>
        <v>0</v>
      </c>
      <c r="AD13" s="211" t="str">
        <f t="shared" si="6"/>
        <v>ok</v>
      </c>
      <c r="AE13" s="198"/>
      <c r="AF13" s="224"/>
      <c r="AG13" s="198"/>
      <c r="AH13" s="196" t="str">
        <f t="shared" si="7"/>
        <v/>
      </c>
      <c r="AI13" s="196" t="str">
        <f t="shared" si="8"/>
        <v/>
      </c>
      <c r="AJ13" s="221"/>
      <c r="AK13" s="178"/>
      <c r="AL13" s="198"/>
      <c r="AM13" s="181"/>
    </row>
    <row r="14" spans="1:39" s="208" customFormat="1" ht="39.950000000000003" hidden="1" customHeight="1">
      <c r="A14" s="373"/>
      <c r="B14" s="373"/>
      <c r="C14" s="374"/>
      <c r="D14" s="375"/>
      <c r="E14" s="375"/>
      <c r="F14" s="375"/>
      <c r="G14" s="374"/>
      <c r="H14" s="368"/>
      <c r="I14" s="368"/>
      <c r="J14" s="368" t="str">
        <f t="shared" si="20"/>
        <v/>
      </c>
      <c r="K14" s="369"/>
      <c r="L14" s="369"/>
      <c r="M14" s="370">
        <f t="shared" si="21"/>
        <v>0</v>
      </c>
      <c r="N14" s="369"/>
      <c r="O14" s="369"/>
      <c r="P14" s="370">
        <f t="shared" si="22"/>
        <v>0</v>
      </c>
      <c r="Q14" s="376"/>
      <c r="R14" s="372"/>
      <c r="S14" s="209"/>
      <c r="T14" s="216"/>
      <c r="U14" s="209"/>
      <c r="V14" s="154"/>
      <c r="W14" s="145">
        <f t="shared" si="12"/>
        <v>0</v>
      </c>
      <c r="X14" s="145">
        <f t="shared" si="13"/>
        <v>0</v>
      </c>
      <c r="Y14" s="211" t="str">
        <f t="shared" si="3"/>
        <v>ok</v>
      </c>
      <c r="Z14" s="209"/>
      <c r="AA14" s="210">
        <f t="shared" si="18"/>
        <v>0</v>
      </c>
      <c r="AB14" s="145">
        <f t="shared" si="14"/>
        <v>0</v>
      </c>
      <c r="AC14" s="145">
        <f t="shared" si="15"/>
        <v>0</v>
      </c>
      <c r="AD14" s="211" t="str">
        <f t="shared" si="6"/>
        <v>ok</v>
      </c>
      <c r="AE14" s="209"/>
      <c r="AF14" s="224"/>
      <c r="AG14" s="209"/>
      <c r="AH14" s="219" t="str">
        <f t="shared" si="7"/>
        <v/>
      </c>
      <c r="AI14" s="219" t="str">
        <f t="shared" si="8"/>
        <v/>
      </c>
      <c r="AJ14" s="221"/>
      <c r="AK14" s="178"/>
      <c r="AL14" s="209"/>
      <c r="AM14" s="181"/>
    </row>
    <row r="15" spans="1:39" s="208" customFormat="1" ht="39.950000000000003" hidden="1" customHeight="1">
      <c r="A15" s="365"/>
      <c r="B15" s="365"/>
      <c r="C15" s="366"/>
      <c r="D15" s="367"/>
      <c r="E15" s="367"/>
      <c r="F15" s="367"/>
      <c r="G15" s="377"/>
      <c r="H15" s="368"/>
      <c r="I15" s="368"/>
      <c r="J15" s="368" t="str">
        <f t="shared" si="20"/>
        <v/>
      </c>
      <c r="K15" s="369"/>
      <c r="L15" s="369"/>
      <c r="M15" s="370">
        <f t="shared" si="21"/>
        <v>0</v>
      </c>
      <c r="N15" s="369"/>
      <c r="O15" s="369"/>
      <c r="P15" s="370">
        <f t="shared" si="22"/>
        <v>0</v>
      </c>
      <c r="Q15" s="376"/>
      <c r="R15" s="372"/>
      <c r="S15" s="209"/>
      <c r="T15" s="216"/>
      <c r="U15" s="209"/>
      <c r="V15" s="154"/>
      <c r="W15" s="145">
        <f t="shared" si="12"/>
        <v>0</v>
      </c>
      <c r="X15" s="145">
        <f t="shared" si="13"/>
        <v>0</v>
      </c>
      <c r="Y15" s="211" t="str">
        <f t="shared" si="3"/>
        <v>ok</v>
      </c>
      <c r="Z15" s="209"/>
      <c r="AA15" s="210">
        <f t="shared" si="18"/>
        <v>0</v>
      </c>
      <c r="AB15" s="145">
        <f t="shared" si="14"/>
        <v>0</v>
      </c>
      <c r="AC15" s="145">
        <f t="shared" si="15"/>
        <v>0</v>
      </c>
      <c r="AD15" s="211" t="str">
        <f t="shared" si="6"/>
        <v>ok</v>
      </c>
      <c r="AE15" s="209"/>
      <c r="AF15" s="224"/>
      <c r="AG15" s="209"/>
      <c r="AH15" s="219" t="str">
        <f t="shared" si="7"/>
        <v/>
      </c>
      <c r="AI15" s="219" t="str">
        <f t="shared" si="8"/>
        <v/>
      </c>
      <c r="AJ15" s="221"/>
      <c r="AK15" s="178"/>
      <c r="AL15" s="209"/>
      <c r="AM15" s="181"/>
    </row>
    <row r="16" spans="1:39" s="208" customFormat="1" ht="39.950000000000003" hidden="1" customHeight="1">
      <c r="A16" s="378" t="s">
        <v>617</v>
      </c>
      <c r="B16" s="361"/>
      <c r="C16" s="379"/>
      <c r="D16" s="361"/>
      <c r="E16" s="361"/>
      <c r="F16" s="379"/>
      <c r="G16" s="361"/>
      <c r="H16" s="362">
        <f t="shared" ref="H16:P16" si="23">SUM(H17:H18)</f>
        <v>0</v>
      </c>
      <c r="I16" s="362">
        <f t="shared" si="23"/>
        <v>0</v>
      </c>
      <c r="J16" s="362">
        <f t="shared" si="23"/>
        <v>0</v>
      </c>
      <c r="K16" s="362">
        <f t="shared" si="23"/>
        <v>0</v>
      </c>
      <c r="L16" s="362">
        <f t="shared" si="23"/>
        <v>0</v>
      </c>
      <c r="M16" s="362">
        <f t="shared" si="23"/>
        <v>0</v>
      </c>
      <c r="N16" s="362">
        <f t="shared" si="23"/>
        <v>0</v>
      </c>
      <c r="O16" s="362">
        <f t="shared" si="23"/>
        <v>0</v>
      </c>
      <c r="P16" s="362">
        <f t="shared" si="23"/>
        <v>0</v>
      </c>
      <c r="Q16" s="363"/>
      <c r="R16" s="364"/>
      <c r="S16" s="209"/>
      <c r="T16" s="216"/>
      <c r="U16" s="209"/>
      <c r="V16" s="154"/>
      <c r="W16" s="308">
        <f t="shared" ref="W16:X16" si="24">SUM(W17:W18)</f>
        <v>0</v>
      </c>
      <c r="X16" s="308">
        <f t="shared" si="24"/>
        <v>0</v>
      </c>
      <c r="Y16" s="211" t="str">
        <f t="shared" si="3"/>
        <v>ok</v>
      </c>
      <c r="Z16" s="209"/>
      <c r="AA16" s="210">
        <f t="shared" si="18"/>
        <v>0</v>
      </c>
      <c r="AB16" s="308">
        <f t="shared" ref="AB16:AC16" si="25">SUM(AB17:AB18)</f>
        <v>0</v>
      </c>
      <c r="AC16" s="308">
        <f t="shared" si="25"/>
        <v>0</v>
      </c>
      <c r="AD16" s="178" t="str">
        <f t="shared" si="6"/>
        <v>ok</v>
      </c>
      <c r="AE16" s="209"/>
      <c r="AF16" s="224"/>
      <c r="AG16" s="209"/>
      <c r="AH16" s="219" t="str">
        <f t="shared" si="7"/>
        <v/>
      </c>
      <c r="AI16" s="219" t="str">
        <f t="shared" si="8"/>
        <v/>
      </c>
      <c r="AJ16" s="222"/>
      <c r="AK16" s="178"/>
      <c r="AL16" s="209"/>
      <c r="AM16" s="181"/>
    </row>
    <row r="17" spans="1:39" s="208" customFormat="1" ht="39.950000000000003" hidden="1" customHeight="1">
      <c r="A17" s="365"/>
      <c r="B17" s="365"/>
      <c r="C17" s="366"/>
      <c r="D17" s="367"/>
      <c r="E17" s="367"/>
      <c r="F17" s="367"/>
      <c r="G17" s="366"/>
      <c r="H17" s="368"/>
      <c r="I17" s="368"/>
      <c r="J17" s="368" t="str">
        <f t="shared" ref="J17:J72" si="26">IF(D17="","",H17-I17)</f>
        <v/>
      </c>
      <c r="K17" s="369"/>
      <c r="L17" s="369"/>
      <c r="M17" s="370">
        <f t="shared" si="21"/>
        <v>0</v>
      </c>
      <c r="N17" s="369"/>
      <c r="O17" s="369"/>
      <c r="P17" s="370">
        <f t="shared" si="22"/>
        <v>0</v>
      </c>
      <c r="Q17" s="376"/>
      <c r="R17" s="372"/>
      <c r="S17" s="209"/>
      <c r="T17" s="216"/>
      <c r="U17" s="209"/>
      <c r="V17" s="154"/>
      <c r="W17" s="145">
        <f t="shared" si="12"/>
        <v>0</v>
      </c>
      <c r="X17" s="145">
        <f t="shared" si="13"/>
        <v>0</v>
      </c>
      <c r="Y17" s="211" t="str">
        <f t="shared" si="3"/>
        <v>ok</v>
      </c>
      <c r="Z17" s="209"/>
      <c r="AA17" s="210">
        <f t="shared" si="18"/>
        <v>0</v>
      </c>
      <c r="AB17" s="145">
        <f t="shared" si="14"/>
        <v>0</v>
      </c>
      <c r="AC17" s="145">
        <f t="shared" si="15"/>
        <v>0</v>
      </c>
      <c r="AD17" s="211" t="str">
        <f t="shared" si="6"/>
        <v>ok</v>
      </c>
      <c r="AE17" s="209"/>
      <c r="AF17" s="224"/>
      <c r="AG17" s="209"/>
      <c r="AH17" s="219" t="str">
        <f t="shared" si="7"/>
        <v/>
      </c>
      <c r="AI17" s="219" t="str">
        <f t="shared" si="8"/>
        <v/>
      </c>
      <c r="AJ17" s="222"/>
      <c r="AK17" s="178"/>
      <c r="AL17" s="209"/>
      <c r="AM17" s="181"/>
    </row>
    <row r="18" spans="1:39" s="208" customFormat="1" ht="39.950000000000003" hidden="1" customHeight="1">
      <c r="A18" s="365"/>
      <c r="B18" s="365"/>
      <c r="C18" s="366"/>
      <c r="D18" s="367"/>
      <c r="E18" s="367"/>
      <c r="F18" s="367"/>
      <c r="G18" s="366"/>
      <c r="H18" s="368"/>
      <c r="I18" s="368"/>
      <c r="J18" s="368" t="str">
        <f t="shared" si="26"/>
        <v/>
      </c>
      <c r="K18" s="369"/>
      <c r="L18" s="369"/>
      <c r="M18" s="370">
        <f t="shared" si="21"/>
        <v>0</v>
      </c>
      <c r="N18" s="369"/>
      <c r="O18" s="369"/>
      <c r="P18" s="370">
        <f t="shared" si="22"/>
        <v>0</v>
      </c>
      <c r="Q18" s="376"/>
      <c r="R18" s="372"/>
      <c r="S18" s="209"/>
      <c r="T18" s="216"/>
      <c r="U18" s="209"/>
      <c r="V18" s="154"/>
      <c r="W18" s="145">
        <f t="shared" si="12"/>
        <v>0</v>
      </c>
      <c r="X18" s="145">
        <f t="shared" si="13"/>
        <v>0</v>
      </c>
      <c r="Y18" s="211" t="str">
        <f t="shared" si="3"/>
        <v>ok</v>
      </c>
      <c r="Z18" s="209"/>
      <c r="AA18" s="210">
        <f t="shared" si="18"/>
        <v>0</v>
      </c>
      <c r="AB18" s="298">
        <f t="shared" si="14"/>
        <v>0</v>
      </c>
      <c r="AC18" s="298">
        <f t="shared" si="15"/>
        <v>0</v>
      </c>
      <c r="AD18" s="297" t="str">
        <f t="shared" si="6"/>
        <v>ok</v>
      </c>
      <c r="AE18" s="209"/>
      <c r="AF18" s="224"/>
      <c r="AG18" s="209"/>
      <c r="AH18" s="219" t="str">
        <f t="shared" si="7"/>
        <v/>
      </c>
      <c r="AI18" s="219" t="str">
        <f t="shared" si="8"/>
        <v/>
      </c>
      <c r="AJ18" s="222"/>
      <c r="AK18" s="178"/>
      <c r="AL18" s="209"/>
      <c r="AM18" s="181"/>
    </row>
    <row r="19" spans="1:39" s="208" customFormat="1" ht="39.950000000000003" hidden="1" customHeight="1">
      <c r="A19" s="378" t="s">
        <v>618</v>
      </c>
      <c r="B19" s="361"/>
      <c r="C19" s="379"/>
      <c r="D19" s="361"/>
      <c r="E19" s="361"/>
      <c r="F19" s="379"/>
      <c r="G19" s="361"/>
      <c r="H19" s="362">
        <f t="shared" ref="H19:P19" si="27">SUM(H20:H21)</f>
        <v>0</v>
      </c>
      <c r="I19" s="362">
        <f t="shared" si="27"/>
        <v>0</v>
      </c>
      <c r="J19" s="362">
        <f t="shared" si="27"/>
        <v>0</v>
      </c>
      <c r="K19" s="362">
        <f t="shared" si="27"/>
        <v>0</v>
      </c>
      <c r="L19" s="362">
        <f t="shared" si="27"/>
        <v>0</v>
      </c>
      <c r="M19" s="362">
        <f t="shared" si="27"/>
        <v>0</v>
      </c>
      <c r="N19" s="362">
        <f t="shared" si="27"/>
        <v>0</v>
      </c>
      <c r="O19" s="362">
        <f t="shared" si="27"/>
        <v>0</v>
      </c>
      <c r="P19" s="362">
        <f t="shared" si="27"/>
        <v>0</v>
      </c>
      <c r="Q19" s="363"/>
      <c r="R19" s="364"/>
      <c r="S19" s="209"/>
      <c r="T19" s="216"/>
      <c r="U19" s="209"/>
      <c r="V19" s="154"/>
      <c r="W19" s="308">
        <f t="shared" ref="W19:X19" si="28">SUM(W20:W21)</f>
        <v>0</v>
      </c>
      <c r="X19" s="308">
        <f t="shared" si="28"/>
        <v>0</v>
      </c>
      <c r="Y19" s="211" t="str">
        <f t="shared" si="3"/>
        <v>ok</v>
      </c>
      <c r="Z19" s="209"/>
      <c r="AA19" s="210">
        <f t="shared" si="18"/>
        <v>0</v>
      </c>
      <c r="AB19" s="308">
        <f t="shared" ref="AB19:AC19" si="29">SUM(AB20:AB21)</f>
        <v>0</v>
      </c>
      <c r="AC19" s="308">
        <f t="shared" si="29"/>
        <v>0</v>
      </c>
      <c r="AD19" s="178" t="str">
        <f t="shared" si="6"/>
        <v>ok</v>
      </c>
      <c r="AE19" s="209"/>
      <c r="AF19" s="224"/>
      <c r="AG19" s="209"/>
      <c r="AH19" s="219" t="str">
        <f t="shared" si="7"/>
        <v/>
      </c>
      <c r="AI19" s="219" t="str">
        <f t="shared" si="8"/>
        <v/>
      </c>
      <c r="AJ19" s="222"/>
      <c r="AK19" s="178"/>
      <c r="AL19" s="209"/>
      <c r="AM19" s="181"/>
    </row>
    <row r="20" spans="1:39" s="208" customFormat="1" ht="39.950000000000003" hidden="1" customHeight="1">
      <c r="A20" s="365"/>
      <c r="B20" s="373"/>
      <c r="C20" s="374"/>
      <c r="D20" s="375"/>
      <c r="E20" s="375"/>
      <c r="F20" s="375"/>
      <c r="G20" s="374"/>
      <c r="H20" s="368"/>
      <c r="I20" s="368"/>
      <c r="J20" s="368" t="str">
        <f t="shared" si="26"/>
        <v/>
      </c>
      <c r="K20" s="369"/>
      <c r="L20" s="369"/>
      <c r="M20" s="370">
        <f t="shared" si="21"/>
        <v>0</v>
      </c>
      <c r="N20" s="369"/>
      <c r="O20" s="369"/>
      <c r="P20" s="370">
        <f t="shared" si="22"/>
        <v>0</v>
      </c>
      <c r="Q20" s="376"/>
      <c r="R20" s="372"/>
      <c r="S20" s="209"/>
      <c r="T20" s="216"/>
      <c r="U20" s="209"/>
      <c r="V20" s="154"/>
      <c r="W20" s="145">
        <f t="shared" si="12"/>
        <v>0</v>
      </c>
      <c r="X20" s="145">
        <f t="shared" si="13"/>
        <v>0</v>
      </c>
      <c r="Y20" s="211" t="str">
        <f t="shared" si="3"/>
        <v>ok</v>
      </c>
      <c r="Z20" s="209"/>
      <c r="AA20" s="210">
        <f t="shared" si="18"/>
        <v>0</v>
      </c>
      <c r="AB20" s="145">
        <f t="shared" si="14"/>
        <v>0</v>
      </c>
      <c r="AC20" s="145">
        <f t="shared" si="15"/>
        <v>0</v>
      </c>
      <c r="AD20" s="211" t="str">
        <f t="shared" si="6"/>
        <v>ok</v>
      </c>
      <c r="AE20" s="209"/>
      <c r="AF20" s="224"/>
      <c r="AG20" s="209"/>
      <c r="AH20" s="219" t="str">
        <f t="shared" si="7"/>
        <v/>
      </c>
      <c r="AI20" s="219" t="str">
        <f t="shared" si="8"/>
        <v/>
      </c>
      <c r="AJ20" s="222"/>
      <c r="AK20" s="178"/>
      <c r="AL20" s="209"/>
      <c r="AM20" s="181"/>
    </row>
    <row r="21" spans="1:39" s="208" customFormat="1" ht="39.950000000000003" hidden="1" customHeight="1">
      <c r="A21" s="365"/>
      <c r="B21" s="373"/>
      <c r="C21" s="374"/>
      <c r="D21" s="375"/>
      <c r="E21" s="375"/>
      <c r="F21" s="375"/>
      <c r="G21" s="374"/>
      <c r="H21" s="368"/>
      <c r="I21" s="368"/>
      <c r="J21" s="368" t="str">
        <f t="shared" si="26"/>
        <v/>
      </c>
      <c r="K21" s="369"/>
      <c r="L21" s="369"/>
      <c r="M21" s="370">
        <f t="shared" si="21"/>
        <v>0</v>
      </c>
      <c r="N21" s="369"/>
      <c r="O21" s="369"/>
      <c r="P21" s="370">
        <f t="shared" si="22"/>
        <v>0</v>
      </c>
      <c r="Q21" s="376"/>
      <c r="R21" s="372"/>
      <c r="S21" s="299"/>
      <c r="T21" s="216"/>
      <c r="U21" s="299"/>
      <c r="V21" s="154"/>
      <c r="W21" s="145">
        <f t="shared" si="12"/>
        <v>0</v>
      </c>
      <c r="X21" s="145">
        <f t="shared" si="13"/>
        <v>0</v>
      </c>
      <c r="Y21" s="211" t="str">
        <f t="shared" si="3"/>
        <v>ok</v>
      </c>
      <c r="Z21" s="299"/>
      <c r="AA21" s="210">
        <f t="shared" si="18"/>
        <v>0</v>
      </c>
      <c r="AB21" s="298">
        <f t="shared" si="14"/>
        <v>0</v>
      </c>
      <c r="AC21" s="298">
        <f t="shared" si="15"/>
        <v>0</v>
      </c>
      <c r="AD21" s="297" t="str">
        <f t="shared" si="6"/>
        <v>ok</v>
      </c>
      <c r="AE21" s="299"/>
      <c r="AF21" s="224"/>
      <c r="AG21" s="299"/>
      <c r="AH21" s="219" t="str">
        <f t="shared" si="7"/>
        <v/>
      </c>
      <c r="AI21" s="219" t="str">
        <f t="shared" si="8"/>
        <v/>
      </c>
      <c r="AJ21" s="302"/>
      <c r="AK21" s="178"/>
      <c r="AL21" s="299"/>
      <c r="AM21" s="181"/>
    </row>
    <row r="22" spans="1:39" ht="39.950000000000003" customHeight="1">
      <c r="A22" s="378" t="s">
        <v>619</v>
      </c>
      <c r="B22" s="361"/>
      <c r="C22" s="379"/>
      <c r="D22" s="361"/>
      <c r="E22" s="361"/>
      <c r="F22" s="379"/>
      <c r="G22" s="361"/>
      <c r="H22" s="362">
        <f t="shared" ref="H22:P22" si="30">SUM(H23:H66)</f>
        <v>400000</v>
      </c>
      <c r="I22" s="362">
        <f t="shared" si="30"/>
        <v>0</v>
      </c>
      <c r="J22" s="362">
        <f t="shared" si="30"/>
        <v>400000</v>
      </c>
      <c r="K22" s="362">
        <f t="shared" si="30"/>
        <v>-50000</v>
      </c>
      <c r="L22" s="362">
        <f t="shared" si="30"/>
        <v>180000</v>
      </c>
      <c r="M22" s="362">
        <f t="shared" si="30"/>
        <v>530000</v>
      </c>
      <c r="N22" s="362">
        <f t="shared" si="30"/>
        <v>0</v>
      </c>
      <c r="O22" s="362">
        <f t="shared" si="30"/>
        <v>0</v>
      </c>
      <c r="P22" s="362">
        <f t="shared" si="30"/>
        <v>400000</v>
      </c>
      <c r="Q22" s="363"/>
      <c r="R22" s="364"/>
      <c r="T22" s="216"/>
      <c r="V22" s="154"/>
      <c r="W22" s="308">
        <f>SUM(W23:W66)</f>
        <v>130000</v>
      </c>
      <c r="X22" s="308">
        <f>SUM(X23:X66)</f>
        <v>0</v>
      </c>
      <c r="Y22" s="211" t="str">
        <f t="shared" si="3"/>
        <v>ok</v>
      </c>
      <c r="AA22" s="210">
        <f t="shared" si="18"/>
        <v>0</v>
      </c>
      <c r="AB22" s="308">
        <f>SUM(AB23:AB66)</f>
        <v>0</v>
      </c>
      <c r="AC22" s="308">
        <f>SUM(AC23:AC66)</f>
        <v>0</v>
      </c>
      <c r="AD22" s="178" t="str">
        <f t="shared" si="6"/>
        <v>ok</v>
      </c>
      <c r="AF22" s="224"/>
      <c r="AH22" s="219" t="str">
        <f t="shared" si="7"/>
        <v/>
      </c>
      <c r="AI22" s="219" t="str">
        <f t="shared" si="8"/>
        <v/>
      </c>
      <c r="AK22" s="178"/>
      <c r="AM22" s="181"/>
    </row>
    <row r="23" spans="1:39" s="208" customFormat="1" ht="39.75" customHeight="1">
      <c r="A23" s="365" t="s">
        <v>512</v>
      </c>
      <c r="B23" s="365" t="s">
        <v>649</v>
      </c>
      <c r="C23" s="366" t="s">
        <v>650</v>
      </c>
      <c r="D23" s="367" t="s">
        <v>651</v>
      </c>
      <c r="E23" s="367">
        <v>465</v>
      </c>
      <c r="F23" s="367">
        <v>85</v>
      </c>
      <c r="G23" s="366" t="s">
        <v>652</v>
      </c>
      <c r="H23" s="368">
        <v>200000</v>
      </c>
      <c r="I23" s="368">
        <v>0</v>
      </c>
      <c r="J23" s="368">
        <f t="shared" si="26"/>
        <v>200000</v>
      </c>
      <c r="K23" s="369">
        <v>-50000</v>
      </c>
      <c r="L23" s="369"/>
      <c r="M23" s="370">
        <f t="shared" si="21"/>
        <v>150000</v>
      </c>
      <c r="N23" s="369"/>
      <c r="O23" s="369"/>
      <c r="P23" s="370">
        <f t="shared" si="22"/>
        <v>200000</v>
      </c>
      <c r="Q23" s="376"/>
      <c r="R23" s="380"/>
      <c r="T23" s="216"/>
      <c r="V23" s="154"/>
      <c r="W23" s="145">
        <f t="shared" si="12"/>
        <v>-50000</v>
      </c>
      <c r="X23" s="145">
        <f t="shared" si="13"/>
        <v>0</v>
      </c>
      <c r="Y23" s="211" t="str">
        <f t="shared" si="3"/>
        <v>ok</v>
      </c>
      <c r="AA23" s="210">
        <f t="shared" si="18"/>
        <v>0</v>
      </c>
      <c r="AB23" s="145">
        <f t="shared" ref="AB23:AB65" si="31">IF($V23&lt;&gt;"도비",IF($T23="국도비","직접입력",SUM(N23:O23)),)</f>
        <v>0</v>
      </c>
      <c r="AC23" s="145">
        <f t="shared" ref="AC23:AC65" si="32">IF($V23="도비",SUM(N23:O23),IF($T23="국도비","직접입력",SUM(N23:O23)-AB23))</f>
        <v>0</v>
      </c>
      <c r="AD23" s="211" t="str">
        <f t="shared" ref="AD23:AD65" si="33">IFERROR(IF((N23+O23)=(AB23+AC23),"ok","검토"),"검토")</f>
        <v>ok</v>
      </c>
      <c r="AF23" s="224"/>
      <c r="AH23" s="219"/>
      <c r="AI23" s="219"/>
      <c r="AJ23" s="169"/>
      <c r="AK23" s="178"/>
      <c r="AM23" s="181"/>
    </row>
    <row r="24" spans="1:39" s="208" customFormat="1" ht="39.75" customHeight="1">
      <c r="A24" s="381" t="s">
        <v>512</v>
      </c>
      <c r="B24" s="382" t="s">
        <v>649</v>
      </c>
      <c r="C24" s="383" t="s">
        <v>666</v>
      </c>
      <c r="D24" s="384" t="s">
        <v>667</v>
      </c>
      <c r="E24" s="384">
        <v>472</v>
      </c>
      <c r="F24" s="384">
        <v>218</v>
      </c>
      <c r="G24" s="383" t="s">
        <v>668</v>
      </c>
      <c r="H24" s="385">
        <v>200000</v>
      </c>
      <c r="I24" s="385">
        <v>0</v>
      </c>
      <c r="J24" s="385">
        <f t="shared" si="26"/>
        <v>200000</v>
      </c>
      <c r="K24" s="386"/>
      <c r="L24" s="386"/>
      <c r="M24" s="387">
        <f t="shared" si="21"/>
        <v>200000</v>
      </c>
      <c r="N24" s="386"/>
      <c r="O24" s="386"/>
      <c r="P24" s="387">
        <f t="shared" si="22"/>
        <v>200000</v>
      </c>
      <c r="Q24" s="388"/>
      <c r="R24" s="389" t="s">
        <v>669</v>
      </c>
      <c r="T24" s="216"/>
      <c r="V24" s="154"/>
      <c r="W24" s="145">
        <f t="shared" si="12"/>
        <v>0</v>
      </c>
      <c r="X24" s="145">
        <f t="shared" si="13"/>
        <v>0</v>
      </c>
      <c r="Y24" s="211" t="str">
        <f t="shared" si="3"/>
        <v>ok</v>
      </c>
      <c r="AA24" s="210"/>
      <c r="AB24" s="145">
        <f t="shared" si="31"/>
        <v>0</v>
      </c>
      <c r="AC24" s="145">
        <f t="shared" si="32"/>
        <v>0</v>
      </c>
      <c r="AD24" s="211" t="str">
        <f t="shared" si="33"/>
        <v>ok</v>
      </c>
      <c r="AF24" s="224"/>
      <c r="AH24" s="219"/>
      <c r="AI24" s="219"/>
      <c r="AJ24" s="169"/>
      <c r="AK24" s="178"/>
      <c r="AM24" s="181"/>
    </row>
    <row r="25" spans="1:39" s="208" customFormat="1" ht="39.75" customHeight="1">
      <c r="A25" s="365" t="s">
        <v>512</v>
      </c>
      <c r="B25" s="365" t="s">
        <v>649</v>
      </c>
      <c r="C25" s="366" t="s">
        <v>650</v>
      </c>
      <c r="D25" s="367" t="s">
        <v>659</v>
      </c>
      <c r="E25" s="367" t="s">
        <v>660</v>
      </c>
      <c r="F25" s="367" t="s">
        <v>660</v>
      </c>
      <c r="G25" s="366" t="s">
        <v>658</v>
      </c>
      <c r="H25" s="368"/>
      <c r="I25" s="368"/>
      <c r="J25" s="368">
        <f t="shared" si="26"/>
        <v>0</v>
      </c>
      <c r="K25" s="369"/>
      <c r="L25" s="369">
        <v>150000</v>
      </c>
      <c r="M25" s="370">
        <f t="shared" si="21"/>
        <v>150000</v>
      </c>
      <c r="N25" s="369"/>
      <c r="O25" s="369"/>
      <c r="P25" s="370">
        <f t="shared" si="22"/>
        <v>0</v>
      </c>
      <c r="Q25" s="376"/>
      <c r="R25" s="380" t="s">
        <v>665</v>
      </c>
      <c r="T25" s="216"/>
      <c r="V25" s="154"/>
      <c r="W25" s="145">
        <f t="shared" si="12"/>
        <v>150000</v>
      </c>
      <c r="X25" s="145">
        <f t="shared" si="13"/>
        <v>0</v>
      </c>
      <c r="Y25" s="211" t="str">
        <f t="shared" si="3"/>
        <v>ok</v>
      </c>
      <c r="AA25" s="210">
        <f t="shared" si="18"/>
        <v>0</v>
      </c>
      <c r="AB25" s="145">
        <f t="shared" si="31"/>
        <v>0</v>
      </c>
      <c r="AC25" s="145">
        <f t="shared" si="32"/>
        <v>0</v>
      </c>
      <c r="AD25" s="211" t="str">
        <f t="shared" si="33"/>
        <v>ok</v>
      </c>
      <c r="AF25" s="224"/>
      <c r="AH25" s="219"/>
      <c r="AI25" s="219"/>
      <c r="AJ25" s="169"/>
      <c r="AK25" s="178"/>
      <c r="AM25" s="181"/>
    </row>
    <row r="26" spans="1:39" s="208" customFormat="1" ht="39.75" customHeight="1">
      <c r="A26" s="365" t="s">
        <v>512</v>
      </c>
      <c r="B26" s="365" t="s">
        <v>649</v>
      </c>
      <c r="C26" s="366" t="s">
        <v>661</v>
      </c>
      <c r="D26" s="367" t="s">
        <v>662</v>
      </c>
      <c r="E26" s="367" t="s">
        <v>660</v>
      </c>
      <c r="F26" s="367" t="s">
        <v>660</v>
      </c>
      <c r="G26" s="366" t="s">
        <v>663</v>
      </c>
      <c r="H26" s="368"/>
      <c r="I26" s="368"/>
      <c r="J26" s="368">
        <f t="shared" si="26"/>
        <v>0</v>
      </c>
      <c r="K26" s="369"/>
      <c r="L26" s="369">
        <v>30000</v>
      </c>
      <c r="M26" s="370">
        <f t="shared" si="21"/>
        <v>30000</v>
      </c>
      <c r="N26" s="369"/>
      <c r="O26" s="369"/>
      <c r="P26" s="370">
        <f t="shared" si="22"/>
        <v>0</v>
      </c>
      <c r="Q26" s="376"/>
      <c r="R26" s="380" t="s">
        <v>664</v>
      </c>
      <c r="T26" s="216"/>
      <c r="V26" s="154"/>
      <c r="W26" s="145">
        <f t="shared" si="12"/>
        <v>30000</v>
      </c>
      <c r="X26" s="145">
        <f t="shared" si="13"/>
        <v>0</v>
      </c>
      <c r="Y26" s="211" t="str">
        <f t="shared" si="3"/>
        <v>ok</v>
      </c>
      <c r="AA26" s="210">
        <f t="shared" si="18"/>
        <v>0</v>
      </c>
      <c r="AB26" s="145">
        <f t="shared" si="31"/>
        <v>0</v>
      </c>
      <c r="AC26" s="145">
        <f t="shared" si="32"/>
        <v>0</v>
      </c>
      <c r="AD26" s="211" t="str">
        <f t="shared" si="33"/>
        <v>ok</v>
      </c>
      <c r="AF26" s="224"/>
      <c r="AH26" s="219"/>
      <c r="AI26" s="219"/>
      <c r="AJ26" s="169"/>
      <c r="AK26" s="178"/>
      <c r="AM26" s="181"/>
    </row>
    <row r="27" spans="1:39" s="208" customFormat="1" ht="39.75" hidden="1" customHeight="1">
      <c r="A27" s="352"/>
      <c r="B27" s="352"/>
      <c r="C27" s="353"/>
      <c r="D27" s="354"/>
      <c r="E27" s="354"/>
      <c r="F27" s="354"/>
      <c r="G27" s="353"/>
      <c r="H27" s="355"/>
      <c r="I27" s="355"/>
      <c r="J27" s="355" t="str">
        <f t="shared" si="26"/>
        <v/>
      </c>
      <c r="K27" s="356"/>
      <c r="L27" s="356"/>
      <c r="M27" s="357">
        <f t="shared" si="21"/>
        <v>0</v>
      </c>
      <c r="N27" s="356"/>
      <c r="O27" s="356"/>
      <c r="P27" s="357">
        <f t="shared" si="22"/>
        <v>0</v>
      </c>
      <c r="Q27" s="358"/>
      <c r="R27" s="359"/>
      <c r="T27" s="216"/>
      <c r="V27" s="154"/>
      <c r="W27" s="145">
        <f t="shared" si="12"/>
        <v>0</v>
      </c>
      <c r="X27" s="145">
        <f t="shared" si="13"/>
        <v>0</v>
      </c>
      <c r="Y27" s="211" t="str">
        <f t="shared" si="3"/>
        <v>ok</v>
      </c>
      <c r="AA27" s="210">
        <f t="shared" si="18"/>
        <v>0</v>
      </c>
      <c r="AB27" s="145">
        <f t="shared" si="31"/>
        <v>0</v>
      </c>
      <c r="AC27" s="145">
        <f t="shared" si="32"/>
        <v>0</v>
      </c>
      <c r="AD27" s="211" t="str">
        <f t="shared" si="33"/>
        <v>ok</v>
      </c>
      <c r="AF27" s="224"/>
      <c r="AH27" s="219"/>
      <c r="AI27" s="219"/>
      <c r="AJ27" s="169"/>
      <c r="AK27" s="178"/>
      <c r="AM27" s="181"/>
    </row>
    <row r="28" spans="1:39" s="208" customFormat="1" ht="39.75" hidden="1" customHeight="1">
      <c r="A28" s="213"/>
      <c r="B28" s="213"/>
      <c r="C28" s="215"/>
      <c r="D28" s="214"/>
      <c r="E28" s="214"/>
      <c r="F28" s="214"/>
      <c r="G28" s="215"/>
      <c r="H28" s="233"/>
      <c r="I28" s="233"/>
      <c r="J28" s="233" t="str">
        <f t="shared" si="26"/>
        <v/>
      </c>
      <c r="K28" s="145"/>
      <c r="L28" s="145"/>
      <c r="M28" s="59">
        <f t="shared" si="21"/>
        <v>0</v>
      </c>
      <c r="N28" s="145"/>
      <c r="O28" s="145"/>
      <c r="P28" s="59">
        <f t="shared" si="22"/>
        <v>0</v>
      </c>
      <c r="Q28" s="60"/>
      <c r="R28" s="313"/>
      <c r="T28" s="216"/>
      <c r="V28" s="154"/>
      <c r="W28" s="145">
        <f t="shared" si="12"/>
        <v>0</v>
      </c>
      <c r="X28" s="145">
        <f t="shared" si="13"/>
        <v>0</v>
      </c>
      <c r="Y28" s="211" t="str">
        <f t="shared" si="3"/>
        <v>ok</v>
      </c>
      <c r="AA28" s="210">
        <f t="shared" si="18"/>
        <v>0</v>
      </c>
      <c r="AB28" s="145">
        <f t="shared" si="31"/>
        <v>0</v>
      </c>
      <c r="AC28" s="145">
        <f t="shared" si="32"/>
        <v>0</v>
      </c>
      <c r="AD28" s="211" t="str">
        <f t="shared" si="33"/>
        <v>ok</v>
      </c>
      <c r="AF28" s="224"/>
      <c r="AH28" s="219"/>
      <c r="AI28" s="219"/>
      <c r="AJ28" s="169"/>
      <c r="AK28" s="178"/>
      <c r="AM28" s="181"/>
    </row>
    <row r="29" spans="1:39" s="208" customFormat="1" ht="39.75" hidden="1" customHeight="1">
      <c r="A29" s="213"/>
      <c r="B29" s="213"/>
      <c r="C29" s="215"/>
      <c r="D29" s="214"/>
      <c r="E29" s="214"/>
      <c r="F29" s="214"/>
      <c r="G29" s="215"/>
      <c r="H29" s="233"/>
      <c r="I29" s="233"/>
      <c r="J29" s="233" t="str">
        <f t="shared" si="26"/>
        <v/>
      </c>
      <c r="K29" s="145"/>
      <c r="L29" s="145"/>
      <c r="M29" s="59">
        <f t="shared" si="21"/>
        <v>0</v>
      </c>
      <c r="N29" s="145"/>
      <c r="O29" s="145"/>
      <c r="P29" s="59">
        <f t="shared" si="22"/>
        <v>0</v>
      </c>
      <c r="Q29" s="60"/>
      <c r="R29" s="313"/>
      <c r="T29" s="216"/>
      <c r="V29" s="154"/>
      <c r="W29" s="145">
        <f t="shared" si="12"/>
        <v>0</v>
      </c>
      <c r="X29" s="145">
        <f t="shared" si="13"/>
        <v>0</v>
      </c>
      <c r="Y29" s="211" t="str">
        <f t="shared" si="3"/>
        <v>ok</v>
      </c>
      <c r="AA29" s="210">
        <f t="shared" si="18"/>
        <v>0</v>
      </c>
      <c r="AB29" s="145">
        <f t="shared" si="31"/>
        <v>0</v>
      </c>
      <c r="AC29" s="145">
        <f t="shared" si="32"/>
        <v>0</v>
      </c>
      <c r="AD29" s="211" t="str">
        <f t="shared" si="33"/>
        <v>ok</v>
      </c>
      <c r="AF29" s="224"/>
      <c r="AH29" s="219"/>
      <c r="AI29" s="219"/>
      <c r="AJ29" s="169"/>
      <c r="AK29" s="178"/>
      <c r="AM29" s="181"/>
    </row>
    <row r="30" spans="1:39" s="208" customFormat="1" ht="39.75" hidden="1" customHeight="1">
      <c r="A30" s="213"/>
      <c r="B30" s="213"/>
      <c r="C30" s="215"/>
      <c r="D30" s="214"/>
      <c r="E30" s="214"/>
      <c r="F30" s="214"/>
      <c r="G30" s="215"/>
      <c r="H30" s="233"/>
      <c r="I30" s="233"/>
      <c r="J30" s="233" t="str">
        <f t="shared" si="26"/>
        <v/>
      </c>
      <c r="K30" s="145"/>
      <c r="L30" s="145"/>
      <c r="M30" s="59">
        <f t="shared" si="21"/>
        <v>0</v>
      </c>
      <c r="N30" s="145"/>
      <c r="O30" s="145"/>
      <c r="P30" s="59">
        <f t="shared" si="22"/>
        <v>0</v>
      </c>
      <c r="Q30" s="60"/>
      <c r="R30" s="313"/>
      <c r="T30" s="216"/>
      <c r="V30" s="154"/>
      <c r="W30" s="145">
        <f t="shared" si="12"/>
        <v>0</v>
      </c>
      <c r="X30" s="145">
        <f t="shared" si="13"/>
        <v>0</v>
      </c>
      <c r="Y30" s="211" t="str">
        <f t="shared" si="3"/>
        <v>ok</v>
      </c>
      <c r="AA30" s="210">
        <f t="shared" si="18"/>
        <v>0</v>
      </c>
      <c r="AB30" s="145">
        <f t="shared" si="31"/>
        <v>0</v>
      </c>
      <c r="AC30" s="145">
        <f t="shared" si="32"/>
        <v>0</v>
      </c>
      <c r="AD30" s="211" t="str">
        <f t="shared" si="33"/>
        <v>ok</v>
      </c>
      <c r="AF30" s="224"/>
      <c r="AH30" s="219"/>
      <c r="AI30" s="219"/>
      <c r="AJ30" s="169"/>
      <c r="AK30" s="178"/>
      <c r="AM30" s="181"/>
    </row>
    <row r="31" spans="1:39" s="208" customFormat="1" ht="39.75" hidden="1" customHeight="1">
      <c r="A31" s="213"/>
      <c r="B31" s="213"/>
      <c r="C31" s="215"/>
      <c r="D31" s="214"/>
      <c r="E31" s="214"/>
      <c r="F31" s="214"/>
      <c r="G31" s="215"/>
      <c r="H31" s="233"/>
      <c r="I31" s="233"/>
      <c r="J31" s="233" t="str">
        <f t="shared" si="26"/>
        <v/>
      </c>
      <c r="K31" s="145"/>
      <c r="L31" s="145"/>
      <c r="M31" s="59">
        <f t="shared" si="21"/>
        <v>0</v>
      </c>
      <c r="N31" s="145"/>
      <c r="O31" s="145"/>
      <c r="P31" s="59">
        <f t="shared" si="22"/>
        <v>0</v>
      </c>
      <c r="Q31" s="60"/>
      <c r="R31" s="313"/>
      <c r="T31" s="216"/>
      <c r="V31" s="154"/>
      <c r="W31" s="145">
        <f t="shared" si="12"/>
        <v>0</v>
      </c>
      <c r="X31" s="145">
        <f t="shared" si="13"/>
        <v>0</v>
      </c>
      <c r="Y31" s="211" t="str">
        <f t="shared" si="3"/>
        <v>ok</v>
      </c>
      <c r="AA31" s="210">
        <f t="shared" si="18"/>
        <v>0</v>
      </c>
      <c r="AB31" s="145">
        <f t="shared" si="31"/>
        <v>0</v>
      </c>
      <c r="AC31" s="145">
        <f t="shared" si="32"/>
        <v>0</v>
      </c>
      <c r="AD31" s="211" t="str">
        <f t="shared" si="33"/>
        <v>ok</v>
      </c>
      <c r="AF31" s="224"/>
      <c r="AH31" s="219"/>
      <c r="AI31" s="219"/>
      <c r="AJ31" s="169"/>
      <c r="AK31" s="178"/>
      <c r="AM31" s="181"/>
    </row>
    <row r="32" spans="1:39" s="208" customFormat="1" ht="39.75" hidden="1" customHeight="1">
      <c r="A32" s="213"/>
      <c r="B32" s="213"/>
      <c r="C32" s="215"/>
      <c r="D32" s="214"/>
      <c r="E32" s="214"/>
      <c r="F32" s="214"/>
      <c r="G32" s="215"/>
      <c r="H32" s="233"/>
      <c r="I32" s="233"/>
      <c r="J32" s="233" t="str">
        <f t="shared" si="26"/>
        <v/>
      </c>
      <c r="K32" s="145"/>
      <c r="L32" s="145"/>
      <c r="M32" s="59">
        <f t="shared" si="21"/>
        <v>0</v>
      </c>
      <c r="N32" s="145"/>
      <c r="O32" s="145"/>
      <c r="P32" s="59">
        <f t="shared" si="22"/>
        <v>0</v>
      </c>
      <c r="Q32" s="60"/>
      <c r="R32" s="313"/>
      <c r="T32" s="216"/>
      <c r="V32" s="154"/>
      <c r="W32" s="145">
        <f t="shared" si="12"/>
        <v>0</v>
      </c>
      <c r="X32" s="145">
        <f t="shared" si="13"/>
        <v>0</v>
      </c>
      <c r="Y32" s="211" t="str">
        <f t="shared" si="3"/>
        <v>ok</v>
      </c>
      <c r="AA32" s="210">
        <f t="shared" si="18"/>
        <v>0</v>
      </c>
      <c r="AB32" s="145">
        <f t="shared" si="31"/>
        <v>0</v>
      </c>
      <c r="AC32" s="145">
        <f t="shared" si="32"/>
        <v>0</v>
      </c>
      <c r="AD32" s="211" t="str">
        <f t="shared" si="33"/>
        <v>ok</v>
      </c>
      <c r="AF32" s="224"/>
      <c r="AH32" s="219"/>
      <c r="AI32" s="219"/>
      <c r="AJ32" s="169"/>
      <c r="AK32" s="178"/>
      <c r="AM32" s="181"/>
    </row>
    <row r="33" spans="1:39" s="208" customFormat="1" ht="39.75" hidden="1" customHeight="1">
      <c r="A33" s="213"/>
      <c r="B33" s="213"/>
      <c r="C33" s="215"/>
      <c r="D33" s="214"/>
      <c r="E33" s="214"/>
      <c r="F33" s="214"/>
      <c r="G33" s="215"/>
      <c r="H33" s="233"/>
      <c r="I33" s="233"/>
      <c r="J33" s="233" t="str">
        <f t="shared" si="26"/>
        <v/>
      </c>
      <c r="K33" s="145"/>
      <c r="L33" s="145"/>
      <c r="M33" s="59">
        <f t="shared" si="21"/>
        <v>0</v>
      </c>
      <c r="N33" s="145"/>
      <c r="O33" s="145"/>
      <c r="P33" s="59">
        <f t="shared" si="22"/>
        <v>0</v>
      </c>
      <c r="Q33" s="60"/>
      <c r="R33" s="313"/>
      <c r="T33" s="216"/>
      <c r="V33" s="154"/>
      <c r="W33" s="145">
        <f t="shared" si="12"/>
        <v>0</v>
      </c>
      <c r="X33" s="145">
        <f t="shared" si="13"/>
        <v>0</v>
      </c>
      <c r="Y33" s="211" t="str">
        <f t="shared" si="3"/>
        <v>ok</v>
      </c>
      <c r="AA33" s="210">
        <f t="shared" si="18"/>
        <v>0</v>
      </c>
      <c r="AB33" s="145">
        <f t="shared" si="31"/>
        <v>0</v>
      </c>
      <c r="AC33" s="145">
        <f t="shared" si="32"/>
        <v>0</v>
      </c>
      <c r="AD33" s="211" t="str">
        <f t="shared" si="33"/>
        <v>ok</v>
      </c>
      <c r="AF33" s="224"/>
      <c r="AH33" s="219"/>
      <c r="AI33" s="219"/>
      <c r="AJ33" s="169"/>
      <c r="AK33" s="178"/>
      <c r="AM33" s="181"/>
    </row>
    <row r="34" spans="1:39" s="208" customFormat="1" ht="39.75" hidden="1" customHeight="1">
      <c r="A34" s="213"/>
      <c r="B34" s="213"/>
      <c r="C34" s="215"/>
      <c r="D34" s="214"/>
      <c r="E34" s="214"/>
      <c r="F34" s="214"/>
      <c r="G34" s="215"/>
      <c r="H34" s="233"/>
      <c r="I34" s="233"/>
      <c r="J34" s="233" t="str">
        <f t="shared" si="26"/>
        <v/>
      </c>
      <c r="K34" s="145"/>
      <c r="L34" s="145"/>
      <c r="M34" s="59">
        <f t="shared" si="21"/>
        <v>0</v>
      </c>
      <c r="N34" s="145"/>
      <c r="O34" s="145"/>
      <c r="P34" s="59">
        <f t="shared" si="22"/>
        <v>0</v>
      </c>
      <c r="Q34" s="60"/>
      <c r="R34" s="313"/>
      <c r="T34" s="216"/>
      <c r="V34" s="154"/>
      <c r="W34" s="145">
        <f t="shared" si="12"/>
        <v>0</v>
      </c>
      <c r="X34" s="145">
        <f t="shared" si="13"/>
        <v>0</v>
      </c>
      <c r="Y34" s="211" t="str">
        <f t="shared" si="3"/>
        <v>ok</v>
      </c>
      <c r="AA34" s="210">
        <f t="shared" si="18"/>
        <v>0</v>
      </c>
      <c r="AB34" s="145">
        <f t="shared" si="31"/>
        <v>0</v>
      </c>
      <c r="AC34" s="145">
        <f t="shared" si="32"/>
        <v>0</v>
      </c>
      <c r="AD34" s="211" t="str">
        <f t="shared" si="33"/>
        <v>ok</v>
      </c>
      <c r="AF34" s="224"/>
      <c r="AH34" s="219"/>
      <c r="AI34" s="219"/>
      <c r="AJ34" s="169"/>
      <c r="AK34" s="178"/>
      <c r="AM34" s="181"/>
    </row>
    <row r="35" spans="1:39" s="208" customFormat="1" ht="39.75" hidden="1" customHeight="1">
      <c r="A35" s="213"/>
      <c r="B35" s="213"/>
      <c r="C35" s="215"/>
      <c r="D35" s="214"/>
      <c r="E35" s="214"/>
      <c r="F35" s="214"/>
      <c r="G35" s="215"/>
      <c r="H35" s="233"/>
      <c r="I35" s="233"/>
      <c r="J35" s="233" t="str">
        <f t="shared" si="26"/>
        <v/>
      </c>
      <c r="K35" s="145"/>
      <c r="L35" s="145"/>
      <c r="M35" s="59">
        <f t="shared" si="21"/>
        <v>0</v>
      </c>
      <c r="N35" s="145"/>
      <c r="O35" s="145"/>
      <c r="P35" s="59">
        <f t="shared" si="22"/>
        <v>0</v>
      </c>
      <c r="Q35" s="60"/>
      <c r="R35" s="313"/>
      <c r="T35" s="216"/>
      <c r="V35" s="154"/>
      <c r="W35" s="145">
        <f t="shared" si="12"/>
        <v>0</v>
      </c>
      <c r="X35" s="145">
        <f t="shared" si="13"/>
        <v>0</v>
      </c>
      <c r="Y35" s="211" t="str">
        <f t="shared" si="3"/>
        <v>ok</v>
      </c>
      <c r="AA35" s="210">
        <f t="shared" si="18"/>
        <v>0</v>
      </c>
      <c r="AB35" s="145">
        <f t="shared" si="31"/>
        <v>0</v>
      </c>
      <c r="AC35" s="145">
        <f t="shared" si="32"/>
        <v>0</v>
      </c>
      <c r="AD35" s="211" t="str">
        <f t="shared" si="33"/>
        <v>ok</v>
      </c>
      <c r="AF35" s="224"/>
      <c r="AH35" s="219"/>
      <c r="AI35" s="219"/>
      <c r="AJ35" s="169"/>
      <c r="AK35" s="178"/>
      <c r="AM35" s="181"/>
    </row>
    <row r="36" spans="1:39" s="208" customFormat="1" ht="39.75" hidden="1" customHeight="1">
      <c r="A36" s="213"/>
      <c r="B36" s="213"/>
      <c r="C36" s="215"/>
      <c r="D36" s="214"/>
      <c r="E36" s="214"/>
      <c r="F36" s="214"/>
      <c r="G36" s="215"/>
      <c r="H36" s="233"/>
      <c r="I36" s="233"/>
      <c r="J36" s="233" t="str">
        <f t="shared" si="26"/>
        <v/>
      </c>
      <c r="K36" s="145"/>
      <c r="L36" s="145"/>
      <c r="M36" s="59">
        <f t="shared" si="21"/>
        <v>0</v>
      </c>
      <c r="N36" s="145"/>
      <c r="O36" s="145"/>
      <c r="P36" s="59">
        <f t="shared" si="22"/>
        <v>0</v>
      </c>
      <c r="Q36" s="60"/>
      <c r="R36" s="313"/>
      <c r="T36" s="216"/>
      <c r="V36" s="154"/>
      <c r="W36" s="145">
        <f t="shared" si="12"/>
        <v>0</v>
      </c>
      <c r="X36" s="145">
        <f t="shared" si="13"/>
        <v>0</v>
      </c>
      <c r="Y36" s="211" t="str">
        <f t="shared" si="3"/>
        <v>ok</v>
      </c>
      <c r="AA36" s="210">
        <f t="shared" si="18"/>
        <v>0</v>
      </c>
      <c r="AB36" s="145">
        <f t="shared" si="31"/>
        <v>0</v>
      </c>
      <c r="AC36" s="145">
        <f t="shared" si="32"/>
        <v>0</v>
      </c>
      <c r="AD36" s="211" t="str">
        <f t="shared" si="33"/>
        <v>ok</v>
      </c>
      <c r="AF36" s="224"/>
      <c r="AH36" s="219"/>
      <c r="AI36" s="219"/>
      <c r="AJ36" s="169"/>
      <c r="AK36" s="178"/>
      <c r="AM36" s="181"/>
    </row>
    <row r="37" spans="1:39" s="208" customFormat="1" ht="39.75" hidden="1" customHeight="1">
      <c r="A37" s="213"/>
      <c r="B37" s="213"/>
      <c r="C37" s="215"/>
      <c r="D37" s="214"/>
      <c r="E37" s="214"/>
      <c r="F37" s="214"/>
      <c r="G37" s="215"/>
      <c r="H37" s="233"/>
      <c r="I37" s="233"/>
      <c r="J37" s="233" t="str">
        <f t="shared" si="26"/>
        <v/>
      </c>
      <c r="K37" s="145"/>
      <c r="L37" s="145"/>
      <c r="M37" s="59">
        <f t="shared" si="21"/>
        <v>0</v>
      </c>
      <c r="N37" s="145"/>
      <c r="O37" s="145"/>
      <c r="P37" s="59">
        <f t="shared" si="22"/>
        <v>0</v>
      </c>
      <c r="Q37" s="60"/>
      <c r="R37" s="313"/>
      <c r="T37" s="216"/>
      <c r="V37" s="154"/>
      <c r="W37" s="145">
        <f t="shared" si="12"/>
        <v>0</v>
      </c>
      <c r="X37" s="145">
        <f t="shared" si="13"/>
        <v>0</v>
      </c>
      <c r="Y37" s="211" t="str">
        <f t="shared" si="3"/>
        <v>ok</v>
      </c>
      <c r="AA37" s="210">
        <f t="shared" si="18"/>
        <v>0</v>
      </c>
      <c r="AB37" s="145">
        <f t="shared" si="31"/>
        <v>0</v>
      </c>
      <c r="AC37" s="145">
        <f t="shared" si="32"/>
        <v>0</v>
      </c>
      <c r="AD37" s="211" t="str">
        <f t="shared" si="33"/>
        <v>ok</v>
      </c>
      <c r="AF37" s="224"/>
      <c r="AH37" s="219"/>
      <c r="AI37" s="219"/>
      <c r="AJ37" s="169"/>
      <c r="AK37" s="178"/>
      <c r="AM37" s="181"/>
    </row>
    <row r="38" spans="1:39" s="208" customFormat="1" ht="39.75" hidden="1" customHeight="1">
      <c r="A38" s="213"/>
      <c r="B38" s="213"/>
      <c r="C38" s="215"/>
      <c r="D38" s="214"/>
      <c r="E38" s="214"/>
      <c r="F38" s="214"/>
      <c r="G38" s="215"/>
      <c r="H38" s="233"/>
      <c r="I38" s="233"/>
      <c r="J38" s="233" t="str">
        <f t="shared" si="26"/>
        <v/>
      </c>
      <c r="K38" s="145"/>
      <c r="L38" s="145"/>
      <c r="M38" s="59">
        <f t="shared" si="21"/>
        <v>0</v>
      </c>
      <c r="N38" s="145"/>
      <c r="O38" s="145"/>
      <c r="P38" s="59">
        <f t="shared" si="22"/>
        <v>0</v>
      </c>
      <c r="Q38" s="60"/>
      <c r="R38" s="313"/>
      <c r="T38" s="216"/>
      <c r="V38" s="154"/>
      <c r="W38" s="145">
        <f t="shared" si="12"/>
        <v>0</v>
      </c>
      <c r="X38" s="145">
        <f t="shared" si="13"/>
        <v>0</v>
      </c>
      <c r="Y38" s="211" t="str">
        <f t="shared" si="3"/>
        <v>ok</v>
      </c>
      <c r="AA38" s="210">
        <f t="shared" si="18"/>
        <v>0</v>
      </c>
      <c r="AB38" s="145">
        <f t="shared" si="31"/>
        <v>0</v>
      </c>
      <c r="AC38" s="145">
        <f t="shared" si="32"/>
        <v>0</v>
      </c>
      <c r="AD38" s="211" t="str">
        <f t="shared" si="33"/>
        <v>ok</v>
      </c>
      <c r="AF38" s="224"/>
      <c r="AH38" s="219"/>
      <c r="AI38" s="219"/>
      <c r="AJ38" s="169"/>
      <c r="AK38" s="178"/>
      <c r="AM38" s="181"/>
    </row>
    <row r="39" spans="1:39" s="208" customFormat="1" ht="39.75" hidden="1" customHeight="1">
      <c r="A39" s="213"/>
      <c r="B39" s="213"/>
      <c r="C39" s="215"/>
      <c r="D39" s="214"/>
      <c r="E39" s="214"/>
      <c r="F39" s="214"/>
      <c r="G39" s="215"/>
      <c r="H39" s="233"/>
      <c r="I39" s="233"/>
      <c r="J39" s="233" t="str">
        <f t="shared" si="26"/>
        <v/>
      </c>
      <c r="K39" s="145"/>
      <c r="L39" s="145"/>
      <c r="M39" s="59">
        <f t="shared" si="21"/>
        <v>0</v>
      </c>
      <c r="N39" s="145"/>
      <c r="O39" s="145"/>
      <c r="P39" s="59">
        <f t="shared" si="22"/>
        <v>0</v>
      </c>
      <c r="Q39" s="60"/>
      <c r="R39" s="313"/>
      <c r="T39" s="216"/>
      <c r="V39" s="154"/>
      <c r="W39" s="145">
        <f t="shared" si="12"/>
        <v>0</v>
      </c>
      <c r="X39" s="145">
        <f t="shared" si="13"/>
        <v>0</v>
      </c>
      <c r="Y39" s="211" t="str">
        <f t="shared" si="3"/>
        <v>ok</v>
      </c>
      <c r="AA39" s="210">
        <f t="shared" si="18"/>
        <v>0</v>
      </c>
      <c r="AB39" s="145">
        <f t="shared" si="31"/>
        <v>0</v>
      </c>
      <c r="AC39" s="145">
        <f t="shared" si="32"/>
        <v>0</v>
      </c>
      <c r="AD39" s="211" t="str">
        <f t="shared" si="33"/>
        <v>ok</v>
      </c>
      <c r="AF39" s="224"/>
      <c r="AH39" s="219"/>
      <c r="AI39" s="219"/>
      <c r="AJ39" s="169"/>
      <c r="AK39" s="178"/>
      <c r="AM39" s="181"/>
    </row>
    <row r="40" spans="1:39" s="208" customFormat="1" ht="39.75" hidden="1" customHeight="1">
      <c r="A40" s="213"/>
      <c r="B40" s="213"/>
      <c r="C40" s="215"/>
      <c r="D40" s="214"/>
      <c r="E40" s="214"/>
      <c r="F40" s="214"/>
      <c r="G40" s="215"/>
      <c r="H40" s="233"/>
      <c r="I40" s="233"/>
      <c r="J40" s="233" t="str">
        <f t="shared" si="26"/>
        <v/>
      </c>
      <c r="K40" s="145"/>
      <c r="L40" s="145"/>
      <c r="M40" s="59">
        <f t="shared" si="21"/>
        <v>0</v>
      </c>
      <c r="N40" s="145"/>
      <c r="O40" s="145"/>
      <c r="P40" s="59">
        <f t="shared" si="22"/>
        <v>0</v>
      </c>
      <c r="Q40" s="60"/>
      <c r="R40" s="313"/>
      <c r="T40" s="216"/>
      <c r="V40" s="154"/>
      <c r="W40" s="145">
        <f t="shared" si="12"/>
        <v>0</v>
      </c>
      <c r="X40" s="145">
        <f t="shared" si="13"/>
        <v>0</v>
      </c>
      <c r="Y40" s="211" t="str">
        <f t="shared" si="3"/>
        <v>ok</v>
      </c>
      <c r="AA40" s="210">
        <f t="shared" si="18"/>
        <v>0</v>
      </c>
      <c r="AB40" s="145">
        <f t="shared" si="31"/>
        <v>0</v>
      </c>
      <c r="AC40" s="145">
        <f t="shared" si="32"/>
        <v>0</v>
      </c>
      <c r="AD40" s="211" t="str">
        <f t="shared" si="33"/>
        <v>ok</v>
      </c>
      <c r="AF40" s="224"/>
      <c r="AH40" s="219"/>
      <c r="AI40" s="219"/>
      <c r="AJ40" s="169"/>
      <c r="AK40" s="178"/>
      <c r="AM40" s="181"/>
    </row>
    <row r="41" spans="1:39" s="208" customFormat="1" ht="39.75" hidden="1" customHeight="1">
      <c r="A41" s="213"/>
      <c r="B41" s="213"/>
      <c r="C41" s="215"/>
      <c r="D41" s="214"/>
      <c r="E41" s="214"/>
      <c r="F41" s="214"/>
      <c r="G41" s="215"/>
      <c r="H41" s="233"/>
      <c r="I41" s="233"/>
      <c r="J41" s="233" t="str">
        <f t="shared" si="26"/>
        <v/>
      </c>
      <c r="K41" s="145"/>
      <c r="L41" s="145"/>
      <c r="M41" s="59">
        <f t="shared" si="21"/>
        <v>0</v>
      </c>
      <c r="N41" s="145"/>
      <c r="O41" s="145"/>
      <c r="P41" s="59">
        <f t="shared" si="22"/>
        <v>0</v>
      </c>
      <c r="Q41" s="60"/>
      <c r="R41" s="313"/>
      <c r="T41" s="216"/>
      <c r="V41" s="154"/>
      <c r="W41" s="145">
        <f t="shared" si="12"/>
        <v>0</v>
      </c>
      <c r="X41" s="145">
        <f t="shared" si="13"/>
        <v>0</v>
      </c>
      <c r="Y41" s="211" t="str">
        <f t="shared" si="3"/>
        <v>ok</v>
      </c>
      <c r="AA41" s="210">
        <f t="shared" si="18"/>
        <v>0</v>
      </c>
      <c r="AB41" s="145">
        <f t="shared" si="31"/>
        <v>0</v>
      </c>
      <c r="AC41" s="145">
        <f t="shared" si="32"/>
        <v>0</v>
      </c>
      <c r="AD41" s="211" t="str">
        <f t="shared" si="33"/>
        <v>ok</v>
      </c>
      <c r="AF41" s="224"/>
      <c r="AH41" s="219"/>
      <c r="AI41" s="219"/>
      <c r="AJ41" s="169"/>
      <c r="AK41" s="178"/>
      <c r="AM41" s="181"/>
    </row>
    <row r="42" spans="1:39" s="208" customFormat="1" ht="39.75" hidden="1" customHeight="1">
      <c r="A42" s="213"/>
      <c r="B42" s="213"/>
      <c r="C42" s="215"/>
      <c r="D42" s="214"/>
      <c r="E42" s="214"/>
      <c r="F42" s="214"/>
      <c r="G42" s="215"/>
      <c r="H42" s="233"/>
      <c r="I42" s="233"/>
      <c r="J42" s="233" t="str">
        <f t="shared" si="26"/>
        <v/>
      </c>
      <c r="K42" s="145"/>
      <c r="L42" s="145"/>
      <c r="M42" s="59">
        <f t="shared" si="21"/>
        <v>0</v>
      </c>
      <c r="N42" s="145"/>
      <c r="O42" s="145"/>
      <c r="P42" s="59">
        <f t="shared" si="22"/>
        <v>0</v>
      </c>
      <c r="Q42" s="60"/>
      <c r="R42" s="313"/>
      <c r="T42" s="216"/>
      <c r="V42" s="154"/>
      <c r="W42" s="145">
        <f t="shared" si="12"/>
        <v>0</v>
      </c>
      <c r="X42" s="145">
        <f t="shared" si="13"/>
        <v>0</v>
      </c>
      <c r="Y42" s="211" t="str">
        <f t="shared" si="3"/>
        <v>ok</v>
      </c>
      <c r="AA42" s="210">
        <f t="shared" si="18"/>
        <v>0</v>
      </c>
      <c r="AB42" s="145">
        <f t="shared" si="31"/>
        <v>0</v>
      </c>
      <c r="AC42" s="145">
        <f t="shared" si="32"/>
        <v>0</v>
      </c>
      <c r="AD42" s="211" t="str">
        <f t="shared" si="33"/>
        <v>ok</v>
      </c>
      <c r="AF42" s="224"/>
      <c r="AH42" s="219"/>
      <c r="AI42" s="219"/>
      <c r="AJ42" s="169"/>
      <c r="AK42" s="178"/>
      <c r="AM42" s="181"/>
    </row>
    <row r="43" spans="1:39" s="208" customFormat="1" ht="39.75" hidden="1" customHeight="1">
      <c r="A43" s="213"/>
      <c r="B43" s="213"/>
      <c r="C43" s="215"/>
      <c r="D43" s="214"/>
      <c r="E43" s="214"/>
      <c r="F43" s="214"/>
      <c r="G43" s="215"/>
      <c r="H43" s="233"/>
      <c r="I43" s="233"/>
      <c r="J43" s="233" t="str">
        <f t="shared" si="26"/>
        <v/>
      </c>
      <c r="K43" s="145"/>
      <c r="L43" s="145"/>
      <c r="M43" s="59">
        <f t="shared" si="21"/>
        <v>0</v>
      </c>
      <c r="N43" s="145"/>
      <c r="O43" s="145"/>
      <c r="P43" s="59">
        <f t="shared" si="22"/>
        <v>0</v>
      </c>
      <c r="Q43" s="60"/>
      <c r="R43" s="313"/>
      <c r="T43" s="216"/>
      <c r="V43" s="154"/>
      <c r="W43" s="145">
        <f t="shared" si="12"/>
        <v>0</v>
      </c>
      <c r="X43" s="145">
        <f t="shared" si="13"/>
        <v>0</v>
      </c>
      <c r="Y43" s="211" t="str">
        <f t="shared" si="3"/>
        <v>ok</v>
      </c>
      <c r="AA43" s="210">
        <f t="shared" si="18"/>
        <v>0</v>
      </c>
      <c r="AB43" s="145">
        <f t="shared" si="31"/>
        <v>0</v>
      </c>
      <c r="AC43" s="145">
        <f t="shared" si="32"/>
        <v>0</v>
      </c>
      <c r="AD43" s="211" t="str">
        <f t="shared" si="33"/>
        <v>ok</v>
      </c>
      <c r="AF43" s="224"/>
      <c r="AH43" s="219"/>
      <c r="AI43" s="219"/>
      <c r="AJ43" s="169"/>
      <c r="AK43" s="178"/>
      <c r="AM43" s="181"/>
    </row>
    <row r="44" spans="1:39" s="208" customFormat="1" ht="39.75" hidden="1" customHeight="1">
      <c r="A44" s="213"/>
      <c r="B44" s="213"/>
      <c r="C44" s="215"/>
      <c r="D44" s="214"/>
      <c r="E44" s="214"/>
      <c r="F44" s="214"/>
      <c r="G44" s="215"/>
      <c r="H44" s="233"/>
      <c r="I44" s="233"/>
      <c r="J44" s="233" t="str">
        <f t="shared" si="26"/>
        <v/>
      </c>
      <c r="K44" s="145"/>
      <c r="L44" s="145"/>
      <c r="M44" s="59">
        <f t="shared" si="21"/>
        <v>0</v>
      </c>
      <c r="N44" s="145"/>
      <c r="O44" s="145"/>
      <c r="P44" s="59">
        <f t="shared" si="22"/>
        <v>0</v>
      </c>
      <c r="Q44" s="60"/>
      <c r="R44" s="313"/>
      <c r="T44" s="216"/>
      <c r="V44" s="154"/>
      <c r="W44" s="145">
        <f t="shared" si="12"/>
        <v>0</v>
      </c>
      <c r="X44" s="145">
        <f t="shared" si="13"/>
        <v>0</v>
      </c>
      <c r="Y44" s="211" t="str">
        <f t="shared" si="3"/>
        <v>ok</v>
      </c>
      <c r="AA44" s="210">
        <f t="shared" si="18"/>
        <v>0</v>
      </c>
      <c r="AB44" s="145">
        <f t="shared" si="31"/>
        <v>0</v>
      </c>
      <c r="AC44" s="145">
        <f t="shared" si="32"/>
        <v>0</v>
      </c>
      <c r="AD44" s="211" t="str">
        <f t="shared" si="33"/>
        <v>ok</v>
      </c>
      <c r="AF44" s="224"/>
      <c r="AH44" s="219"/>
      <c r="AI44" s="219"/>
      <c r="AJ44" s="169"/>
      <c r="AK44" s="178"/>
      <c r="AM44" s="181"/>
    </row>
    <row r="45" spans="1:39" s="208" customFormat="1" ht="39.75" hidden="1" customHeight="1">
      <c r="A45" s="213"/>
      <c r="B45" s="213"/>
      <c r="C45" s="215"/>
      <c r="D45" s="214"/>
      <c r="E45" s="214"/>
      <c r="F45" s="214"/>
      <c r="G45" s="215"/>
      <c r="H45" s="233"/>
      <c r="I45" s="233"/>
      <c r="J45" s="233" t="str">
        <f t="shared" si="26"/>
        <v/>
      </c>
      <c r="K45" s="145"/>
      <c r="L45" s="145"/>
      <c r="M45" s="59">
        <f t="shared" si="21"/>
        <v>0</v>
      </c>
      <c r="N45" s="145"/>
      <c r="O45" s="145"/>
      <c r="P45" s="59">
        <f t="shared" si="22"/>
        <v>0</v>
      </c>
      <c r="Q45" s="60"/>
      <c r="R45" s="313"/>
      <c r="T45" s="216"/>
      <c r="V45" s="154"/>
      <c r="W45" s="145">
        <f t="shared" si="12"/>
        <v>0</v>
      </c>
      <c r="X45" s="145">
        <f t="shared" si="13"/>
        <v>0</v>
      </c>
      <c r="Y45" s="211" t="str">
        <f t="shared" si="3"/>
        <v>ok</v>
      </c>
      <c r="AA45" s="210">
        <f t="shared" si="18"/>
        <v>0</v>
      </c>
      <c r="AB45" s="145">
        <f t="shared" si="31"/>
        <v>0</v>
      </c>
      <c r="AC45" s="145">
        <f t="shared" si="32"/>
        <v>0</v>
      </c>
      <c r="AD45" s="211" t="str">
        <f t="shared" si="33"/>
        <v>ok</v>
      </c>
      <c r="AF45" s="224"/>
      <c r="AH45" s="219"/>
      <c r="AI45" s="219"/>
      <c r="AJ45" s="169"/>
      <c r="AK45" s="178"/>
      <c r="AM45" s="181"/>
    </row>
    <row r="46" spans="1:39" s="208" customFormat="1" ht="39.75" hidden="1" customHeight="1">
      <c r="A46" s="213"/>
      <c r="B46" s="213"/>
      <c r="C46" s="215"/>
      <c r="D46" s="214"/>
      <c r="E46" s="214"/>
      <c r="F46" s="214"/>
      <c r="G46" s="215"/>
      <c r="H46" s="233"/>
      <c r="I46" s="233"/>
      <c r="J46" s="233" t="str">
        <f t="shared" si="26"/>
        <v/>
      </c>
      <c r="K46" s="145"/>
      <c r="L46" s="145"/>
      <c r="M46" s="59">
        <f t="shared" si="21"/>
        <v>0</v>
      </c>
      <c r="N46" s="145"/>
      <c r="O46" s="145"/>
      <c r="P46" s="59">
        <f t="shared" si="22"/>
        <v>0</v>
      </c>
      <c r="Q46" s="60"/>
      <c r="R46" s="313"/>
      <c r="T46" s="216"/>
      <c r="V46" s="154"/>
      <c r="W46" s="145">
        <f t="shared" si="12"/>
        <v>0</v>
      </c>
      <c r="X46" s="145">
        <f t="shared" si="13"/>
        <v>0</v>
      </c>
      <c r="Y46" s="211" t="str">
        <f t="shared" si="3"/>
        <v>ok</v>
      </c>
      <c r="AA46" s="210">
        <f t="shared" si="18"/>
        <v>0</v>
      </c>
      <c r="AB46" s="145">
        <f t="shared" si="31"/>
        <v>0</v>
      </c>
      <c r="AC46" s="145">
        <f t="shared" si="32"/>
        <v>0</v>
      </c>
      <c r="AD46" s="211" t="str">
        <f t="shared" si="33"/>
        <v>ok</v>
      </c>
      <c r="AF46" s="224"/>
      <c r="AH46" s="219"/>
      <c r="AI46" s="219"/>
      <c r="AJ46" s="169"/>
      <c r="AK46" s="178"/>
      <c r="AM46" s="181"/>
    </row>
    <row r="47" spans="1:39" s="208" customFormat="1" ht="39.75" hidden="1" customHeight="1">
      <c r="A47" s="213"/>
      <c r="B47" s="213"/>
      <c r="C47" s="215"/>
      <c r="D47" s="214"/>
      <c r="E47" s="214"/>
      <c r="F47" s="214"/>
      <c r="G47" s="215"/>
      <c r="H47" s="233"/>
      <c r="I47" s="233"/>
      <c r="J47" s="233" t="str">
        <f t="shared" si="26"/>
        <v/>
      </c>
      <c r="K47" s="145"/>
      <c r="L47" s="145"/>
      <c r="M47" s="59">
        <f t="shared" si="21"/>
        <v>0</v>
      </c>
      <c r="N47" s="145"/>
      <c r="O47" s="145"/>
      <c r="P47" s="59">
        <f t="shared" si="22"/>
        <v>0</v>
      </c>
      <c r="Q47" s="60"/>
      <c r="R47" s="313"/>
      <c r="T47" s="216"/>
      <c r="V47" s="154"/>
      <c r="W47" s="145">
        <f t="shared" si="12"/>
        <v>0</v>
      </c>
      <c r="X47" s="145">
        <f t="shared" si="13"/>
        <v>0</v>
      </c>
      <c r="Y47" s="211" t="str">
        <f t="shared" si="3"/>
        <v>ok</v>
      </c>
      <c r="AA47" s="210">
        <f t="shared" si="18"/>
        <v>0</v>
      </c>
      <c r="AB47" s="145">
        <f t="shared" si="31"/>
        <v>0</v>
      </c>
      <c r="AC47" s="145">
        <f t="shared" si="32"/>
        <v>0</v>
      </c>
      <c r="AD47" s="211" t="str">
        <f t="shared" si="33"/>
        <v>ok</v>
      </c>
      <c r="AF47" s="224"/>
      <c r="AH47" s="219"/>
      <c r="AI47" s="219"/>
      <c r="AJ47" s="169"/>
      <c r="AK47" s="178"/>
      <c r="AM47" s="181"/>
    </row>
    <row r="48" spans="1:39" s="208" customFormat="1" ht="39.75" hidden="1" customHeight="1">
      <c r="A48" s="213"/>
      <c r="B48" s="213"/>
      <c r="C48" s="215"/>
      <c r="D48" s="214"/>
      <c r="E48" s="214"/>
      <c r="F48" s="214"/>
      <c r="G48" s="215"/>
      <c r="H48" s="233"/>
      <c r="I48" s="233"/>
      <c r="J48" s="233" t="str">
        <f t="shared" si="26"/>
        <v/>
      </c>
      <c r="K48" s="145"/>
      <c r="L48" s="145"/>
      <c r="M48" s="59">
        <f t="shared" si="21"/>
        <v>0</v>
      </c>
      <c r="N48" s="145"/>
      <c r="O48" s="145"/>
      <c r="P48" s="59">
        <f t="shared" si="22"/>
        <v>0</v>
      </c>
      <c r="Q48" s="60"/>
      <c r="R48" s="313"/>
      <c r="T48" s="216"/>
      <c r="V48" s="154"/>
      <c r="W48" s="145">
        <f t="shared" si="12"/>
        <v>0</v>
      </c>
      <c r="X48" s="145">
        <f t="shared" si="13"/>
        <v>0</v>
      </c>
      <c r="Y48" s="211" t="str">
        <f t="shared" si="3"/>
        <v>ok</v>
      </c>
      <c r="AA48" s="210">
        <f t="shared" si="18"/>
        <v>0</v>
      </c>
      <c r="AB48" s="145">
        <f t="shared" si="31"/>
        <v>0</v>
      </c>
      <c r="AC48" s="145">
        <f t="shared" si="32"/>
        <v>0</v>
      </c>
      <c r="AD48" s="211" t="str">
        <f t="shared" si="33"/>
        <v>ok</v>
      </c>
      <c r="AF48" s="224"/>
      <c r="AH48" s="219"/>
      <c r="AI48" s="219"/>
      <c r="AJ48" s="169"/>
      <c r="AK48" s="178"/>
      <c r="AM48" s="181"/>
    </row>
    <row r="49" spans="1:39" s="208" customFormat="1" ht="39.75" hidden="1" customHeight="1">
      <c r="A49" s="213"/>
      <c r="B49" s="213"/>
      <c r="C49" s="215"/>
      <c r="D49" s="214"/>
      <c r="E49" s="214"/>
      <c r="F49" s="214"/>
      <c r="G49" s="215"/>
      <c r="H49" s="233"/>
      <c r="I49" s="233"/>
      <c r="J49" s="233" t="str">
        <f t="shared" si="26"/>
        <v/>
      </c>
      <c r="K49" s="145"/>
      <c r="L49" s="145"/>
      <c r="M49" s="59">
        <f t="shared" si="21"/>
        <v>0</v>
      </c>
      <c r="N49" s="145"/>
      <c r="O49" s="145"/>
      <c r="P49" s="59">
        <f t="shared" si="22"/>
        <v>0</v>
      </c>
      <c r="Q49" s="60"/>
      <c r="R49" s="313"/>
      <c r="T49" s="216"/>
      <c r="V49" s="154"/>
      <c r="W49" s="145">
        <f t="shared" si="12"/>
        <v>0</v>
      </c>
      <c r="X49" s="145">
        <f t="shared" si="13"/>
        <v>0</v>
      </c>
      <c r="Y49" s="211" t="str">
        <f t="shared" si="3"/>
        <v>ok</v>
      </c>
      <c r="AA49" s="210">
        <f t="shared" si="18"/>
        <v>0</v>
      </c>
      <c r="AB49" s="145">
        <f t="shared" si="31"/>
        <v>0</v>
      </c>
      <c r="AC49" s="145">
        <f t="shared" si="32"/>
        <v>0</v>
      </c>
      <c r="AD49" s="211" t="str">
        <f t="shared" si="33"/>
        <v>ok</v>
      </c>
      <c r="AF49" s="224"/>
      <c r="AH49" s="219"/>
      <c r="AI49" s="219"/>
      <c r="AJ49" s="169"/>
      <c r="AK49" s="178"/>
      <c r="AM49" s="181"/>
    </row>
    <row r="50" spans="1:39" s="208" customFormat="1" ht="39.75" hidden="1" customHeight="1">
      <c r="A50" s="213"/>
      <c r="B50" s="213"/>
      <c r="C50" s="215"/>
      <c r="D50" s="214"/>
      <c r="E50" s="214"/>
      <c r="F50" s="214"/>
      <c r="G50" s="215"/>
      <c r="H50" s="233"/>
      <c r="I50" s="233"/>
      <c r="J50" s="233" t="str">
        <f t="shared" si="26"/>
        <v/>
      </c>
      <c r="K50" s="145"/>
      <c r="L50" s="145"/>
      <c r="M50" s="59">
        <f t="shared" si="21"/>
        <v>0</v>
      </c>
      <c r="N50" s="145"/>
      <c r="O50" s="145"/>
      <c r="P50" s="59">
        <f t="shared" si="22"/>
        <v>0</v>
      </c>
      <c r="Q50" s="60"/>
      <c r="R50" s="313"/>
      <c r="T50" s="216"/>
      <c r="V50" s="154"/>
      <c r="W50" s="145">
        <f t="shared" si="12"/>
        <v>0</v>
      </c>
      <c r="X50" s="145">
        <f t="shared" si="13"/>
        <v>0</v>
      </c>
      <c r="Y50" s="211" t="str">
        <f t="shared" si="3"/>
        <v>ok</v>
      </c>
      <c r="AA50" s="210">
        <f t="shared" si="18"/>
        <v>0</v>
      </c>
      <c r="AB50" s="145">
        <f t="shared" si="31"/>
        <v>0</v>
      </c>
      <c r="AC50" s="145">
        <f t="shared" si="32"/>
        <v>0</v>
      </c>
      <c r="AD50" s="211" t="str">
        <f t="shared" si="33"/>
        <v>ok</v>
      </c>
      <c r="AF50" s="224"/>
      <c r="AH50" s="219"/>
      <c r="AI50" s="219"/>
      <c r="AJ50" s="169"/>
      <c r="AK50" s="178"/>
      <c r="AM50" s="181"/>
    </row>
    <row r="51" spans="1:39" s="208" customFormat="1" ht="39.75" hidden="1" customHeight="1">
      <c r="A51" s="213"/>
      <c r="B51" s="213"/>
      <c r="C51" s="215"/>
      <c r="D51" s="214"/>
      <c r="E51" s="214"/>
      <c r="F51" s="214"/>
      <c r="G51" s="215"/>
      <c r="H51" s="233"/>
      <c r="I51" s="233"/>
      <c r="J51" s="233" t="str">
        <f t="shared" si="26"/>
        <v/>
      </c>
      <c r="K51" s="145"/>
      <c r="L51" s="145"/>
      <c r="M51" s="59">
        <f t="shared" si="21"/>
        <v>0</v>
      </c>
      <c r="N51" s="145"/>
      <c r="O51" s="145"/>
      <c r="P51" s="59">
        <f t="shared" si="22"/>
        <v>0</v>
      </c>
      <c r="Q51" s="60"/>
      <c r="R51" s="313"/>
      <c r="T51" s="216"/>
      <c r="V51" s="154"/>
      <c r="W51" s="145">
        <f t="shared" si="12"/>
        <v>0</v>
      </c>
      <c r="X51" s="145">
        <f t="shared" si="13"/>
        <v>0</v>
      </c>
      <c r="Y51" s="211" t="str">
        <f t="shared" si="3"/>
        <v>ok</v>
      </c>
      <c r="AA51" s="210">
        <f t="shared" si="18"/>
        <v>0</v>
      </c>
      <c r="AB51" s="145">
        <f t="shared" si="31"/>
        <v>0</v>
      </c>
      <c r="AC51" s="145">
        <f t="shared" si="32"/>
        <v>0</v>
      </c>
      <c r="AD51" s="211" t="str">
        <f t="shared" si="33"/>
        <v>ok</v>
      </c>
      <c r="AF51" s="224"/>
      <c r="AH51" s="219"/>
      <c r="AI51" s="219"/>
      <c r="AJ51" s="169"/>
      <c r="AK51" s="178"/>
      <c r="AM51" s="181"/>
    </row>
    <row r="52" spans="1:39" s="208" customFormat="1" ht="39.75" hidden="1" customHeight="1">
      <c r="A52" s="213"/>
      <c r="B52" s="213"/>
      <c r="C52" s="215"/>
      <c r="D52" s="214"/>
      <c r="E52" s="214"/>
      <c r="F52" s="214"/>
      <c r="G52" s="215"/>
      <c r="H52" s="233"/>
      <c r="I52" s="233"/>
      <c r="J52" s="233" t="str">
        <f t="shared" si="26"/>
        <v/>
      </c>
      <c r="K52" s="145"/>
      <c r="L52" s="145"/>
      <c r="M52" s="59">
        <f t="shared" si="21"/>
        <v>0</v>
      </c>
      <c r="N52" s="145"/>
      <c r="O52" s="145"/>
      <c r="P52" s="59">
        <f t="shared" si="22"/>
        <v>0</v>
      </c>
      <c r="Q52" s="60"/>
      <c r="R52" s="313"/>
      <c r="T52" s="216"/>
      <c r="V52" s="154"/>
      <c r="W52" s="145">
        <f t="shared" si="12"/>
        <v>0</v>
      </c>
      <c r="X52" s="145">
        <f t="shared" si="13"/>
        <v>0</v>
      </c>
      <c r="Y52" s="211" t="str">
        <f t="shared" si="3"/>
        <v>ok</v>
      </c>
      <c r="AA52" s="210">
        <f t="shared" si="18"/>
        <v>0</v>
      </c>
      <c r="AB52" s="145">
        <f t="shared" si="31"/>
        <v>0</v>
      </c>
      <c r="AC52" s="145">
        <f t="shared" si="32"/>
        <v>0</v>
      </c>
      <c r="AD52" s="211" t="str">
        <f t="shared" si="33"/>
        <v>ok</v>
      </c>
      <c r="AF52" s="224"/>
      <c r="AH52" s="219"/>
      <c r="AI52" s="219"/>
      <c r="AJ52" s="169"/>
      <c r="AK52" s="178"/>
      <c r="AM52" s="181"/>
    </row>
    <row r="53" spans="1:39" s="208" customFormat="1" ht="39.75" hidden="1" customHeight="1">
      <c r="A53" s="213"/>
      <c r="B53" s="213"/>
      <c r="C53" s="215"/>
      <c r="D53" s="214"/>
      <c r="E53" s="214"/>
      <c r="F53" s="214"/>
      <c r="G53" s="215"/>
      <c r="H53" s="233"/>
      <c r="I53" s="233"/>
      <c r="J53" s="233" t="str">
        <f t="shared" si="26"/>
        <v/>
      </c>
      <c r="K53" s="145"/>
      <c r="L53" s="145"/>
      <c r="M53" s="59">
        <f t="shared" si="21"/>
        <v>0</v>
      </c>
      <c r="N53" s="145"/>
      <c r="O53" s="145"/>
      <c r="P53" s="59">
        <f t="shared" si="22"/>
        <v>0</v>
      </c>
      <c r="Q53" s="60"/>
      <c r="R53" s="313"/>
      <c r="T53" s="216"/>
      <c r="V53" s="154"/>
      <c r="W53" s="145">
        <f t="shared" si="12"/>
        <v>0</v>
      </c>
      <c r="X53" s="145">
        <f t="shared" si="13"/>
        <v>0</v>
      </c>
      <c r="Y53" s="211" t="str">
        <f t="shared" si="3"/>
        <v>ok</v>
      </c>
      <c r="AA53" s="210">
        <f t="shared" si="18"/>
        <v>0</v>
      </c>
      <c r="AB53" s="145">
        <f t="shared" si="31"/>
        <v>0</v>
      </c>
      <c r="AC53" s="145">
        <f t="shared" si="32"/>
        <v>0</v>
      </c>
      <c r="AD53" s="211" t="str">
        <f t="shared" si="33"/>
        <v>ok</v>
      </c>
      <c r="AF53" s="224"/>
      <c r="AH53" s="219"/>
      <c r="AI53" s="219"/>
      <c r="AJ53" s="169"/>
      <c r="AK53" s="178"/>
      <c r="AM53" s="181"/>
    </row>
    <row r="54" spans="1:39" s="208" customFormat="1" ht="39.75" hidden="1" customHeight="1">
      <c r="A54" s="213"/>
      <c r="B54" s="213"/>
      <c r="C54" s="215"/>
      <c r="D54" s="214"/>
      <c r="E54" s="214"/>
      <c r="F54" s="214"/>
      <c r="G54" s="215"/>
      <c r="H54" s="233"/>
      <c r="I54" s="233"/>
      <c r="J54" s="233" t="str">
        <f t="shared" si="26"/>
        <v/>
      </c>
      <c r="K54" s="145"/>
      <c r="L54" s="145"/>
      <c r="M54" s="59">
        <f t="shared" si="21"/>
        <v>0</v>
      </c>
      <c r="N54" s="145"/>
      <c r="O54" s="145"/>
      <c r="P54" s="59">
        <f t="shared" si="22"/>
        <v>0</v>
      </c>
      <c r="Q54" s="60"/>
      <c r="R54" s="313"/>
      <c r="T54" s="216"/>
      <c r="V54" s="154"/>
      <c r="W54" s="145">
        <f t="shared" si="12"/>
        <v>0</v>
      </c>
      <c r="X54" s="145">
        <f t="shared" si="13"/>
        <v>0</v>
      </c>
      <c r="Y54" s="211" t="str">
        <f t="shared" si="3"/>
        <v>ok</v>
      </c>
      <c r="AA54" s="210">
        <f t="shared" si="18"/>
        <v>0</v>
      </c>
      <c r="AB54" s="145">
        <f t="shared" si="31"/>
        <v>0</v>
      </c>
      <c r="AC54" s="145">
        <f t="shared" si="32"/>
        <v>0</v>
      </c>
      <c r="AD54" s="211" t="str">
        <f t="shared" si="33"/>
        <v>ok</v>
      </c>
      <c r="AF54" s="224"/>
      <c r="AH54" s="219"/>
      <c r="AI54" s="219"/>
      <c r="AJ54" s="169"/>
      <c r="AK54" s="178"/>
      <c r="AM54" s="181"/>
    </row>
    <row r="55" spans="1:39" s="208" customFormat="1" ht="39.75" hidden="1" customHeight="1">
      <c r="A55" s="213"/>
      <c r="B55" s="213"/>
      <c r="C55" s="215"/>
      <c r="D55" s="214"/>
      <c r="E55" s="214"/>
      <c r="F55" s="214"/>
      <c r="G55" s="215"/>
      <c r="H55" s="233"/>
      <c r="I55" s="233"/>
      <c r="J55" s="233" t="str">
        <f t="shared" si="26"/>
        <v/>
      </c>
      <c r="K55" s="145"/>
      <c r="L55" s="145"/>
      <c r="M55" s="59">
        <f t="shared" si="21"/>
        <v>0</v>
      </c>
      <c r="N55" s="145"/>
      <c r="O55" s="145"/>
      <c r="P55" s="59">
        <f t="shared" si="22"/>
        <v>0</v>
      </c>
      <c r="Q55" s="60"/>
      <c r="R55" s="313"/>
      <c r="T55" s="216"/>
      <c r="V55" s="154"/>
      <c r="W55" s="145">
        <f t="shared" si="12"/>
        <v>0</v>
      </c>
      <c r="X55" s="145">
        <f t="shared" si="13"/>
        <v>0</v>
      </c>
      <c r="Y55" s="211" t="str">
        <f t="shared" si="3"/>
        <v>ok</v>
      </c>
      <c r="AA55" s="210">
        <f t="shared" si="18"/>
        <v>0</v>
      </c>
      <c r="AB55" s="145">
        <f t="shared" si="31"/>
        <v>0</v>
      </c>
      <c r="AC55" s="145">
        <f t="shared" si="32"/>
        <v>0</v>
      </c>
      <c r="AD55" s="211" t="str">
        <f t="shared" si="33"/>
        <v>ok</v>
      </c>
      <c r="AF55" s="224"/>
      <c r="AH55" s="219"/>
      <c r="AI55" s="219"/>
      <c r="AJ55" s="169"/>
      <c r="AK55" s="178"/>
      <c r="AM55" s="181"/>
    </row>
    <row r="56" spans="1:39" s="208" customFormat="1" ht="39.75" hidden="1" customHeight="1">
      <c r="A56" s="213"/>
      <c r="B56" s="213"/>
      <c r="C56" s="215"/>
      <c r="D56" s="214"/>
      <c r="E56" s="214"/>
      <c r="F56" s="214"/>
      <c r="G56" s="215"/>
      <c r="H56" s="233"/>
      <c r="I56" s="233"/>
      <c r="J56" s="233" t="str">
        <f t="shared" si="26"/>
        <v/>
      </c>
      <c r="K56" s="145"/>
      <c r="L56" s="145"/>
      <c r="M56" s="59">
        <f t="shared" si="21"/>
        <v>0</v>
      </c>
      <c r="N56" s="145"/>
      <c r="O56" s="145"/>
      <c r="P56" s="59">
        <f t="shared" si="22"/>
        <v>0</v>
      </c>
      <c r="Q56" s="60"/>
      <c r="R56" s="313"/>
      <c r="T56" s="216"/>
      <c r="V56" s="154"/>
      <c r="W56" s="145">
        <f t="shared" si="12"/>
        <v>0</v>
      </c>
      <c r="X56" s="145">
        <f t="shared" si="13"/>
        <v>0</v>
      </c>
      <c r="Y56" s="211" t="str">
        <f t="shared" si="3"/>
        <v>ok</v>
      </c>
      <c r="AA56" s="210">
        <f t="shared" si="18"/>
        <v>0</v>
      </c>
      <c r="AB56" s="145">
        <f t="shared" si="31"/>
        <v>0</v>
      </c>
      <c r="AC56" s="145">
        <f t="shared" si="32"/>
        <v>0</v>
      </c>
      <c r="AD56" s="211" t="str">
        <f t="shared" si="33"/>
        <v>ok</v>
      </c>
      <c r="AF56" s="224"/>
      <c r="AH56" s="219"/>
      <c r="AI56" s="219"/>
      <c r="AJ56" s="169"/>
      <c r="AK56" s="178"/>
      <c r="AM56" s="181"/>
    </row>
    <row r="57" spans="1:39" s="208" customFormat="1" ht="39.75" hidden="1" customHeight="1">
      <c r="A57" s="213"/>
      <c r="B57" s="213"/>
      <c r="C57" s="215"/>
      <c r="D57" s="214"/>
      <c r="E57" s="214"/>
      <c r="F57" s="214"/>
      <c r="G57" s="215"/>
      <c r="H57" s="233"/>
      <c r="I57" s="233"/>
      <c r="J57" s="233" t="str">
        <f t="shared" si="26"/>
        <v/>
      </c>
      <c r="K57" s="145"/>
      <c r="L57" s="145"/>
      <c r="M57" s="59">
        <f t="shared" si="21"/>
        <v>0</v>
      </c>
      <c r="N57" s="145"/>
      <c r="O57" s="145"/>
      <c r="P57" s="59">
        <f t="shared" si="22"/>
        <v>0</v>
      </c>
      <c r="Q57" s="60"/>
      <c r="R57" s="313"/>
      <c r="T57" s="216"/>
      <c r="V57" s="154"/>
      <c r="W57" s="145">
        <f t="shared" si="12"/>
        <v>0</v>
      </c>
      <c r="X57" s="145">
        <f t="shared" si="13"/>
        <v>0</v>
      </c>
      <c r="Y57" s="211" t="str">
        <f t="shared" si="3"/>
        <v>ok</v>
      </c>
      <c r="AA57" s="210">
        <f t="shared" si="18"/>
        <v>0</v>
      </c>
      <c r="AB57" s="145">
        <f t="shared" si="31"/>
        <v>0</v>
      </c>
      <c r="AC57" s="145">
        <f t="shared" si="32"/>
        <v>0</v>
      </c>
      <c r="AD57" s="211" t="str">
        <f t="shared" si="33"/>
        <v>ok</v>
      </c>
      <c r="AF57" s="224"/>
      <c r="AH57" s="219"/>
      <c r="AI57" s="219"/>
      <c r="AJ57" s="169"/>
      <c r="AK57" s="178"/>
      <c r="AM57" s="181"/>
    </row>
    <row r="58" spans="1:39" s="208" customFormat="1" ht="39.75" hidden="1" customHeight="1">
      <c r="A58" s="213"/>
      <c r="B58" s="213"/>
      <c r="C58" s="215"/>
      <c r="D58" s="214"/>
      <c r="E58" s="214"/>
      <c r="F58" s="214"/>
      <c r="G58" s="215"/>
      <c r="H58" s="233"/>
      <c r="I58" s="233"/>
      <c r="J58" s="233" t="str">
        <f t="shared" si="26"/>
        <v/>
      </c>
      <c r="K58" s="145"/>
      <c r="L58" s="145"/>
      <c r="M58" s="59">
        <f t="shared" si="21"/>
        <v>0</v>
      </c>
      <c r="N58" s="145"/>
      <c r="O58" s="145"/>
      <c r="P58" s="59">
        <f t="shared" si="22"/>
        <v>0</v>
      </c>
      <c r="Q58" s="60"/>
      <c r="R58" s="313"/>
      <c r="T58" s="216"/>
      <c r="V58" s="154"/>
      <c r="W58" s="145">
        <f t="shared" si="12"/>
        <v>0</v>
      </c>
      <c r="X58" s="145">
        <f t="shared" si="13"/>
        <v>0</v>
      </c>
      <c r="Y58" s="211" t="str">
        <f t="shared" si="3"/>
        <v>ok</v>
      </c>
      <c r="AA58" s="210">
        <f t="shared" si="18"/>
        <v>0</v>
      </c>
      <c r="AB58" s="145">
        <f t="shared" si="31"/>
        <v>0</v>
      </c>
      <c r="AC58" s="145">
        <f t="shared" si="32"/>
        <v>0</v>
      </c>
      <c r="AD58" s="211" t="str">
        <f t="shared" si="33"/>
        <v>ok</v>
      </c>
      <c r="AF58" s="224"/>
      <c r="AH58" s="219"/>
      <c r="AI58" s="219"/>
      <c r="AJ58" s="169"/>
      <c r="AK58" s="178"/>
      <c r="AM58" s="181"/>
    </row>
    <row r="59" spans="1:39" s="208" customFormat="1" ht="39.75" hidden="1" customHeight="1">
      <c r="A59" s="213"/>
      <c r="B59" s="213"/>
      <c r="C59" s="215"/>
      <c r="D59" s="214"/>
      <c r="E59" s="214"/>
      <c r="F59" s="214"/>
      <c r="G59" s="215"/>
      <c r="H59" s="233"/>
      <c r="I59" s="233"/>
      <c r="J59" s="233" t="str">
        <f t="shared" si="26"/>
        <v/>
      </c>
      <c r="K59" s="145"/>
      <c r="L59" s="145"/>
      <c r="M59" s="59">
        <f t="shared" si="21"/>
        <v>0</v>
      </c>
      <c r="N59" s="145"/>
      <c r="O59" s="145"/>
      <c r="P59" s="59">
        <f t="shared" si="22"/>
        <v>0</v>
      </c>
      <c r="Q59" s="60"/>
      <c r="R59" s="313"/>
      <c r="T59" s="216"/>
      <c r="V59" s="154"/>
      <c r="W59" s="145">
        <f t="shared" si="12"/>
        <v>0</v>
      </c>
      <c r="X59" s="145">
        <f t="shared" si="13"/>
        <v>0</v>
      </c>
      <c r="Y59" s="211" t="str">
        <f t="shared" si="3"/>
        <v>ok</v>
      </c>
      <c r="AA59" s="210">
        <f t="shared" si="18"/>
        <v>0</v>
      </c>
      <c r="AB59" s="145">
        <f t="shared" si="31"/>
        <v>0</v>
      </c>
      <c r="AC59" s="145">
        <f t="shared" si="32"/>
        <v>0</v>
      </c>
      <c r="AD59" s="211" t="str">
        <f t="shared" si="33"/>
        <v>ok</v>
      </c>
      <c r="AF59" s="224"/>
      <c r="AH59" s="219"/>
      <c r="AI59" s="219"/>
      <c r="AJ59" s="169"/>
      <c r="AK59" s="178"/>
      <c r="AM59" s="181"/>
    </row>
    <row r="60" spans="1:39" s="208" customFormat="1" ht="39.75" hidden="1" customHeight="1">
      <c r="A60" s="213"/>
      <c r="B60" s="213"/>
      <c r="C60" s="215"/>
      <c r="D60" s="214"/>
      <c r="E60" s="214"/>
      <c r="F60" s="214"/>
      <c r="G60" s="215"/>
      <c r="H60" s="233"/>
      <c r="I60" s="233"/>
      <c r="J60" s="233" t="str">
        <f t="shared" si="26"/>
        <v/>
      </c>
      <c r="K60" s="145"/>
      <c r="L60" s="145"/>
      <c r="M60" s="59">
        <f t="shared" si="21"/>
        <v>0</v>
      </c>
      <c r="N60" s="145"/>
      <c r="O60" s="145"/>
      <c r="P60" s="59">
        <f t="shared" si="22"/>
        <v>0</v>
      </c>
      <c r="Q60" s="60"/>
      <c r="R60" s="313"/>
      <c r="T60" s="216"/>
      <c r="V60" s="154"/>
      <c r="W60" s="145">
        <f t="shared" si="12"/>
        <v>0</v>
      </c>
      <c r="X60" s="145">
        <f t="shared" si="13"/>
        <v>0</v>
      </c>
      <c r="Y60" s="211" t="str">
        <f t="shared" si="3"/>
        <v>ok</v>
      </c>
      <c r="AA60" s="210">
        <f t="shared" si="18"/>
        <v>0</v>
      </c>
      <c r="AB60" s="145">
        <f t="shared" si="31"/>
        <v>0</v>
      </c>
      <c r="AC60" s="145">
        <f t="shared" si="32"/>
        <v>0</v>
      </c>
      <c r="AD60" s="211" t="str">
        <f t="shared" si="33"/>
        <v>ok</v>
      </c>
      <c r="AF60" s="224"/>
      <c r="AH60" s="219"/>
      <c r="AI60" s="219"/>
      <c r="AJ60" s="169"/>
      <c r="AK60" s="178"/>
      <c r="AM60" s="181"/>
    </row>
    <row r="61" spans="1:39" s="208" customFormat="1" ht="39.75" hidden="1" customHeight="1">
      <c r="A61" s="213"/>
      <c r="B61" s="213"/>
      <c r="C61" s="215"/>
      <c r="D61" s="214"/>
      <c r="E61" s="214"/>
      <c r="F61" s="214"/>
      <c r="G61" s="215"/>
      <c r="H61" s="233"/>
      <c r="I61" s="233"/>
      <c r="J61" s="233" t="str">
        <f t="shared" si="26"/>
        <v/>
      </c>
      <c r="K61" s="145"/>
      <c r="L61" s="145"/>
      <c r="M61" s="59">
        <f t="shared" si="21"/>
        <v>0</v>
      </c>
      <c r="N61" s="145"/>
      <c r="O61" s="145"/>
      <c r="P61" s="59">
        <f t="shared" si="22"/>
        <v>0</v>
      </c>
      <c r="Q61" s="60"/>
      <c r="R61" s="313"/>
      <c r="T61" s="216"/>
      <c r="V61" s="154"/>
      <c r="W61" s="145">
        <f t="shared" si="12"/>
        <v>0</v>
      </c>
      <c r="X61" s="145">
        <f t="shared" si="13"/>
        <v>0</v>
      </c>
      <c r="Y61" s="211" t="str">
        <f t="shared" si="3"/>
        <v>ok</v>
      </c>
      <c r="AA61" s="210">
        <f t="shared" si="18"/>
        <v>0</v>
      </c>
      <c r="AB61" s="145">
        <f t="shared" si="31"/>
        <v>0</v>
      </c>
      <c r="AC61" s="145">
        <f t="shared" si="32"/>
        <v>0</v>
      </c>
      <c r="AD61" s="211" t="str">
        <f t="shared" si="33"/>
        <v>ok</v>
      </c>
      <c r="AF61" s="224"/>
      <c r="AH61" s="219"/>
      <c r="AI61" s="219"/>
      <c r="AJ61" s="169"/>
      <c r="AK61" s="178"/>
      <c r="AM61" s="181"/>
    </row>
    <row r="62" spans="1:39" s="208" customFormat="1" ht="39.75" hidden="1" customHeight="1">
      <c r="A62" s="213"/>
      <c r="B62" s="213"/>
      <c r="C62" s="215"/>
      <c r="D62" s="214"/>
      <c r="E62" s="214"/>
      <c r="F62" s="214"/>
      <c r="G62" s="215"/>
      <c r="H62" s="233"/>
      <c r="I62" s="233"/>
      <c r="J62" s="233" t="str">
        <f t="shared" si="26"/>
        <v/>
      </c>
      <c r="K62" s="145"/>
      <c r="L62" s="145"/>
      <c r="M62" s="59">
        <f t="shared" si="21"/>
        <v>0</v>
      </c>
      <c r="N62" s="145"/>
      <c r="O62" s="145"/>
      <c r="P62" s="59">
        <f t="shared" si="22"/>
        <v>0</v>
      </c>
      <c r="Q62" s="60"/>
      <c r="R62" s="313"/>
      <c r="T62" s="216"/>
      <c r="V62" s="154"/>
      <c r="W62" s="145">
        <f t="shared" si="12"/>
        <v>0</v>
      </c>
      <c r="X62" s="145">
        <f t="shared" si="13"/>
        <v>0</v>
      </c>
      <c r="Y62" s="211" t="str">
        <f t="shared" si="3"/>
        <v>ok</v>
      </c>
      <c r="AA62" s="210">
        <f t="shared" si="18"/>
        <v>0</v>
      </c>
      <c r="AB62" s="145">
        <f t="shared" si="31"/>
        <v>0</v>
      </c>
      <c r="AC62" s="145">
        <f t="shared" si="32"/>
        <v>0</v>
      </c>
      <c r="AD62" s="211" t="str">
        <f t="shared" si="33"/>
        <v>ok</v>
      </c>
      <c r="AF62" s="224"/>
      <c r="AH62" s="219"/>
      <c r="AI62" s="219"/>
      <c r="AJ62" s="169"/>
      <c r="AK62" s="178"/>
      <c r="AM62" s="181"/>
    </row>
    <row r="63" spans="1:39" s="208" customFormat="1" ht="39.75" hidden="1" customHeight="1">
      <c r="A63" s="213"/>
      <c r="B63" s="213"/>
      <c r="C63" s="215"/>
      <c r="D63" s="214"/>
      <c r="E63" s="214"/>
      <c r="F63" s="214"/>
      <c r="G63" s="215"/>
      <c r="H63" s="233"/>
      <c r="I63" s="233"/>
      <c r="J63" s="233" t="str">
        <f t="shared" si="26"/>
        <v/>
      </c>
      <c r="K63" s="145"/>
      <c r="L63" s="145"/>
      <c r="M63" s="59">
        <f t="shared" si="21"/>
        <v>0</v>
      </c>
      <c r="N63" s="145"/>
      <c r="O63" s="145"/>
      <c r="P63" s="59">
        <f t="shared" si="22"/>
        <v>0</v>
      </c>
      <c r="Q63" s="60"/>
      <c r="R63" s="313"/>
      <c r="T63" s="216"/>
      <c r="V63" s="154"/>
      <c r="W63" s="145">
        <f t="shared" si="12"/>
        <v>0</v>
      </c>
      <c r="X63" s="145">
        <f t="shared" si="13"/>
        <v>0</v>
      </c>
      <c r="Y63" s="211" t="str">
        <f t="shared" si="3"/>
        <v>ok</v>
      </c>
      <c r="AA63" s="210">
        <f t="shared" si="18"/>
        <v>0</v>
      </c>
      <c r="AB63" s="145">
        <f t="shared" si="31"/>
        <v>0</v>
      </c>
      <c r="AC63" s="145">
        <f t="shared" si="32"/>
        <v>0</v>
      </c>
      <c r="AD63" s="211" t="str">
        <f t="shared" si="33"/>
        <v>ok</v>
      </c>
      <c r="AF63" s="224"/>
      <c r="AH63" s="219"/>
      <c r="AI63" s="219"/>
      <c r="AJ63" s="169"/>
      <c r="AK63" s="178"/>
      <c r="AM63" s="181"/>
    </row>
    <row r="64" spans="1:39" s="208" customFormat="1" ht="39.75" hidden="1" customHeight="1">
      <c r="A64" s="213"/>
      <c r="B64" s="213"/>
      <c r="C64" s="215"/>
      <c r="D64" s="214"/>
      <c r="E64" s="214"/>
      <c r="F64" s="214"/>
      <c r="G64" s="215"/>
      <c r="H64" s="233"/>
      <c r="I64" s="233"/>
      <c r="J64" s="233" t="str">
        <f t="shared" si="26"/>
        <v/>
      </c>
      <c r="K64" s="145"/>
      <c r="L64" s="145"/>
      <c r="M64" s="59">
        <f t="shared" si="21"/>
        <v>0</v>
      </c>
      <c r="N64" s="145"/>
      <c r="O64" s="145"/>
      <c r="P64" s="59">
        <f t="shared" si="22"/>
        <v>0</v>
      </c>
      <c r="Q64" s="60"/>
      <c r="R64" s="313"/>
      <c r="T64" s="216"/>
      <c r="V64" s="154"/>
      <c r="W64" s="145">
        <f t="shared" si="12"/>
        <v>0</v>
      </c>
      <c r="X64" s="145">
        <f t="shared" si="13"/>
        <v>0</v>
      </c>
      <c r="Y64" s="211" t="str">
        <f t="shared" si="3"/>
        <v>ok</v>
      </c>
      <c r="AA64" s="210">
        <f t="shared" si="18"/>
        <v>0</v>
      </c>
      <c r="AB64" s="145">
        <f t="shared" si="31"/>
        <v>0</v>
      </c>
      <c r="AC64" s="145">
        <f t="shared" si="32"/>
        <v>0</v>
      </c>
      <c r="AD64" s="211" t="str">
        <f t="shared" si="33"/>
        <v>ok</v>
      </c>
      <c r="AF64" s="224"/>
      <c r="AH64" s="219"/>
      <c r="AI64" s="219"/>
      <c r="AJ64" s="169"/>
      <c r="AK64" s="178"/>
      <c r="AM64" s="181"/>
    </row>
    <row r="65" spans="1:39" s="208" customFormat="1" ht="39.950000000000003" hidden="1" customHeight="1">
      <c r="A65" s="213"/>
      <c r="B65" s="213"/>
      <c r="C65" s="215"/>
      <c r="D65" s="214"/>
      <c r="E65" s="214"/>
      <c r="F65" s="214"/>
      <c r="G65" s="215"/>
      <c r="H65" s="233"/>
      <c r="I65" s="233"/>
      <c r="J65" s="233" t="str">
        <f t="shared" si="26"/>
        <v/>
      </c>
      <c r="K65" s="145"/>
      <c r="L65" s="145"/>
      <c r="M65" s="59">
        <f t="shared" si="21"/>
        <v>0</v>
      </c>
      <c r="N65" s="145"/>
      <c r="O65" s="145"/>
      <c r="P65" s="59">
        <f t="shared" si="22"/>
        <v>0</v>
      </c>
      <c r="Q65" s="60"/>
      <c r="R65" s="313"/>
      <c r="T65" s="216"/>
      <c r="V65" s="154"/>
      <c r="W65" s="145">
        <f t="shared" si="12"/>
        <v>0</v>
      </c>
      <c r="X65" s="145">
        <f t="shared" si="13"/>
        <v>0</v>
      </c>
      <c r="Y65" s="211" t="str">
        <f t="shared" si="3"/>
        <v>ok</v>
      </c>
      <c r="AA65" s="210">
        <f t="shared" si="18"/>
        <v>0</v>
      </c>
      <c r="AB65" s="145">
        <f t="shared" si="31"/>
        <v>0</v>
      </c>
      <c r="AC65" s="145">
        <f t="shared" si="32"/>
        <v>0</v>
      </c>
      <c r="AD65" s="211" t="str">
        <f t="shared" si="33"/>
        <v>ok</v>
      </c>
      <c r="AF65" s="224"/>
      <c r="AH65" s="219"/>
      <c r="AI65" s="219"/>
      <c r="AJ65" s="169"/>
      <c r="AK65" s="178"/>
      <c r="AM65" s="181"/>
    </row>
    <row r="66" spans="1:39" s="208" customFormat="1" ht="39.950000000000003" hidden="1" customHeight="1">
      <c r="A66" s="213"/>
      <c r="B66" s="213"/>
      <c r="C66" s="215"/>
      <c r="D66" s="214"/>
      <c r="E66" s="214"/>
      <c r="F66" s="214"/>
      <c r="G66" s="215"/>
      <c r="H66" s="233"/>
      <c r="I66" s="233"/>
      <c r="J66" s="233" t="str">
        <f t="shared" si="26"/>
        <v/>
      </c>
      <c r="K66" s="145"/>
      <c r="L66" s="145"/>
      <c r="M66" s="59">
        <f t="shared" si="21"/>
        <v>0</v>
      </c>
      <c r="N66" s="145"/>
      <c r="O66" s="145"/>
      <c r="P66" s="59">
        <f t="shared" si="22"/>
        <v>0</v>
      </c>
      <c r="Q66" s="60"/>
      <c r="R66" s="313"/>
      <c r="T66" s="216"/>
      <c r="V66" s="154"/>
      <c r="W66" s="145">
        <f t="shared" si="12"/>
        <v>0</v>
      </c>
      <c r="X66" s="145">
        <f t="shared" si="13"/>
        <v>0</v>
      </c>
      <c r="Y66" s="211" t="str">
        <f t="shared" si="3"/>
        <v>ok</v>
      </c>
      <c r="AA66" s="210">
        <f t="shared" si="18"/>
        <v>0</v>
      </c>
      <c r="AB66" s="145">
        <f t="shared" ref="AB66:AB80" si="34">IF($V66&lt;&gt;"도비",IF($T66="국도비","직접입력",SUM(N66:O66)),)</f>
        <v>0</v>
      </c>
      <c r="AC66" s="145">
        <f t="shared" ref="AC66:AC80" si="35">IF($V66="도비",SUM(N66:O66),IF($T66="국도비","직접입력",SUM(N66:O66)-AB66))</f>
        <v>0</v>
      </c>
      <c r="AD66" s="211" t="str">
        <f t="shared" ref="AD66:AD80" si="36">IFERROR(IF((N66+O66)=(AB66+AC66),"ok","검토"),"검토")</f>
        <v>ok</v>
      </c>
      <c r="AF66" s="224"/>
      <c r="AH66" s="219" t="str">
        <f t="shared" ref="AH66:AH83" si="37">IF(AF66="","",COUNTIF($AF$7:$AF$10058,$AF66))</f>
        <v/>
      </c>
      <c r="AI66" s="219" t="str">
        <f t="shared" si="8"/>
        <v/>
      </c>
      <c r="AJ66" s="169"/>
      <c r="AK66" s="178"/>
      <c r="AM66" s="181"/>
    </row>
    <row r="67" spans="1:39" s="208" customFormat="1" ht="39.950000000000003" hidden="1" customHeight="1">
      <c r="A67" s="311" t="s">
        <v>626</v>
      </c>
      <c r="B67" s="307"/>
      <c r="C67" s="312"/>
      <c r="D67" s="307"/>
      <c r="E67" s="307"/>
      <c r="F67" s="312"/>
      <c r="G67" s="307"/>
      <c r="H67" s="308">
        <f t="shared" ref="H67:P67" si="38">SUM(H68:H69)</f>
        <v>0</v>
      </c>
      <c r="I67" s="308">
        <f t="shared" si="38"/>
        <v>0</v>
      </c>
      <c r="J67" s="308">
        <f t="shared" si="38"/>
        <v>0</v>
      </c>
      <c r="K67" s="308">
        <f t="shared" si="38"/>
        <v>0</v>
      </c>
      <c r="L67" s="308">
        <f t="shared" si="38"/>
        <v>0</v>
      </c>
      <c r="M67" s="308">
        <f t="shared" si="38"/>
        <v>0</v>
      </c>
      <c r="N67" s="308">
        <f t="shared" si="38"/>
        <v>0</v>
      </c>
      <c r="O67" s="308">
        <f t="shared" si="38"/>
        <v>0</v>
      </c>
      <c r="P67" s="308">
        <f t="shared" si="38"/>
        <v>0</v>
      </c>
      <c r="Q67" s="309"/>
      <c r="R67" s="310"/>
      <c r="T67" s="216"/>
      <c r="V67" s="154"/>
      <c r="W67" s="145">
        <f t="shared" si="12"/>
        <v>0</v>
      </c>
      <c r="X67" s="145">
        <f t="shared" si="13"/>
        <v>0</v>
      </c>
      <c r="Y67" s="211" t="str">
        <f t="shared" si="3"/>
        <v>ok</v>
      </c>
      <c r="AA67" s="210">
        <f t="shared" si="18"/>
        <v>0</v>
      </c>
      <c r="AB67" s="145">
        <f t="shared" si="34"/>
        <v>0</v>
      </c>
      <c r="AC67" s="145">
        <f t="shared" si="35"/>
        <v>0</v>
      </c>
      <c r="AD67" s="211" t="str">
        <f t="shared" si="36"/>
        <v>ok</v>
      </c>
      <c r="AF67" s="224"/>
      <c r="AH67" s="219" t="str">
        <f t="shared" si="37"/>
        <v/>
      </c>
      <c r="AI67" s="219" t="str">
        <f t="shared" si="8"/>
        <v/>
      </c>
      <c r="AJ67" s="169"/>
      <c r="AK67" s="178"/>
      <c r="AM67" s="181"/>
    </row>
    <row r="68" spans="1:39" s="208" customFormat="1" ht="39.950000000000003" hidden="1" customHeight="1">
      <c r="A68" s="213"/>
      <c r="B68" s="213"/>
      <c r="C68" s="215"/>
      <c r="D68" s="214"/>
      <c r="E68" s="214"/>
      <c r="F68" s="214"/>
      <c r="G68" s="215"/>
      <c r="H68" s="233"/>
      <c r="I68" s="233"/>
      <c r="J68" s="233" t="str">
        <f t="shared" si="26"/>
        <v/>
      </c>
      <c r="K68" s="145"/>
      <c r="L68" s="145"/>
      <c r="M68" s="59">
        <f t="shared" si="21"/>
        <v>0</v>
      </c>
      <c r="N68" s="145"/>
      <c r="O68" s="145"/>
      <c r="P68" s="59">
        <f t="shared" si="22"/>
        <v>0</v>
      </c>
      <c r="Q68" s="60"/>
      <c r="R68" s="313"/>
      <c r="T68" s="216"/>
      <c r="V68" s="154"/>
      <c r="W68" s="145">
        <f t="shared" si="12"/>
        <v>0</v>
      </c>
      <c r="X68" s="145">
        <f t="shared" si="13"/>
        <v>0</v>
      </c>
      <c r="Y68" s="211" t="str">
        <f t="shared" si="3"/>
        <v>ok</v>
      </c>
      <c r="AA68" s="210">
        <f t="shared" si="18"/>
        <v>0</v>
      </c>
      <c r="AB68" s="145">
        <f t="shared" si="34"/>
        <v>0</v>
      </c>
      <c r="AC68" s="145">
        <f t="shared" si="35"/>
        <v>0</v>
      </c>
      <c r="AD68" s="211" t="str">
        <f t="shared" si="36"/>
        <v>ok</v>
      </c>
      <c r="AF68" s="224"/>
      <c r="AH68" s="219" t="str">
        <f t="shared" si="37"/>
        <v/>
      </c>
      <c r="AI68" s="219" t="str">
        <f t="shared" si="8"/>
        <v/>
      </c>
      <c r="AJ68" s="169"/>
      <c r="AK68" s="178"/>
      <c r="AM68" s="181"/>
    </row>
    <row r="69" spans="1:39" s="208" customFormat="1" ht="39.950000000000003" hidden="1" customHeight="1">
      <c r="A69" s="213"/>
      <c r="B69" s="213"/>
      <c r="C69" s="215"/>
      <c r="D69" s="214"/>
      <c r="E69" s="214"/>
      <c r="F69" s="214"/>
      <c r="G69" s="215"/>
      <c r="H69" s="233"/>
      <c r="I69" s="233"/>
      <c r="J69" s="233" t="str">
        <f t="shared" si="26"/>
        <v/>
      </c>
      <c r="K69" s="145"/>
      <c r="L69" s="145"/>
      <c r="M69" s="59">
        <f t="shared" si="21"/>
        <v>0</v>
      </c>
      <c r="N69" s="145"/>
      <c r="O69" s="145"/>
      <c r="P69" s="59">
        <f t="shared" si="22"/>
        <v>0</v>
      </c>
      <c r="Q69" s="60"/>
      <c r="R69" s="313"/>
      <c r="T69" s="216"/>
      <c r="V69" s="154"/>
      <c r="W69" s="145">
        <f t="shared" si="12"/>
        <v>0</v>
      </c>
      <c r="X69" s="145">
        <f t="shared" si="13"/>
        <v>0</v>
      </c>
      <c r="Y69" s="211" t="str">
        <f t="shared" si="3"/>
        <v>ok</v>
      </c>
      <c r="AA69" s="210">
        <f t="shared" si="18"/>
        <v>0</v>
      </c>
      <c r="AB69" s="145">
        <f t="shared" si="34"/>
        <v>0</v>
      </c>
      <c r="AC69" s="145">
        <f t="shared" si="35"/>
        <v>0</v>
      </c>
      <c r="AD69" s="211" t="str">
        <f t="shared" si="36"/>
        <v>ok</v>
      </c>
      <c r="AF69" s="224"/>
      <c r="AH69" s="219" t="str">
        <f t="shared" si="37"/>
        <v/>
      </c>
      <c r="AI69" s="219" t="str">
        <f t="shared" si="8"/>
        <v/>
      </c>
      <c r="AJ69" s="169"/>
      <c r="AK69" s="178"/>
      <c r="AM69" s="181"/>
    </row>
    <row r="70" spans="1:39" s="208" customFormat="1" ht="39.950000000000003" hidden="1" customHeight="1">
      <c r="A70" s="311" t="s">
        <v>631</v>
      </c>
      <c r="B70" s="307"/>
      <c r="C70" s="312"/>
      <c r="D70" s="307"/>
      <c r="E70" s="307"/>
      <c r="F70" s="312"/>
      <c r="G70" s="307"/>
      <c r="H70" s="308">
        <f t="shared" ref="H70:P70" si="39">SUM(H71:H72)</f>
        <v>0</v>
      </c>
      <c r="I70" s="308">
        <f t="shared" si="39"/>
        <v>0</v>
      </c>
      <c r="J70" s="308">
        <f t="shared" si="39"/>
        <v>0</v>
      </c>
      <c r="K70" s="308">
        <f t="shared" si="39"/>
        <v>0</v>
      </c>
      <c r="L70" s="308">
        <f t="shared" si="39"/>
        <v>0</v>
      </c>
      <c r="M70" s="308">
        <f t="shared" si="39"/>
        <v>0</v>
      </c>
      <c r="N70" s="308">
        <f t="shared" si="39"/>
        <v>0</v>
      </c>
      <c r="O70" s="308">
        <f t="shared" si="39"/>
        <v>0</v>
      </c>
      <c r="P70" s="308">
        <f t="shared" si="39"/>
        <v>0</v>
      </c>
      <c r="Q70" s="309"/>
      <c r="R70" s="310"/>
      <c r="T70" s="216"/>
      <c r="V70" s="154"/>
      <c r="W70" s="145">
        <f t="shared" si="12"/>
        <v>0</v>
      </c>
      <c r="X70" s="145">
        <f t="shared" si="13"/>
        <v>0</v>
      </c>
      <c r="Y70" s="211" t="str">
        <f t="shared" si="3"/>
        <v>ok</v>
      </c>
      <c r="AA70" s="210">
        <f t="shared" si="18"/>
        <v>0</v>
      </c>
      <c r="AB70" s="145">
        <f t="shared" si="34"/>
        <v>0</v>
      </c>
      <c r="AC70" s="145">
        <f t="shared" si="35"/>
        <v>0</v>
      </c>
      <c r="AD70" s="211" t="str">
        <f t="shared" si="36"/>
        <v>ok</v>
      </c>
      <c r="AF70" s="224"/>
      <c r="AH70" s="219" t="str">
        <f t="shared" si="37"/>
        <v/>
      </c>
      <c r="AI70" s="219" t="str">
        <f t="shared" si="8"/>
        <v/>
      </c>
      <c r="AJ70" s="169"/>
      <c r="AK70" s="178"/>
      <c r="AM70" s="181"/>
    </row>
    <row r="71" spans="1:39" s="208" customFormat="1" ht="39.950000000000003" hidden="1" customHeight="1">
      <c r="A71" s="213"/>
      <c r="B71" s="213"/>
      <c r="C71" s="215"/>
      <c r="D71" s="214"/>
      <c r="E71" s="214"/>
      <c r="F71" s="214"/>
      <c r="G71" s="215"/>
      <c r="H71" s="233"/>
      <c r="I71" s="233"/>
      <c r="J71" s="233" t="str">
        <f t="shared" si="26"/>
        <v/>
      </c>
      <c r="K71" s="145"/>
      <c r="L71" s="145"/>
      <c r="M71" s="59">
        <f t="shared" si="21"/>
        <v>0</v>
      </c>
      <c r="N71" s="145"/>
      <c r="O71" s="145"/>
      <c r="P71" s="59">
        <f t="shared" si="22"/>
        <v>0</v>
      </c>
      <c r="Q71" s="60"/>
      <c r="R71" s="313"/>
      <c r="T71" s="216"/>
      <c r="V71" s="154"/>
      <c r="W71" s="145">
        <f t="shared" si="12"/>
        <v>0</v>
      </c>
      <c r="X71" s="145">
        <f t="shared" si="13"/>
        <v>0</v>
      </c>
      <c r="Y71" s="211" t="str">
        <f t="shared" si="3"/>
        <v>ok</v>
      </c>
      <c r="AA71" s="210">
        <f t="shared" si="18"/>
        <v>0</v>
      </c>
      <c r="AB71" s="145">
        <f t="shared" si="34"/>
        <v>0</v>
      </c>
      <c r="AC71" s="145">
        <f t="shared" si="35"/>
        <v>0</v>
      </c>
      <c r="AD71" s="211" t="str">
        <f t="shared" si="36"/>
        <v>ok</v>
      </c>
      <c r="AF71" s="224"/>
      <c r="AH71" s="219" t="str">
        <f t="shared" si="37"/>
        <v/>
      </c>
      <c r="AI71" s="219" t="str">
        <f t="shared" si="8"/>
        <v/>
      </c>
      <c r="AJ71" s="169"/>
      <c r="AK71" s="178"/>
      <c r="AM71" s="181"/>
    </row>
    <row r="72" spans="1:39" s="208" customFormat="1" ht="39.950000000000003" hidden="1" customHeight="1">
      <c r="A72" s="213"/>
      <c r="B72" s="213"/>
      <c r="C72" s="215"/>
      <c r="D72" s="214"/>
      <c r="E72" s="214"/>
      <c r="F72" s="214"/>
      <c r="G72" s="215"/>
      <c r="H72" s="233"/>
      <c r="I72" s="233"/>
      <c r="J72" s="233" t="str">
        <f t="shared" si="26"/>
        <v/>
      </c>
      <c r="K72" s="145"/>
      <c r="L72" s="145"/>
      <c r="M72" s="59">
        <f t="shared" si="21"/>
        <v>0</v>
      </c>
      <c r="N72" s="145"/>
      <c r="O72" s="145"/>
      <c r="P72" s="59">
        <f t="shared" si="22"/>
        <v>0</v>
      </c>
      <c r="Q72" s="60"/>
      <c r="R72" s="313"/>
      <c r="T72" s="216"/>
      <c r="V72" s="154"/>
      <c r="W72" s="145">
        <f t="shared" si="12"/>
        <v>0</v>
      </c>
      <c r="X72" s="145">
        <f t="shared" si="13"/>
        <v>0</v>
      </c>
      <c r="Y72" s="211" t="str">
        <f t="shared" si="3"/>
        <v>ok</v>
      </c>
      <c r="AA72" s="210">
        <f t="shared" si="18"/>
        <v>0</v>
      </c>
      <c r="AB72" s="145">
        <f t="shared" si="34"/>
        <v>0</v>
      </c>
      <c r="AC72" s="145">
        <f t="shared" si="35"/>
        <v>0</v>
      </c>
      <c r="AD72" s="211" t="str">
        <f t="shared" si="36"/>
        <v>ok</v>
      </c>
      <c r="AF72" s="224"/>
      <c r="AH72" s="219" t="str">
        <f t="shared" si="37"/>
        <v/>
      </c>
      <c r="AI72" s="219" t="str">
        <f t="shared" si="8"/>
        <v/>
      </c>
      <c r="AJ72" s="169"/>
      <c r="AK72" s="178"/>
      <c r="AM72" s="181"/>
    </row>
    <row r="73" spans="1:39" ht="39.950000000000003" hidden="1" customHeight="1">
      <c r="A73" s="311" t="s">
        <v>620</v>
      </c>
      <c r="B73" s="307"/>
      <c r="C73" s="312"/>
      <c r="D73" s="307"/>
      <c r="E73" s="307"/>
      <c r="F73" s="312"/>
      <c r="G73" s="307"/>
      <c r="H73" s="308">
        <f t="shared" ref="H73:P73" si="40">SUM(H74:H76)</f>
        <v>0</v>
      </c>
      <c r="I73" s="308">
        <f t="shared" si="40"/>
        <v>0</v>
      </c>
      <c r="J73" s="308">
        <f t="shared" si="40"/>
        <v>0</v>
      </c>
      <c r="K73" s="308">
        <f t="shared" si="40"/>
        <v>0</v>
      </c>
      <c r="L73" s="308">
        <f t="shared" si="40"/>
        <v>0</v>
      </c>
      <c r="M73" s="308">
        <f t="shared" si="40"/>
        <v>0</v>
      </c>
      <c r="N73" s="308">
        <f t="shared" si="40"/>
        <v>0</v>
      </c>
      <c r="O73" s="308">
        <f t="shared" si="40"/>
        <v>0</v>
      </c>
      <c r="P73" s="308">
        <f t="shared" si="40"/>
        <v>0</v>
      </c>
      <c r="Q73" s="309"/>
      <c r="R73" s="310"/>
      <c r="T73" s="216"/>
      <c r="V73" s="154"/>
      <c r="W73" s="145">
        <f t="shared" si="12"/>
        <v>0</v>
      </c>
      <c r="X73" s="145">
        <f t="shared" si="13"/>
        <v>0</v>
      </c>
      <c r="Y73" s="211" t="str">
        <f t="shared" si="3"/>
        <v>ok</v>
      </c>
      <c r="Z73" s="208"/>
      <c r="AA73" s="210">
        <f t="shared" si="18"/>
        <v>0</v>
      </c>
      <c r="AB73" s="145">
        <f t="shared" si="34"/>
        <v>0</v>
      </c>
      <c r="AC73" s="145">
        <f t="shared" si="35"/>
        <v>0</v>
      </c>
      <c r="AD73" s="211" t="str">
        <f t="shared" si="36"/>
        <v>ok</v>
      </c>
      <c r="AF73" s="224"/>
      <c r="AH73" s="219" t="str">
        <f t="shared" si="37"/>
        <v/>
      </c>
      <c r="AI73" s="219" t="str">
        <f t="shared" si="8"/>
        <v/>
      </c>
      <c r="AK73" s="178"/>
      <c r="AM73" s="181"/>
    </row>
    <row r="74" spans="1:39" ht="39.950000000000003" hidden="1" customHeight="1">
      <c r="A74" s="213"/>
      <c r="B74" s="213"/>
      <c r="C74" s="215"/>
      <c r="D74" s="214"/>
      <c r="E74" s="214"/>
      <c r="F74" s="214"/>
      <c r="G74" s="215"/>
      <c r="H74" s="233"/>
      <c r="I74" s="233"/>
      <c r="J74" s="233" t="str">
        <f t="shared" ref="J74:J76" si="41">IF(D74="","",H74-I74)</f>
        <v/>
      </c>
      <c r="K74" s="145"/>
      <c r="L74" s="145"/>
      <c r="M74" s="59">
        <f t="shared" ref="M74:M79" si="42">IF(H74=0,I74+K74+L74,H74+K74+L74)</f>
        <v>0</v>
      </c>
      <c r="N74" s="145"/>
      <c r="O74" s="145"/>
      <c r="P74" s="59">
        <f t="shared" ref="P74:P76" si="43">IF(H74=0,I74+N74+O74,H74+N74+O74)</f>
        <v>0</v>
      </c>
      <c r="Q74" s="60"/>
      <c r="R74" s="217"/>
      <c r="T74" s="154"/>
      <c r="V74" s="154"/>
      <c r="W74" s="145">
        <f t="shared" si="12"/>
        <v>0</v>
      </c>
      <c r="X74" s="145">
        <f t="shared" si="13"/>
        <v>0</v>
      </c>
      <c r="Y74" s="211" t="str">
        <f t="shared" si="3"/>
        <v>ok</v>
      </c>
      <c r="Z74" s="208"/>
      <c r="AA74" s="210">
        <f t="shared" si="18"/>
        <v>0</v>
      </c>
      <c r="AB74" s="145">
        <f t="shared" si="34"/>
        <v>0</v>
      </c>
      <c r="AC74" s="145">
        <f t="shared" si="35"/>
        <v>0</v>
      </c>
      <c r="AD74" s="211" t="str">
        <f t="shared" si="36"/>
        <v>ok</v>
      </c>
      <c r="AF74" s="224"/>
      <c r="AH74" s="219" t="str">
        <f t="shared" si="37"/>
        <v/>
      </c>
      <c r="AI74" s="219" t="str">
        <f t="shared" si="8"/>
        <v/>
      </c>
      <c r="AK74" s="178"/>
      <c r="AM74" s="181"/>
    </row>
    <row r="75" spans="1:39" ht="39.950000000000003" hidden="1" customHeight="1">
      <c r="A75" s="213"/>
      <c r="B75" s="213"/>
      <c r="C75" s="215"/>
      <c r="D75" s="214"/>
      <c r="E75" s="214"/>
      <c r="F75" s="214"/>
      <c r="G75" s="215"/>
      <c r="H75" s="234"/>
      <c r="I75" s="234"/>
      <c r="J75" s="233" t="str">
        <f t="shared" si="41"/>
        <v/>
      </c>
      <c r="K75" s="145"/>
      <c r="L75" s="145"/>
      <c r="M75" s="59">
        <f t="shared" si="42"/>
        <v>0</v>
      </c>
      <c r="N75" s="145"/>
      <c r="O75" s="145"/>
      <c r="P75" s="59">
        <f t="shared" si="43"/>
        <v>0</v>
      </c>
      <c r="Q75" s="60"/>
      <c r="R75" s="217"/>
      <c r="T75" s="154"/>
      <c r="V75" s="154"/>
      <c r="W75" s="145">
        <f t="shared" si="12"/>
        <v>0</v>
      </c>
      <c r="X75" s="145">
        <f t="shared" si="13"/>
        <v>0</v>
      </c>
      <c r="Y75" s="211" t="str">
        <f t="shared" si="3"/>
        <v>ok</v>
      </c>
      <c r="Z75" s="208"/>
      <c r="AA75" s="210">
        <f t="shared" si="18"/>
        <v>0</v>
      </c>
      <c r="AB75" s="145">
        <f t="shared" si="34"/>
        <v>0</v>
      </c>
      <c r="AC75" s="145">
        <f t="shared" si="35"/>
        <v>0</v>
      </c>
      <c r="AD75" s="211" t="str">
        <f t="shared" si="36"/>
        <v>ok</v>
      </c>
      <c r="AF75" s="224"/>
      <c r="AH75" s="219" t="str">
        <f t="shared" si="37"/>
        <v/>
      </c>
      <c r="AI75" s="219" t="str">
        <f t="shared" si="8"/>
        <v/>
      </c>
      <c r="AK75" s="178"/>
      <c r="AM75" s="181"/>
    </row>
    <row r="76" spans="1:39" ht="39.950000000000003" hidden="1" customHeight="1">
      <c r="A76" s="213"/>
      <c r="B76" s="213"/>
      <c r="C76" s="215"/>
      <c r="D76" s="214"/>
      <c r="E76" s="214"/>
      <c r="F76" s="214"/>
      <c r="G76" s="215"/>
      <c r="H76" s="233"/>
      <c r="I76" s="233"/>
      <c r="J76" s="233" t="str">
        <f t="shared" si="41"/>
        <v/>
      </c>
      <c r="K76" s="145"/>
      <c r="L76" s="145"/>
      <c r="M76" s="59">
        <f t="shared" si="42"/>
        <v>0</v>
      </c>
      <c r="N76" s="145"/>
      <c r="O76" s="145"/>
      <c r="P76" s="59">
        <f t="shared" si="43"/>
        <v>0</v>
      </c>
      <c r="Q76" s="60"/>
      <c r="R76" s="314"/>
      <c r="T76" s="154"/>
      <c r="V76" s="154"/>
      <c r="W76" s="145">
        <f t="shared" si="12"/>
        <v>0</v>
      </c>
      <c r="X76" s="145">
        <f t="shared" si="13"/>
        <v>0</v>
      </c>
      <c r="Y76" s="211" t="str">
        <f t="shared" si="3"/>
        <v>ok</v>
      </c>
      <c r="Z76" s="208"/>
      <c r="AA76" s="210">
        <f t="shared" si="18"/>
        <v>0</v>
      </c>
      <c r="AB76" s="145">
        <f t="shared" si="34"/>
        <v>0</v>
      </c>
      <c r="AC76" s="145">
        <f t="shared" si="35"/>
        <v>0</v>
      </c>
      <c r="AD76" s="211" t="str">
        <f t="shared" si="36"/>
        <v>ok</v>
      </c>
      <c r="AF76" s="224"/>
      <c r="AH76" s="219" t="str">
        <f t="shared" si="37"/>
        <v/>
      </c>
      <c r="AI76" s="219" t="str">
        <f t="shared" si="8"/>
        <v/>
      </c>
      <c r="AK76" s="178"/>
      <c r="AM76" s="181"/>
    </row>
    <row r="77" spans="1:39" s="208" customFormat="1" ht="39.950000000000003" hidden="1" customHeight="1">
      <c r="A77" s="311" t="s">
        <v>624</v>
      </c>
      <c r="B77" s="307"/>
      <c r="C77" s="312"/>
      <c r="D77" s="307"/>
      <c r="E77" s="307"/>
      <c r="F77" s="312"/>
      <c r="G77" s="307"/>
      <c r="H77" s="308">
        <f t="shared" ref="H77:P77" si="44">SUM(H78:H79)</f>
        <v>0</v>
      </c>
      <c r="I77" s="308">
        <f t="shared" si="44"/>
        <v>0</v>
      </c>
      <c r="J77" s="308">
        <f t="shared" si="44"/>
        <v>0</v>
      </c>
      <c r="K77" s="308">
        <f t="shared" si="44"/>
        <v>0</v>
      </c>
      <c r="L77" s="308">
        <f t="shared" si="44"/>
        <v>0</v>
      </c>
      <c r="M77" s="308">
        <f t="shared" si="44"/>
        <v>0</v>
      </c>
      <c r="N77" s="308">
        <f t="shared" si="44"/>
        <v>0</v>
      </c>
      <c r="O77" s="308">
        <f t="shared" si="44"/>
        <v>0</v>
      </c>
      <c r="P77" s="308">
        <f t="shared" si="44"/>
        <v>0</v>
      </c>
      <c r="Q77" s="309"/>
      <c r="R77" s="310"/>
      <c r="T77" s="216"/>
      <c r="V77" s="154"/>
      <c r="W77" s="145">
        <f t="shared" si="12"/>
        <v>0</v>
      </c>
      <c r="X77" s="145">
        <f t="shared" si="13"/>
        <v>0</v>
      </c>
      <c r="Y77" s="211" t="str">
        <f t="shared" si="3"/>
        <v>ok</v>
      </c>
      <c r="AA77" s="210">
        <f t="shared" si="18"/>
        <v>0</v>
      </c>
      <c r="AB77" s="145">
        <f t="shared" si="34"/>
        <v>0</v>
      </c>
      <c r="AC77" s="145">
        <f t="shared" si="35"/>
        <v>0</v>
      </c>
      <c r="AD77" s="211" t="str">
        <f t="shared" si="36"/>
        <v>ok</v>
      </c>
      <c r="AF77" s="224"/>
      <c r="AH77" s="219" t="str">
        <f t="shared" si="37"/>
        <v/>
      </c>
      <c r="AI77" s="219" t="str">
        <f t="shared" si="8"/>
        <v/>
      </c>
      <c r="AJ77" s="169"/>
      <c r="AK77" s="178"/>
      <c r="AM77" s="181"/>
    </row>
    <row r="78" spans="1:39" s="208" customFormat="1" ht="39.950000000000003" hidden="1" customHeight="1">
      <c r="A78" s="213"/>
      <c r="B78" s="213"/>
      <c r="C78" s="215"/>
      <c r="D78" s="214"/>
      <c r="E78" s="214"/>
      <c r="F78" s="214"/>
      <c r="G78" s="215"/>
      <c r="H78" s="233"/>
      <c r="I78" s="233"/>
      <c r="J78" s="233" t="str">
        <f t="shared" ref="J78:J79" si="45">IF(D78="","",H78-I78)</f>
        <v/>
      </c>
      <c r="K78" s="145"/>
      <c r="L78" s="145"/>
      <c r="M78" s="59">
        <f t="shared" si="42"/>
        <v>0</v>
      </c>
      <c r="N78" s="145"/>
      <c r="O78" s="145"/>
      <c r="P78" s="59">
        <f t="shared" ref="P78:P79" si="46">IF(H78=0,I78+N78+O78,H78+N78+O78)</f>
        <v>0</v>
      </c>
      <c r="Q78" s="60"/>
      <c r="R78" s="314"/>
      <c r="T78" s="230"/>
      <c r="V78" s="154"/>
      <c r="W78" s="145">
        <f t="shared" si="12"/>
        <v>0</v>
      </c>
      <c r="X78" s="145">
        <f t="shared" si="13"/>
        <v>0</v>
      </c>
      <c r="Y78" s="211" t="str">
        <f t="shared" si="3"/>
        <v>ok</v>
      </c>
      <c r="AA78" s="210">
        <f t="shared" si="18"/>
        <v>0</v>
      </c>
      <c r="AB78" s="145">
        <f t="shared" si="34"/>
        <v>0</v>
      </c>
      <c r="AC78" s="145">
        <f t="shared" si="35"/>
        <v>0</v>
      </c>
      <c r="AD78" s="211" t="str">
        <f t="shared" si="36"/>
        <v>ok</v>
      </c>
      <c r="AF78" s="224"/>
      <c r="AH78" s="219" t="str">
        <f t="shared" si="37"/>
        <v/>
      </c>
      <c r="AI78" s="219" t="str">
        <f t="shared" si="8"/>
        <v/>
      </c>
      <c r="AJ78" s="169"/>
      <c r="AK78" s="178"/>
      <c r="AM78" s="181"/>
    </row>
    <row r="79" spans="1:39" s="208" customFormat="1" ht="39.950000000000003" hidden="1" customHeight="1">
      <c r="A79" s="213"/>
      <c r="B79" s="213"/>
      <c r="C79" s="215"/>
      <c r="D79" s="214"/>
      <c r="E79" s="214"/>
      <c r="F79" s="214"/>
      <c r="G79" s="215"/>
      <c r="H79" s="233"/>
      <c r="I79" s="233"/>
      <c r="J79" s="233" t="str">
        <f t="shared" si="45"/>
        <v/>
      </c>
      <c r="K79" s="145"/>
      <c r="L79" s="145"/>
      <c r="M79" s="59">
        <f t="shared" si="42"/>
        <v>0</v>
      </c>
      <c r="N79" s="145"/>
      <c r="O79" s="145"/>
      <c r="P79" s="59">
        <f t="shared" si="46"/>
        <v>0</v>
      </c>
      <c r="Q79" s="60"/>
      <c r="R79" s="314"/>
      <c r="T79" s="230"/>
      <c r="V79" s="154"/>
      <c r="W79" s="145">
        <f t="shared" si="12"/>
        <v>0</v>
      </c>
      <c r="X79" s="145">
        <f t="shared" si="13"/>
        <v>0</v>
      </c>
      <c r="Y79" s="211" t="str">
        <f t="shared" si="3"/>
        <v>ok</v>
      </c>
      <c r="AA79" s="210">
        <f t="shared" si="18"/>
        <v>0</v>
      </c>
      <c r="AB79" s="145">
        <f t="shared" si="34"/>
        <v>0</v>
      </c>
      <c r="AC79" s="145">
        <f t="shared" si="35"/>
        <v>0</v>
      </c>
      <c r="AD79" s="211" t="str">
        <f t="shared" si="36"/>
        <v>ok</v>
      </c>
      <c r="AF79" s="224"/>
      <c r="AH79" s="219" t="str">
        <f t="shared" si="37"/>
        <v/>
      </c>
      <c r="AI79" s="219" t="str">
        <f t="shared" si="8"/>
        <v/>
      </c>
      <c r="AJ79" s="169"/>
      <c r="AK79" s="178"/>
      <c r="AM79" s="181"/>
    </row>
    <row r="80" spans="1:39" ht="39.950000000000003" hidden="1" customHeight="1">
      <c r="A80" s="311" t="s">
        <v>621</v>
      </c>
      <c r="B80" s="307"/>
      <c r="C80" s="312"/>
      <c r="D80" s="307"/>
      <c r="E80" s="307"/>
      <c r="F80" s="312"/>
      <c r="G80" s="307"/>
      <c r="H80" s="308">
        <f t="shared" ref="H80:P80" si="47">SUM(H81:H83)</f>
        <v>0</v>
      </c>
      <c r="I80" s="308">
        <f t="shared" si="47"/>
        <v>0</v>
      </c>
      <c r="J80" s="308">
        <f t="shared" si="47"/>
        <v>0</v>
      </c>
      <c r="K80" s="308">
        <f t="shared" si="47"/>
        <v>0</v>
      </c>
      <c r="L80" s="308">
        <f t="shared" si="47"/>
        <v>0</v>
      </c>
      <c r="M80" s="308">
        <f t="shared" si="47"/>
        <v>0</v>
      </c>
      <c r="N80" s="308">
        <f t="shared" si="47"/>
        <v>0</v>
      </c>
      <c r="O80" s="308">
        <f t="shared" si="47"/>
        <v>0</v>
      </c>
      <c r="P80" s="308">
        <f t="shared" si="47"/>
        <v>0</v>
      </c>
      <c r="Q80" s="310"/>
      <c r="R80" s="310"/>
      <c r="T80" s="216"/>
      <c r="V80" s="154"/>
      <c r="W80" s="145">
        <f t="shared" si="12"/>
        <v>0</v>
      </c>
      <c r="X80" s="145">
        <f t="shared" si="13"/>
        <v>0</v>
      </c>
      <c r="Y80" s="211" t="str">
        <f t="shared" si="3"/>
        <v>ok</v>
      </c>
      <c r="Z80" s="208"/>
      <c r="AA80" s="210">
        <f t="shared" si="18"/>
        <v>0</v>
      </c>
      <c r="AB80" s="145">
        <f t="shared" si="34"/>
        <v>0</v>
      </c>
      <c r="AC80" s="145">
        <f t="shared" si="35"/>
        <v>0</v>
      </c>
      <c r="AD80" s="211" t="str">
        <f t="shared" si="36"/>
        <v>ok</v>
      </c>
      <c r="AF80" s="224"/>
      <c r="AH80" s="219" t="str">
        <f t="shared" si="37"/>
        <v/>
      </c>
      <c r="AI80" s="219" t="str">
        <f t="shared" si="8"/>
        <v/>
      </c>
      <c r="AK80" s="178"/>
      <c r="AM80" s="181"/>
    </row>
    <row r="81" spans="1:39" ht="80.099999999999994" hidden="1" customHeight="1">
      <c r="A81" s="213"/>
      <c r="B81" s="213"/>
      <c r="C81" s="215"/>
      <c r="D81" s="214"/>
      <c r="E81" s="214"/>
      <c r="F81" s="214"/>
      <c r="G81" s="215"/>
      <c r="H81" s="233"/>
      <c r="I81" s="233"/>
      <c r="J81" s="233" t="str">
        <f t="shared" ref="J81:J83" si="48">IF(D81="","",H81-I81)</f>
        <v/>
      </c>
      <c r="K81" s="145"/>
      <c r="L81" s="145"/>
      <c r="M81" s="59">
        <f t="shared" ref="M81:M83" si="49">IF(H81=0,I81+K81+L81,H81+K81+L81)</f>
        <v>0</v>
      </c>
      <c r="N81" s="145"/>
      <c r="O81" s="145"/>
      <c r="P81" s="59">
        <f t="shared" ref="P81:P83" si="50">IF(H81=0,I81+N81+O81,H81+N81+O81)</f>
        <v>0</v>
      </c>
      <c r="Q81" s="217"/>
      <c r="R81" s="277"/>
      <c r="T81" s="154"/>
      <c r="V81" s="154"/>
      <c r="W81" s="145">
        <f t="shared" si="12"/>
        <v>0</v>
      </c>
      <c r="X81" s="145">
        <f t="shared" si="13"/>
        <v>0</v>
      </c>
      <c r="Y81" s="211" t="str">
        <f t="shared" si="3"/>
        <v>ok</v>
      </c>
      <c r="AA81" s="210">
        <f t="shared" si="18"/>
        <v>0</v>
      </c>
      <c r="AB81" s="145">
        <f t="shared" si="14"/>
        <v>0</v>
      </c>
      <c r="AC81" s="145">
        <f t="shared" si="15"/>
        <v>0</v>
      </c>
      <c r="AD81" s="211" t="str">
        <f t="shared" si="6"/>
        <v>ok</v>
      </c>
      <c r="AF81" s="224"/>
      <c r="AH81" s="219" t="str">
        <f t="shared" si="37"/>
        <v/>
      </c>
      <c r="AI81" s="219" t="str">
        <f t="shared" si="8"/>
        <v/>
      </c>
      <c r="AK81" s="178"/>
      <c r="AM81" s="181"/>
    </row>
    <row r="82" spans="1:39" s="208" customFormat="1" ht="39.950000000000003" hidden="1" customHeight="1">
      <c r="A82" s="213"/>
      <c r="B82" s="213"/>
      <c r="C82" s="215"/>
      <c r="D82" s="214"/>
      <c r="E82" s="214"/>
      <c r="F82" s="214"/>
      <c r="G82" s="215"/>
      <c r="H82" s="233"/>
      <c r="I82" s="233"/>
      <c r="J82" s="233" t="str">
        <f t="shared" si="48"/>
        <v/>
      </c>
      <c r="K82" s="145"/>
      <c r="L82" s="145"/>
      <c r="M82" s="59">
        <f t="shared" si="49"/>
        <v>0</v>
      </c>
      <c r="N82" s="145"/>
      <c r="O82" s="145"/>
      <c r="P82" s="59">
        <f t="shared" si="50"/>
        <v>0</v>
      </c>
      <c r="Q82" s="217"/>
      <c r="R82" s="315"/>
      <c r="T82" s="154"/>
      <c r="V82" s="154"/>
      <c r="W82" s="145">
        <f t="shared" si="12"/>
        <v>0</v>
      </c>
      <c r="X82" s="145">
        <f t="shared" si="13"/>
        <v>0</v>
      </c>
      <c r="Y82" s="211" t="str">
        <f t="shared" si="3"/>
        <v>ok</v>
      </c>
      <c r="AA82" s="210">
        <f t="shared" si="18"/>
        <v>0</v>
      </c>
      <c r="AB82" s="145">
        <f t="shared" si="14"/>
        <v>0</v>
      </c>
      <c r="AC82" s="145">
        <f t="shared" si="15"/>
        <v>0</v>
      </c>
      <c r="AD82" s="211" t="str">
        <f t="shared" si="6"/>
        <v>ok</v>
      </c>
      <c r="AF82" s="224"/>
      <c r="AH82" s="219" t="str">
        <f t="shared" si="37"/>
        <v/>
      </c>
      <c r="AI82" s="219" t="str">
        <f t="shared" si="8"/>
        <v/>
      </c>
      <c r="AJ82" s="169"/>
      <c r="AK82" s="178"/>
      <c r="AM82" s="181"/>
    </row>
    <row r="83" spans="1:39" ht="39.950000000000003" hidden="1" customHeight="1">
      <c r="A83" s="213"/>
      <c r="B83" s="278"/>
      <c r="C83" s="279"/>
      <c r="D83" s="280"/>
      <c r="E83" s="280"/>
      <c r="F83" s="280"/>
      <c r="G83" s="279"/>
      <c r="H83" s="233"/>
      <c r="I83" s="233"/>
      <c r="J83" s="233" t="str">
        <f t="shared" si="48"/>
        <v/>
      </c>
      <c r="K83" s="145"/>
      <c r="L83" s="145"/>
      <c r="M83" s="59">
        <f t="shared" si="49"/>
        <v>0</v>
      </c>
      <c r="N83" s="145"/>
      <c r="O83" s="145"/>
      <c r="P83" s="59">
        <f t="shared" si="50"/>
        <v>0</v>
      </c>
      <c r="Q83" s="217"/>
      <c r="R83" s="316"/>
      <c r="T83" s="154"/>
      <c r="V83" s="154"/>
      <c r="W83" s="145">
        <f t="shared" si="12"/>
        <v>0</v>
      </c>
      <c r="X83" s="145">
        <f t="shared" si="13"/>
        <v>0</v>
      </c>
      <c r="Y83" s="211" t="str">
        <f t="shared" si="3"/>
        <v>ok</v>
      </c>
      <c r="AA83" s="210">
        <f t="shared" si="18"/>
        <v>0</v>
      </c>
      <c r="AB83" s="145">
        <f t="shared" si="14"/>
        <v>0</v>
      </c>
      <c r="AC83" s="145">
        <f t="shared" si="15"/>
        <v>0</v>
      </c>
      <c r="AD83" s="211" t="str">
        <f>IFERROR(IF((N83+O83)=(AB83+AC83),"ok","검토"),"검토")</f>
        <v>ok</v>
      </c>
      <c r="AF83" s="224"/>
      <c r="AH83" s="219" t="str">
        <f t="shared" si="37"/>
        <v/>
      </c>
      <c r="AI83" s="219" t="str">
        <f t="shared" si="8"/>
        <v/>
      </c>
      <c r="AK83" s="178"/>
      <c r="AM83" s="181"/>
    </row>
    <row r="84" spans="1:39" ht="39.950000000000003" customHeight="1"/>
    <row r="85" spans="1:39" ht="39.950000000000003" customHeight="1"/>
    <row r="86" spans="1:39" ht="39.950000000000003" customHeight="1"/>
    <row r="87" spans="1:39" ht="39.950000000000003" customHeight="1"/>
    <row r="88" spans="1:39" ht="39.950000000000003" customHeight="1"/>
    <row r="89" spans="1:39" ht="39.950000000000003" customHeight="1"/>
    <row r="90" spans="1:39" ht="39.950000000000003" customHeight="1"/>
    <row r="91" spans="1:39" ht="39.950000000000003" customHeight="1"/>
    <row r="92" spans="1:39" ht="39.950000000000003" customHeight="1"/>
    <row r="93" spans="1:39" ht="39.950000000000003" customHeight="1"/>
    <row r="94" spans="1:39" ht="39.950000000000003" customHeight="1"/>
    <row r="95" spans="1:39" ht="39.950000000000003" customHeight="1"/>
    <row r="96" spans="1:39" ht="39.950000000000003" customHeight="1"/>
  </sheetData>
  <sheetProtection formatCells="0" formatColumns="0" formatRows="0" autoFilter="0"/>
  <sortState ref="A7:AP775">
    <sortCondition ref="AK7:AK775"/>
  </sortState>
  <mergeCells count="27"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</mergeCells>
  <phoneticPr fontId="2" type="noConversion"/>
  <conditionalFormatting sqref="AM84:AM620 AF84:AF620 T12:T14 AH16:AI18 T16:T18 T84:T620 AH83:AI620 T80 AH68:AI69 T68:T69 T71:T73 AH71:AI76 AH78:AI81 T22:T66 AH22:AI66">
    <cfRule type="containsText" dxfId="95" priority="707" operator="containsText" text="국도비">
      <formula>NOT(ISERROR(SEARCH("국도비",T12)))</formula>
    </cfRule>
  </conditionalFormatting>
  <conditionalFormatting sqref="H76:J76 H18:J18 H83:J620 H68:I69 H79:J79 H71:I72 H9:J10 H8:I8 H81:I81 H17:I17 H74:I75 H78:I78 H23:J66">
    <cfRule type="expression" dxfId="94" priority="706">
      <formula>($D8="본예산")</formula>
    </cfRule>
  </conditionalFormatting>
  <conditionalFormatting sqref="U13:U14 U84:X620 AB84:AD620 U83 U68:U69 U71:U76 U78:U81 U22:U66 W23:X83 AB23:AC80">
    <cfRule type="containsText" dxfId="93" priority="705" operator="containsText" text="직접입력">
      <formula>NOT(ISERROR(SEARCH("직접입력",U13)))</formula>
    </cfRule>
  </conditionalFormatting>
  <conditionalFormatting sqref="AH13:AH14">
    <cfRule type="containsText" dxfId="92" priority="525" operator="containsText" text="국도비">
      <formula>NOT(ISERROR(SEARCH("국도비",AH13)))</formula>
    </cfRule>
  </conditionalFormatting>
  <conditionalFormatting sqref="AI13:AI14">
    <cfRule type="containsText" dxfId="91" priority="523" operator="containsText" text="국도비">
      <formula>NOT(ISERROR(SEARCH("국도비",AI13)))</formula>
    </cfRule>
  </conditionalFormatting>
  <conditionalFormatting sqref="U16:U18">
    <cfRule type="containsText" dxfId="90" priority="93" operator="containsText" text="직접입력">
      <formula>NOT(ISERROR(SEARCH("직접입력",U16)))</formula>
    </cfRule>
  </conditionalFormatting>
  <conditionalFormatting sqref="U12 W12:X15 W17:X18 W20:X21">
    <cfRule type="containsText" dxfId="89" priority="77" operator="containsText" text="직접입력">
      <formula>NOT(ISERROR(SEARCH("직접입력",U12)))</formula>
    </cfRule>
  </conditionalFormatting>
  <conditionalFormatting sqref="AH12">
    <cfRule type="containsText" dxfId="88" priority="75" operator="containsText" text="국도비">
      <formula>NOT(ISERROR(SEARCH("국도비",AH12)))</formula>
    </cfRule>
  </conditionalFormatting>
  <conditionalFormatting sqref="AI12">
    <cfRule type="containsText" dxfId="87" priority="74" operator="containsText" text="국도비">
      <formula>NOT(ISERROR(SEARCH("국도비",AI12)))</formula>
    </cfRule>
  </conditionalFormatting>
  <conditionalFormatting sqref="H13:J14 H12:I12">
    <cfRule type="expression" dxfId="86" priority="65">
      <formula>($D12="본예산")</formula>
    </cfRule>
  </conditionalFormatting>
  <conditionalFormatting sqref="T15">
    <cfRule type="containsText" dxfId="85" priority="60" operator="containsText" text="국도비">
      <formula>NOT(ISERROR(SEARCH("국도비",T15)))</formula>
    </cfRule>
  </conditionalFormatting>
  <conditionalFormatting sqref="U15">
    <cfRule type="containsText" dxfId="84" priority="59" operator="containsText" text="직접입력">
      <formula>NOT(ISERROR(SEARCH("직접입력",U15)))</formula>
    </cfRule>
  </conditionalFormatting>
  <conditionalFormatting sqref="AH15">
    <cfRule type="containsText" dxfId="83" priority="58" operator="containsText" text="국도비">
      <formula>NOT(ISERROR(SEARCH("국도비",AH15)))</formula>
    </cfRule>
  </conditionalFormatting>
  <conditionalFormatting sqref="AI15">
    <cfRule type="containsText" dxfId="82" priority="57" operator="containsText" text="국도비">
      <formula>NOT(ISERROR(SEARCH("국도비",AI15)))</formula>
    </cfRule>
  </conditionalFormatting>
  <conditionalFormatting sqref="H15:J15">
    <cfRule type="expression" dxfId="81" priority="56">
      <formula>($D15="본예산")</formula>
    </cfRule>
  </conditionalFormatting>
  <conditionalFormatting sqref="AH82:AI82">
    <cfRule type="containsText" dxfId="80" priority="55" operator="containsText" text="국도비">
      <formula>NOT(ISERROR(SEARCH("국도비",AH82)))</formula>
    </cfRule>
  </conditionalFormatting>
  <conditionalFormatting sqref="H82:I82">
    <cfRule type="expression" dxfId="79" priority="54">
      <formula>($D82="본예산")</formula>
    </cfRule>
  </conditionalFormatting>
  <conditionalFormatting sqref="U82">
    <cfRule type="containsText" dxfId="78" priority="53" operator="containsText" text="직접입력">
      <formula>NOT(ISERROR(SEARCH("직접입력",U82)))</formula>
    </cfRule>
  </conditionalFormatting>
  <conditionalFormatting sqref="AH19:AI21 T19:T21">
    <cfRule type="containsText" dxfId="77" priority="52" operator="containsText" text="국도비">
      <formula>NOT(ISERROR(SEARCH("국도비",T19)))</formula>
    </cfRule>
  </conditionalFormatting>
  <conditionalFormatting sqref="H20:I21">
    <cfRule type="expression" dxfId="76" priority="51">
      <formula>($D20="본예산")</formula>
    </cfRule>
  </conditionalFormatting>
  <conditionalFormatting sqref="U19:U21">
    <cfRule type="containsText" dxfId="75" priority="49" operator="containsText" text="직접입력">
      <formula>NOT(ISERROR(SEARCH("직접입력",U19)))</formula>
    </cfRule>
  </conditionalFormatting>
  <conditionalFormatting sqref="AB12:AC12">
    <cfRule type="containsText" dxfId="74" priority="47" operator="containsText" text="직접입력">
      <formula>NOT(ISERROR(SEARCH("직접입력",AB12)))</formula>
    </cfRule>
  </conditionalFormatting>
  <conditionalFormatting sqref="AB13:AC13">
    <cfRule type="containsText" dxfId="73" priority="46" operator="containsText" text="직접입력">
      <formula>NOT(ISERROR(SEARCH("직접입력",AB13)))</formula>
    </cfRule>
  </conditionalFormatting>
  <conditionalFormatting sqref="AB14:AC14">
    <cfRule type="containsText" dxfId="72" priority="45" operator="containsText" text="직접입력">
      <formula>NOT(ISERROR(SEARCH("직접입력",AB14)))</formula>
    </cfRule>
  </conditionalFormatting>
  <conditionalFormatting sqref="AB15:AC15">
    <cfRule type="containsText" dxfId="71" priority="44" operator="containsText" text="직접입력">
      <formula>NOT(ISERROR(SEARCH("직접입력",AB15)))</formula>
    </cfRule>
  </conditionalFormatting>
  <conditionalFormatting sqref="AB17:AC18">
    <cfRule type="containsText" dxfId="70" priority="43" operator="containsText" text="직접입력">
      <formula>NOT(ISERROR(SEARCH("직접입력",AB17)))</formula>
    </cfRule>
  </conditionalFormatting>
  <conditionalFormatting sqref="AB20:AC21">
    <cfRule type="containsText" dxfId="69" priority="42" operator="containsText" text="직접입력">
      <formula>NOT(ISERROR(SEARCH("직접입력",AB20)))</formula>
    </cfRule>
  </conditionalFormatting>
  <conditionalFormatting sqref="AB81:AC81">
    <cfRule type="containsText" dxfId="68" priority="34" operator="containsText" text="직접입력">
      <formula>NOT(ISERROR(SEARCH("직접입력",AB81)))</formula>
    </cfRule>
  </conditionalFormatting>
  <conditionalFormatting sqref="AB82:AC82">
    <cfRule type="containsText" dxfId="67" priority="33" operator="containsText" text="직접입력">
      <formula>NOT(ISERROR(SEARCH("직접입력",AB82)))</formula>
    </cfRule>
  </conditionalFormatting>
  <conditionalFormatting sqref="AB83:AC83">
    <cfRule type="containsText" dxfId="66" priority="32" operator="containsText" text="직접입력">
      <formula>NOT(ISERROR(SEARCH("직접입력",AB83)))</formula>
    </cfRule>
  </conditionalFormatting>
  <conditionalFormatting sqref="T8:T10">
    <cfRule type="containsText" dxfId="65" priority="31" operator="containsText" text="국도비">
      <formula>NOT(ISERROR(SEARCH("국도비",T8)))</formula>
    </cfRule>
  </conditionalFormatting>
  <conditionalFormatting sqref="U8:U10 W8:X10">
    <cfRule type="containsText" dxfId="64" priority="30" operator="containsText" text="직접입력">
      <formula>NOT(ISERROR(SEARCH("직접입력",U8)))</formula>
    </cfRule>
  </conditionalFormatting>
  <conditionalFormatting sqref="AH8:AH10">
    <cfRule type="containsText" dxfId="63" priority="29" operator="containsText" text="국도비">
      <formula>NOT(ISERROR(SEARCH("국도비",AH8)))</formula>
    </cfRule>
  </conditionalFormatting>
  <conditionalFormatting sqref="AI8:AI10">
    <cfRule type="containsText" dxfId="62" priority="28" operator="containsText" text="국도비">
      <formula>NOT(ISERROR(SEARCH("국도비",AI8)))</formula>
    </cfRule>
  </conditionalFormatting>
  <conditionalFormatting sqref="AB8:AC10">
    <cfRule type="containsText" dxfId="61" priority="26" operator="containsText" text="직접입력">
      <formula>NOT(ISERROR(SEARCH("직접입력",AB8)))</formula>
    </cfRule>
  </conditionalFormatting>
  <conditionalFormatting sqref="T67 AH67:AI67">
    <cfRule type="containsText" dxfId="60" priority="25" operator="containsText" text="국도비">
      <formula>NOT(ISERROR(SEARCH("국도비",T67)))</formula>
    </cfRule>
  </conditionalFormatting>
  <conditionalFormatting sqref="U67">
    <cfRule type="containsText" dxfId="59" priority="24" operator="containsText" text="직접입력">
      <formula>NOT(ISERROR(SEARCH("직접입력",U67)))</formula>
    </cfRule>
  </conditionalFormatting>
  <conditionalFormatting sqref="T77 AH77:AI77">
    <cfRule type="containsText" dxfId="58" priority="22" operator="containsText" text="국도비">
      <formula>NOT(ISERROR(SEARCH("국도비",T77)))</formula>
    </cfRule>
  </conditionalFormatting>
  <conditionalFormatting sqref="U77">
    <cfRule type="containsText" dxfId="57" priority="21" operator="containsText" text="직접입력">
      <formula>NOT(ISERROR(SEARCH("직접입력",U77)))</formula>
    </cfRule>
  </conditionalFormatting>
  <conditionalFormatting sqref="T70 AH70:AI70">
    <cfRule type="containsText" dxfId="56" priority="19" operator="containsText" text="국도비">
      <formula>NOT(ISERROR(SEARCH("국도비",T70)))</formula>
    </cfRule>
  </conditionalFormatting>
  <conditionalFormatting sqref="U70">
    <cfRule type="containsText" dxfId="55" priority="18" operator="containsText" text="직접입력">
      <formula>NOT(ISERROR(SEARCH("직접입력",U70)))</formula>
    </cfRule>
  </conditionalFormatting>
  <conditionalFormatting sqref="J8">
    <cfRule type="expression" dxfId="54" priority="16">
      <formula>($D8="본예산")</formula>
    </cfRule>
  </conditionalFormatting>
  <conditionalFormatting sqref="J12">
    <cfRule type="expression" dxfId="53" priority="15">
      <formula>($D12="본예산")</formula>
    </cfRule>
  </conditionalFormatting>
  <conditionalFormatting sqref="J17">
    <cfRule type="expression" dxfId="52" priority="14">
      <formula>($D17="본예산")</formula>
    </cfRule>
  </conditionalFormatting>
  <conditionalFormatting sqref="J21">
    <cfRule type="expression" dxfId="51" priority="13">
      <formula>($D21="본예산")</formula>
    </cfRule>
  </conditionalFormatting>
  <conditionalFormatting sqref="J20">
    <cfRule type="expression" dxfId="50" priority="12">
      <formula>($D20="본예산")</formula>
    </cfRule>
  </conditionalFormatting>
  <conditionalFormatting sqref="J69">
    <cfRule type="expression" dxfId="49" priority="9">
      <formula>($D69="본예산")</formula>
    </cfRule>
  </conditionalFormatting>
  <conditionalFormatting sqref="J68">
    <cfRule type="expression" dxfId="48" priority="8">
      <formula>($D68="본예산")</formula>
    </cfRule>
  </conditionalFormatting>
  <conditionalFormatting sqref="J72">
    <cfRule type="expression" dxfId="47" priority="7">
      <formula>($D72="본예산")</formula>
    </cfRule>
  </conditionalFormatting>
  <conditionalFormatting sqref="J71">
    <cfRule type="expression" dxfId="46" priority="6">
      <formula>($D71="본예산")</formula>
    </cfRule>
  </conditionalFormatting>
  <conditionalFormatting sqref="J75">
    <cfRule type="expression" dxfId="45" priority="5">
      <formula>($D75="본예산")</formula>
    </cfRule>
  </conditionalFormatting>
  <conditionalFormatting sqref="J74">
    <cfRule type="expression" dxfId="44" priority="4">
      <formula>($D74="본예산")</formula>
    </cfRule>
  </conditionalFormatting>
  <conditionalFormatting sqref="J78">
    <cfRule type="expression" dxfId="43" priority="3">
      <formula>($D78="본예산")</formula>
    </cfRule>
  </conditionalFormatting>
  <conditionalFormatting sqref="J82">
    <cfRule type="expression" dxfId="42" priority="2">
      <formula>($D82="본예산")</formula>
    </cfRule>
  </conditionalFormatting>
  <conditionalFormatting sqref="J81">
    <cfRule type="expression" dxfId="41" priority="1">
      <formula>($D81="본예산")</formula>
    </cfRule>
  </conditionalFormatting>
  <dataValidations count="4">
    <dataValidation type="list" allowBlank="1" showInputMessage="1" showErrorMessage="1" sqref="D77 D67 D70">
      <formula1>"본예산,1회추경,신규"</formula1>
    </dataValidation>
    <dataValidation type="list" allowBlank="1" showInputMessage="1" showErrorMessage="1" sqref="D8:D10 D12:D15 D17:D18 D20:D21 D68:D69 D71:D72 D74:D76 D78:D79 D81:D83 D23:D66">
      <formula1>"본예산,1회추경,2회추경,3회추경,신규"</formula1>
    </dataValidation>
    <dataValidation type="list" allowBlank="1" showInputMessage="1" showErrorMessage="1" sqref="T7:T83">
      <formula1>"국도비,도비"</formula1>
    </dataValidation>
    <dataValidation type="list" allowBlank="1" showInputMessage="1" showErrorMessage="1" sqref="V7:V83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8" scale="56" fitToHeight="0" orientation="landscape" horizontalDpi="1200" verticalDpi="1200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2" customWidth="1"/>
    <col min="2" max="2" width="22" style="52" customWidth="1"/>
    <col min="3" max="3" width="17.875" style="52" customWidth="1"/>
    <col min="4" max="4" width="14.75" style="52" customWidth="1"/>
    <col min="5" max="5" width="15.25" style="52" customWidth="1"/>
    <col min="6" max="6" width="14.25" style="52" customWidth="1"/>
    <col min="7" max="7" width="13.5" style="52" customWidth="1"/>
    <col min="8" max="8" width="17.25" style="52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2"/>
  </cols>
  <sheetData>
    <row r="1" spans="2:16" ht="33" customHeight="1">
      <c r="B1" s="401" t="s">
        <v>531</v>
      </c>
      <c r="C1" s="402"/>
      <c r="D1" s="402"/>
      <c r="E1" s="402"/>
      <c r="F1" s="402"/>
      <c r="G1" s="402"/>
      <c r="H1" s="402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20</v>
      </c>
      <c r="C3" s="71"/>
      <c r="D3" s="50" t="s">
        <v>120</v>
      </c>
      <c r="E3" s="50" t="e">
        <f>SUM(D7:E7)</f>
        <v>#REF!</v>
      </c>
      <c r="F3" s="50" t="s">
        <v>121</v>
      </c>
      <c r="G3" s="50" t="e">
        <f>SUM(F7:G7)</f>
        <v>#REF!</v>
      </c>
      <c r="H3" s="51"/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33" customHeight="1">
      <c r="B5" s="403" t="s">
        <v>24</v>
      </c>
      <c r="C5" s="405" t="s">
        <v>25</v>
      </c>
      <c r="D5" s="407" t="s">
        <v>26</v>
      </c>
      <c r="E5" s="407"/>
      <c r="F5" s="407" t="s">
        <v>27</v>
      </c>
      <c r="G5" s="407"/>
      <c r="H5" s="408" t="s">
        <v>28</v>
      </c>
      <c r="I5" s="414" t="s">
        <v>29</v>
      </c>
      <c r="J5" s="414"/>
      <c r="K5" s="410" t="s">
        <v>30</v>
      </c>
      <c r="L5" s="412" t="s">
        <v>31</v>
      </c>
      <c r="M5" s="414" t="s">
        <v>32</v>
      </c>
      <c r="N5" s="415"/>
      <c r="O5" s="416" t="s">
        <v>33</v>
      </c>
      <c r="P5" s="417"/>
    </row>
    <row r="6" spans="2:16" ht="33" customHeight="1">
      <c r="B6" s="404"/>
      <c r="C6" s="406"/>
      <c r="D6" s="77" t="s">
        <v>34</v>
      </c>
      <c r="E6" s="77" t="s">
        <v>35</v>
      </c>
      <c r="F6" s="77" t="s">
        <v>34</v>
      </c>
      <c r="G6" s="77" t="s">
        <v>35</v>
      </c>
      <c r="H6" s="409"/>
      <c r="I6" s="78" t="s">
        <v>36</v>
      </c>
      <c r="J6" s="79" t="s">
        <v>37</v>
      </c>
      <c r="K6" s="411"/>
      <c r="L6" s="413"/>
      <c r="M6" s="80" t="s">
        <v>36</v>
      </c>
      <c r="N6" s="81" t="s">
        <v>37</v>
      </c>
      <c r="O6" s="418"/>
      <c r="P6" s="419"/>
    </row>
    <row r="7" spans="2:16" ht="45" customHeight="1" thickBot="1">
      <c r="B7" s="82" t="s">
        <v>38</v>
      </c>
      <c r="C7" s="83">
        <f t="shared" ref="C7:H7" si="0">SUM(C8:C18)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4" t="e">
        <f t="shared" si="0"/>
        <v>#REF!</v>
      </c>
      <c r="I7" s="85" t="e">
        <f>E25+D25</f>
        <v>#REF!</v>
      </c>
      <c r="J7" s="86" t="e">
        <f>F25+G25</f>
        <v>#REF!</v>
      </c>
      <c r="K7" s="87" t="e">
        <f>I7-J7</f>
        <v>#REF!</v>
      </c>
      <c r="L7" s="88" t="s">
        <v>39</v>
      </c>
      <c r="M7" s="89" t="e">
        <f>D24+E24</f>
        <v>#REF!</v>
      </c>
      <c r="N7" s="90" t="e">
        <f>F24+G24</f>
        <v>#REF!</v>
      </c>
      <c r="O7" s="91">
        <v>0</v>
      </c>
      <c r="P7" s="91">
        <v>0</v>
      </c>
    </row>
    <row r="8" spans="2:16" ht="45" hidden="1" customHeight="1" thickBot="1">
      <c r="B8" s="92" t="s">
        <v>40</v>
      </c>
      <c r="C8" s="83">
        <v>0</v>
      </c>
      <c r="D8" s="18"/>
      <c r="E8" s="18"/>
      <c r="F8" s="18"/>
      <c r="G8" s="18"/>
      <c r="H8" s="84">
        <f>C8-F8+G8</f>
        <v>0</v>
      </c>
      <c r="I8" s="93" t="e">
        <f>D7+E7</f>
        <v>#REF!</v>
      </c>
      <c r="J8" s="94" t="e">
        <f>F7+G7</f>
        <v>#REF!</v>
      </c>
      <c r="K8" s="95" t="e">
        <f>I8-J8</f>
        <v>#REF!</v>
      </c>
      <c r="L8" s="96"/>
      <c r="M8" s="97"/>
      <c r="N8" s="98"/>
      <c r="O8" s="99"/>
      <c r="P8" s="99"/>
    </row>
    <row r="9" spans="2:16" ht="45" customHeight="1">
      <c r="B9" s="100" t="s">
        <v>94</v>
      </c>
      <c r="C9" s="101">
        <v>41526053</v>
      </c>
      <c r="D9" s="18" t="e">
        <f>SUMIFS(#REF!,#REF!,'2추총괄표'!$B9)</f>
        <v>#REF!</v>
      </c>
      <c r="E9" s="18" t="e">
        <f>SUMIFS(#REF!,#REF!,'2추총괄표'!$B9)</f>
        <v>#REF!</v>
      </c>
      <c r="F9" s="18" t="e">
        <f>SUMIFS(#REF!,#REF!,'2추총괄표'!$B9)</f>
        <v>#REF!</v>
      </c>
      <c r="G9" s="18" t="e">
        <f>SUMIFS(#REF!,#REF!,'2추총괄표'!$B9)</f>
        <v>#REF!</v>
      </c>
      <c r="H9" s="84" t="e">
        <f>C9+F9+G9</f>
        <v>#REF!</v>
      </c>
      <c r="I9" s="428" t="s">
        <v>41</v>
      </c>
      <c r="J9" s="429"/>
      <c r="K9" s="75"/>
      <c r="N9" s="102" t="s">
        <v>42</v>
      </c>
    </row>
    <row r="10" spans="2:16" ht="45" customHeight="1" thickBot="1">
      <c r="B10" s="100" t="s">
        <v>95</v>
      </c>
      <c r="C10" s="83">
        <v>5330576319</v>
      </c>
      <c r="D10" s="18" t="e">
        <f>SUMIFS(#REF!,#REF!,'2추총괄표'!$B10)</f>
        <v>#REF!</v>
      </c>
      <c r="E10" s="18" t="e">
        <f>SUMIFS(#REF!,#REF!,'2추총괄표'!$B10)</f>
        <v>#REF!</v>
      </c>
      <c r="F10" s="18" t="e">
        <f>SUMIFS(#REF!,#REF!,'2추총괄표'!$B10)</f>
        <v>#REF!</v>
      </c>
      <c r="G10" s="18" t="e">
        <f>SUMIFS(#REF!,#REF!,'2추총괄표'!$B10)</f>
        <v>#REF!</v>
      </c>
      <c r="H10" s="84" t="e">
        <f t="shared" ref="H10:H18" si="1">C10+F10+G10</f>
        <v>#REF!</v>
      </c>
      <c r="I10" s="103" t="e">
        <f>#REF!+#REF!</f>
        <v>#REF!</v>
      </c>
      <c r="J10" s="104" t="e">
        <f>#REF!+#REF!</f>
        <v>#REF!</v>
      </c>
      <c r="K10" s="75"/>
      <c r="N10" s="105" t="e">
        <f>M7-N7</f>
        <v>#REF!</v>
      </c>
    </row>
    <row r="11" spans="2:16" ht="45" customHeight="1">
      <c r="B11" s="100" t="s">
        <v>96</v>
      </c>
      <c r="C11" s="83">
        <v>551253750</v>
      </c>
      <c r="D11" s="18" t="e">
        <f>SUMIFS(#REF!,#REF!,'2추총괄표'!$B11)</f>
        <v>#REF!</v>
      </c>
      <c r="E11" s="18" t="e">
        <f>SUMIFS(#REF!,#REF!,'2추총괄표'!$B11)</f>
        <v>#REF!</v>
      </c>
      <c r="F11" s="18" t="e">
        <f>SUMIFS(#REF!,#REF!,'2추총괄표'!$B11)</f>
        <v>#REF!</v>
      </c>
      <c r="G11" s="18" t="e">
        <f>SUMIFS(#REF!,#REF!,'2추총괄표'!$B11)</f>
        <v>#REF!</v>
      </c>
      <c r="H11" s="84" t="e">
        <f t="shared" si="1"/>
        <v>#REF!</v>
      </c>
      <c r="J11" s="106"/>
      <c r="K11" s="107"/>
    </row>
    <row r="12" spans="2:16" ht="45" customHeight="1">
      <c r="B12" s="100" t="s">
        <v>97</v>
      </c>
      <c r="C12" s="83">
        <v>1151519175</v>
      </c>
      <c r="D12" s="18" t="e">
        <f>SUMIFS(#REF!,#REF!,'2추총괄표'!$B12)</f>
        <v>#REF!</v>
      </c>
      <c r="E12" s="18" t="e">
        <f>SUMIFS(#REF!,#REF!,'2추총괄표'!$B12)</f>
        <v>#REF!</v>
      </c>
      <c r="F12" s="18" t="e">
        <f>SUMIFS(#REF!,#REF!,'2추총괄표'!$B12)</f>
        <v>#REF!</v>
      </c>
      <c r="G12" s="18" t="e">
        <f>SUMIFS(#REF!,#REF!,'2추총괄표'!$B12)</f>
        <v>#REF!</v>
      </c>
      <c r="H12" s="84" t="e">
        <f t="shared" si="1"/>
        <v>#REF!</v>
      </c>
      <c r="J12" s="108"/>
      <c r="L12" s="109"/>
      <c r="M12" s="109"/>
    </row>
    <row r="13" spans="2:16" ht="45" customHeight="1">
      <c r="B13" s="100" t="s">
        <v>98</v>
      </c>
      <c r="C13" s="83">
        <v>258716894</v>
      </c>
      <c r="D13" s="18" t="e">
        <f>SUMIFS(#REF!,#REF!,'2추총괄표'!$B13)</f>
        <v>#REF!</v>
      </c>
      <c r="E13" s="18" t="e">
        <f>SUMIFS(#REF!,#REF!,'2추총괄표'!$B13)</f>
        <v>#REF!</v>
      </c>
      <c r="F13" s="18" t="e">
        <f>SUMIFS(#REF!,#REF!,'2추총괄표'!$B13)</f>
        <v>#REF!</v>
      </c>
      <c r="G13" s="18" t="e">
        <f>SUMIFS(#REF!,#REF!,'2추총괄표'!$B13)</f>
        <v>#REF!</v>
      </c>
      <c r="H13" s="84" t="e">
        <f t="shared" si="1"/>
        <v>#REF!</v>
      </c>
      <c r="K13" s="13"/>
      <c r="L13" s="14"/>
      <c r="N13" s="67" t="s">
        <v>43</v>
      </c>
    </row>
    <row r="14" spans="2:16" s="112" customFormat="1" ht="45" customHeight="1">
      <c r="B14" s="100" t="s">
        <v>99</v>
      </c>
      <c r="C14" s="110">
        <v>474291470</v>
      </c>
      <c r="D14" s="18" t="e">
        <f>SUMIFS(#REF!,#REF!,'2추총괄표'!$B14)</f>
        <v>#REF!</v>
      </c>
      <c r="E14" s="18" t="e">
        <f>SUMIFS(#REF!,#REF!,'2추총괄표'!$B14)</f>
        <v>#REF!</v>
      </c>
      <c r="F14" s="18" t="e">
        <f>SUMIFS(#REF!,#REF!,'2추총괄표'!$B14)</f>
        <v>#REF!</v>
      </c>
      <c r="G14" s="18" t="e">
        <f>SUMIFS(#REF!,#REF!,'2추총괄표'!$B14)</f>
        <v>#REF!</v>
      </c>
      <c r="H14" s="84" t="e">
        <f t="shared" si="1"/>
        <v>#REF!</v>
      </c>
      <c r="I14" s="111"/>
      <c r="J14" s="111"/>
      <c r="K14" s="13"/>
      <c r="L14" s="14"/>
      <c r="M14" s="97"/>
      <c r="N14" s="98" t="e">
        <f>N10-K7</f>
        <v>#REF!</v>
      </c>
      <c r="O14" s="111"/>
      <c r="P14" s="111"/>
    </row>
    <row r="15" spans="2:16" s="112" customFormat="1" ht="45" customHeight="1">
      <c r="B15" s="100" t="s">
        <v>68</v>
      </c>
      <c r="C15" s="110">
        <v>3278893259</v>
      </c>
      <c r="D15" s="18" t="e">
        <f>SUMIFS(#REF!,#REF!,'2추총괄표'!$B15)</f>
        <v>#REF!</v>
      </c>
      <c r="E15" s="18" t="e">
        <f>SUMIFS(#REF!,#REF!,'2추총괄표'!$B15)</f>
        <v>#REF!</v>
      </c>
      <c r="F15" s="18" t="e">
        <f>SUMIFS(#REF!,#REF!,'2추총괄표'!$B15)</f>
        <v>#REF!</v>
      </c>
      <c r="G15" s="18" t="e">
        <f>SUMIFS(#REF!,#REF!,'2추총괄표'!$B15)</f>
        <v>#REF!</v>
      </c>
      <c r="H15" s="84" t="e">
        <f t="shared" si="1"/>
        <v>#REF!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45" customHeight="1">
      <c r="B16" s="100" t="s">
        <v>100</v>
      </c>
      <c r="C16" s="110">
        <v>1191584285</v>
      </c>
      <c r="D16" s="18" t="e">
        <f>SUMIFS(#REF!,#REF!,'2추총괄표'!$B16)</f>
        <v>#REF!</v>
      </c>
      <c r="E16" s="18" t="e">
        <f>SUMIFS(#REF!,#REF!,'2추총괄표'!$B16)</f>
        <v>#REF!</v>
      </c>
      <c r="F16" s="18" t="e">
        <f>SUMIFS(#REF!,#REF!,'2추총괄표'!$B16)</f>
        <v>#REF!</v>
      </c>
      <c r="G16" s="18" t="e">
        <f>SUMIFS(#REF!,#REF!,'2추총괄표'!$B16)</f>
        <v>#REF!</v>
      </c>
      <c r="H16" s="84" t="e">
        <f t="shared" si="1"/>
        <v>#REF!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45" customHeight="1">
      <c r="B17" s="113" t="s">
        <v>101</v>
      </c>
      <c r="C17" s="114">
        <v>898421829</v>
      </c>
      <c r="D17" s="18" t="e">
        <f>SUMIFS(#REF!,#REF!,'2추총괄표'!$B17)</f>
        <v>#REF!</v>
      </c>
      <c r="E17" s="18" t="e">
        <f>SUMIFS(#REF!,#REF!,'2추총괄표'!$B17)</f>
        <v>#REF!</v>
      </c>
      <c r="F17" s="18" t="e">
        <f>SUMIFS(#REF!,#REF!,'2추총괄표'!$B17)</f>
        <v>#REF!</v>
      </c>
      <c r="G17" s="18" t="e">
        <f>SUMIFS(#REF!,#REF!,'2추총괄표'!$B17)</f>
        <v>#REF!</v>
      </c>
      <c r="H17" s="84" t="e">
        <f t="shared" si="1"/>
        <v>#REF!</v>
      </c>
      <c r="I17" s="115"/>
      <c r="J17" s="115"/>
      <c r="K17" s="13"/>
      <c r="L17" s="14"/>
      <c r="M17" s="115"/>
      <c r="N17" s="115"/>
      <c r="O17" s="115"/>
      <c r="P17" s="115"/>
    </row>
    <row r="18" spans="2:16" s="112" customFormat="1" ht="45" customHeight="1" thickBot="1">
      <c r="B18" s="117" t="s">
        <v>524</v>
      </c>
      <c r="C18" s="118">
        <v>4899928769</v>
      </c>
      <c r="D18" s="19" t="e">
        <f>SUMIFS(#REF!,#REF!,'2추총괄표'!$B18)</f>
        <v>#REF!</v>
      </c>
      <c r="E18" s="19" t="e">
        <f>SUMIFS(#REF!,#REF!,'2추총괄표'!$B18)</f>
        <v>#REF!</v>
      </c>
      <c r="F18" s="19" t="e">
        <f>SUMIFS(#REF!,#REF!,'2추총괄표'!$B18)</f>
        <v>#REF!</v>
      </c>
      <c r="G18" s="19" t="e">
        <f>SUMIFS(#REF!,#REF!,'2추총괄표'!$B18)</f>
        <v>#REF!</v>
      </c>
      <c r="H18" s="119" t="e">
        <f t="shared" si="1"/>
        <v>#REF!</v>
      </c>
      <c r="I18" s="111"/>
      <c r="J18" s="111"/>
      <c r="K18" s="13"/>
      <c r="L18" s="14"/>
      <c r="M18" s="111"/>
      <c r="N18" s="111"/>
      <c r="O18" s="111"/>
      <c r="P18" s="111"/>
    </row>
    <row r="19" spans="2:16" ht="18" customHeight="1">
      <c r="B19" s="73"/>
      <c r="C19" s="73"/>
      <c r="D19" s="73"/>
      <c r="E19" s="73"/>
      <c r="F19" s="73"/>
      <c r="G19" s="73"/>
      <c r="H19" s="73"/>
      <c r="K19" s="13"/>
      <c r="L19" s="14"/>
    </row>
    <row r="20" spans="2:16" ht="20.25">
      <c r="B20" s="120" t="s">
        <v>44</v>
      </c>
      <c r="C20" s="70"/>
      <c r="D20" s="70"/>
      <c r="E20" s="70"/>
      <c r="F20" s="70"/>
      <c r="G20" s="70"/>
      <c r="H20" s="121"/>
      <c r="K20" s="13"/>
      <c r="L20" s="14"/>
    </row>
    <row r="21" spans="2:16" ht="19.5" thickBot="1">
      <c r="B21" s="72"/>
      <c r="C21" s="73"/>
      <c r="D21" s="73"/>
      <c r="E21" s="73"/>
      <c r="F21" s="73"/>
      <c r="G21" s="73"/>
      <c r="H21" s="74" t="s">
        <v>14</v>
      </c>
    </row>
    <row r="22" spans="2:16" ht="33" customHeight="1">
      <c r="B22" s="420" t="s">
        <v>45</v>
      </c>
      <c r="C22" s="422" t="s">
        <v>46</v>
      </c>
      <c r="D22" s="424" t="s">
        <v>26</v>
      </c>
      <c r="E22" s="425"/>
      <c r="F22" s="424" t="s">
        <v>27</v>
      </c>
      <c r="G22" s="425"/>
      <c r="H22" s="426" t="s">
        <v>28</v>
      </c>
    </row>
    <row r="23" spans="2:16" ht="33" customHeight="1">
      <c r="B23" s="421"/>
      <c r="C23" s="423"/>
      <c r="D23" s="77" t="s">
        <v>34</v>
      </c>
      <c r="E23" s="77" t="s">
        <v>35</v>
      </c>
      <c r="F23" s="77" t="s">
        <v>34</v>
      </c>
      <c r="G23" s="77" t="s">
        <v>35</v>
      </c>
      <c r="H23" s="427"/>
      <c r="I23" s="67" t="s">
        <v>47</v>
      </c>
    </row>
    <row r="24" spans="2:16" ht="45" customHeight="1">
      <c r="B24" s="82" t="s">
        <v>48</v>
      </c>
      <c r="C24" s="83">
        <f t="shared" ref="C24:G24" si="2">SUM(C25:C26)</f>
        <v>0</v>
      </c>
      <c r="D24" s="18" t="e">
        <f t="shared" si="2"/>
        <v>#REF!</v>
      </c>
      <c r="E24" s="83" t="e">
        <f t="shared" si="2"/>
        <v>#REF!</v>
      </c>
      <c r="F24" s="18" t="e">
        <f t="shared" si="2"/>
        <v>#REF!</v>
      </c>
      <c r="G24" s="83" t="e">
        <f t="shared" si="2"/>
        <v>#REF!</v>
      </c>
      <c r="H24" s="84" t="e">
        <f>SUM(H25:H26)</f>
        <v>#REF!</v>
      </c>
      <c r="I24" s="75" t="e">
        <f>C24+D24+E24</f>
        <v>#REF!</v>
      </c>
      <c r="J24" s="75" t="e">
        <f>I24-H24</f>
        <v>#REF!</v>
      </c>
      <c r="K24" s="75" t="s">
        <v>49</v>
      </c>
    </row>
    <row r="25" spans="2:16" ht="45" customHeight="1">
      <c r="B25" s="82" t="s">
        <v>15</v>
      </c>
      <c r="C25" s="83"/>
      <c r="D25" s="18" t="e">
        <f>#REF!</f>
        <v>#REF!</v>
      </c>
      <c r="E25" s="18" t="e">
        <f>#REF!</f>
        <v>#REF!</v>
      </c>
      <c r="F25" s="18" t="e">
        <f>#REF!</f>
        <v>#REF!</v>
      </c>
      <c r="G25" s="18" t="e">
        <f>#REF!</f>
        <v>#REF!</v>
      </c>
      <c r="H25" s="84" t="e">
        <f>C25+F25+G25</f>
        <v>#REF!</v>
      </c>
      <c r="I25" s="75" t="e">
        <f>C25+D25+E25</f>
        <v>#REF!</v>
      </c>
      <c r="J25" s="75" t="e">
        <f>I25-H25</f>
        <v>#REF!</v>
      </c>
      <c r="K25" s="75" t="s">
        <v>49</v>
      </c>
    </row>
    <row r="26" spans="2:16" ht="45" customHeight="1" thickBot="1">
      <c r="B26" s="122" t="s">
        <v>50</v>
      </c>
      <c r="C26" s="123"/>
      <c r="D26" s="19"/>
      <c r="E26" s="19"/>
      <c r="F26" s="19"/>
      <c r="G26" s="19"/>
      <c r="H26" s="119">
        <f>C26+F26+G26</f>
        <v>0</v>
      </c>
      <c r="I26" s="75">
        <f>C26+D26+E26</f>
        <v>0</v>
      </c>
      <c r="J26" s="75">
        <f>I26-H26</f>
        <v>0</v>
      </c>
      <c r="K26" s="75" t="s">
        <v>49</v>
      </c>
    </row>
    <row r="27" spans="2:16" ht="9" customHeight="1">
      <c r="B27" s="73"/>
      <c r="C27" s="73"/>
      <c r="D27" s="73"/>
      <c r="E27" s="73"/>
      <c r="F27" s="73"/>
      <c r="G27" s="73"/>
      <c r="H27" s="73"/>
    </row>
    <row r="28" spans="2:16" ht="20.25" hidden="1" customHeight="1"/>
    <row r="29" spans="2:16" ht="20.25" hidden="1" customHeight="1"/>
    <row r="30" spans="2:16" ht="14.25" hidden="1">
      <c r="B30" s="124" t="s">
        <v>16</v>
      </c>
      <c r="C30" s="125" t="s">
        <v>51</v>
      </c>
      <c r="D30" s="126" t="s">
        <v>52</v>
      </c>
      <c r="E30" s="125" t="s">
        <v>53</v>
      </c>
      <c r="G30" s="67"/>
      <c r="H30" s="67"/>
      <c r="O30" s="52"/>
      <c r="P30" s="52"/>
    </row>
    <row r="31" spans="2:16" ht="15" hidden="1">
      <c r="B31" s="127" t="s">
        <v>17</v>
      </c>
      <c r="C31" s="128">
        <v>39922113</v>
      </c>
      <c r="D31" s="129"/>
      <c r="E31" s="129">
        <f>SUM(C31:D31)</f>
        <v>39922113</v>
      </c>
      <c r="G31" s="67"/>
      <c r="H31" s="67"/>
      <c r="O31" s="52"/>
      <c r="P31" s="52"/>
    </row>
    <row r="32" spans="2:16" ht="15" hidden="1">
      <c r="B32" s="127" t="s">
        <v>18</v>
      </c>
      <c r="C32" s="128">
        <v>3302571667</v>
      </c>
      <c r="D32" s="128">
        <v>1780946434</v>
      </c>
      <c r="E32" s="129">
        <f t="shared" ref="E32:E41" si="3">SUM(C32:D32)</f>
        <v>5083518101</v>
      </c>
      <c r="G32" s="67"/>
      <c r="H32" s="67"/>
      <c r="O32" s="52"/>
      <c r="P32" s="52"/>
    </row>
    <row r="33" spans="2:16" ht="15" hidden="1">
      <c r="B33" s="127" t="s">
        <v>9</v>
      </c>
      <c r="C33" s="128">
        <v>155329320</v>
      </c>
      <c r="D33" s="128">
        <v>384743740</v>
      </c>
      <c r="E33" s="129">
        <f t="shared" si="3"/>
        <v>540073060</v>
      </c>
      <c r="G33" s="67"/>
      <c r="H33" s="67"/>
      <c r="O33" s="52"/>
      <c r="P33" s="52"/>
    </row>
    <row r="34" spans="2:16" ht="15" hidden="1">
      <c r="B34" s="130" t="s">
        <v>91</v>
      </c>
      <c r="C34" s="128">
        <v>1142858974</v>
      </c>
      <c r="D34" s="129"/>
      <c r="E34" s="129">
        <f t="shared" si="3"/>
        <v>1142858974</v>
      </c>
      <c r="G34" s="67"/>
      <c r="H34" s="67"/>
      <c r="O34" s="52"/>
      <c r="P34" s="52"/>
    </row>
    <row r="35" spans="2:16" ht="15" hidden="1">
      <c r="B35" s="127" t="s">
        <v>13</v>
      </c>
      <c r="C35" s="128">
        <v>224243208</v>
      </c>
      <c r="D35" s="128">
        <v>52484400</v>
      </c>
      <c r="E35" s="129">
        <f t="shared" si="3"/>
        <v>276727608</v>
      </c>
      <c r="G35" s="67"/>
      <c r="H35" s="67"/>
      <c r="O35" s="52"/>
      <c r="P35" s="52"/>
    </row>
    <row r="36" spans="2:16" ht="15" hidden="1">
      <c r="B36" s="130" t="s">
        <v>92</v>
      </c>
      <c r="C36" s="128">
        <v>466978999</v>
      </c>
      <c r="D36" s="129"/>
      <c r="E36" s="129">
        <f t="shared" si="3"/>
        <v>466978999</v>
      </c>
      <c r="G36" s="67"/>
      <c r="H36" s="67"/>
      <c r="O36" s="52"/>
      <c r="P36" s="52"/>
    </row>
    <row r="37" spans="2:16" ht="15" hidden="1">
      <c r="B37" s="130" t="s">
        <v>93</v>
      </c>
      <c r="C37" s="128">
        <v>3254006708</v>
      </c>
      <c r="D37" s="129"/>
      <c r="E37" s="129">
        <f t="shared" si="3"/>
        <v>3254006708</v>
      </c>
      <c r="G37" s="67"/>
      <c r="H37" s="67"/>
      <c r="O37" s="52"/>
      <c r="P37" s="52"/>
    </row>
    <row r="38" spans="2:16" ht="15" hidden="1">
      <c r="B38" s="127" t="s">
        <v>10</v>
      </c>
      <c r="C38" s="128">
        <v>1220859831</v>
      </c>
      <c r="D38" s="129"/>
      <c r="E38" s="129">
        <f t="shared" si="3"/>
        <v>1220859831</v>
      </c>
      <c r="G38" s="67"/>
      <c r="H38" s="67"/>
      <c r="O38" s="52"/>
      <c r="P38" s="52"/>
    </row>
    <row r="39" spans="2:16" ht="15" hidden="1">
      <c r="B39" s="127" t="s">
        <v>11</v>
      </c>
      <c r="C39" s="128">
        <v>866963933</v>
      </c>
      <c r="D39" s="128">
        <v>28360000</v>
      </c>
      <c r="E39" s="129">
        <f t="shared" si="3"/>
        <v>895323933</v>
      </c>
      <c r="G39" s="67"/>
      <c r="H39" s="67"/>
      <c r="O39" s="52"/>
      <c r="P39" s="52"/>
    </row>
    <row r="40" spans="2:16" ht="15" hidden="1">
      <c r="B40" s="127" t="s">
        <v>12</v>
      </c>
      <c r="C40" s="128">
        <v>4882582917</v>
      </c>
      <c r="D40" s="129"/>
      <c r="E40" s="129">
        <f t="shared" si="3"/>
        <v>4882582917</v>
      </c>
      <c r="G40" s="67"/>
      <c r="H40" s="67"/>
      <c r="O40" s="52"/>
      <c r="P40" s="52"/>
    </row>
    <row r="41" spans="2:16" ht="15" hidden="1">
      <c r="B41" s="127" t="s">
        <v>19</v>
      </c>
      <c r="C41" s="129">
        <f>SUM(C31:C40)</f>
        <v>15556317670</v>
      </c>
      <c r="D41" s="129">
        <f>SUM(D31:D40)</f>
        <v>2246534574</v>
      </c>
      <c r="E41" s="129">
        <f t="shared" si="3"/>
        <v>17802852244</v>
      </c>
      <c r="G41" s="67"/>
      <c r="H41" s="67"/>
      <c r="O41" s="52"/>
      <c r="P41" s="52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430" t="s">
        <v>16</v>
      </c>
      <c r="C54" s="432" t="s">
        <v>549</v>
      </c>
      <c r="D54" s="430" t="s">
        <v>547</v>
      </c>
      <c r="E54" s="430" t="s">
        <v>548</v>
      </c>
      <c r="F54" s="432" t="s">
        <v>53</v>
      </c>
    </row>
    <row r="55" spans="2:6">
      <c r="B55" s="431"/>
      <c r="C55" s="433"/>
      <c r="D55" s="431"/>
      <c r="E55" s="431"/>
      <c r="F55" s="433"/>
    </row>
    <row r="56" spans="2:6">
      <c r="B56" s="155" t="s">
        <v>19</v>
      </c>
      <c r="C56" s="156">
        <f>SUM(C57:C66)</f>
        <v>14571523178</v>
      </c>
      <c r="D56" s="156">
        <f>SUM(D57:D66)</f>
        <v>1223711435</v>
      </c>
      <c r="E56" s="156">
        <f>SUM(E57:E66)</f>
        <v>2281477190</v>
      </c>
      <c r="F56" s="156">
        <f>SUM(C56:E56)</f>
        <v>18076711803</v>
      </c>
    </row>
    <row r="57" spans="2:6">
      <c r="B57" s="157" t="s">
        <v>17</v>
      </c>
      <c r="C57" s="158">
        <v>41526053</v>
      </c>
      <c r="D57" s="158"/>
      <c r="E57" s="158"/>
      <c r="F57" s="156">
        <f t="shared" ref="F57:F66" si="4">SUM(C57:E57)</f>
        <v>41526053</v>
      </c>
    </row>
    <row r="58" spans="2:6">
      <c r="B58" s="157" t="s">
        <v>18</v>
      </c>
      <c r="C58" s="158">
        <v>3471558203</v>
      </c>
      <c r="D58" s="158">
        <v>15000000</v>
      </c>
      <c r="E58" s="158">
        <v>1844018116</v>
      </c>
      <c r="F58" s="156">
        <f t="shared" si="4"/>
        <v>5330576319</v>
      </c>
    </row>
    <row r="59" spans="2:6">
      <c r="B59" s="157" t="s">
        <v>9</v>
      </c>
      <c r="C59" s="158">
        <v>166510010</v>
      </c>
      <c r="D59" s="158"/>
      <c r="E59" s="158">
        <v>384743740</v>
      </c>
      <c r="F59" s="156">
        <f t="shared" si="4"/>
        <v>551253750</v>
      </c>
    </row>
    <row r="60" spans="2:6">
      <c r="B60" s="157" t="s">
        <v>551</v>
      </c>
      <c r="C60" s="158">
        <v>1151519175</v>
      </c>
      <c r="D60" s="158"/>
      <c r="E60" s="158"/>
      <c r="F60" s="156">
        <f t="shared" si="4"/>
        <v>1151519175</v>
      </c>
    </row>
    <row r="61" spans="2:6">
      <c r="B61" s="157" t="s">
        <v>13</v>
      </c>
      <c r="C61" s="158">
        <v>234366028</v>
      </c>
      <c r="D61" s="158"/>
      <c r="E61" s="158">
        <v>24350866</v>
      </c>
      <c r="F61" s="156">
        <f t="shared" si="4"/>
        <v>258716894</v>
      </c>
    </row>
    <row r="62" spans="2:6">
      <c r="B62" s="157" t="s">
        <v>63</v>
      </c>
      <c r="C62" s="158">
        <v>474291470</v>
      </c>
      <c r="D62" s="158"/>
      <c r="E62" s="158"/>
      <c r="F62" s="156">
        <f t="shared" si="4"/>
        <v>474291470</v>
      </c>
    </row>
    <row r="63" spans="2:6">
      <c r="B63" s="157" t="s">
        <v>395</v>
      </c>
      <c r="C63" s="158">
        <v>2439677682</v>
      </c>
      <c r="D63" s="158">
        <v>839215577</v>
      </c>
      <c r="E63" s="158"/>
      <c r="F63" s="156">
        <f t="shared" si="4"/>
        <v>3278893259</v>
      </c>
    </row>
    <row r="64" spans="2:6">
      <c r="B64" s="157" t="s">
        <v>10</v>
      </c>
      <c r="C64" s="158">
        <v>1093857927</v>
      </c>
      <c r="D64" s="158">
        <v>97726358</v>
      </c>
      <c r="E64" s="158"/>
      <c r="F64" s="156">
        <f t="shared" si="4"/>
        <v>1191584285</v>
      </c>
    </row>
    <row r="65" spans="2:6">
      <c r="B65" s="157" t="s">
        <v>11</v>
      </c>
      <c r="C65" s="158">
        <v>845217861</v>
      </c>
      <c r="D65" s="159">
        <v>24839500</v>
      </c>
      <c r="E65" s="159">
        <v>28364468</v>
      </c>
      <c r="F65" s="156">
        <f t="shared" si="4"/>
        <v>898421829</v>
      </c>
    </row>
    <row r="66" spans="2:6">
      <c r="B66" s="160" t="s">
        <v>416</v>
      </c>
      <c r="C66" s="158">
        <v>4652998769</v>
      </c>
      <c r="D66" s="158">
        <v>246930000</v>
      </c>
      <c r="E66" s="158"/>
      <c r="F66" s="156">
        <f t="shared" si="4"/>
        <v>4899928769</v>
      </c>
    </row>
    <row r="160" spans="9:9" ht="24">
      <c r="I160" s="107" t="s">
        <v>55</v>
      </c>
    </row>
    <row r="290" spans="9:11">
      <c r="I290" s="131"/>
      <c r="K290" s="67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2" customWidth="1"/>
    <col min="2" max="2" width="22" style="52" customWidth="1"/>
    <col min="3" max="3" width="17.875" style="52" customWidth="1"/>
    <col min="4" max="4" width="14.75" style="52" customWidth="1"/>
    <col min="5" max="5" width="15.25" style="52" customWidth="1"/>
    <col min="6" max="6" width="14.25" style="52" customWidth="1"/>
    <col min="7" max="7" width="13.5" style="52" customWidth="1"/>
    <col min="8" max="8" width="17.25" style="52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2"/>
  </cols>
  <sheetData>
    <row r="1" spans="2:16" ht="33" customHeight="1">
      <c r="B1" s="401" t="s">
        <v>532</v>
      </c>
      <c r="C1" s="402"/>
      <c r="D1" s="402"/>
      <c r="E1" s="402"/>
      <c r="F1" s="402"/>
      <c r="G1" s="402"/>
      <c r="H1" s="402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119</v>
      </c>
      <c r="C3" s="71"/>
      <c r="D3" s="132"/>
      <c r="E3" s="49" t="e">
        <f>SUM(D7:E7)</f>
        <v>#REF!</v>
      </c>
      <c r="F3" s="49"/>
      <c r="G3" s="49" t="e">
        <f>SUM(F7:G7)</f>
        <v>#REF!</v>
      </c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24" customHeight="1">
      <c r="B5" s="403" t="s">
        <v>24</v>
      </c>
      <c r="C5" s="405" t="s">
        <v>25</v>
      </c>
      <c r="D5" s="407" t="s">
        <v>26</v>
      </c>
      <c r="E5" s="407"/>
      <c r="F5" s="407" t="s">
        <v>27</v>
      </c>
      <c r="G5" s="407"/>
      <c r="H5" s="408" t="s">
        <v>28</v>
      </c>
      <c r="I5" s="414" t="s">
        <v>29</v>
      </c>
      <c r="J5" s="414"/>
      <c r="K5" s="410" t="s">
        <v>30</v>
      </c>
      <c r="L5" s="412" t="s">
        <v>31</v>
      </c>
      <c r="M5" s="414" t="s">
        <v>32</v>
      </c>
      <c r="N5" s="415"/>
      <c r="O5" s="416" t="s">
        <v>33</v>
      </c>
      <c r="P5" s="417"/>
    </row>
    <row r="6" spans="2:16" ht="24" customHeight="1">
      <c r="B6" s="404"/>
      <c r="C6" s="406"/>
      <c r="D6" s="77" t="s">
        <v>34</v>
      </c>
      <c r="E6" s="77" t="s">
        <v>35</v>
      </c>
      <c r="F6" s="77" t="s">
        <v>34</v>
      </c>
      <c r="G6" s="77" t="s">
        <v>35</v>
      </c>
      <c r="H6" s="409"/>
      <c r="I6" s="78" t="s">
        <v>36</v>
      </c>
      <c r="J6" s="79" t="s">
        <v>37</v>
      </c>
      <c r="K6" s="411"/>
      <c r="L6" s="413"/>
      <c r="M6" s="80" t="s">
        <v>36</v>
      </c>
      <c r="N6" s="81" t="s">
        <v>37</v>
      </c>
      <c r="O6" s="418"/>
      <c r="P6" s="419"/>
    </row>
    <row r="7" spans="2:16" ht="38.25" customHeight="1" thickBot="1">
      <c r="B7" s="82" t="s">
        <v>38</v>
      </c>
      <c r="C7" s="83">
        <f t="shared" ref="C7:H7" si="0">SUM(C8:C33)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4" t="e">
        <f t="shared" si="0"/>
        <v>#REF!</v>
      </c>
      <c r="I7" s="85" t="e">
        <f>#REF!+#REF!</f>
        <v>#REF!</v>
      </c>
      <c r="J7" s="86" t="e">
        <f>#REF!+#REF!</f>
        <v>#REF!</v>
      </c>
      <c r="K7" s="87" t="e">
        <f>I7-J7</f>
        <v>#REF!</v>
      </c>
      <c r="L7" s="88" t="s">
        <v>39</v>
      </c>
      <c r="M7" s="89" t="e">
        <f>#REF!+#REF!</f>
        <v>#REF!</v>
      </c>
      <c r="N7" s="90" t="e">
        <f>#REF!+#REF!</f>
        <v>#REF!</v>
      </c>
      <c r="O7" s="91">
        <v>0</v>
      </c>
      <c r="P7" s="91">
        <v>0</v>
      </c>
    </row>
    <row r="8" spans="2:16" ht="38.25" customHeight="1">
      <c r="B8" s="100" t="s">
        <v>110</v>
      </c>
      <c r="C8" s="101">
        <v>914581</v>
      </c>
      <c r="D8" s="18" t="e">
        <f>SUMIFS(#REF!,#REF!,'2추총괄표(실국별)'!$B8)</f>
        <v>#REF!</v>
      </c>
      <c r="E8" s="18" t="e">
        <f>SUMIFS(#REF!,#REF!,'2추총괄표(실국별)'!$B8)</f>
        <v>#REF!</v>
      </c>
      <c r="F8" s="18" t="e">
        <f>SUMIFS(#REF!,#REF!,'2추총괄표(실국별)'!$B8)</f>
        <v>#REF!</v>
      </c>
      <c r="G8" s="18" t="e">
        <f>SUMIFS(#REF!,#REF!,'2추총괄표(실국별)'!$B8)</f>
        <v>#REF!</v>
      </c>
      <c r="H8" s="84" t="e">
        <f>C8+F8+G8</f>
        <v>#REF!</v>
      </c>
      <c r="I8" s="428" t="s">
        <v>41</v>
      </c>
      <c r="J8" s="429"/>
      <c r="K8" s="75"/>
      <c r="N8" s="102" t="s">
        <v>42</v>
      </c>
    </row>
    <row r="9" spans="2:16" ht="38.25" customHeight="1" thickBot="1">
      <c r="B9" s="100" t="s">
        <v>102</v>
      </c>
      <c r="C9" s="83">
        <v>5144786053</v>
      </c>
      <c r="D9" s="18" t="e">
        <f>SUMIFS(#REF!,#REF!,'2추총괄표(실국별)'!$B9)</f>
        <v>#REF!</v>
      </c>
      <c r="E9" s="18" t="e">
        <f>SUMIFS(#REF!,#REF!,'2추총괄표(실국별)'!$B9)</f>
        <v>#REF!</v>
      </c>
      <c r="F9" s="18" t="e">
        <f>SUMIFS(#REF!,#REF!,'2추총괄표(실국별)'!$B9)</f>
        <v>#REF!</v>
      </c>
      <c r="G9" s="18" t="e">
        <f>SUMIFS(#REF!,#REF!,'2추총괄표(실국별)'!$B9)</f>
        <v>#REF!</v>
      </c>
      <c r="H9" s="84" t="e">
        <f t="shared" ref="H9" si="1">C9+F9+G9</f>
        <v>#REF!</v>
      </c>
      <c r="I9" s="103" t="e">
        <f>#REF!+#REF!</f>
        <v>#REF!</v>
      </c>
      <c r="J9" s="104" t="e">
        <f>#REF!+#REF!</f>
        <v>#REF!</v>
      </c>
      <c r="K9" s="75"/>
      <c r="N9" s="105" t="e">
        <f>#REF!-#REF!</f>
        <v>#REF!</v>
      </c>
    </row>
    <row r="10" spans="2:16" ht="38.25" customHeight="1" thickBot="1">
      <c r="B10" s="100" t="s">
        <v>103</v>
      </c>
      <c r="C10" s="83">
        <v>221255441</v>
      </c>
      <c r="D10" s="18" t="e">
        <f>SUMIFS(#REF!,#REF!,'2추총괄표(실국별)'!$B10)</f>
        <v>#REF!</v>
      </c>
      <c r="E10" s="18" t="e">
        <f>SUMIFS(#REF!,#REF!,'2추총괄표(실국별)'!$B10)</f>
        <v>#REF!</v>
      </c>
      <c r="F10" s="18" t="e">
        <f>SUMIFS(#REF!,#REF!,'2추총괄표(실국별)'!$B10)</f>
        <v>#REF!</v>
      </c>
      <c r="G10" s="18" t="e">
        <f>SUMIFS(#REF!,#REF!,'2추총괄표(실국별)'!$B10)</f>
        <v>#REF!</v>
      </c>
      <c r="H10" s="84" t="e">
        <f t="shared" ref="H10:H30" si="2">C10+F10+G10</f>
        <v>#REF!</v>
      </c>
      <c r="I10" s="103" t="e">
        <f>#REF!+#REF!</f>
        <v>#REF!</v>
      </c>
      <c r="J10" s="104" t="e">
        <f>#REF!+#REF!</f>
        <v>#REF!</v>
      </c>
      <c r="K10" s="75"/>
      <c r="N10" s="105" t="e">
        <f>#REF!-#REF!</f>
        <v>#REF!</v>
      </c>
    </row>
    <row r="11" spans="2:16" ht="38.25" customHeight="1">
      <c r="B11" s="100" t="s">
        <v>104</v>
      </c>
      <c r="C11" s="83">
        <v>547246549</v>
      </c>
      <c r="D11" s="18" t="e">
        <f>SUMIFS(#REF!,#REF!,'2추총괄표(실국별)'!$B11)</f>
        <v>#REF!</v>
      </c>
      <c r="E11" s="18" t="e">
        <f>SUMIFS(#REF!,#REF!,'2추총괄표(실국별)'!$B11)</f>
        <v>#REF!</v>
      </c>
      <c r="F11" s="18" t="e">
        <f>SUMIFS(#REF!,#REF!,'2추총괄표(실국별)'!$B11)</f>
        <v>#REF!</v>
      </c>
      <c r="G11" s="18" t="e">
        <f>SUMIFS(#REF!,#REF!,'2추총괄표(실국별)'!$B11)</f>
        <v>#REF!</v>
      </c>
      <c r="H11" s="84" t="e">
        <f t="shared" si="2"/>
        <v>#REF!</v>
      </c>
      <c r="J11" s="106"/>
      <c r="K11" s="107"/>
    </row>
    <row r="12" spans="2:16" ht="38.25" customHeight="1">
      <c r="B12" s="100" t="s">
        <v>170</v>
      </c>
      <c r="C12" s="83">
        <v>2339199089</v>
      </c>
      <c r="D12" s="18" t="e">
        <f>SUMIFS(#REF!,#REF!,'2추총괄표(실국별)'!$B12)</f>
        <v>#REF!</v>
      </c>
      <c r="E12" s="18" t="e">
        <f>SUMIFS(#REF!,#REF!,'2추총괄표(실국별)'!$B12)</f>
        <v>#REF!</v>
      </c>
      <c r="F12" s="18" t="e">
        <f>SUMIFS(#REF!,#REF!,'2추총괄표(실국별)'!$B12)</f>
        <v>#REF!</v>
      </c>
      <c r="G12" s="18" t="e">
        <f>SUMIFS(#REF!,#REF!,'2추총괄표(실국별)'!$B12)</f>
        <v>#REF!</v>
      </c>
      <c r="H12" s="84" t="e">
        <f t="shared" si="2"/>
        <v>#REF!</v>
      </c>
      <c r="J12" s="108"/>
      <c r="L12" s="109"/>
      <c r="M12" s="109"/>
    </row>
    <row r="13" spans="2:16" ht="38.25" customHeight="1">
      <c r="B13" s="100" t="s">
        <v>105</v>
      </c>
      <c r="C13" s="83">
        <v>258716894</v>
      </c>
      <c r="D13" s="18" t="e">
        <f>SUMIFS(#REF!,#REF!,'2추총괄표(실국별)'!$B13)</f>
        <v>#REF!</v>
      </c>
      <c r="E13" s="18" t="e">
        <f>SUMIFS(#REF!,#REF!,'2추총괄표(실국별)'!$B13)</f>
        <v>#REF!</v>
      </c>
      <c r="F13" s="18" t="e">
        <f>SUMIFS(#REF!,#REF!,'2추총괄표(실국별)'!$B13)</f>
        <v>#REF!</v>
      </c>
      <c r="G13" s="18" t="e">
        <f>SUMIFS(#REF!,#REF!,'2추총괄표(실국별)'!$B13)</f>
        <v>#REF!</v>
      </c>
      <c r="H13" s="84" t="e">
        <f t="shared" si="2"/>
        <v>#REF!</v>
      </c>
      <c r="K13" s="13"/>
      <c r="L13" s="14"/>
      <c r="N13" s="67" t="s">
        <v>43</v>
      </c>
    </row>
    <row r="14" spans="2:16" s="112" customFormat="1" ht="38.25" customHeight="1">
      <c r="B14" s="100" t="s">
        <v>64</v>
      </c>
      <c r="C14" s="110">
        <v>250268892</v>
      </c>
      <c r="D14" s="18" t="e">
        <f>SUMIFS(#REF!,#REF!,'2추총괄표(실국별)'!$B14)</f>
        <v>#REF!</v>
      </c>
      <c r="E14" s="18" t="e">
        <f>SUMIFS(#REF!,#REF!,'2추총괄표(실국별)'!$B14)</f>
        <v>#REF!</v>
      </c>
      <c r="F14" s="18" t="e">
        <f>SUMIFS(#REF!,#REF!,'2추총괄표(실국별)'!$B14)</f>
        <v>#REF!</v>
      </c>
      <c r="G14" s="18" t="e">
        <f>SUMIFS(#REF!,#REF!,'2추총괄표(실국별)'!$B14)</f>
        <v>#REF!</v>
      </c>
      <c r="H14" s="84" t="e">
        <f t="shared" si="2"/>
        <v>#REF!</v>
      </c>
      <c r="I14" s="111"/>
      <c r="J14" s="111"/>
      <c r="K14" s="13"/>
      <c r="L14" s="14"/>
      <c r="M14" s="97"/>
      <c r="N14" s="98" t="e">
        <f>N10-#REF!</f>
        <v>#REF!</v>
      </c>
      <c r="O14" s="111"/>
      <c r="P14" s="111"/>
    </row>
    <row r="15" spans="2:16" s="112" customFormat="1" ht="38.25" customHeight="1">
      <c r="B15" s="100" t="s">
        <v>199</v>
      </c>
      <c r="C15" s="110">
        <v>97467509</v>
      </c>
      <c r="D15" s="18" t="e">
        <f>SUMIFS(#REF!,#REF!,'2추총괄표(실국별)'!$B15)</f>
        <v>#REF!</v>
      </c>
      <c r="E15" s="18" t="e">
        <f>SUMIFS(#REF!,#REF!,'2추총괄표(실국별)'!$B15)</f>
        <v>#REF!</v>
      </c>
      <c r="F15" s="18" t="e">
        <f>SUMIFS(#REF!,#REF!,'2추총괄표(실국별)'!$B15)</f>
        <v>#REF!</v>
      </c>
      <c r="G15" s="18" t="e">
        <f>SUMIFS(#REF!,#REF!,'2추총괄표(실국별)'!$B15)</f>
        <v>#REF!</v>
      </c>
      <c r="H15" s="84" t="e">
        <f t="shared" si="2"/>
        <v>#REF!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38.25" customHeight="1">
      <c r="B16" s="100" t="s">
        <v>206</v>
      </c>
      <c r="C16" s="110">
        <v>577186012</v>
      </c>
      <c r="D16" s="18" t="e">
        <f>SUMIFS(#REF!,#REF!,'2추총괄표(실국별)'!$B16)</f>
        <v>#REF!</v>
      </c>
      <c r="E16" s="18" t="e">
        <f>SUMIFS(#REF!,#REF!,'2추총괄표(실국별)'!$B16)</f>
        <v>#REF!</v>
      </c>
      <c r="F16" s="18" t="e">
        <f>SUMIFS(#REF!,#REF!,'2추총괄표(실국별)'!$B16)</f>
        <v>#REF!</v>
      </c>
      <c r="G16" s="18" t="e">
        <f>SUMIFS(#REF!,#REF!,'2추총괄표(실국별)'!$B16)</f>
        <v>#REF!</v>
      </c>
      <c r="H16" s="84" t="e">
        <f t="shared" ref="H16:H23" si="3">C16+F16+G16</f>
        <v>#REF!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38.25" customHeight="1">
      <c r="B17" s="113" t="s">
        <v>61</v>
      </c>
      <c r="C17" s="114">
        <v>29891138</v>
      </c>
      <c r="D17" s="18" t="e">
        <f>SUMIFS(#REF!,#REF!,'2추총괄표(실국별)'!$B17)</f>
        <v>#REF!</v>
      </c>
      <c r="E17" s="18" t="e">
        <f>SUMIFS(#REF!,#REF!,'2추총괄표(실국별)'!$B17)</f>
        <v>#REF!</v>
      </c>
      <c r="F17" s="18" t="e">
        <f>SUMIFS(#REF!,#REF!,'2추총괄표(실국별)'!$B17)</f>
        <v>#REF!</v>
      </c>
      <c r="G17" s="18" t="e">
        <f>SUMIFS(#REF!,#REF!,'2추총괄표(실국별)'!$B17)</f>
        <v>#REF!</v>
      </c>
      <c r="H17" s="84" t="e">
        <f t="shared" si="3"/>
        <v>#REF!</v>
      </c>
      <c r="I17" s="115"/>
      <c r="J17" s="115"/>
      <c r="K17" s="13"/>
      <c r="L17" s="14"/>
      <c r="M17" s="115"/>
      <c r="N17" s="115"/>
      <c r="O17" s="115"/>
      <c r="P17" s="115"/>
    </row>
    <row r="18" spans="2:16" ht="38.25" customHeight="1" thickBot="1">
      <c r="B18" s="100" t="s">
        <v>111</v>
      </c>
      <c r="C18" s="83">
        <v>11250846</v>
      </c>
      <c r="D18" s="18" t="e">
        <f>SUMIFS(#REF!,#REF!,'2추총괄표(실국별)'!$B18)</f>
        <v>#REF!</v>
      </c>
      <c r="E18" s="18" t="e">
        <f>SUMIFS(#REF!,#REF!,'2추총괄표(실국별)'!$B18)</f>
        <v>#REF!</v>
      </c>
      <c r="F18" s="18" t="e">
        <f>SUMIFS(#REF!,#REF!,'2추총괄표(실국별)'!$B18)</f>
        <v>#REF!</v>
      </c>
      <c r="G18" s="18" t="e">
        <f>SUMIFS(#REF!,#REF!,'2추총괄표(실국별)'!$B18)</f>
        <v>#REF!</v>
      </c>
      <c r="H18" s="84" t="e">
        <f t="shared" si="3"/>
        <v>#REF!</v>
      </c>
      <c r="I18" s="103" t="e">
        <f>#REF!+#REF!</f>
        <v>#REF!</v>
      </c>
      <c r="J18" s="104" t="e">
        <f>#REF!+#REF!</f>
        <v>#REF!</v>
      </c>
      <c r="K18" s="75"/>
      <c r="N18" s="105" t="e">
        <f>#REF!-#REF!</f>
        <v>#REF!</v>
      </c>
    </row>
    <row r="19" spans="2:16" ht="38.25" customHeight="1">
      <c r="B19" s="100" t="s">
        <v>109</v>
      </c>
      <c r="C19" s="83">
        <v>384069</v>
      </c>
      <c r="D19" s="18" t="e">
        <f>SUMIFS(#REF!,#REF!,'2추총괄표(실국별)'!$B19)</f>
        <v>#REF!</v>
      </c>
      <c r="E19" s="18" t="e">
        <f>SUMIFS(#REF!,#REF!,'2추총괄표(실국별)'!$B19)</f>
        <v>#REF!</v>
      </c>
      <c r="F19" s="18" t="e">
        <f>SUMIFS(#REF!,#REF!,'2추총괄표(실국별)'!$B19)</f>
        <v>#REF!</v>
      </c>
      <c r="G19" s="18" t="e">
        <f>SUMIFS(#REF!,#REF!,'2추총괄표(실국별)'!$B19)</f>
        <v>#REF!</v>
      </c>
      <c r="H19" s="84" t="e">
        <f t="shared" si="3"/>
        <v>#REF!</v>
      </c>
      <c r="J19" s="106"/>
      <c r="K19" s="107"/>
    </row>
    <row r="20" spans="2:16" ht="38.25" customHeight="1">
      <c r="B20" s="100" t="s">
        <v>106</v>
      </c>
      <c r="C20" s="83">
        <v>2582006910</v>
      </c>
      <c r="D20" s="18" t="e">
        <f>SUMIFS(#REF!,#REF!,'2추총괄표(실국별)'!$B20)</f>
        <v>#REF!</v>
      </c>
      <c r="E20" s="18" t="e">
        <f>SUMIFS(#REF!,#REF!,'2추총괄표(실국별)'!$B20)</f>
        <v>#REF!</v>
      </c>
      <c r="F20" s="18" t="e">
        <f>SUMIFS(#REF!,#REF!,'2추총괄표(실국별)'!$B20)</f>
        <v>#REF!</v>
      </c>
      <c r="G20" s="18" t="e">
        <f>SUMIFS(#REF!,#REF!,'2추총괄표(실국별)'!$B20)</f>
        <v>#REF!</v>
      </c>
      <c r="H20" s="84" t="e">
        <f t="shared" si="3"/>
        <v>#REF!</v>
      </c>
      <c r="J20" s="108"/>
      <c r="L20" s="109"/>
      <c r="M20" s="109"/>
    </row>
    <row r="21" spans="2:16" ht="38.25" customHeight="1">
      <c r="B21" s="100" t="s">
        <v>107</v>
      </c>
      <c r="C21" s="83">
        <v>90647611</v>
      </c>
      <c r="D21" s="18" t="e">
        <f>SUMIFS(#REF!,#REF!,'2추총괄표(실국별)'!$B21)</f>
        <v>#REF!</v>
      </c>
      <c r="E21" s="18" t="e">
        <f>SUMIFS(#REF!,#REF!,'2추총괄표(실국별)'!$B21)</f>
        <v>#REF!</v>
      </c>
      <c r="F21" s="18" t="e">
        <f>SUMIFS(#REF!,#REF!,'2추총괄표(실국별)'!$B21)</f>
        <v>#REF!</v>
      </c>
      <c r="G21" s="18" t="e">
        <f>SUMIFS(#REF!,#REF!,'2추총괄표(실국별)'!$B21)</f>
        <v>#REF!</v>
      </c>
      <c r="H21" s="84" t="e">
        <f t="shared" si="3"/>
        <v>#REF!</v>
      </c>
      <c r="K21" s="13"/>
      <c r="L21" s="14"/>
      <c r="N21" s="67" t="s">
        <v>43</v>
      </c>
    </row>
    <row r="22" spans="2:16" s="112" customFormat="1" ht="38.25" customHeight="1">
      <c r="B22" s="100" t="s">
        <v>108</v>
      </c>
      <c r="C22" s="110">
        <v>1883037298</v>
      </c>
      <c r="D22" s="18" t="e">
        <f>SUMIFS(#REF!,#REF!,'2추총괄표(실국별)'!$B22)</f>
        <v>#REF!</v>
      </c>
      <c r="E22" s="18" t="e">
        <f>SUMIFS(#REF!,#REF!,'2추총괄표(실국별)'!$B22)</f>
        <v>#REF!</v>
      </c>
      <c r="F22" s="18" t="e">
        <f>SUMIFS(#REF!,#REF!,'2추총괄표(실국별)'!$B22)</f>
        <v>#REF!</v>
      </c>
      <c r="G22" s="18" t="e">
        <f>SUMIFS(#REF!,#REF!,'2추총괄표(실국별)'!$B22)</f>
        <v>#REF!</v>
      </c>
      <c r="H22" s="84" t="e">
        <f t="shared" si="3"/>
        <v>#REF!</v>
      </c>
      <c r="I22" s="111"/>
      <c r="J22" s="111"/>
      <c r="K22" s="13"/>
      <c r="L22" s="14"/>
      <c r="M22" s="97"/>
      <c r="N22" s="98" t="e">
        <f>N18-#REF!</f>
        <v>#REF!</v>
      </c>
      <c r="O22" s="111"/>
      <c r="P22" s="111"/>
    </row>
    <row r="23" spans="2:16" s="112" customFormat="1" ht="38.25" customHeight="1">
      <c r="B23" s="100" t="s">
        <v>369</v>
      </c>
      <c r="C23" s="110">
        <v>39275302</v>
      </c>
      <c r="D23" s="18" t="e">
        <f>SUMIFS(#REF!,#REF!,'2추총괄표(실국별)'!$B23)</f>
        <v>#REF!</v>
      </c>
      <c r="E23" s="18" t="e">
        <f>SUMIFS(#REF!,#REF!,'2추총괄표(실국별)'!$B23)</f>
        <v>#REF!</v>
      </c>
      <c r="F23" s="18" t="e">
        <f>SUMIFS(#REF!,#REF!,'2추총괄표(실국별)'!$B23)</f>
        <v>#REF!</v>
      </c>
      <c r="G23" s="18" t="e">
        <f>SUMIFS(#REF!,#REF!,'2추총괄표(실국별)'!$B23)</f>
        <v>#REF!</v>
      </c>
      <c r="H23" s="84" t="e">
        <f t="shared" si="3"/>
        <v>#REF!</v>
      </c>
      <c r="I23" s="111"/>
      <c r="J23" s="111"/>
      <c r="K23" s="13"/>
      <c r="L23" s="14"/>
      <c r="M23" s="111"/>
      <c r="N23" s="111"/>
      <c r="O23" s="111"/>
      <c r="P23" s="111"/>
    </row>
    <row r="24" spans="2:16" s="112" customFormat="1" ht="38.25" customHeight="1">
      <c r="B24" s="100" t="s">
        <v>376</v>
      </c>
      <c r="C24" s="110">
        <v>8834247</v>
      </c>
      <c r="D24" s="18" t="e">
        <f>SUMIFS(#REF!,#REF!,'2추총괄표(실국별)'!$B24)</f>
        <v>#REF!</v>
      </c>
      <c r="E24" s="18" t="e">
        <f>SUMIFS(#REF!,#REF!,'2추총괄표(실국별)'!$B24)</f>
        <v>#REF!</v>
      </c>
      <c r="F24" s="18" t="e">
        <f>SUMIFS(#REF!,#REF!,'2추총괄표(실국별)'!$B24)</f>
        <v>#REF!</v>
      </c>
      <c r="G24" s="18" t="e">
        <f>SUMIFS(#REF!,#REF!,'2추총괄표(실국별)'!$B24)</f>
        <v>#REF!</v>
      </c>
      <c r="H24" s="84" t="e">
        <f t="shared" si="2"/>
        <v>#REF!</v>
      </c>
      <c r="I24" s="111"/>
      <c r="J24" s="111"/>
      <c r="K24" s="13"/>
      <c r="L24" s="14"/>
      <c r="M24" s="111"/>
      <c r="N24" s="111"/>
      <c r="O24" s="111"/>
      <c r="P24" s="111"/>
    </row>
    <row r="25" spans="2:16" s="116" customFormat="1" ht="38.25" customHeight="1">
      <c r="B25" s="113" t="s">
        <v>378</v>
      </c>
      <c r="C25" s="114">
        <v>9409184</v>
      </c>
      <c r="D25" s="18" t="e">
        <f>SUMIFS(#REF!,#REF!,'2추총괄표(실국별)'!$B25)</f>
        <v>#REF!</v>
      </c>
      <c r="E25" s="18" t="e">
        <f>SUMIFS(#REF!,#REF!,'2추총괄표(실국별)'!$B25)</f>
        <v>#REF!</v>
      </c>
      <c r="F25" s="18" t="e">
        <f>SUMIFS(#REF!,#REF!,'2추총괄표(실국별)'!$B25)</f>
        <v>#REF!</v>
      </c>
      <c r="G25" s="18" t="e">
        <f>SUMIFS(#REF!,#REF!,'2추총괄표(실국별)'!$B25)</f>
        <v>#REF!</v>
      </c>
      <c r="H25" s="84" t="e">
        <f t="shared" si="2"/>
        <v>#REF!</v>
      </c>
      <c r="I25" s="115"/>
      <c r="J25" s="115"/>
      <c r="K25" s="13"/>
      <c r="L25" s="14"/>
      <c r="M25" s="115"/>
      <c r="N25" s="115"/>
      <c r="O25" s="115"/>
      <c r="P25" s="115"/>
    </row>
    <row r="26" spans="2:16" ht="38.25" customHeight="1" thickBot="1">
      <c r="B26" s="100" t="s">
        <v>385</v>
      </c>
      <c r="C26" s="83">
        <v>568254411</v>
      </c>
      <c r="D26" s="18" t="e">
        <f>SUMIFS(#REF!,#REF!,'2추총괄표(실국별)'!$B26)</f>
        <v>#REF!</v>
      </c>
      <c r="E26" s="18" t="e">
        <f>SUMIFS(#REF!,#REF!,'2추총괄표(실국별)'!$B26)</f>
        <v>#REF!</v>
      </c>
      <c r="F26" s="18" t="e">
        <f>SUMIFS(#REF!,#REF!,'2추총괄표(실국별)'!$B26)</f>
        <v>#REF!</v>
      </c>
      <c r="G26" s="18" t="e">
        <f>SUMIFS(#REF!,#REF!,'2추총괄표(실국별)'!$B26)</f>
        <v>#REF!</v>
      </c>
      <c r="H26" s="84" t="e">
        <f t="shared" si="2"/>
        <v>#REF!</v>
      </c>
      <c r="I26" s="103" t="e">
        <f>#REF!+#REF!</f>
        <v>#REF!</v>
      </c>
      <c r="J26" s="104" t="e">
        <f>#REF!+#REF!</f>
        <v>#REF!</v>
      </c>
      <c r="K26" s="75"/>
      <c r="N26" s="105">
        <f>M2-N2</f>
        <v>0</v>
      </c>
    </row>
    <row r="27" spans="2:16" ht="38.25" customHeight="1">
      <c r="B27" s="100" t="s">
        <v>69</v>
      </c>
      <c r="C27" s="83">
        <v>1368375599</v>
      </c>
      <c r="D27" s="18" t="e">
        <f>SUMIFS(#REF!,#REF!,'2추총괄표(실국별)'!$B27)</f>
        <v>#REF!</v>
      </c>
      <c r="E27" s="18" t="e">
        <f>SUMIFS(#REF!,#REF!,'2추총괄표(실국별)'!$B27)</f>
        <v>#REF!</v>
      </c>
      <c r="F27" s="18" t="e">
        <f>SUMIFS(#REF!,#REF!,'2추총괄표(실국별)'!$B27)</f>
        <v>#REF!</v>
      </c>
      <c r="G27" s="18" t="e">
        <f>SUMIFS(#REF!,#REF!,'2추총괄표(실국별)'!$B27)</f>
        <v>#REF!</v>
      </c>
      <c r="H27" s="84" t="e">
        <f t="shared" si="2"/>
        <v>#REF!</v>
      </c>
      <c r="J27" s="106"/>
      <c r="K27" s="107"/>
    </row>
    <row r="28" spans="2:16" ht="38.25" customHeight="1">
      <c r="B28" s="100" t="s">
        <v>308</v>
      </c>
      <c r="C28" s="83">
        <v>203128052</v>
      </c>
      <c r="D28" s="18" t="e">
        <f>SUMIFS(#REF!,#REF!,'2추총괄표(실국별)'!$B28)</f>
        <v>#REF!</v>
      </c>
      <c r="E28" s="18" t="e">
        <f>SUMIFS(#REF!,#REF!,'2추총괄표(실국별)'!$B28)</f>
        <v>#REF!</v>
      </c>
      <c r="F28" s="18" t="e">
        <f>SUMIFS(#REF!,#REF!,'2추총괄표(실국별)'!$B28)</f>
        <v>#REF!</v>
      </c>
      <c r="G28" s="18" t="e">
        <f>SUMIFS(#REF!,#REF!,'2추총괄표(실국별)'!$B28)</f>
        <v>#REF!</v>
      </c>
      <c r="H28" s="84" t="e">
        <f t="shared" si="2"/>
        <v>#REF!</v>
      </c>
      <c r="J28" s="108"/>
      <c r="L28" s="109"/>
      <c r="M28" s="109"/>
    </row>
    <row r="29" spans="2:16" ht="38.25" customHeight="1">
      <c r="B29" s="100" t="s">
        <v>323</v>
      </c>
      <c r="C29" s="83">
        <v>551253750</v>
      </c>
      <c r="D29" s="18" t="e">
        <f>SUMIFS(#REF!,#REF!,'2추총괄표(실국별)'!$B29)</f>
        <v>#REF!</v>
      </c>
      <c r="E29" s="18" t="e">
        <f>SUMIFS(#REF!,#REF!,'2추총괄표(실국별)'!$B29)</f>
        <v>#REF!</v>
      </c>
      <c r="F29" s="18" t="e">
        <f>SUMIFS(#REF!,#REF!,'2추총괄표(실국별)'!$B29)</f>
        <v>#REF!</v>
      </c>
      <c r="G29" s="18" t="e">
        <f>SUMIFS(#REF!,#REF!,'2추총괄표(실국별)'!$B29)</f>
        <v>#REF!</v>
      </c>
      <c r="H29" s="84" t="e">
        <f t="shared" si="2"/>
        <v>#REF!</v>
      </c>
      <c r="K29" s="13"/>
      <c r="L29" s="14"/>
      <c r="N29" s="67" t="s">
        <v>43</v>
      </c>
    </row>
    <row r="30" spans="2:16" s="112" customFormat="1" ht="38.25" customHeight="1">
      <c r="B30" s="100" t="s">
        <v>66</v>
      </c>
      <c r="C30" s="110">
        <v>199805590</v>
      </c>
      <c r="D30" s="18" t="e">
        <f>SUMIFS(#REF!,#REF!,'2추총괄표(실국별)'!$B30)</f>
        <v>#REF!</v>
      </c>
      <c r="E30" s="18" t="e">
        <f>SUMIFS(#REF!,#REF!,'2추총괄표(실국별)'!$B30)</f>
        <v>#REF!</v>
      </c>
      <c r="F30" s="18" t="e">
        <f>SUMIFS(#REF!,#REF!,'2추총괄표(실국별)'!$B30)</f>
        <v>#REF!</v>
      </c>
      <c r="G30" s="18" t="e">
        <f>SUMIFS(#REF!,#REF!,'2추총괄표(실국별)'!$B30)</f>
        <v>#REF!</v>
      </c>
      <c r="H30" s="84" t="e">
        <f t="shared" si="2"/>
        <v>#REF!</v>
      </c>
      <c r="I30" s="111"/>
      <c r="J30" s="111"/>
      <c r="K30" s="13"/>
      <c r="L30" s="14"/>
      <c r="M30" s="97"/>
      <c r="N30" s="98">
        <f>N26-K2</f>
        <v>0</v>
      </c>
      <c r="O30" s="111"/>
      <c r="P30" s="111"/>
    </row>
    <row r="31" spans="2:16" ht="38.25" customHeight="1" thickBot="1">
      <c r="B31" s="100" t="s">
        <v>351</v>
      </c>
      <c r="C31" s="83">
        <v>444655559</v>
      </c>
      <c r="D31" s="18" t="e">
        <f>SUMIFS(#REF!,#REF!,'2추총괄표(실국별)'!$B31)</f>
        <v>#REF!</v>
      </c>
      <c r="E31" s="18" t="e">
        <f>SUMIFS(#REF!,#REF!,'2추총괄표(실국별)'!$B31)</f>
        <v>#REF!</v>
      </c>
      <c r="F31" s="18" t="e">
        <f>SUMIFS(#REF!,#REF!,'2추총괄표(실국별)'!$B31)</f>
        <v>#REF!</v>
      </c>
      <c r="G31" s="18" t="e">
        <f>SUMIFS(#REF!,#REF!,'2추총괄표(실국별)'!$B31)</f>
        <v>#REF!</v>
      </c>
      <c r="H31" s="84" t="e">
        <f t="shared" ref="H31:H33" si="4">C31+F31+G31</f>
        <v>#REF!</v>
      </c>
      <c r="I31" s="103" t="e">
        <f>#REF!+#REF!</f>
        <v>#REF!</v>
      </c>
      <c r="J31" s="104" t="e">
        <f>#REF!+#REF!</f>
        <v>#REF!</v>
      </c>
      <c r="K31" s="75"/>
      <c r="N31" s="105" t="e">
        <f>M7-N7</f>
        <v>#REF!</v>
      </c>
    </row>
    <row r="32" spans="2:16" ht="38.25" customHeight="1">
      <c r="B32" s="100" t="s">
        <v>361</v>
      </c>
      <c r="C32" s="83">
        <v>606801393</v>
      </c>
      <c r="D32" s="18" t="e">
        <f>SUMIFS(#REF!,#REF!,'2추총괄표(실국별)'!$B32)</f>
        <v>#REF!</v>
      </c>
      <c r="E32" s="18" t="e">
        <f>SUMIFS(#REF!,#REF!,'2추총괄표(실국별)'!$B32)</f>
        <v>#REF!</v>
      </c>
      <c r="F32" s="18" t="e">
        <f>SUMIFS(#REF!,#REF!,'2추총괄표(실국별)'!$B32)</f>
        <v>#REF!</v>
      </c>
      <c r="G32" s="18" t="e">
        <f>SUMIFS(#REF!,#REF!,'2추총괄표(실국별)'!$B32)</f>
        <v>#REF!</v>
      </c>
      <c r="H32" s="84" t="e">
        <f t="shared" si="4"/>
        <v>#REF!</v>
      </c>
      <c r="J32" s="106"/>
      <c r="K32" s="107"/>
    </row>
    <row r="33" spans="2:16" ht="38.25" customHeight="1" thickBot="1">
      <c r="B33" s="117" t="s">
        <v>387</v>
      </c>
      <c r="C33" s="123">
        <v>42659824</v>
      </c>
      <c r="D33" s="19" t="e">
        <f>SUMIFS(#REF!,#REF!,'2추총괄표(실국별)'!$B33)</f>
        <v>#REF!</v>
      </c>
      <c r="E33" s="19" t="e">
        <f>SUMIFS(#REF!,#REF!,'2추총괄표(실국별)'!$B33)</f>
        <v>#REF!</v>
      </c>
      <c r="F33" s="19" t="e">
        <f>SUMIFS(#REF!,#REF!,'2추총괄표(실국별)'!$B33)</f>
        <v>#REF!</v>
      </c>
      <c r="G33" s="19" t="e">
        <f>SUMIFS(#REF!,#REF!,'2추총괄표(실국별)'!$B33)</f>
        <v>#REF!</v>
      </c>
      <c r="H33" s="119" t="e">
        <f t="shared" si="4"/>
        <v>#REF!</v>
      </c>
      <c r="J33" s="108"/>
      <c r="L33" s="109"/>
      <c r="M33" s="109"/>
    </row>
    <row r="34" spans="2:16" ht="18" customHeight="1">
      <c r="B34" s="73"/>
      <c r="C34" s="73"/>
      <c r="D34" s="73"/>
      <c r="E34" s="73"/>
      <c r="F34" s="73"/>
      <c r="G34" s="73"/>
      <c r="H34" s="73"/>
      <c r="K34" s="13"/>
      <c r="L34" s="14"/>
    </row>
    <row r="35" spans="2:16" ht="20.25" customHeight="1"/>
    <row r="36" spans="2:16" ht="20.25" customHeight="1"/>
    <row r="37" spans="2:16">
      <c r="B37" s="157" t="s">
        <v>550</v>
      </c>
      <c r="C37" s="161" t="s">
        <v>549</v>
      </c>
      <c r="D37" s="157" t="s">
        <v>547</v>
      </c>
      <c r="E37" s="157" t="s">
        <v>548</v>
      </c>
      <c r="F37" s="161" t="s">
        <v>53</v>
      </c>
      <c r="G37" s="67"/>
      <c r="H37" s="67"/>
      <c r="O37" s="52"/>
      <c r="P37" s="52"/>
    </row>
    <row r="38" spans="2:16">
      <c r="B38" s="157" t="s">
        <v>19</v>
      </c>
      <c r="C38" s="162">
        <f>SUM(C39:C64)</f>
        <v>14571523178</v>
      </c>
      <c r="D38" s="162">
        <f>SUM(D39:D64)</f>
        <v>1223711435</v>
      </c>
      <c r="E38" s="162">
        <f>SUM(E39:E64)</f>
        <v>2281477190</v>
      </c>
      <c r="F38" s="162">
        <f>SUM(C38:E38)</f>
        <v>18076711803</v>
      </c>
      <c r="G38" s="67"/>
      <c r="H38" s="67"/>
      <c r="O38" s="52"/>
      <c r="P38" s="52"/>
    </row>
    <row r="39" spans="2:16">
      <c r="B39" s="157" t="s">
        <v>110</v>
      </c>
      <c r="C39" s="163">
        <v>914581</v>
      </c>
      <c r="D39" s="163"/>
      <c r="E39" s="163"/>
      <c r="F39" s="162">
        <f t="shared" ref="F39:F64" si="5">SUM(C39:E39)</f>
        <v>914581</v>
      </c>
      <c r="O39" s="52"/>
      <c r="P39" s="52"/>
    </row>
    <row r="40" spans="2:16">
      <c r="B40" s="157" t="s">
        <v>102</v>
      </c>
      <c r="C40" s="163">
        <v>3300767937</v>
      </c>
      <c r="D40" s="163"/>
      <c r="E40" s="163">
        <v>1844018116</v>
      </c>
      <c r="F40" s="162">
        <f t="shared" si="5"/>
        <v>5144786053</v>
      </c>
      <c r="O40" s="52"/>
      <c r="P40" s="52"/>
    </row>
    <row r="41" spans="2:16">
      <c r="B41" s="157" t="s">
        <v>103</v>
      </c>
      <c r="C41" s="163">
        <v>171642061</v>
      </c>
      <c r="D41" s="163">
        <v>21248912</v>
      </c>
      <c r="E41" s="163">
        <v>28364468</v>
      </c>
      <c r="F41" s="162">
        <f t="shared" si="5"/>
        <v>221255441</v>
      </c>
      <c r="O41" s="52"/>
      <c r="P41" s="52"/>
    </row>
    <row r="42" spans="2:16">
      <c r="B42" s="157" t="s">
        <v>104</v>
      </c>
      <c r="C42" s="163">
        <v>547246549</v>
      </c>
      <c r="D42" s="163"/>
      <c r="E42" s="163"/>
      <c r="F42" s="162">
        <f t="shared" si="5"/>
        <v>547246549</v>
      </c>
      <c r="O42" s="52"/>
      <c r="P42" s="52"/>
    </row>
    <row r="43" spans="2:16">
      <c r="B43" s="157" t="s">
        <v>170</v>
      </c>
      <c r="C43" s="163">
        <v>2092269089</v>
      </c>
      <c r="D43" s="163">
        <v>246930000</v>
      </c>
      <c r="E43" s="163"/>
      <c r="F43" s="162">
        <f t="shared" si="5"/>
        <v>2339199089</v>
      </c>
      <c r="O43" s="52"/>
      <c r="P43" s="52"/>
    </row>
    <row r="44" spans="2:16">
      <c r="B44" s="157" t="s">
        <v>105</v>
      </c>
      <c r="C44" s="163">
        <v>234366028</v>
      </c>
      <c r="D44" s="163"/>
      <c r="E44" s="163">
        <v>24350866</v>
      </c>
      <c r="F44" s="162">
        <f t="shared" si="5"/>
        <v>258716894</v>
      </c>
      <c r="O44" s="52"/>
      <c r="P44" s="52"/>
    </row>
    <row r="45" spans="2:16">
      <c r="B45" s="157" t="s">
        <v>64</v>
      </c>
      <c r="C45" s="163">
        <v>250268892</v>
      </c>
      <c r="D45" s="163"/>
      <c r="E45" s="163"/>
      <c r="F45" s="162">
        <f t="shared" si="5"/>
        <v>250268892</v>
      </c>
      <c r="O45" s="52"/>
      <c r="P45" s="52"/>
    </row>
    <row r="46" spans="2:16">
      <c r="B46" s="157" t="s">
        <v>199</v>
      </c>
      <c r="C46" s="163">
        <v>97467509</v>
      </c>
      <c r="D46" s="163"/>
      <c r="E46" s="163"/>
      <c r="F46" s="162">
        <f t="shared" si="5"/>
        <v>97467509</v>
      </c>
      <c r="O46" s="52"/>
      <c r="P46" s="52"/>
    </row>
    <row r="47" spans="2:16">
      <c r="B47" s="157" t="s">
        <v>206</v>
      </c>
      <c r="C47" s="163">
        <f>512692414+1402108+5137721+57953769</f>
        <v>577186012</v>
      </c>
      <c r="D47" s="163"/>
      <c r="E47" s="163"/>
      <c r="F47" s="162">
        <f t="shared" si="5"/>
        <v>577186012</v>
      </c>
      <c r="O47" s="52"/>
      <c r="P47" s="52"/>
    </row>
    <row r="48" spans="2:16">
      <c r="B48" s="160" t="s">
        <v>61</v>
      </c>
      <c r="C48" s="163">
        <v>29891138</v>
      </c>
      <c r="D48" s="163"/>
      <c r="E48" s="163"/>
      <c r="F48" s="162">
        <f t="shared" si="5"/>
        <v>29891138</v>
      </c>
      <c r="O48" s="52"/>
      <c r="P48" s="52"/>
    </row>
    <row r="49" spans="2:6">
      <c r="B49" s="157" t="s">
        <v>111</v>
      </c>
      <c r="C49" s="163">
        <v>11250846</v>
      </c>
      <c r="D49" s="163"/>
      <c r="E49" s="163"/>
      <c r="F49" s="162">
        <f t="shared" si="5"/>
        <v>11250846</v>
      </c>
    </row>
    <row r="50" spans="2:6">
      <c r="B50" s="157" t="s">
        <v>109</v>
      </c>
      <c r="C50" s="163">
        <v>384069</v>
      </c>
      <c r="D50" s="163"/>
      <c r="E50" s="163"/>
      <c r="F50" s="162">
        <f t="shared" si="5"/>
        <v>384069</v>
      </c>
    </row>
    <row r="51" spans="2:6">
      <c r="B51" s="157" t="s">
        <v>106</v>
      </c>
      <c r="C51" s="163">
        <v>1742791333</v>
      </c>
      <c r="D51" s="163">
        <v>839215577</v>
      </c>
      <c r="E51" s="163"/>
      <c r="F51" s="162">
        <f t="shared" si="5"/>
        <v>2582006910</v>
      </c>
    </row>
    <row r="52" spans="2:6">
      <c r="B52" s="157" t="s">
        <v>107</v>
      </c>
      <c r="C52" s="163">
        <v>90647611</v>
      </c>
      <c r="D52" s="163"/>
      <c r="E52" s="163"/>
      <c r="F52" s="162">
        <f t="shared" si="5"/>
        <v>90647611</v>
      </c>
    </row>
    <row r="53" spans="2:6">
      <c r="B53" s="157" t="s">
        <v>108</v>
      </c>
      <c r="C53" s="163">
        <v>1883037298</v>
      </c>
      <c r="D53" s="163"/>
      <c r="E53" s="163"/>
      <c r="F53" s="162">
        <f t="shared" si="5"/>
        <v>1883037298</v>
      </c>
    </row>
    <row r="54" spans="2:6">
      <c r="B54" s="157" t="s">
        <v>369</v>
      </c>
      <c r="C54" s="163">
        <v>39275302</v>
      </c>
      <c r="D54" s="163"/>
      <c r="E54" s="163"/>
      <c r="F54" s="162">
        <f t="shared" si="5"/>
        <v>39275302</v>
      </c>
    </row>
    <row r="55" spans="2:6">
      <c r="B55" s="157" t="s">
        <v>376</v>
      </c>
      <c r="C55" s="163">
        <v>8834247</v>
      </c>
      <c r="D55" s="163"/>
      <c r="E55" s="163"/>
      <c r="F55" s="162">
        <f t="shared" si="5"/>
        <v>8834247</v>
      </c>
    </row>
    <row r="56" spans="2:6">
      <c r="B56" s="160" t="s">
        <v>378</v>
      </c>
      <c r="C56" s="163">
        <v>9409184</v>
      </c>
      <c r="D56" s="163"/>
      <c r="E56" s="163"/>
      <c r="F56" s="162">
        <f t="shared" si="5"/>
        <v>9409184</v>
      </c>
    </row>
    <row r="57" spans="2:6">
      <c r="B57" s="157" t="s">
        <v>385</v>
      </c>
      <c r="C57" s="163">
        <v>564663823</v>
      </c>
      <c r="D57" s="163">
        <v>3590588</v>
      </c>
      <c r="E57" s="163"/>
      <c r="F57" s="162">
        <f t="shared" si="5"/>
        <v>568254411</v>
      </c>
    </row>
    <row r="58" spans="2:6">
      <c r="B58" s="157" t="s">
        <v>69</v>
      </c>
      <c r="C58" s="163">
        <v>1368375599</v>
      </c>
      <c r="D58" s="163"/>
      <c r="E58" s="163"/>
      <c r="F58" s="162">
        <f t="shared" si="5"/>
        <v>1368375599</v>
      </c>
    </row>
    <row r="59" spans="2:6">
      <c r="B59" s="157" t="s">
        <v>308</v>
      </c>
      <c r="C59" s="163">
        <v>188128052</v>
      </c>
      <c r="D59" s="163">
        <v>15000000</v>
      </c>
      <c r="E59" s="163"/>
      <c r="F59" s="162">
        <f t="shared" si="5"/>
        <v>203128052</v>
      </c>
    </row>
    <row r="60" spans="2:6">
      <c r="B60" s="157" t="s">
        <v>323</v>
      </c>
      <c r="C60" s="163">
        <v>166510010</v>
      </c>
      <c r="D60" s="163"/>
      <c r="E60" s="163">
        <v>384743740</v>
      </c>
      <c r="F60" s="162">
        <f t="shared" si="5"/>
        <v>551253750</v>
      </c>
    </row>
    <row r="61" spans="2:6">
      <c r="B61" s="157" t="s">
        <v>66</v>
      </c>
      <c r="C61" s="163">
        <v>199805590</v>
      </c>
      <c r="D61" s="163"/>
      <c r="E61" s="163"/>
      <c r="F61" s="162">
        <f t="shared" si="5"/>
        <v>199805590</v>
      </c>
    </row>
    <row r="62" spans="2:6">
      <c r="B62" s="157" t="s">
        <v>351</v>
      </c>
      <c r="C62" s="163">
        <v>351095559</v>
      </c>
      <c r="D62" s="163">
        <v>93560000</v>
      </c>
      <c r="E62" s="163"/>
      <c r="F62" s="162">
        <f t="shared" si="5"/>
        <v>444655559</v>
      </c>
    </row>
    <row r="63" spans="2:6">
      <c r="B63" s="157" t="s">
        <v>361</v>
      </c>
      <c r="C63" s="163">
        <v>602635035</v>
      </c>
      <c r="D63" s="163">
        <v>4166358</v>
      </c>
      <c r="E63" s="163"/>
      <c r="F63" s="162">
        <f t="shared" si="5"/>
        <v>606801393</v>
      </c>
    </row>
    <row r="64" spans="2:6">
      <c r="B64" s="157" t="s">
        <v>387</v>
      </c>
      <c r="C64" s="163">
        <v>42659824</v>
      </c>
      <c r="D64" s="163"/>
      <c r="E64" s="163"/>
      <c r="F64" s="162">
        <f t="shared" si="5"/>
        <v>42659824</v>
      </c>
    </row>
    <row r="164" spans="1:20" s="67" customFormat="1" ht="24">
      <c r="A164" s="52"/>
      <c r="B164" s="52"/>
      <c r="C164" s="52"/>
      <c r="D164" s="52"/>
      <c r="E164" s="52"/>
      <c r="F164" s="52"/>
      <c r="G164" s="52"/>
      <c r="H164" s="52"/>
      <c r="I164" s="107" t="s">
        <v>55</v>
      </c>
      <c r="Q164" s="52"/>
      <c r="R164" s="52"/>
      <c r="S164" s="52"/>
      <c r="T164" s="52"/>
    </row>
    <row r="294" spans="1:20" s="67" customFormat="1">
      <c r="A294" s="52"/>
      <c r="B294" s="52"/>
      <c r="C294" s="52"/>
      <c r="D294" s="52"/>
      <c r="E294" s="52"/>
      <c r="F294" s="52"/>
      <c r="G294" s="52"/>
      <c r="H294" s="52"/>
      <c r="I294" s="131"/>
      <c r="K294" s="67">
        <v>-50000</v>
      </c>
      <c r="Q294" s="52"/>
      <c r="R294" s="52"/>
      <c r="S294" s="52"/>
      <c r="T294" s="52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sqref="A1:R1"/>
    </sheetView>
  </sheetViews>
  <sheetFormatPr defaultColWidth="8.75" defaultRowHeight="13.5"/>
  <cols>
    <col min="1" max="1" width="12.75" style="208" customWidth="1"/>
    <col min="2" max="2" width="12" style="208" customWidth="1"/>
    <col min="3" max="3" width="12.25" style="208" customWidth="1"/>
    <col min="4" max="4" width="7.625" style="169" customWidth="1"/>
    <col min="5" max="6" width="7.125" style="169" customWidth="1"/>
    <col min="7" max="7" width="35.75" style="208" customWidth="1"/>
    <col min="8" max="16" width="11.625" style="208" customWidth="1"/>
    <col min="17" max="17" width="8.375" style="169" hidden="1" customWidth="1"/>
    <col min="18" max="18" width="37.625" style="208" customWidth="1"/>
    <col min="19" max="19" width="3" style="208" customWidth="1"/>
    <col min="20" max="20" width="6.125" style="174" customWidth="1"/>
    <col min="21" max="21" width="11.625" style="208" customWidth="1"/>
    <col min="22" max="22" width="11.125" style="208" customWidth="1"/>
    <col min="23" max="23" width="6" style="169" customWidth="1"/>
    <col min="24" max="24" width="3" style="208" customWidth="1"/>
    <col min="25" max="25" width="6.125" style="225" customWidth="1"/>
    <col min="26" max="26" width="11.625" style="208" customWidth="1"/>
    <col min="27" max="27" width="11.125" style="208" customWidth="1"/>
    <col min="28" max="28" width="6" style="169" customWidth="1"/>
    <col min="29" max="29" width="3" style="208" customWidth="1"/>
    <col min="30" max="30" width="9.375" style="223" bestFit="1" customWidth="1"/>
    <col min="31" max="31" width="3" style="208" customWidth="1"/>
    <col min="32" max="32" width="9.375" style="200" hidden="1" customWidth="1"/>
    <col min="33" max="33" width="3" style="208" hidden="1" customWidth="1"/>
    <col min="34" max="34" width="6.125" style="169" hidden="1" customWidth="1"/>
    <col min="35" max="35" width="3" style="208" hidden="1" customWidth="1"/>
    <col min="36" max="36" width="11.625" style="169" hidden="1" customWidth="1"/>
    <col min="37" max="37" width="5.625" style="169" hidden="1" customWidth="1"/>
    <col min="38" max="38" width="5.625" style="202" hidden="1" customWidth="1"/>
    <col min="39" max="39" width="3" style="208" hidden="1" customWidth="1"/>
    <col min="40" max="40" width="11.625" style="169" hidden="1" customWidth="1"/>
    <col min="41" max="41" width="5.625" style="169" hidden="1" customWidth="1"/>
    <col min="42" max="42" width="5.625" style="202" hidden="1" customWidth="1"/>
    <col min="43" max="16384" width="8.75" style="208"/>
  </cols>
  <sheetData>
    <row r="1" spans="1:42" ht="32.25" customHeight="1">
      <c r="A1" s="449" t="s">
        <v>641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</row>
    <row r="2" spans="1:42" ht="20.25">
      <c r="A2" s="170" t="s">
        <v>6</v>
      </c>
      <c r="B2" s="170"/>
      <c r="C2" s="170"/>
      <c r="D2" s="183"/>
      <c r="E2" s="183"/>
      <c r="F2" s="183"/>
      <c r="G2" s="170"/>
      <c r="N2" s="175"/>
      <c r="O2" s="175"/>
      <c r="U2" s="175" t="s">
        <v>71</v>
      </c>
      <c r="V2" s="176"/>
      <c r="Z2" s="175" t="s">
        <v>71</v>
      </c>
      <c r="AA2" s="176"/>
    </row>
    <row r="3" spans="1:42" ht="20.25">
      <c r="K3" s="187">
        <f t="shared" ref="K3:O3" si="0">COUNTA(K7:K33)-9</f>
        <v>0</v>
      </c>
      <c r="L3" s="187">
        <f t="shared" si="0"/>
        <v>0</v>
      </c>
      <c r="M3" s="188"/>
      <c r="N3" s="187">
        <f t="shared" si="0"/>
        <v>0</v>
      </c>
      <c r="O3" s="187">
        <f t="shared" si="0"/>
        <v>0</v>
      </c>
      <c r="P3" s="174"/>
      <c r="Q3" s="179"/>
      <c r="R3" s="185" t="s">
        <v>8</v>
      </c>
      <c r="U3" s="176" t="str">
        <f>IF(U6='16년 3추일출'!$W$6,"OK","@@")</f>
        <v>@@</v>
      </c>
      <c r="V3" s="208">
        <f>SUM(U6:V6)</f>
        <v>0</v>
      </c>
      <c r="W3" s="176" t="str">
        <f>IF(COUNTIF(W6:W851,"@@")&gt;0,"@@","OK")</f>
        <v>OK</v>
      </c>
      <c r="Z3" s="176" t="str">
        <f>IF(Z6='16년 3추일출'!$AB$6,"OK","@@")</f>
        <v>OK</v>
      </c>
      <c r="AA3" s="208">
        <f>SUM(Z6:AA6)</f>
        <v>0</v>
      </c>
      <c r="AB3" s="176" t="str">
        <f>IF(COUNTIF(AB6:AB851,"@@")&gt;0,"@@","OK")</f>
        <v>OK</v>
      </c>
      <c r="AF3" s="186"/>
      <c r="AJ3" s="176" t="str">
        <f>IF(U6=AJ6,"OK","@@")</f>
        <v>OK</v>
      </c>
      <c r="AN3" s="176" t="str">
        <f>IF(Z6=AN6,"OK","@@")</f>
        <v>OK</v>
      </c>
    </row>
    <row r="4" spans="1:42" ht="30" customHeight="1">
      <c r="A4" s="450" t="s">
        <v>528</v>
      </c>
      <c r="B4" s="450" t="s">
        <v>123</v>
      </c>
      <c r="C4" s="450" t="s">
        <v>4</v>
      </c>
      <c r="D4" s="447" t="s">
        <v>124</v>
      </c>
      <c r="E4" s="447" t="s">
        <v>570</v>
      </c>
      <c r="F4" s="453" t="s">
        <v>571</v>
      </c>
      <c r="G4" s="450" t="s">
        <v>125</v>
      </c>
      <c r="H4" s="453" t="s">
        <v>643</v>
      </c>
      <c r="I4" s="447" t="s">
        <v>608</v>
      </c>
      <c r="J4" s="447" t="s">
        <v>644</v>
      </c>
      <c r="K4" s="455" t="s">
        <v>545</v>
      </c>
      <c r="L4" s="456"/>
      <c r="M4" s="457" t="s">
        <v>609</v>
      </c>
      <c r="N4" s="459" t="s">
        <v>546</v>
      </c>
      <c r="O4" s="460"/>
      <c r="P4" s="461" t="s">
        <v>610</v>
      </c>
      <c r="Q4" s="463" t="s">
        <v>572</v>
      </c>
      <c r="R4" s="454" t="s">
        <v>122</v>
      </c>
      <c r="T4" s="485" t="s">
        <v>5</v>
      </c>
      <c r="U4" s="487" t="s">
        <v>7</v>
      </c>
      <c r="V4" s="488"/>
      <c r="W4" s="488"/>
      <c r="Y4" s="478" t="s">
        <v>5</v>
      </c>
      <c r="Z4" s="480" t="s">
        <v>78</v>
      </c>
      <c r="AA4" s="480"/>
      <c r="AB4" s="480"/>
      <c r="AD4" s="481" t="s">
        <v>560</v>
      </c>
      <c r="AF4" s="483" t="s">
        <v>561</v>
      </c>
      <c r="AH4" s="473" t="s">
        <v>559</v>
      </c>
      <c r="AJ4" s="464" t="s">
        <v>565</v>
      </c>
      <c r="AK4" s="464"/>
      <c r="AL4" s="464"/>
      <c r="AN4" s="465" t="s">
        <v>568</v>
      </c>
      <c r="AO4" s="465"/>
      <c r="AP4" s="465"/>
    </row>
    <row r="5" spans="1:42" ht="18" customHeight="1">
      <c r="A5" s="451"/>
      <c r="B5" s="451"/>
      <c r="C5" s="451"/>
      <c r="D5" s="451"/>
      <c r="E5" s="452"/>
      <c r="F5" s="453"/>
      <c r="G5" s="451"/>
      <c r="H5" s="454"/>
      <c r="I5" s="448"/>
      <c r="J5" s="448"/>
      <c r="K5" s="276" t="s">
        <v>0</v>
      </c>
      <c r="L5" s="276" t="s">
        <v>1</v>
      </c>
      <c r="M5" s="458"/>
      <c r="N5" s="184" t="s">
        <v>0</v>
      </c>
      <c r="O5" s="184" t="s">
        <v>1</v>
      </c>
      <c r="P5" s="462"/>
      <c r="Q5" s="463"/>
      <c r="R5" s="454"/>
      <c r="T5" s="486"/>
      <c r="U5" s="329" t="s">
        <v>3</v>
      </c>
      <c r="V5" s="329" t="s">
        <v>2</v>
      </c>
      <c r="W5" s="329" t="s">
        <v>76</v>
      </c>
      <c r="Y5" s="479"/>
      <c r="Z5" s="336" t="s">
        <v>3</v>
      </c>
      <c r="AA5" s="336" t="s">
        <v>2</v>
      </c>
      <c r="AB5" s="336" t="s">
        <v>76</v>
      </c>
      <c r="AD5" s="482"/>
      <c r="AF5" s="484"/>
      <c r="AH5" s="474"/>
      <c r="AJ5" s="274" t="s">
        <v>566</v>
      </c>
      <c r="AK5" s="274" t="s">
        <v>567</v>
      </c>
      <c r="AL5" s="274" t="s">
        <v>76</v>
      </c>
      <c r="AN5" s="275" t="s">
        <v>566</v>
      </c>
      <c r="AO5" s="275" t="s">
        <v>567</v>
      </c>
      <c r="AP5" s="275" t="s">
        <v>76</v>
      </c>
    </row>
    <row r="6" spans="1:42" ht="39.950000000000003" customHeight="1">
      <c r="A6" s="349"/>
      <c r="B6" s="193"/>
      <c r="C6" s="171"/>
      <c r="D6" s="193"/>
      <c r="E6" s="193"/>
      <c r="F6" s="172"/>
      <c r="G6" s="193"/>
      <c r="H6" s="173">
        <f t="shared" ref="H6:O6" si="1">SUM(H7,H10,H13,H16,H19,H22,H25,H28,H31)</f>
        <v>0</v>
      </c>
      <c r="I6" s="173">
        <f t="shared" si="1"/>
        <v>0</v>
      </c>
      <c r="J6" s="173">
        <f t="shared" si="1"/>
        <v>0</v>
      </c>
      <c r="K6" s="173">
        <f t="shared" si="1"/>
        <v>0</v>
      </c>
      <c r="L6" s="173">
        <f t="shared" si="1"/>
        <v>0</v>
      </c>
      <c r="M6" s="173">
        <f t="shared" si="1"/>
        <v>0</v>
      </c>
      <c r="N6" s="173">
        <f t="shared" si="1"/>
        <v>0</v>
      </c>
      <c r="O6" s="173">
        <f t="shared" si="1"/>
        <v>0</v>
      </c>
      <c r="P6" s="173">
        <f>SUM(P7,P10,P13,P16,P19,P22,P25,P28,P31)</f>
        <v>0</v>
      </c>
      <c r="Q6" s="180"/>
      <c r="R6" s="177"/>
      <c r="T6" s="343"/>
      <c r="U6" s="173">
        <f t="shared" ref="U6:V6" si="2">SUM(U7,U10,U13,U16,U19,U22,U25,U28,U31)</f>
        <v>0</v>
      </c>
      <c r="V6" s="331">
        <f t="shared" si="2"/>
        <v>0</v>
      </c>
      <c r="W6" s="332" t="str">
        <f>IF((K6+L6)=(U6+V6),"OK","검토")</f>
        <v>OK</v>
      </c>
      <c r="Y6" s="344"/>
      <c r="Z6" s="173">
        <f t="shared" ref="Z6" si="3">SUM(Z7,Z10,Z13,Z16,Z19,Z22,Z25,Z28,Z31)</f>
        <v>0</v>
      </c>
      <c r="AA6" s="331">
        <f t="shared" ref="AA6" si="4">SUM(AA7,AA10,AA13,AA16,AA19,AA22,AA25,AA28,AA31)</f>
        <v>0</v>
      </c>
      <c r="AB6" s="332" t="str">
        <f>IF((N6+O6)=(Z6+AA6),"OK","검토")</f>
        <v>OK</v>
      </c>
      <c r="AD6" s="340"/>
      <c r="AF6" s="211"/>
      <c r="AH6" s="181"/>
      <c r="AJ6" s="173">
        <f>SUBTOTAL(9,AJ7:AJ763)</f>
        <v>0</v>
      </c>
      <c r="AK6" s="180" t="e">
        <f>SUBTOTAL(9,#REF!)</f>
        <v>#REF!</v>
      </c>
      <c r="AL6" s="207" t="str">
        <f>IF(COUNTIF($AL$7:$AL$9874,"@@")&gt;0,"@@","OK")</f>
        <v>OK</v>
      </c>
      <c r="AN6" s="173">
        <f>SUBTOTAL(9,AN7:AN763)</f>
        <v>0</v>
      </c>
      <c r="AO6" s="180" t="e">
        <f>SUBTOTAL(9,#REF!)</f>
        <v>#REF!</v>
      </c>
      <c r="AP6" s="207" t="str">
        <f>IF(COUNTIF($AP$7:$AP$9874,"@@")&gt;0,"@@","OK")</f>
        <v>OK</v>
      </c>
    </row>
    <row r="7" spans="1:42" ht="39.950000000000003" customHeight="1">
      <c r="A7" s="324" t="s">
        <v>632</v>
      </c>
      <c r="B7" s="303"/>
      <c r="C7" s="317"/>
      <c r="D7" s="303"/>
      <c r="E7" s="303"/>
      <c r="F7" s="317"/>
      <c r="G7" s="303"/>
      <c r="H7" s="304">
        <f t="shared" ref="H7:P7" si="5">SUM(H8:H9)</f>
        <v>0</v>
      </c>
      <c r="I7" s="304">
        <f t="shared" si="5"/>
        <v>0</v>
      </c>
      <c r="J7" s="304">
        <f t="shared" si="5"/>
        <v>0</v>
      </c>
      <c r="K7" s="304">
        <f t="shared" si="5"/>
        <v>0</v>
      </c>
      <c r="L7" s="304">
        <f t="shared" si="5"/>
        <v>0</v>
      </c>
      <c r="M7" s="304">
        <f t="shared" si="5"/>
        <v>0</v>
      </c>
      <c r="N7" s="304">
        <f t="shared" si="5"/>
        <v>0</v>
      </c>
      <c r="O7" s="304">
        <f t="shared" si="5"/>
        <v>0</v>
      </c>
      <c r="P7" s="304">
        <f t="shared" si="5"/>
        <v>0</v>
      </c>
      <c r="Q7" s="305"/>
      <c r="R7" s="306"/>
      <c r="T7" s="333"/>
      <c r="U7" s="304">
        <f t="shared" ref="U7:V7" si="6">SUM(U8:U9)</f>
        <v>0</v>
      </c>
      <c r="V7" s="304">
        <f t="shared" si="6"/>
        <v>0</v>
      </c>
      <c r="W7" s="327" t="str">
        <f t="shared" ref="W7:W33" si="7">IF($AD7="국도비","ok",IF(($K7+$L7)=($U7+$V7),"ok","검토"))</f>
        <v>ok</v>
      </c>
      <c r="Y7" s="338">
        <f t="shared" ref="Y7:Y33" si="8">$T7</f>
        <v>0</v>
      </c>
      <c r="Z7" s="304">
        <f t="shared" ref="Z7:AA7" si="9">SUM(Z8:Z9)</f>
        <v>0</v>
      </c>
      <c r="AA7" s="304">
        <f t="shared" si="9"/>
        <v>0</v>
      </c>
      <c r="AB7" s="327"/>
      <c r="AD7" s="345" t="str">
        <f>IF(AF7="","",IF($T7="도비","세입없음",$AF7&amp;"-"&amp;TEXT(COUNTIF(AF$7:AF7,AF$7:AF7),"00")))</f>
        <v/>
      </c>
      <c r="AF7" s="347"/>
    </row>
    <row r="8" spans="1:42" ht="39.950000000000003" customHeight="1">
      <c r="A8" s="213"/>
      <c r="B8" s="213"/>
      <c r="C8" s="215"/>
      <c r="D8" s="214"/>
      <c r="E8" s="214"/>
      <c r="F8" s="214"/>
      <c r="G8" s="215"/>
      <c r="H8" s="233"/>
      <c r="I8" s="233"/>
      <c r="J8" s="233" t="str">
        <f t="shared" ref="J8:J33" si="10">IF(D8="","",H8-I8)</f>
        <v/>
      </c>
      <c r="K8" s="145"/>
      <c r="L8" s="145"/>
      <c r="M8" s="59">
        <f t="shared" ref="M8:M33" si="11">IF(H8=0,I8+K8+L8,H8+K8+L8)</f>
        <v>0</v>
      </c>
      <c r="N8" s="145"/>
      <c r="O8" s="145"/>
      <c r="P8" s="59">
        <f t="shared" ref="P8:P33" si="12">IF(H8=0,I8+N8+O8,H8+N8+O8)</f>
        <v>0</v>
      </c>
      <c r="Q8" s="60"/>
      <c r="R8" s="217"/>
      <c r="T8" s="333"/>
      <c r="U8" s="195">
        <f t="shared" ref="U8:U33" si="13">IF($T8&lt;&gt;"도비",IF($AD8="국도비","직접입력",SUM($K8:$L8)),)</f>
        <v>0</v>
      </c>
      <c r="V8" s="195">
        <f t="shared" ref="V8:V33" si="14">IF($T8="도비",SUM($K8:$L8),IF($AD8="국도비","직접입력",SUM($K8:$L8)-$U8))</f>
        <v>0</v>
      </c>
      <c r="W8" s="327" t="str">
        <f t="shared" si="7"/>
        <v>ok</v>
      </c>
      <c r="Y8" s="338">
        <f t="shared" si="8"/>
        <v>0</v>
      </c>
      <c r="Z8" s="195">
        <f t="shared" ref="Z8:Z33" si="15">IF($Y8&lt;&gt;"도비",IF($AD8="국도비","직접입력",SUM($N8:$O8)),)</f>
        <v>0</v>
      </c>
      <c r="AA8" s="195">
        <f t="shared" ref="AA8:AA33" si="16">IF($Y8="도비",SUM($N8:$O8),IF($AD8="국도비","직접입력",SUM($N8:$O8)-$Z8))</f>
        <v>0</v>
      </c>
      <c r="AB8" s="327"/>
      <c r="AD8" s="345" t="str">
        <f>IF(AF8="","",IF($T8="도비","세입없음",$AF8&amp;"-"&amp;TEXT(COUNTIF(AF$7:AF8,AF$7:AF8),"00")))</f>
        <v/>
      </c>
      <c r="AF8" s="347"/>
    </row>
    <row r="9" spans="1:42" ht="39.950000000000003" customHeight="1">
      <c r="A9" s="213"/>
      <c r="B9" s="213"/>
      <c r="C9" s="215"/>
      <c r="D9" s="214"/>
      <c r="E9" s="214"/>
      <c r="F9" s="214"/>
      <c r="G9" s="215"/>
      <c r="H9" s="233"/>
      <c r="I9" s="233"/>
      <c r="J9" s="233" t="str">
        <f t="shared" si="10"/>
        <v/>
      </c>
      <c r="K9" s="145"/>
      <c r="L9" s="145"/>
      <c r="M9" s="59">
        <f t="shared" si="11"/>
        <v>0</v>
      </c>
      <c r="N9" s="145"/>
      <c r="O9" s="145"/>
      <c r="P9" s="59">
        <f t="shared" si="12"/>
        <v>0</v>
      </c>
      <c r="Q9" s="60"/>
      <c r="R9" s="217"/>
      <c r="T9" s="333"/>
      <c r="U9" s="195">
        <f t="shared" si="13"/>
        <v>0</v>
      </c>
      <c r="V9" s="195">
        <f t="shared" si="14"/>
        <v>0</v>
      </c>
      <c r="W9" s="327" t="str">
        <f t="shared" si="7"/>
        <v>ok</v>
      </c>
      <c r="Y9" s="338">
        <f t="shared" si="8"/>
        <v>0</v>
      </c>
      <c r="Z9" s="195">
        <f t="shared" si="15"/>
        <v>0</v>
      </c>
      <c r="AA9" s="195">
        <f t="shared" si="16"/>
        <v>0</v>
      </c>
      <c r="AB9" s="327"/>
      <c r="AD9" s="345" t="str">
        <f>IF(AF9="","",IF($T9="도비","세입없음",$AF9&amp;"-"&amp;TEXT(COUNTIF(AF$7:AF9,AF$7:AF9),"00")))</f>
        <v/>
      </c>
      <c r="AF9" s="347"/>
    </row>
    <row r="10" spans="1:42" ht="39.950000000000003" customHeight="1">
      <c r="A10" s="326" t="s">
        <v>634</v>
      </c>
      <c r="B10" s="307"/>
      <c r="C10" s="312"/>
      <c r="D10" s="307"/>
      <c r="E10" s="307"/>
      <c r="F10" s="312"/>
      <c r="G10" s="307"/>
      <c r="H10" s="304">
        <f t="shared" ref="H10:P10" si="17">SUM(H11:H12)</f>
        <v>0</v>
      </c>
      <c r="I10" s="308">
        <f t="shared" si="17"/>
        <v>0</v>
      </c>
      <c r="J10" s="308">
        <f t="shared" si="17"/>
        <v>0</v>
      </c>
      <c r="K10" s="308">
        <f t="shared" si="17"/>
        <v>0</v>
      </c>
      <c r="L10" s="308">
        <f t="shared" si="17"/>
        <v>0</v>
      </c>
      <c r="M10" s="308">
        <f t="shared" si="17"/>
        <v>0</v>
      </c>
      <c r="N10" s="308">
        <f t="shared" si="17"/>
        <v>0</v>
      </c>
      <c r="O10" s="308">
        <f t="shared" si="17"/>
        <v>0</v>
      </c>
      <c r="P10" s="308">
        <f t="shared" si="17"/>
        <v>0</v>
      </c>
      <c r="Q10" s="309"/>
      <c r="R10" s="310"/>
      <c r="T10" s="333"/>
      <c r="U10" s="308">
        <f t="shared" ref="U10:V10" si="18">SUM(U11:U12)</f>
        <v>0</v>
      </c>
      <c r="V10" s="308">
        <f t="shared" si="18"/>
        <v>0</v>
      </c>
      <c r="W10" s="327" t="str">
        <f t="shared" si="7"/>
        <v>ok</v>
      </c>
      <c r="Y10" s="338">
        <f t="shared" si="8"/>
        <v>0</v>
      </c>
      <c r="Z10" s="308">
        <f>SUM(Z11:Z12)</f>
        <v>0</v>
      </c>
      <c r="AA10" s="308">
        <f t="shared" ref="AA10" si="19">SUM(AA11:AA12)</f>
        <v>0</v>
      </c>
      <c r="AB10" s="327"/>
      <c r="AD10" s="345" t="str">
        <f>IF(AF10="","",IF($T10="도비","세입없음",$AF10&amp;"-"&amp;TEXT(COUNTIF(AF$7:AF10,AF$7:AF10),"00")))</f>
        <v/>
      </c>
      <c r="AF10" s="347"/>
    </row>
    <row r="11" spans="1:42" ht="39.950000000000003" customHeight="1">
      <c r="A11" s="325"/>
      <c r="B11" s="213"/>
      <c r="C11" s="215"/>
      <c r="D11" s="214"/>
      <c r="E11" s="214"/>
      <c r="F11" s="214"/>
      <c r="G11" s="215"/>
      <c r="H11" s="233"/>
      <c r="I11" s="233"/>
      <c r="J11" s="233" t="str">
        <f t="shared" si="10"/>
        <v/>
      </c>
      <c r="K11" s="145"/>
      <c r="L11" s="145"/>
      <c r="M11" s="59">
        <f t="shared" si="11"/>
        <v>0</v>
      </c>
      <c r="N11" s="145"/>
      <c r="O11" s="145"/>
      <c r="P11" s="59">
        <f t="shared" si="12"/>
        <v>0</v>
      </c>
      <c r="Q11" s="60"/>
      <c r="R11" s="217"/>
      <c r="T11" s="333"/>
      <c r="U11" s="195">
        <f t="shared" si="13"/>
        <v>0</v>
      </c>
      <c r="V11" s="195">
        <f t="shared" si="14"/>
        <v>0</v>
      </c>
      <c r="W11" s="327" t="str">
        <f t="shared" si="7"/>
        <v>ok</v>
      </c>
      <c r="Y11" s="338">
        <f t="shared" si="8"/>
        <v>0</v>
      </c>
      <c r="Z11" s="195">
        <f t="shared" si="15"/>
        <v>0</v>
      </c>
      <c r="AA11" s="195">
        <f t="shared" si="16"/>
        <v>0</v>
      </c>
      <c r="AB11" s="327"/>
      <c r="AD11" s="345" t="str">
        <f>IF(AF11="","",IF($T11="도비","세입없음",$AF11&amp;"-"&amp;TEXT(COUNTIF(AF$7:AF11,AF$7:AF11),"00")))</f>
        <v/>
      </c>
      <c r="AF11" s="347"/>
    </row>
    <row r="12" spans="1:42" ht="39.950000000000003" customHeight="1">
      <c r="A12" s="325"/>
      <c r="B12" s="213"/>
      <c r="C12" s="215"/>
      <c r="D12" s="214"/>
      <c r="E12" s="214"/>
      <c r="F12" s="214"/>
      <c r="G12" s="215"/>
      <c r="H12" s="233"/>
      <c r="I12" s="233"/>
      <c r="J12" s="233" t="str">
        <f t="shared" si="10"/>
        <v/>
      </c>
      <c r="K12" s="145"/>
      <c r="L12" s="145"/>
      <c r="M12" s="59">
        <f t="shared" si="11"/>
        <v>0</v>
      </c>
      <c r="N12" s="145"/>
      <c r="O12" s="145"/>
      <c r="P12" s="59">
        <f t="shared" si="12"/>
        <v>0</v>
      </c>
      <c r="Q12" s="60"/>
      <c r="R12" s="217"/>
      <c r="T12" s="333"/>
      <c r="U12" s="195">
        <f t="shared" si="13"/>
        <v>0</v>
      </c>
      <c r="V12" s="195">
        <f t="shared" si="14"/>
        <v>0</v>
      </c>
      <c r="W12" s="327" t="str">
        <f t="shared" si="7"/>
        <v>ok</v>
      </c>
      <c r="Y12" s="338">
        <f t="shared" si="8"/>
        <v>0</v>
      </c>
      <c r="Z12" s="195">
        <f t="shared" si="15"/>
        <v>0</v>
      </c>
      <c r="AA12" s="195">
        <f t="shared" si="16"/>
        <v>0</v>
      </c>
      <c r="AB12" s="327"/>
      <c r="AD12" s="345" t="str">
        <f>IF(AF12="","",IF($T12="도비","세입없음",$AF12&amp;"-"&amp;TEXT(COUNTIF(AF$7:AF12,AF$7:AF12),"00")))</f>
        <v/>
      </c>
      <c r="AF12" s="347"/>
    </row>
    <row r="13" spans="1:42" ht="39.950000000000003" customHeight="1">
      <c r="A13" s="326" t="s">
        <v>635</v>
      </c>
      <c r="B13" s="307"/>
      <c r="C13" s="312"/>
      <c r="D13" s="307"/>
      <c r="E13" s="307"/>
      <c r="F13" s="312"/>
      <c r="G13" s="307"/>
      <c r="H13" s="304">
        <f t="shared" ref="H13:P13" si="20">SUM(H14:H15)</f>
        <v>0</v>
      </c>
      <c r="I13" s="308">
        <f t="shared" si="20"/>
        <v>0</v>
      </c>
      <c r="J13" s="308">
        <f t="shared" si="20"/>
        <v>0</v>
      </c>
      <c r="K13" s="308">
        <f t="shared" si="20"/>
        <v>0</v>
      </c>
      <c r="L13" s="308">
        <f t="shared" si="20"/>
        <v>0</v>
      </c>
      <c r="M13" s="308">
        <f t="shared" si="20"/>
        <v>0</v>
      </c>
      <c r="N13" s="308">
        <f t="shared" si="20"/>
        <v>0</v>
      </c>
      <c r="O13" s="308">
        <f t="shared" si="20"/>
        <v>0</v>
      </c>
      <c r="P13" s="308">
        <f t="shared" si="20"/>
        <v>0</v>
      </c>
      <c r="Q13" s="309"/>
      <c r="R13" s="310"/>
      <c r="T13" s="333"/>
      <c r="U13" s="308">
        <f t="shared" ref="U13:V13" si="21">SUM(U14:U15)</f>
        <v>0</v>
      </c>
      <c r="V13" s="308">
        <f t="shared" si="21"/>
        <v>0</v>
      </c>
      <c r="W13" s="327" t="str">
        <f t="shared" si="7"/>
        <v>ok</v>
      </c>
      <c r="Y13" s="338">
        <f t="shared" si="8"/>
        <v>0</v>
      </c>
      <c r="Z13" s="308">
        <f t="shared" ref="Z13:AA13" si="22">SUM(Z14:Z15)</f>
        <v>0</v>
      </c>
      <c r="AA13" s="308">
        <f t="shared" si="22"/>
        <v>0</v>
      </c>
      <c r="AB13" s="327"/>
      <c r="AD13" s="345" t="str">
        <f>IF(AF13="","",IF($T13="도비","세입없음",$AF13&amp;"-"&amp;TEXT(COUNTIF(AF$7:AF13,AF$7:AF13),"00")))</f>
        <v/>
      </c>
      <c r="AF13" s="347"/>
    </row>
    <row r="14" spans="1:42" ht="39.950000000000003" customHeight="1">
      <c r="A14" s="325"/>
      <c r="B14" s="213"/>
      <c r="C14" s="215"/>
      <c r="D14" s="214"/>
      <c r="E14" s="214"/>
      <c r="F14" s="214"/>
      <c r="G14" s="215"/>
      <c r="H14" s="234"/>
      <c r="I14" s="234"/>
      <c r="J14" s="233" t="str">
        <f t="shared" si="10"/>
        <v/>
      </c>
      <c r="K14" s="145"/>
      <c r="L14" s="145"/>
      <c r="M14" s="59">
        <f t="shared" si="11"/>
        <v>0</v>
      </c>
      <c r="N14" s="145"/>
      <c r="O14" s="145"/>
      <c r="P14" s="59">
        <f t="shared" si="12"/>
        <v>0</v>
      </c>
      <c r="Q14" s="60"/>
      <c r="R14" s="217"/>
      <c r="T14" s="333"/>
      <c r="U14" s="195">
        <f t="shared" si="13"/>
        <v>0</v>
      </c>
      <c r="V14" s="195">
        <f t="shared" si="14"/>
        <v>0</v>
      </c>
      <c r="W14" s="327" t="str">
        <f t="shared" si="7"/>
        <v>ok</v>
      </c>
      <c r="Y14" s="338">
        <f t="shared" si="8"/>
        <v>0</v>
      </c>
      <c r="Z14" s="195">
        <f t="shared" si="15"/>
        <v>0</v>
      </c>
      <c r="AA14" s="195">
        <f t="shared" si="16"/>
        <v>0</v>
      </c>
      <c r="AB14" s="327"/>
      <c r="AD14" s="345" t="str">
        <f>IF(AF14="","",IF($T14="도비","세입없음",$AF14&amp;"-"&amp;TEXT(COUNTIF(AF$7:AF14,AF$7:AF14),"00")))</f>
        <v/>
      </c>
      <c r="AF14" s="347"/>
    </row>
    <row r="15" spans="1:42" ht="39.950000000000003" customHeight="1">
      <c r="A15" s="325"/>
      <c r="B15" s="213"/>
      <c r="C15" s="215"/>
      <c r="D15" s="214"/>
      <c r="E15" s="214"/>
      <c r="F15" s="214"/>
      <c r="G15" s="215"/>
      <c r="H15" s="234"/>
      <c r="I15" s="234"/>
      <c r="J15" s="233" t="str">
        <f t="shared" si="10"/>
        <v/>
      </c>
      <c r="K15" s="145"/>
      <c r="L15" s="145"/>
      <c r="M15" s="59">
        <f t="shared" si="11"/>
        <v>0</v>
      </c>
      <c r="N15" s="145"/>
      <c r="O15" s="145"/>
      <c r="P15" s="59">
        <f t="shared" si="12"/>
        <v>0</v>
      </c>
      <c r="Q15" s="60"/>
      <c r="R15" s="217"/>
      <c r="T15" s="333"/>
      <c r="U15" s="195">
        <f t="shared" si="13"/>
        <v>0</v>
      </c>
      <c r="V15" s="195">
        <f t="shared" si="14"/>
        <v>0</v>
      </c>
      <c r="W15" s="327" t="str">
        <f t="shared" si="7"/>
        <v>ok</v>
      </c>
      <c r="Y15" s="338">
        <f t="shared" si="8"/>
        <v>0</v>
      </c>
      <c r="Z15" s="195">
        <f t="shared" si="15"/>
        <v>0</v>
      </c>
      <c r="AA15" s="195">
        <f t="shared" si="16"/>
        <v>0</v>
      </c>
      <c r="AB15" s="327"/>
      <c r="AD15" s="345" t="str">
        <f>IF(AF15="","",IF($T15="도비","세입없음",$AF15&amp;"-"&amp;TEXT(COUNTIF(AF$7:AF15,AF$7:AF15),"00")))</f>
        <v/>
      </c>
      <c r="AF15" s="347"/>
    </row>
    <row r="16" spans="1:42" ht="39.950000000000003" customHeight="1">
      <c r="A16" s="326" t="s">
        <v>636</v>
      </c>
      <c r="B16" s="307"/>
      <c r="C16" s="312"/>
      <c r="D16" s="307"/>
      <c r="E16" s="307"/>
      <c r="F16" s="312"/>
      <c r="G16" s="307"/>
      <c r="H16" s="304">
        <f t="shared" ref="H16:P16" si="23">SUM(H17:H18)</f>
        <v>0</v>
      </c>
      <c r="I16" s="308">
        <f t="shared" si="23"/>
        <v>0</v>
      </c>
      <c r="J16" s="308">
        <f t="shared" si="23"/>
        <v>0</v>
      </c>
      <c r="K16" s="308">
        <f t="shared" si="23"/>
        <v>0</v>
      </c>
      <c r="L16" s="308">
        <f t="shared" si="23"/>
        <v>0</v>
      </c>
      <c r="M16" s="308">
        <f t="shared" si="23"/>
        <v>0</v>
      </c>
      <c r="N16" s="308">
        <f t="shared" si="23"/>
        <v>0</v>
      </c>
      <c r="O16" s="308">
        <f t="shared" si="23"/>
        <v>0</v>
      </c>
      <c r="P16" s="308">
        <f t="shared" si="23"/>
        <v>0</v>
      </c>
      <c r="Q16" s="309"/>
      <c r="R16" s="310"/>
      <c r="T16" s="333"/>
      <c r="U16" s="308">
        <f t="shared" ref="U16:V16" si="24">SUM(U17:U18)</f>
        <v>0</v>
      </c>
      <c r="V16" s="308">
        <f t="shared" si="24"/>
        <v>0</v>
      </c>
      <c r="W16" s="327" t="str">
        <f t="shared" si="7"/>
        <v>ok</v>
      </c>
      <c r="Y16" s="338">
        <f t="shared" si="8"/>
        <v>0</v>
      </c>
      <c r="Z16" s="308">
        <f t="shared" ref="Z16:AA16" si="25">SUM(Z17:Z18)</f>
        <v>0</v>
      </c>
      <c r="AA16" s="308">
        <f t="shared" si="25"/>
        <v>0</v>
      </c>
      <c r="AB16" s="327"/>
      <c r="AD16" s="345" t="str">
        <f>IF(AF16="","",IF($T16="도비","세입없음",$AF16&amp;"-"&amp;TEXT(COUNTIF(AF$7:AF16,AF$7:AF16),"00")))</f>
        <v/>
      </c>
      <c r="AF16" s="347"/>
    </row>
    <row r="17" spans="1:32" ht="39.950000000000003" customHeight="1">
      <c r="A17" s="325"/>
      <c r="B17" s="213"/>
      <c r="C17" s="215"/>
      <c r="D17" s="214"/>
      <c r="E17" s="214"/>
      <c r="F17" s="214"/>
      <c r="G17" s="215"/>
      <c r="H17" s="234"/>
      <c r="I17" s="234"/>
      <c r="J17" s="233" t="str">
        <f t="shared" si="10"/>
        <v/>
      </c>
      <c r="K17" s="145"/>
      <c r="L17" s="145"/>
      <c r="M17" s="59">
        <f t="shared" si="11"/>
        <v>0</v>
      </c>
      <c r="N17" s="145"/>
      <c r="O17" s="145"/>
      <c r="P17" s="59">
        <f t="shared" si="12"/>
        <v>0</v>
      </c>
      <c r="Q17" s="60"/>
      <c r="R17" s="217"/>
      <c r="T17" s="333"/>
      <c r="U17" s="195">
        <f t="shared" si="13"/>
        <v>0</v>
      </c>
      <c r="V17" s="195">
        <f t="shared" si="14"/>
        <v>0</v>
      </c>
      <c r="W17" s="327" t="str">
        <f t="shared" si="7"/>
        <v>ok</v>
      </c>
      <c r="Y17" s="338">
        <f t="shared" si="8"/>
        <v>0</v>
      </c>
      <c r="Z17" s="195">
        <f t="shared" si="15"/>
        <v>0</v>
      </c>
      <c r="AA17" s="195">
        <f t="shared" si="16"/>
        <v>0</v>
      </c>
      <c r="AB17" s="327"/>
      <c r="AD17" s="345" t="str">
        <f>IF(AF17="","",IF($T17="도비","세입없음",$AF17&amp;"-"&amp;TEXT(COUNTIF(AF$7:AF17,AF$7:AF17),"00")))</f>
        <v/>
      </c>
      <c r="AF17" s="347"/>
    </row>
    <row r="18" spans="1:32" ht="39.950000000000003" customHeight="1">
      <c r="A18" s="325"/>
      <c r="B18" s="213"/>
      <c r="C18" s="215"/>
      <c r="D18" s="214"/>
      <c r="E18" s="214"/>
      <c r="F18" s="214"/>
      <c r="G18" s="215"/>
      <c r="H18" s="234"/>
      <c r="I18" s="234"/>
      <c r="J18" s="233" t="str">
        <f t="shared" si="10"/>
        <v/>
      </c>
      <c r="K18" s="145"/>
      <c r="L18" s="145"/>
      <c r="M18" s="59">
        <f t="shared" si="11"/>
        <v>0</v>
      </c>
      <c r="N18" s="145"/>
      <c r="O18" s="145"/>
      <c r="P18" s="59">
        <f t="shared" si="12"/>
        <v>0</v>
      </c>
      <c r="Q18" s="60"/>
      <c r="R18" s="217"/>
      <c r="T18" s="333"/>
      <c r="U18" s="195">
        <f t="shared" si="13"/>
        <v>0</v>
      </c>
      <c r="V18" s="195">
        <f t="shared" si="14"/>
        <v>0</v>
      </c>
      <c r="W18" s="327" t="str">
        <f t="shared" si="7"/>
        <v>ok</v>
      </c>
      <c r="Y18" s="338">
        <f t="shared" si="8"/>
        <v>0</v>
      </c>
      <c r="Z18" s="195">
        <f t="shared" si="15"/>
        <v>0</v>
      </c>
      <c r="AA18" s="195">
        <f t="shared" si="16"/>
        <v>0</v>
      </c>
      <c r="AB18" s="327"/>
      <c r="AD18" s="345" t="str">
        <f>IF(AF18="","",IF($T18="도비","세입없음",$AF18&amp;"-"&amp;TEXT(COUNTIF(AF$7:AF18,AF$7:AF18),"00")))</f>
        <v/>
      </c>
      <c r="AF18" s="347"/>
    </row>
    <row r="19" spans="1:32" ht="39.950000000000003" customHeight="1">
      <c r="A19" s="326" t="s">
        <v>637</v>
      </c>
      <c r="B19" s="307"/>
      <c r="C19" s="312"/>
      <c r="D19" s="307"/>
      <c r="E19" s="307"/>
      <c r="F19" s="312"/>
      <c r="G19" s="307"/>
      <c r="H19" s="304">
        <f t="shared" ref="H19:P19" si="26">SUM(H20:H21)</f>
        <v>0</v>
      </c>
      <c r="I19" s="308">
        <f t="shared" si="26"/>
        <v>0</v>
      </c>
      <c r="J19" s="308">
        <f t="shared" si="26"/>
        <v>0</v>
      </c>
      <c r="K19" s="308">
        <f t="shared" si="26"/>
        <v>0</v>
      </c>
      <c r="L19" s="308">
        <f t="shared" si="26"/>
        <v>0</v>
      </c>
      <c r="M19" s="308">
        <f t="shared" si="26"/>
        <v>0</v>
      </c>
      <c r="N19" s="308">
        <f t="shared" si="26"/>
        <v>0</v>
      </c>
      <c r="O19" s="308">
        <f t="shared" si="26"/>
        <v>0</v>
      </c>
      <c r="P19" s="308">
        <f t="shared" si="26"/>
        <v>0</v>
      </c>
      <c r="Q19" s="309"/>
      <c r="R19" s="310"/>
      <c r="T19" s="333"/>
      <c r="U19" s="308">
        <f t="shared" ref="U19:V19" si="27">SUM(U20:U21)</f>
        <v>0</v>
      </c>
      <c r="V19" s="308">
        <f t="shared" si="27"/>
        <v>0</v>
      </c>
      <c r="W19" s="327" t="str">
        <f t="shared" si="7"/>
        <v>ok</v>
      </c>
      <c r="Y19" s="338">
        <f t="shared" si="8"/>
        <v>0</v>
      </c>
      <c r="Z19" s="308">
        <f t="shared" ref="Z19:AA19" si="28">SUM(Z20:Z21)</f>
        <v>0</v>
      </c>
      <c r="AA19" s="308">
        <f t="shared" si="28"/>
        <v>0</v>
      </c>
      <c r="AB19" s="327"/>
      <c r="AD19" s="345" t="str">
        <f>IF(AF19="","",IF($T19="도비","세입없음",$AF19&amp;"-"&amp;TEXT(COUNTIF(AF$7:AF19,AF$7:AF19),"00")))</f>
        <v/>
      </c>
      <c r="AF19" s="347"/>
    </row>
    <row r="20" spans="1:32" ht="39.950000000000003" customHeight="1">
      <c r="A20" s="325"/>
      <c r="B20" s="213"/>
      <c r="C20" s="215"/>
      <c r="D20" s="214"/>
      <c r="E20" s="214"/>
      <c r="F20" s="214"/>
      <c r="G20" s="215"/>
      <c r="H20" s="234"/>
      <c r="I20" s="234"/>
      <c r="J20" s="233" t="str">
        <f t="shared" si="10"/>
        <v/>
      </c>
      <c r="K20" s="145"/>
      <c r="L20" s="145"/>
      <c r="M20" s="59">
        <f t="shared" si="11"/>
        <v>0</v>
      </c>
      <c r="N20" s="145"/>
      <c r="O20" s="145"/>
      <c r="P20" s="59">
        <f t="shared" si="12"/>
        <v>0</v>
      </c>
      <c r="Q20" s="60"/>
      <c r="R20" s="217"/>
      <c r="T20" s="333"/>
      <c r="U20" s="195">
        <f t="shared" si="13"/>
        <v>0</v>
      </c>
      <c r="V20" s="195">
        <f t="shared" si="14"/>
        <v>0</v>
      </c>
      <c r="W20" s="327" t="str">
        <f t="shared" si="7"/>
        <v>ok</v>
      </c>
      <c r="Y20" s="338">
        <f t="shared" si="8"/>
        <v>0</v>
      </c>
      <c r="Z20" s="195">
        <f t="shared" si="15"/>
        <v>0</v>
      </c>
      <c r="AA20" s="195">
        <f t="shared" si="16"/>
        <v>0</v>
      </c>
      <c r="AB20" s="327"/>
      <c r="AD20" s="345" t="str">
        <f>IF(AF20="","",IF($T20="도비","세입없음",$AF20&amp;"-"&amp;TEXT(COUNTIF(AF$7:AF20,AF$7:AF20),"00")))</f>
        <v/>
      </c>
      <c r="AF20" s="347"/>
    </row>
    <row r="21" spans="1:32" ht="39.950000000000003" customHeight="1">
      <c r="A21" s="325"/>
      <c r="B21" s="213"/>
      <c r="C21" s="215"/>
      <c r="D21" s="214"/>
      <c r="E21" s="214"/>
      <c r="F21" s="214"/>
      <c r="G21" s="215"/>
      <c r="H21" s="234"/>
      <c r="I21" s="234"/>
      <c r="J21" s="233" t="str">
        <f t="shared" si="10"/>
        <v/>
      </c>
      <c r="K21" s="145"/>
      <c r="L21" s="145"/>
      <c r="M21" s="59">
        <f t="shared" si="11"/>
        <v>0</v>
      </c>
      <c r="N21" s="145"/>
      <c r="O21" s="145"/>
      <c r="P21" s="59">
        <f t="shared" si="12"/>
        <v>0</v>
      </c>
      <c r="Q21" s="60"/>
      <c r="R21" s="217"/>
      <c r="T21" s="333"/>
      <c r="U21" s="195">
        <f t="shared" si="13"/>
        <v>0</v>
      </c>
      <c r="V21" s="195">
        <f t="shared" si="14"/>
        <v>0</v>
      </c>
      <c r="W21" s="327" t="str">
        <f t="shared" si="7"/>
        <v>ok</v>
      </c>
      <c r="Y21" s="338">
        <f t="shared" si="8"/>
        <v>0</v>
      </c>
      <c r="Z21" s="195">
        <f t="shared" si="15"/>
        <v>0</v>
      </c>
      <c r="AA21" s="195">
        <f t="shared" si="16"/>
        <v>0</v>
      </c>
      <c r="AB21" s="327"/>
      <c r="AD21" s="345" t="str">
        <f>IF(AF21="","",IF($T21="도비","세입없음",$AF21&amp;"-"&amp;TEXT(COUNTIF(AF$7:AF21,AF$7:AF21),"00")))</f>
        <v/>
      </c>
      <c r="AF21" s="347"/>
    </row>
    <row r="22" spans="1:32" ht="39.950000000000003" customHeight="1">
      <c r="A22" s="326" t="s">
        <v>638</v>
      </c>
      <c r="B22" s="307"/>
      <c r="C22" s="312"/>
      <c r="D22" s="307"/>
      <c r="E22" s="307"/>
      <c r="F22" s="312"/>
      <c r="G22" s="307"/>
      <c r="H22" s="304">
        <f t="shared" ref="H22:P22" si="29">SUM(H23:H24)</f>
        <v>0</v>
      </c>
      <c r="I22" s="308">
        <f t="shared" si="29"/>
        <v>0</v>
      </c>
      <c r="J22" s="308">
        <f t="shared" si="29"/>
        <v>0</v>
      </c>
      <c r="K22" s="308">
        <f t="shared" si="29"/>
        <v>0</v>
      </c>
      <c r="L22" s="308">
        <f t="shared" si="29"/>
        <v>0</v>
      </c>
      <c r="M22" s="308">
        <f t="shared" si="29"/>
        <v>0</v>
      </c>
      <c r="N22" s="308">
        <f t="shared" si="29"/>
        <v>0</v>
      </c>
      <c r="O22" s="308">
        <f t="shared" si="29"/>
        <v>0</v>
      </c>
      <c r="P22" s="308">
        <f t="shared" si="29"/>
        <v>0</v>
      </c>
      <c r="Q22" s="309"/>
      <c r="R22" s="310"/>
      <c r="T22" s="333"/>
      <c r="U22" s="308">
        <f t="shared" ref="U22:V22" si="30">SUM(U23:U24)</f>
        <v>0</v>
      </c>
      <c r="V22" s="308">
        <f t="shared" si="30"/>
        <v>0</v>
      </c>
      <c r="W22" s="327" t="str">
        <f t="shared" si="7"/>
        <v>ok</v>
      </c>
      <c r="Y22" s="338">
        <f t="shared" si="8"/>
        <v>0</v>
      </c>
      <c r="Z22" s="308">
        <f t="shared" ref="Z22:AA22" si="31">SUM(Z23:Z24)</f>
        <v>0</v>
      </c>
      <c r="AA22" s="308">
        <f t="shared" si="31"/>
        <v>0</v>
      </c>
      <c r="AB22" s="327"/>
      <c r="AD22" s="345" t="str">
        <f>IF(AF22="","",IF($T22="도비","세입없음",$AF22&amp;"-"&amp;TEXT(COUNTIF(AF$7:AF22,AF$7:AF22),"00")))</f>
        <v/>
      </c>
      <c r="AF22" s="347"/>
    </row>
    <row r="23" spans="1:32" ht="39.950000000000003" customHeight="1">
      <c r="A23" s="325"/>
      <c r="B23" s="213"/>
      <c r="C23" s="215"/>
      <c r="D23" s="214"/>
      <c r="E23" s="214"/>
      <c r="F23" s="214"/>
      <c r="G23" s="215"/>
      <c r="H23" s="234"/>
      <c r="I23" s="234"/>
      <c r="J23" s="233" t="str">
        <f t="shared" si="10"/>
        <v/>
      </c>
      <c r="K23" s="145"/>
      <c r="L23" s="145"/>
      <c r="M23" s="59">
        <f t="shared" si="11"/>
        <v>0</v>
      </c>
      <c r="N23" s="145"/>
      <c r="O23" s="145"/>
      <c r="P23" s="59">
        <f t="shared" si="12"/>
        <v>0</v>
      </c>
      <c r="Q23" s="60"/>
      <c r="R23" s="217"/>
      <c r="T23" s="333"/>
      <c r="U23" s="195">
        <f t="shared" si="13"/>
        <v>0</v>
      </c>
      <c r="V23" s="195">
        <f t="shared" si="14"/>
        <v>0</v>
      </c>
      <c r="W23" s="327" t="str">
        <f t="shared" si="7"/>
        <v>ok</v>
      </c>
      <c r="Y23" s="338">
        <f t="shared" si="8"/>
        <v>0</v>
      </c>
      <c r="Z23" s="195">
        <f t="shared" si="15"/>
        <v>0</v>
      </c>
      <c r="AA23" s="195">
        <f t="shared" si="16"/>
        <v>0</v>
      </c>
      <c r="AB23" s="327"/>
      <c r="AD23" s="345" t="str">
        <f>IF(AF23="","",IF($T23="도비","세입없음",$AF23&amp;"-"&amp;TEXT(COUNTIF(AF$7:AF23,AF$7:AF23),"00")))</f>
        <v/>
      </c>
      <c r="AF23" s="347"/>
    </row>
    <row r="24" spans="1:32" ht="39.950000000000003" customHeight="1">
      <c r="A24" s="325"/>
      <c r="B24" s="213"/>
      <c r="C24" s="215"/>
      <c r="D24" s="214"/>
      <c r="E24" s="214"/>
      <c r="F24" s="214"/>
      <c r="G24" s="215"/>
      <c r="H24" s="234"/>
      <c r="I24" s="234"/>
      <c r="J24" s="233" t="str">
        <f t="shared" si="10"/>
        <v/>
      </c>
      <c r="K24" s="145"/>
      <c r="L24" s="145"/>
      <c r="M24" s="59">
        <f t="shared" si="11"/>
        <v>0</v>
      </c>
      <c r="N24" s="145"/>
      <c r="O24" s="145"/>
      <c r="P24" s="59">
        <f t="shared" si="12"/>
        <v>0</v>
      </c>
      <c r="Q24" s="60"/>
      <c r="R24" s="217"/>
      <c r="T24" s="333"/>
      <c r="U24" s="195">
        <f t="shared" si="13"/>
        <v>0</v>
      </c>
      <c r="V24" s="195">
        <f t="shared" si="14"/>
        <v>0</v>
      </c>
      <c r="W24" s="327" t="str">
        <f t="shared" si="7"/>
        <v>ok</v>
      </c>
      <c r="Y24" s="338">
        <f t="shared" si="8"/>
        <v>0</v>
      </c>
      <c r="Z24" s="195">
        <f t="shared" si="15"/>
        <v>0</v>
      </c>
      <c r="AA24" s="195">
        <f t="shared" si="16"/>
        <v>0</v>
      </c>
      <c r="AB24" s="327"/>
      <c r="AD24" s="345" t="str">
        <f>IF(AF24="","",IF($T24="도비","세입없음",$AF24&amp;"-"&amp;TEXT(COUNTIF(AF$7:AF24,AF$7:AF24),"00")))</f>
        <v/>
      </c>
      <c r="AF24" s="347"/>
    </row>
    <row r="25" spans="1:32" ht="39.950000000000003" customHeight="1">
      <c r="A25" s="326" t="s">
        <v>639</v>
      </c>
      <c r="B25" s="307"/>
      <c r="C25" s="312"/>
      <c r="D25" s="307"/>
      <c r="E25" s="307"/>
      <c r="F25" s="312"/>
      <c r="G25" s="307"/>
      <c r="H25" s="304">
        <f t="shared" ref="H25:P25" si="32">SUM(H26:H27)</f>
        <v>0</v>
      </c>
      <c r="I25" s="308">
        <f t="shared" si="32"/>
        <v>0</v>
      </c>
      <c r="J25" s="308">
        <f t="shared" si="32"/>
        <v>0</v>
      </c>
      <c r="K25" s="308">
        <f t="shared" si="32"/>
        <v>0</v>
      </c>
      <c r="L25" s="308">
        <f t="shared" si="32"/>
        <v>0</v>
      </c>
      <c r="M25" s="308">
        <f t="shared" si="32"/>
        <v>0</v>
      </c>
      <c r="N25" s="308">
        <f t="shared" si="32"/>
        <v>0</v>
      </c>
      <c r="O25" s="308">
        <f t="shared" si="32"/>
        <v>0</v>
      </c>
      <c r="P25" s="308">
        <f t="shared" si="32"/>
        <v>0</v>
      </c>
      <c r="Q25" s="309"/>
      <c r="R25" s="310"/>
      <c r="T25" s="333"/>
      <c r="U25" s="308">
        <f t="shared" ref="U25:V25" si="33">SUM(U26:U27)</f>
        <v>0</v>
      </c>
      <c r="V25" s="308">
        <f t="shared" si="33"/>
        <v>0</v>
      </c>
      <c r="W25" s="327" t="str">
        <f t="shared" si="7"/>
        <v>ok</v>
      </c>
      <c r="Y25" s="338">
        <f t="shared" si="8"/>
        <v>0</v>
      </c>
      <c r="Z25" s="308">
        <f t="shared" ref="Z25:AA25" si="34">SUM(Z26:Z27)</f>
        <v>0</v>
      </c>
      <c r="AA25" s="308">
        <f t="shared" si="34"/>
        <v>0</v>
      </c>
      <c r="AB25" s="327"/>
      <c r="AD25" s="345" t="str">
        <f>IF(AF25="","",IF($T25="도비","세입없음",$AF25&amp;"-"&amp;TEXT(COUNTIF(AF$7:AF25,AF$7:AF25),"00")))</f>
        <v/>
      </c>
      <c r="AF25" s="347"/>
    </row>
    <row r="26" spans="1:32" ht="39.950000000000003" customHeight="1">
      <c r="A26" s="325"/>
      <c r="B26" s="213"/>
      <c r="C26" s="215"/>
      <c r="D26" s="214"/>
      <c r="E26" s="214"/>
      <c r="F26" s="214"/>
      <c r="G26" s="215"/>
      <c r="H26" s="234"/>
      <c r="I26" s="234"/>
      <c r="J26" s="233" t="str">
        <f t="shared" si="10"/>
        <v/>
      </c>
      <c r="K26" s="145"/>
      <c r="L26" s="145"/>
      <c r="M26" s="59">
        <f t="shared" si="11"/>
        <v>0</v>
      </c>
      <c r="N26" s="145"/>
      <c r="O26" s="145"/>
      <c r="P26" s="59">
        <f t="shared" si="12"/>
        <v>0</v>
      </c>
      <c r="Q26" s="60"/>
      <c r="R26" s="217"/>
      <c r="T26" s="333"/>
      <c r="U26" s="195">
        <f t="shared" si="13"/>
        <v>0</v>
      </c>
      <c r="V26" s="195">
        <f t="shared" si="14"/>
        <v>0</v>
      </c>
      <c r="W26" s="327" t="str">
        <f t="shared" si="7"/>
        <v>ok</v>
      </c>
      <c r="Y26" s="338">
        <f t="shared" si="8"/>
        <v>0</v>
      </c>
      <c r="Z26" s="195">
        <f t="shared" si="15"/>
        <v>0</v>
      </c>
      <c r="AA26" s="195">
        <f t="shared" si="16"/>
        <v>0</v>
      </c>
      <c r="AB26" s="327"/>
      <c r="AD26" s="345" t="str">
        <f>IF(AF26="","",IF($T26="도비","세입없음",$AF26&amp;"-"&amp;TEXT(COUNTIF(AF$7:AF26,AF$7:AF26),"00")))</f>
        <v/>
      </c>
      <c r="AF26" s="347"/>
    </row>
    <row r="27" spans="1:32" ht="39.950000000000003" customHeight="1">
      <c r="A27" s="325"/>
      <c r="B27" s="213"/>
      <c r="C27" s="215"/>
      <c r="D27" s="214"/>
      <c r="E27" s="214"/>
      <c r="F27" s="214"/>
      <c r="G27" s="215"/>
      <c r="H27" s="234"/>
      <c r="I27" s="234"/>
      <c r="J27" s="233" t="str">
        <f t="shared" si="10"/>
        <v/>
      </c>
      <c r="K27" s="145"/>
      <c r="L27" s="145"/>
      <c r="M27" s="59">
        <f t="shared" si="11"/>
        <v>0</v>
      </c>
      <c r="N27" s="145"/>
      <c r="O27" s="145"/>
      <c r="P27" s="59">
        <f t="shared" si="12"/>
        <v>0</v>
      </c>
      <c r="Q27" s="60"/>
      <c r="R27" s="217"/>
      <c r="T27" s="333"/>
      <c r="U27" s="195">
        <f t="shared" si="13"/>
        <v>0</v>
      </c>
      <c r="V27" s="195">
        <f t="shared" si="14"/>
        <v>0</v>
      </c>
      <c r="W27" s="327" t="str">
        <f t="shared" si="7"/>
        <v>ok</v>
      </c>
      <c r="Y27" s="338">
        <f t="shared" si="8"/>
        <v>0</v>
      </c>
      <c r="Z27" s="195">
        <f t="shared" si="15"/>
        <v>0</v>
      </c>
      <c r="AA27" s="195">
        <f t="shared" si="16"/>
        <v>0</v>
      </c>
      <c r="AB27" s="327"/>
      <c r="AD27" s="345" t="str">
        <f>IF(AF27="","",IF($T27="도비","세입없음",$AF27&amp;"-"&amp;TEXT(COUNTIF(AF$7:AF27,AF$7:AF27),"00")))</f>
        <v/>
      </c>
      <c r="AF27" s="347"/>
    </row>
    <row r="28" spans="1:32" ht="39.950000000000003" customHeight="1">
      <c r="A28" s="326" t="s">
        <v>640</v>
      </c>
      <c r="B28" s="307"/>
      <c r="C28" s="312"/>
      <c r="D28" s="307"/>
      <c r="E28" s="307"/>
      <c r="F28" s="312"/>
      <c r="G28" s="307"/>
      <c r="H28" s="304">
        <f t="shared" ref="H28:P28" si="35">SUM(H29:H30)</f>
        <v>0</v>
      </c>
      <c r="I28" s="308">
        <f t="shared" si="35"/>
        <v>0</v>
      </c>
      <c r="J28" s="308">
        <f t="shared" si="35"/>
        <v>0</v>
      </c>
      <c r="K28" s="308">
        <f t="shared" si="35"/>
        <v>0</v>
      </c>
      <c r="L28" s="308">
        <f t="shared" si="35"/>
        <v>0</v>
      </c>
      <c r="M28" s="308">
        <f t="shared" si="35"/>
        <v>0</v>
      </c>
      <c r="N28" s="308">
        <f t="shared" si="35"/>
        <v>0</v>
      </c>
      <c r="O28" s="308">
        <f t="shared" si="35"/>
        <v>0</v>
      </c>
      <c r="P28" s="308">
        <f t="shared" si="35"/>
        <v>0</v>
      </c>
      <c r="Q28" s="309"/>
      <c r="R28" s="310"/>
      <c r="T28" s="333"/>
      <c r="U28" s="308">
        <f t="shared" ref="U28:V28" si="36">SUM(U29:U30)</f>
        <v>0</v>
      </c>
      <c r="V28" s="308">
        <f t="shared" si="36"/>
        <v>0</v>
      </c>
      <c r="W28" s="327" t="str">
        <f t="shared" si="7"/>
        <v>ok</v>
      </c>
      <c r="Y28" s="338">
        <f t="shared" si="8"/>
        <v>0</v>
      </c>
      <c r="Z28" s="308">
        <f t="shared" ref="Z28:AA28" si="37">SUM(Z29:Z30)</f>
        <v>0</v>
      </c>
      <c r="AA28" s="308">
        <f t="shared" si="37"/>
        <v>0</v>
      </c>
      <c r="AB28" s="327"/>
      <c r="AD28" s="345" t="str">
        <f>IF(AF28="","",IF($T28="도비","세입없음",$AF28&amp;"-"&amp;TEXT(COUNTIF(AF$7:AF28,AF$7:AF28),"00")))</f>
        <v/>
      </c>
      <c r="AF28" s="347"/>
    </row>
    <row r="29" spans="1:32" ht="39.950000000000003" customHeight="1">
      <c r="A29" s="325"/>
      <c r="B29" s="213"/>
      <c r="C29" s="215"/>
      <c r="D29" s="214"/>
      <c r="E29" s="214"/>
      <c r="F29" s="214"/>
      <c r="G29" s="215"/>
      <c r="H29" s="234"/>
      <c r="I29" s="234"/>
      <c r="J29" s="233" t="str">
        <f t="shared" si="10"/>
        <v/>
      </c>
      <c r="K29" s="145"/>
      <c r="L29" s="145"/>
      <c r="M29" s="59">
        <f t="shared" si="11"/>
        <v>0</v>
      </c>
      <c r="N29" s="145"/>
      <c r="O29" s="145"/>
      <c r="P29" s="59">
        <f t="shared" si="12"/>
        <v>0</v>
      </c>
      <c r="Q29" s="60"/>
      <c r="R29" s="217"/>
      <c r="T29" s="333"/>
      <c r="U29" s="195">
        <f t="shared" si="13"/>
        <v>0</v>
      </c>
      <c r="V29" s="195">
        <f t="shared" si="14"/>
        <v>0</v>
      </c>
      <c r="W29" s="327" t="str">
        <f t="shared" si="7"/>
        <v>ok</v>
      </c>
      <c r="Y29" s="338">
        <f t="shared" si="8"/>
        <v>0</v>
      </c>
      <c r="Z29" s="195">
        <f t="shared" si="15"/>
        <v>0</v>
      </c>
      <c r="AA29" s="195">
        <f t="shared" si="16"/>
        <v>0</v>
      </c>
      <c r="AB29" s="327"/>
      <c r="AD29" s="345" t="str">
        <f>IF(AF29="","",IF($T29="도비","세입없음",$AF29&amp;"-"&amp;TEXT(COUNTIF(AF$7:AF29,AF$7:AF29),"00")))</f>
        <v/>
      </c>
      <c r="AF29" s="347"/>
    </row>
    <row r="30" spans="1:32" ht="39.950000000000003" customHeight="1">
      <c r="A30" s="325"/>
      <c r="B30" s="213"/>
      <c r="C30" s="215"/>
      <c r="D30" s="214"/>
      <c r="E30" s="214"/>
      <c r="F30" s="214"/>
      <c r="G30" s="215"/>
      <c r="H30" s="234"/>
      <c r="I30" s="234"/>
      <c r="J30" s="233" t="str">
        <f t="shared" si="10"/>
        <v/>
      </c>
      <c r="K30" s="145"/>
      <c r="L30" s="145"/>
      <c r="M30" s="59">
        <f t="shared" si="11"/>
        <v>0</v>
      </c>
      <c r="N30" s="145"/>
      <c r="O30" s="145"/>
      <c r="P30" s="59">
        <f t="shared" si="12"/>
        <v>0</v>
      </c>
      <c r="Q30" s="60"/>
      <c r="R30" s="217"/>
      <c r="T30" s="333"/>
      <c r="U30" s="195">
        <f t="shared" si="13"/>
        <v>0</v>
      </c>
      <c r="V30" s="195">
        <f t="shared" si="14"/>
        <v>0</v>
      </c>
      <c r="W30" s="327" t="str">
        <f t="shared" si="7"/>
        <v>ok</v>
      </c>
      <c r="Y30" s="338">
        <f t="shared" si="8"/>
        <v>0</v>
      </c>
      <c r="Z30" s="195">
        <f t="shared" si="15"/>
        <v>0</v>
      </c>
      <c r="AA30" s="195">
        <f t="shared" si="16"/>
        <v>0</v>
      </c>
      <c r="AB30" s="327"/>
      <c r="AD30" s="345" t="str">
        <f>IF(AF30="","",IF($T30="도비","세입없음",$AF30&amp;"-"&amp;TEXT(COUNTIF(AF$7:AF30,AF$7:AF30),"00")))</f>
        <v/>
      </c>
      <c r="AF30" s="347"/>
    </row>
    <row r="31" spans="1:32" ht="39.950000000000003" customHeight="1">
      <c r="A31" s="326" t="s">
        <v>633</v>
      </c>
      <c r="B31" s="307"/>
      <c r="C31" s="312"/>
      <c r="D31" s="307"/>
      <c r="E31" s="307"/>
      <c r="F31" s="312"/>
      <c r="G31" s="307"/>
      <c r="H31" s="308">
        <f t="shared" ref="H31:P31" si="38">SUM(H32:H33)</f>
        <v>0</v>
      </c>
      <c r="I31" s="308">
        <f t="shared" si="38"/>
        <v>0</v>
      </c>
      <c r="J31" s="308">
        <f t="shared" si="38"/>
        <v>0</v>
      </c>
      <c r="K31" s="308">
        <f t="shared" si="38"/>
        <v>0</v>
      </c>
      <c r="L31" s="308">
        <f t="shared" si="38"/>
        <v>0</v>
      </c>
      <c r="M31" s="308">
        <f t="shared" si="38"/>
        <v>0</v>
      </c>
      <c r="N31" s="308">
        <f t="shared" si="38"/>
        <v>0</v>
      </c>
      <c r="O31" s="308">
        <f t="shared" si="38"/>
        <v>0</v>
      </c>
      <c r="P31" s="308">
        <f t="shared" si="38"/>
        <v>0</v>
      </c>
      <c r="Q31" s="309"/>
      <c r="R31" s="310"/>
      <c r="T31" s="333"/>
      <c r="U31" s="308">
        <f t="shared" ref="U31:V31" si="39">SUM(U32:U33)</f>
        <v>0</v>
      </c>
      <c r="V31" s="308">
        <f t="shared" si="39"/>
        <v>0</v>
      </c>
      <c r="W31" s="327" t="str">
        <f t="shared" si="7"/>
        <v>ok</v>
      </c>
      <c r="Y31" s="338">
        <f t="shared" si="8"/>
        <v>0</v>
      </c>
      <c r="Z31" s="308">
        <f t="shared" ref="Z31:AA31" si="40">SUM(Z32:Z33)</f>
        <v>0</v>
      </c>
      <c r="AA31" s="308">
        <f t="shared" si="40"/>
        <v>0</v>
      </c>
      <c r="AB31" s="327"/>
      <c r="AD31" s="345" t="str">
        <f>IF(AF31="","",IF($T31="도비","세입없음",$AF31&amp;"-"&amp;TEXT(COUNTIF(AF$7:AF31,AF$7:AF31),"00")))</f>
        <v/>
      </c>
      <c r="AF31" s="347"/>
    </row>
    <row r="32" spans="1:32" ht="39.950000000000003" customHeight="1">
      <c r="A32" s="325"/>
      <c r="B32" s="213"/>
      <c r="C32" s="215"/>
      <c r="D32" s="214"/>
      <c r="E32" s="214"/>
      <c r="F32" s="214"/>
      <c r="G32" s="215"/>
      <c r="H32" s="233"/>
      <c r="I32" s="233"/>
      <c r="J32" s="233" t="str">
        <f t="shared" si="10"/>
        <v/>
      </c>
      <c r="K32" s="145"/>
      <c r="L32" s="145"/>
      <c r="M32" s="59">
        <f t="shared" si="11"/>
        <v>0</v>
      </c>
      <c r="N32" s="145"/>
      <c r="O32" s="145"/>
      <c r="P32" s="59">
        <f t="shared" si="12"/>
        <v>0</v>
      </c>
      <c r="Q32" s="60"/>
      <c r="R32" s="313"/>
      <c r="T32" s="333"/>
      <c r="U32" s="195">
        <f t="shared" si="13"/>
        <v>0</v>
      </c>
      <c r="V32" s="195">
        <f t="shared" si="14"/>
        <v>0</v>
      </c>
      <c r="W32" s="327" t="str">
        <f t="shared" si="7"/>
        <v>ok</v>
      </c>
      <c r="Y32" s="338">
        <f t="shared" si="8"/>
        <v>0</v>
      </c>
      <c r="Z32" s="195">
        <f t="shared" si="15"/>
        <v>0</v>
      </c>
      <c r="AA32" s="195">
        <f t="shared" si="16"/>
        <v>0</v>
      </c>
      <c r="AB32" s="327"/>
      <c r="AD32" s="345" t="str">
        <f>IF(AF32="","",IF($T32="도비","세입없음",$AF32&amp;"-"&amp;TEXT(COUNTIF(AF$7:AF32,AF$7:AF32),"00")))</f>
        <v/>
      </c>
      <c r="AF32" s="347"/>
    </row>
    <row r="33" spans="1:32" ht="39.950000000000003" customHeight="1">
      <c r="A33" s="325"/>
      <c r="B33" s="213"/>
      <c r="C33" s="215"/>
      <c r="D33" s="214"/>
      <c r="E33" s="214"/>
      <c r="F33" s="214"/>
      <c r="G33" s="215"/>
      <c r="H33" s="233"/>
      <c r="I33" s="233"/>
      <c r="J33" s="233" t="str">
        <f t="shared" si="10"/>
        <v/>
      </c>
      <c r="K33" s="145"/>
      <c r="L33" s="145"/>
      <c r="M33" s="59">
        <f t="shared" si="11"/>
        <v>0</v>
      </c>
      <c r="N33" s="145"/>
      <c r="O33" s="145"/>
      <c r="P33" s="59">
        <f t="shared" si="12"/>
        <v>0</v>
      </c>
      <c r="Q33" s="60"/>
      <c r="R33" s="217"/>
      <c r="T33" s="334"/>
      <c r="U33" s="335">
        <f t="shared" si="13"/>
        <v>0</v>
      </c>
      <c r="V33" s="335">
        <f t="shared" si="14"/>
        <v>0</v>
      </c>
      <c r="W33" s="328" t="str">
        <f t="shared" si="7"/>
        <v>ok</v>
      </c>
      <c r="Y33" s="339">
        <f t="shared" si="8"/>
        <v>0</v>
      </c>
      <c r="Z33" s="335">
        <f t="shared" si="15"/>
        <v>0</v>
      </c>
      <c r="AA33" s="335">
        <f t="shared" si="16"/>
        <v>0</v>
      </c>
      <c r="AB33" s="328"/>
      <c r="AD33" s="346" t="str">
        <f>IF(AF33="","",IF($T33="도비","세입없음",$AF33&amp;"-"&amp;TEXT(COUNTIF(AF$7:AF33,AF$7:AF33),"00")))</f>
        <v/>
      </c>
      <c r="AF33" s="348"/>
    </row>
    <row r="34" spans="1:32">
      <c r="A34" s="350"/>
    </row>
    <row r="35" spans="1:32">
      <c r="A35" s="350"/>
    </row>
  </sheetData>
  <sheetProtection formatCells="0" formatColumns="0" formatRow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9 AH7:AH9 AN7:AP9 AN11:AP12 AH11:AH12 AJ11:AL12 AJ14:AL15 AH14:AH15 AN14:AP15 AN17:AP18 AH17:AH18 AJ17:AL18 AJ20:AL21 AH20:AH21 AN20:AP21 AN23:AP24 AH23:AH24 AJ23:AL24 AJ26:AL27 AH26:AH27 AN26:AP27 AN29:AP580 AH29:AH580 AJ29:AL580 AD7:AD580">
    <cfRule type="containsText" dxfId="40" priority="201" operator="containsText" text="국도비">
      <formula>NOT(ISERROR(SEARCH("국도비",AD7)))</formula>
    </cfRule>
  </conditionalFormatting>
  <conditionalFormatting sqref="H8:J9 H11:J12 H14:J15 H17:J18 H20:J21 H23:J24 H26:J27 H29:J30 H32:J580">
    <cfRule type="expression" dxfId="39" priority="200">
      <formula>($D8="본예산")</formula>
    </cfRule>
  </conditionalFormatting>
  <conditionalFormatting sqref="Z8:AB9 S8:V9 S11:V12 Z11:AB12 Z14:AB15 S14:V15 S17:V18 Z17:AB18 Z20:AB21 S20:V21 S23:V24 Z23:AB24 Z26:AB27 S26:V27 S29:V30 Z29:AB30 S7:T7 AB7 S32:V580 S31:T31 Z32:AB580 AB31">
    <cfRule type="containsText" dxfId="38" priority="199" operator="containsText" text="직접입력">
      <formula>NOT(ISERROR(SEARCH("직접입력",S7)))</formula>
    </cfRule>
  </conditionalFormatting>
  <conditionalFormatting sqref="AJ10:AL10 AH10 AN10:AP10">
    <cfRule type="containsText" dxfId="37" priority="14" operator="containsText" text="국도비">
      <formula>NOT(ISERROR(SEARCH("국도비",AH10)))</formula>
    </cfRule>
  </conditionalFormatting>
  <conditionalFormatting sqref="AB10 S10:T10">
    <cfRule type="containsText" dxfId="36" priority="13" operator="containsText" text="직접입력">
      <formula>NOT(ISERROR(SEARCH("직접입력",S10)))</formula>
    </cfRule>
  </conditionalFormatting>
  <conditionalFormatting sqref="AJ13:AL13 AH13 AN13:AP13">
    <cfRule type="containsText" dxfId="35" priority="12" operator="containsText" text="국도비">
      <formula>NOT(ISERROR(SEARCH("국도비",AH13)))</formula>
    </cfRule>
  </conditionalFormatting>
  <conditionalFormatting sqref="AB13 S13:T13">
    <cfRule type="containsText" dxfId="34" priority="11" operator="containsText" text="직접입력">
      <formula>NOT(ISERROR(SEARCH("직접입력",S13)))</formula>
    </cfRule>
  </conditionalFormatting>
  <conditionalFormatting sqref="AJ16:AL16 AH16 AN16:AP16">
    <cfRule type="containsText" dxfId="33" priority="10" operator="containsText" text="국도비">
      <formula>NOT(ISERROR(SEARCH("국도비",AH16)))</formula>
    </cfRule>
  </conditionalFormatting>
  <conditionalFormatting sqref="AB16 S16:T16">
    <cfRule type="containsText" dxfId="32" priority="9" operator="containsText" text="직접입력">
      <formula>NOT(ISERROR(SEARCH("직접입력",S16)))</formula>
    </cfRule>
  </conditionalFormatting>
  <conditionalFormatting sqref="AJ19:AL19 AH19 AN19:AP19">
    <cfRule type="containsText" dxfId="31" priority="8" operator="containsText" text="국도비">
      <formula>NOT(ISERROR(SEARCH("국도비",AH19)))</formula>
    </cfRule>
  </conditionalFormatting>
  <conditionalFormatting sqref="AB19 S19:T19">
    <cfRule type="containsText" dxfId="30" priority="7" operator="containsText" text="직접입력">
      <formula>NOT(ISERROR(SEARCH("직접입력",S19)))</formula>
    </cfRule>
  </conditionalFormatting>
  <conditionalFormatting sqref="AJ22:AL22 AH22 AN22:AP22">
    <cfRule type="containsText" dxfId="29" priority="6" operator="containsText" text="국도비">
      <formula>NOT(ISERROR(SEARCH("국도비",AH22)))</formula>
    </cfRule>
  </conditionalFormatting>
  <conditionalFormatting sqref="AB22 S22:T22">
    <cfRule type="containsText" dxfId="28" priority="5" operator="containsText" text="직접입력">
      <formula>NOT(ISERROR(SEARCH("직접입력",S22)))</formula>
    </cfRule>
  </conditionalFormatting>
  <conditionalFormatting sqref="AJ25:AL25 AH25 AN25:AP25">
    <cfRule type="containsText" dxfId="27" priority="4" operator="containsText" text="국도비">
      <formula>NOT(ISERROR(SEARCH("국도비",AH25)))</formula>
    </cfRule>
  </conditionalFormatting>
  <conditionalFormatting sqref="AB25 S25:T25">
    <cfRule type="containsText" dxfId="26" priority="3" operator="containsText" text="직접입력">
      <formula>NOT(ISERROR(SEARCH("직접입력",S25)))</formula>
    </cfRule>
  </conditionalFormatting>
  <conditionalFormatting sqref="AJ28:AL28 AH28 AN28:AP28">
    <cfRule type="containsText" dxfId="25" priority="2" operator="containsText" text="국도비">
      <formula>NOT(ISERROR(SEARCH("국도비",AH28)))</formula>
    </cfRule>
  </conditionalFormatting>
  <conditionalFormatting sqref="AB28 S28:T28">
    <cfRule type="containsText" dxfId="24" priority="1" operator="containsText" text="직접입력">
      <formula>NOT(ISERROR(SEARCH("직접입력",S28)))</formula>
    </cfRule>
  </conditionalFormatting>
  <dataValidations count="1">
    <dataValidation type="list" allowBlank="1" showInputMessage="1" showErrorMessage="1" sqref="D32:D33 D8:D3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34"/>
  <sheetViews>
    <sheetView showGridLines="0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sqref="A1:R1"/>
    </sheetView>
  </sheetViews>
  <sheetFormatPr defaultColWidth="8.75" defaultRowHeight="13.5"/>
  <cols>
    <col min="1" max="1" width="12.75" style="208" customWidth="1"/>
    <col min="2" max="2" width="12" style="208" customWidth="1"/>
    <col min="3" max="3" width="12.25" style="208" customWidth="1"/>
    <col min="4" max="4" width="7.625" style="169" bestFit="1" customWidth="1"/>
    <col min="5" max="5" width="7.625" style="169" customWidth="1"/>
    <col min="6" max="6" width="7.125" style="169" bestFit="1" customWidth="1"/>
    <col min="7" max="7" width="36" style="208" customWidth="1"/>
    <col min="8" max="16" width="11.625" style="208" customWidth="1"/>
    <col min="17" max="17" width="8.375" style="169" hidden="1" customWidth="1"/>
    <col min="18" max="18" width="36.375" style="208" customWidth="1"/>
    <col min="19" max="19" width="3" style="208" customWidth="1"/>
    <col min="20" max="20" width="6.125" style="169" customWidth="1"/>
    <col min="21" max="21" width="3" style="208" customWidth="1"/>
    <col min="22" max="22" width="6.125" style="174" customWidth="1"/>
    <col min="23" max="23" width="11.625" style="208" customWidth="1"/>
    <col min="24" max="24" width="11.125" style="208" customWidth="1"/>
    <col min="25" max="25" width="6" style="169" customWidth="1"/>
    <col min="26" max="26" width="3" style="208" customWidth="1"/>
    <col min="27" max="27" width="6.125" style="182" customWidth="1"/>
    <col min="28" max="28" width="11.625" style="208" customWidth="1"/>
    <col min="29" max="29" width="11.125" style="208" customWidth="1"/>
    <col min="30" max="30" width="6" style="169" customWidth="1"/>
    <col min="31" max="31" width="3" style="208" customWidth="1"/>
    <col min="32" max="32" width="9.375" style="223" customWidth="1"/>
    <col min="33" max="33" width="3" style="208" customWidth="1"/>
    <col min="34" max="35" width="5.625" style="169" hidden="1" customWidth="1"/>
    <col min="36" max="36" width="3" style="169" hidden="1" customWidth="1"/>
    <col min="37" max="37" width="11.625" style="208" hidden="1" customWidth="1"/>
    <col min="38" max="38" width="3" style="208" hidden="1" customWidth="1"/>
    <col min="39" max="39" width="6.125" style="169" hidden="1" customWidth="1"/>
    <col min="40" max="40" width="17.375" style="208" customWidth="1"/>
    <col min="41" max="16384" width="8.75" style="208"/>
  </cols>
  <sheetData>
    <row r="1" spans="1:39" ht="32.25" customHeight="1">
      <c r="A1" s="449" t="s">
        <v>642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</row>
    <row r="2" spans="1:39" ht="20.25">
      <c r="A2" s="170" t="s">
        <v>58</v>
      </c>
      <c r="B2" s="170"/>
      <c r="C2" s="170"/>
      <c r="D2" s="183"/>
      <c r="E2" s="183"/>
      <c r="F2" s="183"/>
      <c r="G2" s="170"/>
      <c r="N2" s="175"/>
      <c r="O2" s="175"/>
      <c r="W2" s="175" t="s">
        <v>71</v>
      </c>
      <c r="X2" s="176"/>
      <c r="AB2" s="175" t="s">
        <v>71</v>
      </c>
      <c r="AC2" s="176"/>
    </row>
    <row r="3" spans="1:39" ht="20.25">
      <c r="K3" s="187">
        <f t="shared" ref="K3:O3" si="0">COUNTA(K7:K33)-9</f>
        <v>0</v>
      </c>
      <c r="L3" s="187">
        <f t="shared" si="0"/>
        <v>0</v>
      </c>
      <c r="M3" s="188"/>
      <c r="N3" s="187">
        <f t="shared" si="0"/>
        <v>0</v>
      </c>
      <c r="O3" s="187">
        <f t="shared" si="0"/>
        <v>0</v>
      </c>
      <c r="P3" s="174"/>
      <c r="Q3" s="179"/>
      <c r="R3" s="185" t="s">
        <v>8</v>
      </c>
      <c r="W3" s="176" t="str">
        <f>IF(W6='16년3추 일입'!$U$6,"OK","@@")</f>
        <v>OK</v>
      </c>
      <c r="X3" s="208">
        <f>SUM(W6:X6)</f>
        <v>0</v>
      </c>
      <c r="Y3" s="176" t="str">
        <f>IF(COUNTIF(Y6:Y807,"@@")&gt;0,"@@","OK")</f>
        <v>OK</v>
      </c>
      <c r="AB3" s="176" t="str">
        <f>IF(AB6='16년3추 일입'!$Z$6,"OK","@@")</f>
        <v>OK</v>
      </c>
      <c r="AC3" s="208">
        <f>SUM(AB6:AC6)</f>
        <v>0</v>
      </c>
      <c r="AD3" s="176" t="str">
        <f>IF(COUNTIF(AD6:AD807,"@@")&gt;0,"@@","OK")</f>
        <v>OK</v>
      </c>
      <c r="AK3" s="186"/>
    </row>
    <row r="4" spans="1:39" ht="30" customHeight="1">
      <c r="A4" s="450" t="s">
        <v>528</v>
      </c>
      <c r="B4" s="450" t="s">
        <v>123</v>
      </c>
      <c r="C4" s="450" t="s">
        <v>4</v>
      </c>
      <c r="D4" s="447" t="s">
        <v>124</v>
      </c>
      <c r="E4" s="447" t="s">
        <v>570</v>
      </c>
      <c r="F4" s="453" t="s">
        <v>571</v>
      </c>
      <c r="G4" s="450" t="s">
        <v>125</v>
      </c>
      <c r="H4" s="453" t="s">
        <v>643</v>
      </c>
      <c r="I4" s="447" t="s">
        <v>608</v>
      </c>
      <c r="J4" s="447" t="s">
        <v>644</v>
      </c>
      <c r="K4" s="455" t="s">
        <v>545</v>
      </c>
      <c r="L4" s="456"/>
      <c r="M4" s="457" t="s">
        <v>609</v>
      </c>
      <c r="N4" s="459" t="s">
        <v>546</v>
      </c>
      <c r="O4" s="460"/>
      <c r="P4" s="461" t="s">
        <v>610</v>
      </c>
      <c r="Q4" s="463" t="s">
        <v>572</v>
      </c>
      <c r="R4" s="454" t="s">
        <v>122</v>
      </c>
      <c r="T4" s="483" t="s">
        <v>527</v>
      </c>
      <c r="V4" s="485" t="s">
        <v>5</v>
      </c>
      <c r="W4" s="487" t="s">
        <v>7</v>
      </c>
      <c r="X4" s="488"/>
      <c r="Y4" s="488"/>
      <c r="AA4" s="489" t="s">
        <v>5</v>
      </c>
      <c r="AB4" s="480" t="s">
        <v>78</v>
      </c>
      <c r="AC4" s="480"/>
      <c r="AD4" s="480"/>
      <c r="AF4" s="481" t="s">
        <v>562</v>
      </c>
      <c r="AH4" s="483" t="s">
        <v>563</v>
      </c>
      <c r="AI4" s="483" t="s">
        <v>564</v>
      </c>
      <c r="AK4" s="483" t="s">
        <v>126</v>
      </c>
      <c r="AM4" s="483" t="s">
        <v>559</v>
      </c>
    </row>
    <row r="5" spans="1:39" ht="18" customHeight="1">
      <c r="A5" s="451"/>
      <c r="B5" s="451"/>
      <c r="C5" s="451"/>
      <c r="D5" s="451"/>
      <c r="E5" s="452"/>
      <c r="F5" s="453"/>
      <c r="G5" s="451"/>
      <c r="H5" s="454"/>
      <c r="I5" s="448"/>
      <c r="J5" s="448"/>
      <c r="K5" s="276" t="s">
        <v>0</v>
      </c>
      <c r="L5" s="276" t="s">
        <v>1</v>
      </c>
      <c r="M5" s="458"/>
      <c r="N5" s="184" t="s">
        <v>0</v>
      </c>
      <c r="O5" s="184" t="s">
        <v>1</v>
      </c>
      <c r="P5" s="462"/>
      <c r="Q5" s="463"/>
      <c r="R5" s="454"/>
      <c r="T5" s="484"/>
      <c r="V5" s="486"/>
      <c r="W5" s="329" t="s">
        <v>3</v>
      </c>
      <c r="X5" s="329" t="s">
        <v>2</v>
      </c>
      <c r="Y5" s="329" t="s">
        <v>76</v>
      </c>
      <c r="AA5" s="490"/>
      <c r="AB5" s="336" t="s">
        <v>3</v>
      </c>
      <c r="AC5" s="336" t="s">
        <v>2</v>
      </c>
      <c r="AD5" s="336" t="s">
        <v>76</v>
      </c>
      <c r="AF5" s="482"/>
      <c r="AH5" s="484"/>
      <c r="AI5" s="484"/>
      <c r="AK5" s="484"/>
      <c r="AM5" s="484"/>
    </row>
    <row r="6" spans="1:39" ht="39.950000000000003" customHeight="1">
      <c r="A6" s="193"/>
      <c r="B6" s="193"/>
      <c r="C6" s="171"/>
      <c r="D6" s="193"/>
      <c r="E6" s="193"/>
      <c r="F6" s="172"/>
      <c r="G6" s="193"/>
      <c r="H6" s="173">
        <f t="shared" ref="H6:O6" si="1">SUM(H7,H10,H13,H16,H19,H22,H25,H28,H31)</f>
        <v>0</v>
      </c>
      <c r="I6" s="173">
        <f t="shared" si="1"/>
        <v>0</v>
      </c>
      <c r="J6" s="173">
        <f t="shared" si="1"/>
        <v>0</v>
      </c>
      <c r="K6" s="173">
        <f t="shared" si="1"/>
        <v>0</v>
      </c>
      <c r="L6" s="173">
        <f t="shared" si="1"/>
        <v>0</v>
      </c>
      <c r="M6" s="173">
        <f t="shared" si="1"/>
        <v>0</v>
      </c>
      <c r="N6" s="173">
        <f t="shared" si="1"/>
        <v>0</v>
      </c>
      <c r="O6" s="173">
        <f t="shared" si="1"/>
        <v>0</v>
      </c>
      <c r="P6" s="173">
        <f>SUM(P7,P10,P13,P16,P19,P22,P25,P28,P31)</f>
        <v>0</v>
      </c>
      <c r="Q6" s="180"/>
      <c r="R6" s="177"/>
      <c r="T6" s="327"/>
      <c r="V6" s="330"/>
      <c r="W6" s="173">
        <f t="shared" ref="W6:X6" si="2">SUM(W7,W10,W13,W16,W19,W22,W25,W28,W31)</f>
        <v>0</v>
      </c>
      <c r="X6" s="331">
        <f t="shared" si="2"/>
        <v>0</v>
      </c>
      <c r="Y6" s="332"/>
      <c r="AA6" s="337"/>
      <c r="AB6" s="173">
        <f t="shared" ref="AB6" si="3">SUM(AB7,AB10,AB13,AB16,AB19,AB22,AB25,AB28,AB31)</f>
        <v>0</v>
      </c>
      <c r="AC6" s="331">
        <f t="shared" ref="AC6" si="4">SUM(AC7,AC10,AC13,AC16,AC19,AC22,AC25,AC28,AC31)</f>
        <v>0</v>
      </c>
      <c r="AD6" s="332"/>
      <c r="AF6" s="340"/>
      <c r="AH6" s="327"/>
      <c r="AI6" s="332"/>
      <c r="AK6" s="332"/>
      <c r="AM6" s="327"/>
    </row>
    <row r="7" spans="1:39" ht="39.950000000000003" customHeight="1">
      <c r="A7" s="324" t="s">
        <v>632</v>
      </c>
      <c r="B7" s="303"/>
      <c r="C7" s="317"/>
      <c r="D7" s="303"/>
      <c r="E7" s="303"/>
      <c r="F7" s="317"/>
      <c r="G7" s="303"/>
      <c r="H7" s="304">
        <f t="shared" ref="H7:P7" si="5">SUM(H8:H9)</f>
        <v>0</v>
      </c>
      <c r="I7" s="304">
        <f t="shared" si="5"/>
        <v>0</v>
      </c>
      <c r="J7" s="304">
        <f t="shared" si="5"/>
        <v>0</v>
      </c>
      <c r="K7" s="304">
        <f t="shared" si="5"/>
        <v>0</v>
      </c>
      <c r="L7" s="304">
        <f t="shared" si="5"/>
        <v>0</v>
      </c>
      <c r="M7" s="304">
        <f t="shared" si="5"/>
        <v>0</v>
      </c>
      <c r="N7" s="304">
        <f t="shared" si="5"/>
        <v>0</v>
      </c>
      <c r="O7" s="304">
        <f t="shared" si="5"/>
        <v>0</v>
      </c>
      <c r="P7" s="304">
        <f t="shared" si="5"/>
        <v>0</v>
      </c>
      <c r="Q7" s="305"/>
      <c r="R7" s="306"/>
      <c r="T7" s="327"/>
      <c r="V7" s="330"/>
      <c r="W7" s="304">
        <f t="shared" ref="W7:X7" si="6">SUM(W8:W9)</f>
        <v>0</v>
      </c>
      <c r="X7" s="304">
        <f t="shared" si="6"/>
        <v>0</v>
      </c>
      <c r="Y7" s="332" t="str">
        <f t="shared" ref="Y7:Y8" si="7">IFERROR(IF(($K7+$L7)=($W7+$X7),"ok","검토"),"검토")</f>
        <v>ok</v>
      </c>
      <c r="AA7" s="337">
        <f t="shared" ref="AA7:AA33" si="8">$V7</f>
        <v>0</v>
      </c>
      <c r="AB7" s="304">
        <f t="shared" ref="AB7:AC7" si="9">SUM(AB8:AB9)</f>
        <v>0</v>
      </c>
      <c r="AC7" s="304">
        <f t="shared" si="9"/>
        <v>0</v>
      </c>
      <c r="AD7" s="332" t="str">
        <f t="shared" ref="AD7:AD33" si="10">IFERROR(IF((N7+O7)=(AB7+AC7),"ok","검토"),"검토")</f>
        <v>ok</v>
      </c>
      <c r="AF7" s="340"/>
      <c r="AH7" s="327" t="str">
        <f t="shared" ref="AH7:AH33" si="11">IF(AF7="","",COUNTIF($AF$7:$AF$9974,$AF7))</f>
        <v/>
      </c>
      <c r="AI7" s="332" t="str">
        <f t="shared" ref="AI7:AI33" si="12">IF(C7="","",IF(AND(V7="도비",AF7="세입없음"),"OK",IF(AND(V7&lt;&gt;"도비",AF7&lt;&gt;""),"Ok","@@")))</f>
        <v/>
      </c>
      <c r="AK7" s="332"/>
      <c r="AM7" s="327"/>
    </row>
    <row r="8" spans="1:39" ht="39.950000000000003" customHeight="1">
      <c r="A8" s="325"/>
      <c r="B8" s="213"/>
      <c r="C8" s="215"/>
      <c r="D8" s="214"/>
      <c r="E8" s="214"/>
      <c r="F8" s="214"/>
      <c r="G8" s="215"/>
      <c r="H8" s="233"/>
      <c r="I8" s="233"/>
      <c r="J8" s="233" t="str">
        <f t="shared" ref="J8:J33" si="13">IF(D8="","",H8-I8)</f>
        <v/>
      </c>
      <c r="K8" s="145"/>
      <c r="L8" s="145"/>
      <c r="M8" s="59">
        <f t="shared" ref="M8:M33" si="14">IF(H8=0,I8+K8+L8,H8+K8+L8)</f>
        <v>0</v>
      </c>
      <c r="N8" s="145"/>
      <c r="O8" s="145"/>
      <c r="P8" s="59">
        <f t="shared" ref="P8:P24" si="15">IF(H8=0,I8+N8+O8,H8+N8+O8)</f>
        <v>0</v>
      </c>
      <c r="Q8" s="60"/>
      <c r="R8" s="217"/>
      <c r="S8" s="209"/>
      <c r="T8" s="216"/>
      <c r="U8" s="189"/>
      <c r="V8" s="330"/>
      <c r="W8" s="145">
        <f t="shared" ref="W8" si="16">IF($V8&lt;&gt;"도비",IF($T8="국도비","직접입력",SUM($K8:$L8)),)</f>
        <v>0</v>
      </c>
      <c r="X8" s="145">
        <f t="shared" ref="X8" si="17">IF($V8="도비",SUM($K8:$L8),IF($T8="국도비","직접입력",SUM($K8:$L8)-$W8))</f>
        <v>0</v>
      </c>
      <c r="Y8" s="211" t="str">
        <f t="shared" si="7"/>
        <v>ok</v>
      </c>
      <c r="Z8" s="209"/>
      <c r="AA8" s="210">
        <f t="shared" si="8"/>
        <v>0</v>
      </c>
      <c r="AB8" s="145">
        <f t="shared" ref="AB8:AB33" si="18">IF($V8&lt;&gt;"도비",IF($T8="국도비","직접입력",SUM(N8:O8)),)</f>
        <v>0</v>
      </c>
      <c r="AC8" s="145">
        <f t="shared" ref="AC8:AC33" si="19">IF($V8="도비",SUM(N8:O8),IF($T8="국도비","직접입력",SUM(N8:O8)-AB8))</f>
        <v>0</v>
      </c>
      <c r="AD8" s="211" t="str">
        <f t="shared" si="10"/>
        <v>ok</v>
      </c>
      <c r="AE8" s="209"/>
      <c r="AF8" s="341"/>
      <c r="AG8" s="209"/>
      <c r="AH8" s="216" t="str">
        <f t="shared" si="11"/>
        <v/>
      </c>
      <c r="AI8" s="216" t="str">
        <f t="shared" si="12"/>
        <v/>
      </c>
      <c r="AJ8" s="221"/>
      <c r="AK8" s="64"/>
      <c r="AL8" s="209"/>
      <c r="AM8" s="216"/>
    </row>
    <row r="9" spans="1:39" ht="39.950000000000003" customHeight="1">
      <c r="A9" s="325"/>
      <c r="B9" s="213"/>
      <c r="C9" s="215"/>
      <c r="D9" s="214"/>
      <c r="E9" s="214"/>
      <c r="F9" s="214"/>
      <c r="G9" s="215"/>
      <c r="H9" s="233"/>
      <c r="I9" s="233"/>
      <c r="J9" s="233" t="str">
        <f t="shared" si="13"/>
        <v/>
      </c>
      <c r="K9" s="145"/>
      <c r="L9" s="145"/>
      <c r="M9" s="59">
        <f t="shared" si="14"/>
        <v>0</v>
      </c>
      <c r="N9" s="145"/>
      <c r="O9" s="145"/>
      <c r="P9" s="59">
        <f t="shared" si="15"/>
        <v>0</v>
      </c>
      <c r="Q9" s="60"/>
      <c r="R9" s="217"/>
      <c r="S9" s="209"/>
      <c r="T9" s="216"/>
      <c r="U9" s="209"/>
      <c r="V9" s="212"/>
      <c r="W9" s="145">
        <f t="shared" ref="W9:W33" si="20">IF($V9&lt;&gt;"도비",IF($T9="국도비","직접입력",SUM($K9:$L9)),)</f>
        <v>0</v>
      </c>
      <c r="X9" s="145">
        <f t="shared" ref="X9:X33" si="21">IF($V9="도비",SUM($K9:$L9),IF($T9="국도비","직접입력",SUM($K9:$L9)-$W9))</f>
        <v>0</v>
      </c>
      <c r="Y9" s="211" t="str">
        <f t="shared" ref="Y9:Y33" si="22">IFERROR(IF(($K9+$L9)=($W9+$X9),"ok","검토"),"검토")</f>
        <v>ok</v>
      </c>
      <c r="Z9" s="209"/>
      <c r="AA9" s="210">
        <f t="shared" si="8"/>
        <v>0</v>
      </c>
      <c r="AB9" s="145">
        <f t="shared" si="18"/>
        <v>0</v>
      </c>
      <c r="AC9" s="145">
        <f t="shared" si="19"/>
        <v>0</v>
      </c>
      <c r="AD9" s="211" t="str">
        <f t="shared" si="10"/>
        <v>ok</v>
      </c>
      <c r="AE9" s="209"/>
      <c r="AF9" s="341"/>
      <c r="AG9" s="209"/>
      <c r="AH9" s="216" t="str">
        <f t="shared" si="11"/>
        <v/>
      </c>
      <c r="AI9" s="216" t="str">
        <f t="shared" si="12"/>
        <v/>
      </c>
      <c r="AJ9" s="222"/>
      <c r="AK9" s="64"/>
      <c r="AL9" s="209"/>
      <c r="AM9" s="216"/>
    </row>
    <row r="10" spans="1:39" ht="39.950000000000003" customHeight="1">
      <c r="A10" s="326" t="s">
        <v>634</v>
      </c>
      <c r="B10" s="307"/>
      <c r="C10" s="312"/>
      <c r="D10" s="307"/>
      <c r="E10" s="307"/>
      <c r="F10" s="312"/>
      <c r="G10" s="307"/>
      <c r="H10" s="304">
        <f t="shared" ref="H10:P10" si="23">SUM(H11:H12)</f>
        <v>0</v>
      </c>
      <c r="I10" s="308">
        <f t="shared" si="23"/>
        <v>0</v>
      </c>
      <c r="J10" s="308">
        <f t="shared" si="23"/>
        <v>0</v>
      </c>
      <c r="K10" s="308">
        <f t="shared" si="23"/>
        <v>0</v>
      </c>
      <c r="L10" s="308">
        <f t="shared" si="23"/>
        <v>0</v>
      </c>
      <c r="M10" s="308">
        <f t="shared" si="23"/>
        <v>0</v>
      </c>
      <c r="N10" s="308">
        <f t="shared" si="23"/>
        <v>0</v>
      </c>
      <c r="O10" s="308">
        <f t="shared" si="23"/>
        <v>0</v>
      </c>
      <c r="P10" s="308">
        <f t="shared" si="23"/>
        <v>0</v>
      </c>
      <c r="Q10" s="309"/>
      <c r="R10" s="310"/>
      <c r="S10" s="209"/>
      <c r="T10" s="216"/>
      <c r="U10" s="209"/>
      <c r="V10" s="212"/>
      <c r="W10" s="308">
        <f t="shared" ref="W10:X10" si="24">SUM(W11:W12)</f>
        <v>0</v>
      </c>
      <c r="X10" s="308">
        <f t="shared" si="24"/>
        <v>0</v>
      </c>
      <c r="Y10" s="211" t="str">
        <f t="shared" si="22"/>
        <v>ok</v>
      </c>
      <c r="Z10" s="209"/>
      <c r="AA10" s="210">
        <f t="shared" si="8"/>
        <v>0</v>
      </c>
      <c r="AB10" s="308">
        <f>SUM(AB11:AB12)</f>
        <v>0</v>
      </c>
      <c r="AC10" s="308">
        <f t="shared" ref="AC10" si="25">SUM(AC11:AC12)</f>
        <v>0</v>
      </c>
      <c r="AD10" s="211" t="str">
        <f t="shared" si="10"/>
        <v>ok</v>
      </c>
      <c r="AE10" s="209"/>
      <c r="AF10" s="341"/>
      <c r="AG10" s="209"/>
      <c r="AH10" s="216" t="str">
        <f t="shared" si="11"/>
        <v/>
      </c>
      <c r="AI10" s="216" t="str">
        <f t="shared" si="12"/>
        <v/>
      </c>
      <c r="AJ10" s="222"/>
      <c r="AK10" s="64"/>
      <c r="AL10" s="209"/>
      <c r="AM10" s="216"/>
    </row>
    <row r="11" spans="1:39" ht="39.950000000000003" customHeight="1">
      <c r="A11" s="325"/>
      <c r="B11" s="213"/>
      <c r="C11" s="215"/>
      <c r="D11" s="214"/>
      <c r="E11" s="214"/>
      <c r="F11" s="214"/>
      <c r="G11" s="215"/>
      <c r="H11" s="233"/>
      <c r="I11" s="233"/>
      <c r="J11" s="233" t="str">
        <f t="shared" si="13"/>
        <v/>
      </c>
      <c r="K11" s="145"/>
      <c r="L11" s="145"/>
      <c r="M11" s="59">
        <f t="shared" si="14"/>
        <v>0</v>
      </c>
      <c r="N11" s="145"/>
      <c r="O11" s="145"/>
      <c r="P11" s="59">
        <f t="shared" si="15"/>
        <v>0</v>
      </c>
      <c r="Q11" s="60"/>
      <c r="R11" s="217"/>
      <c r="T11" s="216"/>
      <c r="U11" s="189"/>
      <c r="V11" s="330"/>
      <c r="W11" s="145">
        <f t="shared" si="20"/>
        <v>0</v>
      </c>
      <c r="X11" s="145">
        <f t="shared" si="21"/>
        <v>0</v>
      </c>
      <c r="Y11" s="211" t="str">
        <f t="shared" si="22"/>
        <v>ok</v>
      </c>
      <c r="Z11" s="209"/>
      <c r="AA11" s="210">
        <f t="shared" si="8"/>
        <v>0</v>
      </c>
      <c r="AB11" s="145">
        <f t="shared" si="18"/>
        <v>0</v>
      </c>
      <c r="AC11" s="145">
        <f t="shared" si="19"/>
        <v>0</v>
      </c>
      <c r="AD11" s="211" t="str">
        <f t="shared" si="10"/>
        <v>ok</v>
      </c>
      <c r="AE11" s="209"/>
      <c r="AF11" s="341"/>
      <c r="AG11" s="209"/>
      <c r="AH11" s="216" t="str">
        <f t="shared" si="11"/>
        <v/>
      </c>
      <c r="AI11" s="216" t="str">
        <f t="shared" si="12"/>
        <v/>
      </c>
      <c r="AJ11" s="221"/>
      <c r="AK11" s="64"/>
      <c r="AL11" s="209"/>
      <c r="AM11" s="216"/>
    </row>
    <row r="12" spans="1:39" ht="39.950000000000003" customHeight="1">
      <c r="A12" s="325"/>
      <c r="B12" s="213"/>
      <c r="C12" s="215"/>
      <c r="D12" s="214"/>
      <c r="E12" s="214"/>
      <c r="F12" s="214"/>
      <c r="G12" s="215"/>
      <c r="H12" s="233"/>
      <c r="I12" s="233"/>
      <c r="J12" s="233" t="str">
        <f t="shared" si="13"/>
        <v/>
      </c>
      <c r="K12" s="145"/>
      <c r="L12" s="145"/>
      <c r="M12" s="59">
        <f t="shared" si="14"/>
        <v>0</v>
      </c>
      <c r="N12" s="145"/>
      <c r="O12" s="145"/>
      <c r="P12" s="59">
        <f t="shared" si="15"/>
        <v>0</v>
      </c>
      <c r="Q12" s="60"/>
      <c r="R12" s="217"/>
      <c r="T12" s="327"/>
      <c r="V12" s="333"/>
      <c r="W12" s="195">
        <f t="shared" si="20"/>
        <v>0</v>
      </c>
      <c r="X12" s="195">
        <f t="shared" si="21"/>
        <v>0</v>
      </c>
      <c r="Y12" s="327" t="str">
        <f t="shared" si="22"/>
        <v>ok</v>
      </c>
      <c r="AA12" s="338">
        <f t="shared" si="8"/>
        <v>0</v>
      </c>
      <c r="AB12" s="195">
        <f t="shared" si="18"/>
        <v>0</v>
      </c>
      <c r="AC12" s="195">
        <f t="shared" si="19"/>
        <v>0</v>
      </c>
      <c r="AD12" s="327" t="str">
        <f t="shared" si="10"/>
        <v>ok</v>
      </c>
      <c r="AF12" s="340"/>
      <c r="AH12" s="327" t="str">
        <f t="shared" si="11"/>
        <v/>
      </c>
      <c r="AI12" s="327" t="str">
        <f t="shared" si="12"/>
        <v/>
      </c>
      <c r="AK12" s="195"/>
      <c r="AM12" s="327"/>
    </row>
    <row r="13" spans="1:39" ht="39.950000000000003" customHeight="1">
      <c r="A13" s="326" t="s">
        <v>635</v>
      </c>
      <c r="B13" s="307"/>
      <c r="C13" s="312"/>
      <c r="D13" s="307"/>
      <c r="E13" s="307"/>
      <c r="F13" s="312"/>
      <c r="G13" s="307"/>
      <c r="H13" s="304">
        <f t="shared" ref="H13:P13" si="26">SUM(H14:H15)</f>
        <v>0</v>
      </c>
      <c r="I13" s="308">
        <f t="shared" si="26"/>
        <v>0</v>
      </c>
      <c r="J13" s="308">
        <f t="shared" si="26"/>
        <v>0</v>
      </c>
      <c r="K13" s="308">
        <f t="shared" si="26"/>
        <v>0</v>
      </c>
      <c r="L13" s="308">
        <f t="shared" si="26"/>
        <v>0</v>
      </c>
      <c r="M13" s="308">
        <f t="shared" si="26"/>
        <v>0</v>
      </c>
      <c r="N13" s="308">
        <f t="shared" si="26"/>
        <v>0</v>
      </c>
      <c r="O13" s="308">
        <f t="shared" si="26"/>
        <v>0</v>
      </c>
      <c r="P13" s="308">
        <f t="shared" si="26"/>
        <v>0</v>
      </c>
      <c r="Q13" s="309"/>
      <c r="R13" s="310"/>
      <c r="T13" s="327"/>
      <c r="V13" s="333"/>
      <c r="W13" s="308">
        <f>SUM(W14:W15)</f>
        <v>0</v>
      </c>
      <c r="X13" s="308">
        <f t="shared" ref="X13" si="27">SUM(X14:X15)</f>
        <v>0</v>
      </c>
      <c r="Y13" s="327" t="str">
        <f t="shared" si="22"/>
        <v>ok</v>
      </c>
      <c r="AA13" s="338">
        <f t="shared" si="8"/>
        <v>0</v>
      </c>
      <c r="AB13" s="308">
        <f>SUM(AB14:AB15)</f>
        <v>0</v>
      </c>
      <c r="AC13" s="308">
        <f t="shared" ref="AC13" si="28">SUM(AC14:AC15)</f>
        <v>0</v>
      </c>
      <c r="AD13" s="327" t="str">
        <f t="shared" si="10"/>
        <v>ok</v>
      </c>
      <c r="AF13" s="340"/>
      <c r="AH13" s="327" t="str">
        <f t="shared" si="11"/>
        <v/>
      </c>
      <c r="AI13" s="327" t="str">
        <f t="shared" si="12"/>
        <v/>
      </c>
      <c r="AK13" s="195"/>
      <c r="AM13" s="327"/>
    </row>
    <row r="14" spans="1:39" ht="39.950000000000003" customHeight="1">
      <c r="A14" s="325"/>
      <c r="B14" s="213"/>
      <c r="C14" s="215"/>
      <c r="D14" s="214"/>
      <c r="E14" s="214"/>
      <c r="F14" s="214"/>
      <c r="G14" s="215"/>
      <c r="H14" s="234"/>
      <c r="I14" s="234"/>
      <c r="J14" s="233" t="str">
        <f t="shared" si="13"/>
        <v/>
      </c>
      <c r="K14" s="145"/>
      <c r="L14" s="145"/>
      <c r="M14" s="59">
        <f t="shared" si="14"/>
        <v>0</v>
      </c>
      <c r="N14" s="145"/>
      <c r="O14" s="145"/>
      <c r="P14" s="59">
        <f t="shared" si="15"/>
        <v>0</v>
      </c>
      <c r="Q14" s="60"/>
      <c r="R14" s="217"/>
      <c r="T14" s="327"/>
      <c r="V14" s="333"/>
      <c r="W14" s="195">
        <f t="shared" si="20"/>
        <v>0</v>
      </c>
      <c r="X14" s="195">
        <f t="shared" si="21"/>
        <v>0</v>
      </c>
      <c r="Y14" s="327" t="str">
        <f t="shared" si="22"/>
        <v>ok</v>
      </c>
      <c r="AA14" s="338">
        <f t="shared" si="8"/>
        <v>0</v>
      </c>
      <c r="AB14" s="195">
        <f t="shared" si="18"/>
        <v>0</v>
      </c>
      <c r="AC14" s="195">
        <f t="shared" si="19"/>
        <v>0</v>
      </c>
      <c r="AD14" s="327" t="str">
        <f t="shared" si="10"/>
        <v>ok</v>
      </c>
      <c r="AF14" s="340"/>
      <c r="AH14" s="327" t="str">
        <f t="shared" si="11"/>
        <v/>
      </c>
      <c r="AI14" s="327" t="str">
        <f t="shared" si="12"/>
        <v/>
      </c>
      <c r="AK14" s="195"/>
      <c r="AM14" s="327"/>
    </row>
    <row r="15" spans="1:39" ht="39.950000000000003" customHeight="1">
      <c r="A15" s="325"/>
      <c r="B15" s="213"/>
      <c r="C15" s="215"/>
      <c r="D15" s="214"/>
      <c r="E15" s="214"/>
      <c r="F15" s="214"/>
      <c r="G15" s="215"/>
      <c r="H15" s="234"/>
      <c r="I15" s="234"/>
      <c r="J15" s="233" t="str">
        <f t="shared" si="13"/>
        <v/>
      </c>
      <c r="K15" s="145"/>
      <c r="L15" s="145"/>
      <c r="M15" s="59">
        <f t="shared" si="14"/>
        <v>0</v>
      </c>
      <c r="N15" s="145"/>
      <c r="O15" s="145"/>
      <c r="P15" s="59">
        <f t="shared" si="15"/>
        <v>0</v>
      </c>
      <c r="Q15" s="60"/>
      <c r="R15" s="217"/>
      <c r="T15" s="327"/>
      <c r="V15" s="333"/>
      <c r="W15" s="195">
        <f t="shared" si="20"/>
        <v>0</v>
      </c>
      <c r="X15" s="195">
        <f t="shared" si="21"/>
        <v>0</v>
      </c>
      <c r="Y15" s="327" t="str">
        <f t="shared" si="22"/>
        <v>ok</v>
      </c>
      <c r="AA15" s="338">
        <f t="shared" si="8"/>
        <v>0</v>
      </c>
      <c r="AB15" s="195">
        <f t="shared" si="18"/>
        <v>0</v>
      </c>
      <c r="AC15" s="195">
        <f t="shared" si="19"/>
        <v>0</v>
      </c>
      <c r="AD15" s="327" t="str">
        <f t="shared" si="10"/>
        <v>ok</v>
      </c>
      <c r="AF15" s="340"/>
      <c r="AH15" s="327" t="str">
        <f t="shared" si="11"/>
        <v/>
      </c>
      <c r="AI15" s="327" t="str">
        <f t="shared" si="12"/>
        <v/>
      </c>
      <c r="AK15" s="195"/>
      <c r="AM15" s="327"/>
    </row>
    <row r="16" spans="1:39" ht="39.950000000000003" customHeight="1">
      <c r="A16" s="326" t="s">
        <v>636</v>
      </c>
      <c r="B16" s="307"/>
      <c r="C16" s="312"/>
      <c r="D16" s="307"/>
      <c r="E16" s="307"/>
      <c r="F16" s="312"/>
      <c r="G16" s="307"/>
      <c r="H16" s="304">
        <f t="shared" ref="H16:P16" si="29">SUM(H17:H18)</f>
        <v>0</v>
      </c>
      <c r="I16" s="308">
        <f t="shared" si="29"/>
        <v>0</v>
      </c>
      <c r="J16" s="308">
        <f t="shared" si="29"/>
        <v>0</v>
      </c>
      <c r="K16" s="308">
        <f t="shared" si="29"/>
        <v>0</v>
      </c>
      <c r="L16" s="308">
        <f t="shared" si="29"/>
        <v>0</v>
      </c>
      <c r="M16" s="308">
        <f t="shared" si="29"/>
        <v>0</v>
      </c>
      <c r="N16" s="308">
        <f t="shared" si="29"/>
        <v>0</v>
      </c>
      <c r="O16" s="308">
        <f t="shared" si="29"/>
        <v>0</v>
      </c>
      <c r="P16" s="308">
        <f t="shared" si="29"/>
        <v>0</v>
      </c>
      <c r="Q16" s="309"/>
      <c r="R16" s="310"/>
      <c r="T16" s="327"/>
      <c r="V16" s="333"/>
      <c r="W16" s="308">
        <f t="shared" ref="W16:X16" si="30">SUM(W17:W18)</f>
        <v>0</v>
      </c>
      <c r="X16" s="308">
        <f t="shared" si="30"/>
        <v>0</v>
      </c>
      <c r="Y16" s="327" t="str">
        <f t="shared" si="22"/>
        <v>ok</v>
      </c>
      <c r="AA16" s="338">
        <f t="shared" si="8"/>
        <v>0</v>
      </c>
      <c r="AB16" s="308">
        <f t="shared" ref="AB16:AC16" si="31">SUM(AB17:AB18)</f>
        <v>0</v>
      </c>
      <c r="AC16" s="308">
        <f t="shared" si="31"/>
        <v>0</v>
      </c>
      <c r="AD16" s="327" t="str">
        <f t="shared" si="10"/>
        <v>ok</v>
      </c>
      <c r="AF16" s="340"/>
      <c r="AH16" s="327" t="str">
        <f t="shared" si="11"/>
        <v/>
      </c>
      <c r="AI16" s="327" t="str">
        <f t="shared" si="12"/>
        <v/>
      </c>
      <c r="AK16" s="195"/>
      <c r="AM16" s="327"/>
    </row>
    <row r="17" spans="1:39" ht="39.950000000000003" customHeight="1">
      <c r="A17" s="325"/>
      <c r="B17" s="213"/>
      <c r="C17" s="215"/>
      <c r="D17" s="214"/>
      <c r="E17" s="214"/>
      <c r="F17" s="214"/>
      <c r="G17" s="215"/>
      <c r="H17" s="234"/>
      <c r="I17" s="234"/>
      <c r="J17" s="233" t="str">
        <f t="shared" si="13"/>
        <v/>
      </c>
      <c r="K17" s="145"/>
      <c r="L17" s="145"/>
      <c r="M17" s="59">
        <f t="shared" si="14"/>
        <v>0</v>
      </c>
      <c r="N17" s="145"/>
      <c r="O17" s="145"/>
      <c r="P17" s="59">
        <f t="shared" si="15"/>
        <v>0</v>
      </c>
      <c r="Q17" s="60"/>
      <c r="R17" s="217"/>
      <c r="T17" s="327"/>
      <c r="V17" s="333"/>
      <c r="W17" s="195">
        <f t="shared" si="20"/>
        <v>0</v>
      </c>
      <c r="X17" s="195">
        <f t="shared" si="21"/>
        <v>0</v>
      </c>
      <c r="Y17" s="327" t="str">
        <f t="shared" si="22"/>
        <v>ok</v>
      </c>
      <c r="AA17" s="338">
        <f t="shared" si="8"/>
        <v>0</v>
      </c>
      <c r="AB17" s="195">
        <f t="shared" si="18"/>
        <v>0</v>
      </c>
      <c r="AC17" s="195">
        <f t="shared" si="19"/>
        <v>0</v>
      </c>
      <c r="AD17" s="327" t="str">
        <f t="shared" si="10"/>
        <v>ok</v>
      </c>
      <c r="AF17" s="340"/>
      <c r="AH17" s="327" t="str">
        <f t="shared" si="11"/>
        <v/>
      </c>
      <c r="AI17" s="327" t="str">
        <f t="shared" si="12"/>
        <v/>
      </c>
      <c r="AK17" s="195"/>
      <c r="AM17" s="327"/>
    </row>
    <row r="18" spans="1:39" ht="39.950000000000003" customHeight="1">
      <c r="A18" s="325"/>
      <c r="B18" s="213"/>
      <c r="C18" s="215"/>
      <c r="D18" s="214"/>
      <c r="E18" s="214"/>
      <c r="F18" s="214"/>
      <c r="G18" s="215"/>
      <c r="H18" s="234"/>
      <c r="I18" s="234"/>
      <c r="J18" s="233" t="str">
        <f t="shared" si="13"/>
        <v/>
      </c>
      <c r="K18" s="145"/>
      <c r="L18" s="145"/>
      <c r="M18" s="59">
        <f t="shared" si="14"/>
        <v>0</v>
      </c>
      <c r="N18" s="145"/>
      <c r="O18" s="145"/>
      <c r="P18" s="59">
        <f t="shared" si="15"/>
        <v>0</v>
      </c>
      <c r="Q18" s="60"/>
      <c r="R18" s="217"/>
      <c r="T18" s="327"/>
      <c r="V18" s="333"/>
      <c r="W18" s="195">
        <f t="shared" si="20"/>
        <v>0</v>
      </c>
      <c r="X18" s="195">
        <f t="shared" si="21"/>
        <v>0</v>
      </c>
      <c r="Y18" s="327" t="str">
        <f t="shared" si="22"/>
        <v>ok</v>
      </c>
      <c r="AA18" s="338">
        <f t="shared" si="8"/>
        <v>0</v>
      </c>
      <c r="AB18" s="195">
        <f t="shared" si="18"/>
        <v>0</v>
      </c>
      <c r="AC18" s="195">
        <f t="shared" si="19"/>
        <v>0</v>
      </c>
      <c r="AD18" s="327" t="str">
        <f t="shared" si="10"/>
        <v>ok</v>
      </c>
      <c r="AF18" s="340"/>
      <c r="AH18" s="327" t="str">
        <f t="shared" si="11"/>
        <v/>
      </c>
      <c r="AI18" s="327" t="str">
        <f t="shared" si="12"/>
        <v/>
      </c>
      <c r="AK18" s="195"/>
      <c r="AM18" s="327"/>
    </row>
    <row r="19" spans="1:39" ht="39.950000000000003" customHeight="1">
      <c r="A19" s="326" t="s">
        <v>637</v>
      </c>
      <c r="B19" s="307"/>
      <c r="C19" s="312"/>
      <c r="D19" s="307"/>
      <c r="E19" s="307"/>
      <c r="F19" s="312"/>
      <c r="G19" s="307"/>
      <c r="H19" s="304">
        <f t="shared" ref="H19:P19" si="32">SUM(H20:H21)</f>
        <v>0</v>
      </c>
      <c r="I19" s="308">
        <f t="shared" si="32"/>
        <v>0</v>
      </c>
      <c r="J19" s="308">
        <f t="shared" si="32"/>
        <v>0</v>
      </c>
      <c r="K19" s="308">
        <f t="shared" si="32"/>
        <v>0</v>
      </c>
      <c r="L19" s="308">
        <f t="shared" si="32"/>
        <v>0</v>
      </c>
      <c r="M19" s="308">
        <f t="shared" si="32"/>
        <v>0</v>
      </c>
      <c r="N19" s="308">
        <f t="shared" si="32"/>
        <v>0</v>
      </c>
      <c r="O19" s="308">
        <f t="shared" si="32"/>
        <v>0</v>
      </c>
      <c r="P19" s="308">
        <f t="shared" si="32"/>
        <v>0</v>
      </c>
      <c r="Q19" s="309"/>
      <c r="R19" s="310"/>
      <c r="T19" s="327"/>
      <c r="V19" s="333"/>
      <c r="W19" s="308">
        <f t="shared" ref="W19:X19" si="33">SUM(W20:W21)</f>
        <v>0</v>
      </c>
      <c r="X19" s="308">
        <f t="shared" si="33"/>
        <v>0</v>
      </c>
      <c r="Y19" s="327" t="str">
        <f t="shared" si="22"/>
        <v>ok</v>
      </c>
      <c r="AA19" s="338">
        <f t="shared" si="8"/>
        <v>0</v>
      </c>
      <c r="AB19" s="308">
        <f t="shared" ref="AB19:AC19" si="34">SUM(AB20:AB21)</f>
        <v>0</v>
      </c>
      <c r="AC19" s="308">
        <f t="shared" si="34"/>
        <v>0</v>
      </c>
      <c r="AD19" s="327" t="str">
        <f t="shared" si="10"/>
        <v>ok</v>
      </c>
      <c r="AF19" s="340"/>
      <c r="AH19" s="327" t="str">
        <f t="shared" si="11"/>
        <v/>
      </c>
      <c r="AI19" s="327" t="str">
        <f t="shared" si="12"/>
        <v/>
      </c>
      <c r="AK19" s="195"/>
      <c r="AM19" s="327"/>
    </row>
    <row r="20" spans="1:39" ht="39.950000000000003" customHeight="1">
      <c r="A20" s="325"/>
      <c r="B20" s="213"/>
      <c r="C20" s="215"/>
      <c r="D20" s="214"/>
      <c r="E20" s="214"/>
      <c r="F20" s="214"/>
      <c r="G20" s="215"/>
      <c r="H20" s="234"/>
      <c r="I20" s="234"/>
      <c r="J20" s="233" t="str">
        <f t="shared" si="13"/>
        <v/>
      </c>
      <c r="K20" s="145"/>
      <c r="L20" s="145"/>
      <c r="M20" s="59">
        <f t="shared" si="14"/>
        <v>0</v>
      </c>
      <c r="N20" s="145"/>
      <c r="O20" s="145"/>
      <c r="P20" s="59">
        <f t="shared" si="15"/>
        <v>0</v>
      </c>
      <c r="Q20" s="60"/>
      <c r="R20" s="217"/>
      <c r="T20" s="327"/>
      <c r="V20" s="333"/>
      <c r="W20" s="195">
        <f t="shared" si="20"/>
        <v>0</v>
      </c>
      <c r="X20" s="195">
        <f t="shared" si="21"/>
        <v>0</v>
      </c>
      <c r="Y20" s="327" t="str">
        <f t="shared" si="22"/>
        <v>ok</v>
      </c>
      <c r="AA20" s="338">
        <f t="shared" si="8"/>
        <v>0</v>
      </c>
      <c r="AB20" s="195">
        <f t="shared" si="18"/>
        <v>0</v>
      </c>
      <c r="AC20" s="195">
        <f t="shared" si="19"/>
        <v>0</v>
      </c>
      <c r="AD20" s="327" t="str">
        <f t="shared" si="10"/>
        <v>ok</v>
      </c>
      <c r="AF20" s="340"/>
      <c r="AH20" s="327" t="str">
        <f t="shared" si="11"/>
        <v/>
      </c>
      <c r="AI20" s="327" t="str">
        <f t="shared" si="12"/>
        <v/>
      </c>
      <c r="AK20" s="195"/>
      <c r="AM20" s="327"/>
    </row>
    <row r="21" spans="1:39" ht="39.950000000000003" customHeight="1">
      <c r="A21" s="325"/>
      <c r="B21" s="213"/>
      <c r="C21" s="215"/>
      <c r="D21" s="214"/>
      <c r="E21" s="214"/>
      <c r="F21" s="214"/>
      <c r="G21" s="215"/>
      <c r="H21" s="234"/>
      <c r="I21" s="234"/>
      <c r="J21" s="233" t="str">
        <f t="shared" si="13"/>
        <v/>
      </c>
      <c r="K21" s="145"/>
      <c r="L21" s="145"/>
      <c r="M21" s="59">
        <f t="shared" si="14"/>
        <v>0</v>
      </c>
      <c r="N21" s="145"/>
      <c r="O21" s="145"/>
      <c r="P21" s="59">
        <f t="shared" si="15"/>
        <v>0</v>
      </c>
      <c r="Q21" s="60"/>
      <c r="R21" s="217"/>
      <c r="T21" s="327"/>
      <c r="V21" s="333"/>
      <c r="W21" s="195">
        <f t="shared" si="20"/>
        <v>0</v>
      </c>
      <c r="X21" s="195">
        <f t="shared" si="21"/>
        <v>0</v>
      </c>
      <c r="Y21" s="327" t="str">
        <f t="shared" si="22"/>
        <v>ok</v>
      </c>
      <c r="AA21" s="338">
        <f t="shared" si="8"/>
        <v>0</v>
      </c>
      <c r="AB21" s="195">
        <f t="shared" si="18"/>
        <v>0</v>
      </c>
      <c r="AC21" s="195">
        <f t="shared" si="19"/>
        <v>0</v>
      </c>
      <c r="AD21" s="327" t="str">
        <f t="shared" si="10"/>
        <v>ok</v>
      </c>
      <c r="AF21" s="340"/>
      <c r="AH21" s="327" t="str">
        <f t="shared" si="11"/>
        <v/>
      </c>
      <c r="AI21" s="327" t="str">
        <f t="shared" si="12"/>
        <v/>
      </c>
      <c r="AK21" s="195"/>
      <c r="AM21" s="327"/>
    </row>
    <row r="22" spans="1:39" ht="39.950000000000003" customHeight="1">
      <c r="A22" s="326" t="s">
        <v>638</v>
      </c>
      <c r="B22" s="307"/>
      <c r="C22" s="312"/>
      <c r="D22" s="307"/>
      <c r="E22" s="307"/>
      <c r="F22" s="312"/>
      <c r="G22" s="307"/>
      <c r="H22" s="304">
        <f t="shared" ref="H22:P22" si="35">SUM(H23:H24)</f>
        <v>0</v>
      </c>
      <c r="I22" s="308">
        <f t="shared" si="35"/>
        <v>0</v>
      </c>
      <c r="J22" s="308">
        <f t="shared" si="35"/>
        <v>0</v>
      </c>
      <c r="K22" s="308">
        <f t="shared" si="35"/>
        <v>0</v>
      </c>
      <c r="L22" s="308">
        <f t="shared" si="35"/>
        <v>0</v>
      </c>
      <c r="M22" s="308">
        <f t="shared" si="35"/>
        <v>0</v>
      </c>
      <c r="N22" s="308">
        <f t="shared" si="35"/>
        <v>0</v>
      </c>
      <c r="O22" s="308">
        <f t="shared" si="35"/>
        <v>0</v>
      </c>
      <c r="P22" s="308">
        <f t="shared" si="35"/>
        <v>0</v>
      </c>
      <c r="Q22" s="309"/>
      <c r="R22" s="310"/>
      <c r="T22" s="327"/>
      <c r="V22" s="333"/>
      <c r="W22" s="308">
        <f>SUM(W23:W24)</f>
        <v>0</v>
      </c>
      <c r="X22" s="308">
        <f t="shared" ref="X22" si="36">SUM(X23:X24)</f>
        <v>0</v>
      </c>
      <c r="Y22" s="327" t="str">
        <f t="shared" si="22"/>
        <v>ok</v>
      </c>
      <c r="AA22" s="338">
        <f t="shared" si="8"/>
        <v>0</v>
      </c>
      <c r="AB22" s="308">
        <f>SUM(AB23:AB24)</f>
        <v>0</v>
      </c>
      <c r="AC22" s="308">
        <f t="shared" ref="AC22" si="37">SUM(AC23:AC24)</f>
        <v>0</v>
      </c>
      <c r="AD22" s="327" t="str">
        <f t="shared" si="10"/>
        <v>ok</v>
      </c>
      <c r="AF22" s="340"/>
      <c r="AH22" s="327" t="str">
        <f t="shared" si="11"/>
        <v/>
      </c>
      <c r="AI22" s="327" t="str">
        <f t="shared" si="12"/>
        <v/>
      </c>
      <c r="AK22" s="195"/>
      <c r="AM22" s="327"/>
    </row>
    <row r="23" spans="1:39" ht="39.950000000000003" customHeight="1">
      <c r="A23" s="325"/>
      <c r="B23" s="213"/>
      <c r="C23" s="215"/>
      <c r="D23" s="214"/>
      <c r="E23" s="214"/>
      <c r="F23" s="214"/>
      <c r="G23" s="215"/>
      <c r="H23" s="234"/>
      <c r="I23" s="234"/>
      <c r="J23" s="233" t="str">
        <f t="shared" si="13"/>
        <v/>
      </c>
      <c r="K23" s="145"/>
      <c r="L23" s="145"/>
      <c r="M23" s="59">
        <f t="shared" si="14"/>
        <v>0</v>
      </c>
      <c r="N23" s="145"/>
      <c r="O23" s="145"/>
      <c r="P23" s="59">
        <f t="shared" si="15"/>
        <v>0</v>
      </c>
      <c r="Q23" s="60"/>
      <c r="R23" s="217"/>
      <c r="T23" s="327"/>
      <c r="V23" s="333"/>
      <c r="W23" s="195">
        <f t="shared" si="20"/>
        <v>0</v>
      </c>
      <c r="X23" s="195">
        <f t="shared" si="21"/>
        <v>0</v>
      </c>
      <c r="Y23" s="327" t="str">
        <f t="shared" si="22"/>
        <v>ok</v>
      </c>
      <c r="AA23" s="338">
        <f t="shared" si="8"/>
        <v>0</v>
      </c>
      <c r="AB23" s="195">
        <f t="shared" si="18"/>
        <v>0</v>
      </c>
      <c r="AC23" s="195">
        <f t="shared" si="19"/>
        <v>0</v>
      </c>
      <c r="AD23" s="327" t="str">
        <f t="shared" si="10"/>
        <v>ok</v>
      </c>
      <c r="AF23" s="340"/>
      <c r="AH23" s="327" t="str">
        <f t="shared" si="11"/>
        <v/>
      </c>
      <c r="AI23" s="327" t="str">
        <f t="shared" si="12"/>
        <v/>
      </c>
      <c r="AK23" s="195"/>
      <c r="AM23" s="327"/>
    </row>
    <row r="24" spans="1:39" ht="39.950000000000003" customHeight="1">
      <c r="A24" s="325"/>
      <c r="B24" s="213"/>
      <c r="C24" s="215"/>
      <c r="D24" s="214"/>
      <c r="E24" s="214"/>
      <c r="F24" s="214"/>
      <c r="G24" s="215"/>
      <c r="H24" s="234"/>
      <c r="I24" s="234"/>
      <c r="J24" s="233" t="str">
        <f t="shared" si="13"/>
        <v/>
      </c>
      <c r="K24" s="145"/>
      <c r="L24" s="145"/>
      <c r="M24" s="59">
        <f t="shared" si="14"/>
        <v>0</v>
      </c>
      <c r="N24" s="145"/>
      <c r="O24" s="145"/>
      <c r="P24" s="59">
        <f t="shared" si="15"/>
        <v>0</v>
      </c>
      <c r="Q24" s="60"/>
      <c r="R24" s="217"/>
      <c r="T24" s="327"/>
      <c r="V24" s="333"/>
      <c r="W24" s="195">
        <f t="shared" si="20"/>
        <v>0</v>
      </c>
      <c r="X24" s="195">
        <f t="shared" si="21"/>
        <v>0</v>
      </c>
      <c r="Y24" s="327" t="str">
        <f t="shared" si="22"/>
        <v>ok</v>
      </c>
      <c r="AA24" s="338">
        <f t="shared" si="8"/>
        <v>0</v>
      </c>
      <c r="AB24" s="195">
        <f t="shared" si="18"/>
        <v>0</v>
      </c>
      <c r="AC24" s="195">
        <f t="shared" si="19"/>
        <v>0</v>
      </c>
      <c r="AD24" s="327" t="str">
        <f t="shared" si="10"/>
        <v>ok</v>
      </c>
      <c r="AF24" s="340"/>
      <c r="AH24" s="327" t="str">
        <f t="shared" si="11"/>
        <v/>
      </c>
      <c r="AI24" s="327" t="str">
        <f t="shared" si="12"/>
        <v/>
      </c>
      <c r="AK24" s="195"/>
      <c r="AM24" s="327"/>
    </row>
    <row r="25" spans="1:39" ht="39.950000000000003" customHeight="1">
      <c r="A25" s="326" t="s">
        <v>639</v>
      </c>
      <c r="B25" s="307"/>
      <c r="C25" s="312"/>
      <c r="D25" s="307"/>
      <c r="E25" s="307"/>
      <c r="F25" s="312"/>
      <c r="G25" s="307"/>
      <c r="H25" s="304">
        <f t="shared" ref="H25:P25" si="38">SUM(H26:H27)</f>
        <v>0</v>
      </c>
      <c r="I25" s="308">
        <f t="shared" si="38"/>
        <v>0</v>
      </c>
      <c r="J25" s="308">
        <f t="shared" si="38"/>
        <v>0</v>
      </c>
      <c r="K25" s="308">
        <f t="shared" si="38"/>
        <v>0</v>
      </c>
      <c r="L25" s="308">
        <f t="shared" si="38"/>
        <v>0</v>
      </c>
      <c r="M25" s="308">
        <f t="shared" si="38"/>
        <v>0</v>
      </c>
      <c r="N25" s="308">
        <f t="shared" si="38"/>
        <v>0</v>
      </c>
      <c r="O25" s="308">
        <f t="shared" si="38"/>
        <v>0</v>
      </c>
      <c r="P25" s="308">
        <f t="shared" si="38"/>
        <v>0</v>
      </c>
      <c r="Q25" s="309"/>
      <c r="R25" s="310"/>
      <c r="T25" s="327"/>
      <c r="V25" s="333"/>
      <c r="W25" s="308">
        <f t="shared" ref="W25:X25" si="39">SUM(W26:W27)</f>
        <v>0</v>
      </c>
      <c r="X25" s="308">
        <f t="shared" si="39"/>
        <v>0</v>
      </c>
      <c r="Y25" s="327" t="str">
        <f t="shared" si="22"/>
        <v>ok</v>
      </c>
      <c r="AA25" s="338">
        <f t="shared" si="8"/>
        <v>0</v>
      </c>
      <c r="AB25" s="308">
        <f t="shared" ref="AB25:AC25" si="40">SUM(AB26:AB27)</f>
        <v>0</v>
      </c>
      <c r="AC25" s="308">
        <f t="shared" si="40"/>
        <v>0</v>
      </c>
      <c r="AD25" s="327" t="str">
        <f t="shared" si="10"/>
        <v>ok</v>
      </c>
      <c r="AF25" s="340"/>
      <c r="AH25" s="327" t="str">
        <f t="shared" si="11"/>
        <v/>
      </c>
      <c r="AI25" s="327" t="str">
        <f t="shared" si="12"/>
        <v/>
      </c>
      <c r="AK25" s="195"/>
      <c r="AM25" s="327"/>
    </row>
    <row r="26" spans="1:39" ht="39.950000000000003" customHeight="1">
      <c r="A26" s="325"/>
      <c r="B26" s="213"/>
      <c r="C26" s="215"/>
      <c r="D26" s="214"/>
      <c r="E26" s="214"/>
      <c r="F26" s="214"/>
      <c r="G26" s="215"/>
      <c r="H26" s="234"/>
      <c r="I26" s="234"/>
      <c r="J26" s="233" t="str">
        <f t="shared" si="13"/>
        <v/>
      </c>
      <c r="K26" s="145"/>
      <c r="L26" s="145"/>
      <c r="M26" s="59">
        <f t="shared" si="14"/>
        <v>0</v>
      </c>
      <c r="N26" s="145"/>
      <c r="O26" s="145"/>
      <c r="P26" s="59">
        <f t="shared" ref="P26:P33" si="41">IF(H26=0,I26+N26+O26,H26+N26+O26)</f>
        <v>0</v>
      </c>
      <c r="Q26" s="60"/>
      <c r="R26" s="217"/>
      <c r="T26" s="327"/>
      <c r="V26" s="333"/>
      <c r="W26" s="195">
        <f t="shared" si="20"/>
        <v>0</v>
      </c>
      <c r="X26" s="195">
        <f t="shared" si="21"/>
        <v>0</v>
      </c>
      <c r="Y26" s="327" t="str">
        <f t="shared" si="22"/>
        <v>ok</v>
      </c>
      <c r="AA26" s="338">
        <f t="shared" si="8"/>
        <v>0</v>
      </c>
      <c r="AB26" s="195">
        <f t="shared" si="18"/>
        <v>0</v>
      </c>
      <c r="AC26" s="195">
        <f t="shared" si="19"/>
        <v>0</v>
      </c>
      <c r="AD26" s="327" t="str">
        <f t="shared" si="10"/>
        <v>ok</v>
      </c>
      <c r="AF26" s="340"/>
      <c r="AH26" s="327" t="str">
        <f t="shared" si="11"/>
        <v/>
      </c>
      <c r="AI26" s="327" t="str">
        <f t="shared" si="12"/>
        <v/>
      </c>
      <c r="AK26" s="195"/>
      <c r="AM26" s="327"/>
    </row>
    <row r="27" spans="1:39" ht="39.950000000000003" customHeight="1">
      <c r="A27" s="325"/>
      <c r="B27" s="213"/>
      <c r="C27" s="215"/>
      <c r="D27" s="214"/>
      <c r="E27" s="214"/>
      <c r="F27" s="214"/>
      <c r="G27" s="215"/>
      <c r="H27" s="234"/>
      <c r="I27" s="234"/>
      <c r="J27" s="233" t="str">
        <f t="shared" si="13"/>
        <v/>
      </c>
      <c r="K27" s="145"/>
      <c r="L27" s="145"/>
      <c r="M27" s="59">
        <f t="shared" si="14"/>
        <v>0</v>
      </c>
      <c r="N27" s="145"/>
      <c r="O27" s="145"/>
      <c r="P27" s="59">
        <f t="shared" si="41"/>
        <v>0</v>
      </c>
      <c r="Q27" s="60"/>
      <c r="R27" s="217"/>
      <c r="T27" s="327"/>
      <c r="V27" s="333"/>
      <c r="W27" s="195">
        <f t="shared" si="20"/>
        <v>0</v>
      </c>
      <c r="X27" s="195">
        <f t="shared" si="21"/>
        <v>0</v>
      </c>
      <c r="Y27" s="327" t="str">
        <f t="shared" si="22"/>
        <v>ok</v>
      </c>
      <c r="AA27" s="338">
        <f t="shared" si="8"/>
        <v>0</v>
      </c>
      <c r="AB27" s="195">
        <f t="shared" si="18"/>
        <v>0</v>
      </c>
      <c r="AC27" s="195">
        <f t="shared" si="19"/>
        <v>0</v>
      </c>
      <c r="AD27" s="327" t="str">
        <f t="shared" si="10"/>
        <v>ok</v>
      </c>
      <c r="AF27" s="340"/>
      <c r="AH27" s="327" t="str">
        <f t="shared" si="11"/>
        <v/>
      </c>
      <c r="AI27" s="327" t="str">
        <f t="shared" si="12"/>
        <v/>
      </c>
      <c r="AK27" s="195"/>
      <c r="AM27" s="327"/>
    </row>
    <row r="28" spans="1:39" ht="39.950000000000003" customHeight="1">
      <c r="A28" s="326" t="s">
        <v>640</v>
      </c>
      <c r="B28" s="307"/>
      <c r="C28" s="312"/>
      <c r="D28" s="307"/>
      <c r="E28" s="307"/>
      <c r="F28" s="312"/>
      <c r="G28" s="307"/>
      <c r="H28" s="304">
        <f t="shared" ref="H28:P28" si="42">SUM(H29:H30)</f>
        <v>0</v>
      </c>
      <c r="I28" s="308">
        <f t="shared" si="42"/>
        <v>0</v>
      </c>
      <c r="J28" s="308">
        <f t="shared" si="42"/>
        <v>0</v>
      </c>
      <c r="K28" s="308">
        <f t="shared" si="42"/>
        <v>0</v>
      </c>
      <c r="L28" s="308">
        <f t="shared" si="42"/>
        <v>0</v>
      </c>
      <c r="M28" s="308">
        <f t="shared" si="42"/>
        <v>0</v>
      </c>
      <c r="N28" s="308">
        <f t="shared" si="42"/>
        <v>0</v>
      </c>
      <c r="O28" s="308">
        <f t="shared" si="42"/>
        <v>0</v>
      </c>
      <c r="P28" s="308">
        <f t="shared" si="42"/>
        <v>0</v>
      </c>
      <c r="Q28" s="309"/>
      <c r="R28" s="310"/>
      <c r="T28" s="327"/>
      <c r="V28" s="333"/>
      <c r="W28" s="308">
        <f>SUM(W29:W30)</f>
        <v>0</v>
      </c>
      <c r="X28" s="308">
        <f>SUM(X29:X30)</f>
        <v>0</v>
      </c>
      <c r="Y28" s="327" t="str">
        <f t="shared" si="22"/>
        <v>ok</v>
      </c>
      <c r="AA28" s="338">
        <f t="shared" si="8"/>
        <v>0</v>
      </c>
      <c r="AB28" s="308">
        <f>SUM(AB29:AB30)</f>
        <v>0</v>
      </c>
      <c r="AC28" s="308">
        <f>SUM(AC29:AC30)</f>
        <v>0</v>
      </c>
      <c r="AD28" s="327" t="str">
        <f t="shared" si="10"/>
        <v>ok</v>
      </c>
      <c r="AF28" s="340"/>
      <c r="AH28" s="327" t="str">
        <f t="shared" si="11"/>
        <v/>
      </c>
      <c r="AI28" s="327" t="str">
        <f t="shared" si="12"/>
        <v/>
      </c>
      <c r="AK28" s="195"/>
      <c r="AM28" s="327"/>
    </row>
    <row r="29" spans="1:39" ht="39.950000000000003" customHeight="1">
      <c r="A29" s="325"/>
      <c r="B29" s="213"/>
      <c r="C29" s="215"/>
      <c r="D29" s="214"/>
      <c r="E29" s="214"/>
      <c r="F29" s="214"/>
      <c r="G29" s="215"/>
      <c r="H29" s="234"/>
      <c r="I29" s="234"/>
      <c r="J29" s="233" t="str">
        <f t="shared" si="13"/>
        <v/>
      </c>
      <c r="K29" s="145"/>
      <c r="L29" s="145"/>
      <c r="M29" s="59">
        <f t="shared" si="14"/>
        <v>0</v>
      </c>
      <c r="N29" s="145"/>
      <c r="O29" s="145"/>
      <c r="P29" s="59">
        <f t="shared" si="41"/>
        <v>0</v>
      </c>
      <c r="Q29" s="60"/>
      <c r="R29" s="217"/>
      <c r="T29" s="327"/>
      <c r="V29" s="333"/>
      <c r="W29" s="195">
        <f t="shared" si="20"/>
        <v>0</v>
      </c>
      <c r="X29" s="195">
        <f t="shared" si="21"/>
        <v>0</v>
      </c>
      <c r="Y29" s="327" t="str">
        <f t="shared" si="22"/>
        <v>ok</v>
      </c>
      <c r="AA29" s="338">
        <f t="shared" si="8"/>
        <v>0</v>
      </c>
      <c r="AB29" s="195">
        <f t="shared" si="18"/>
        <v>0</v>
      </c>
      <c r="AC29" s="195">
        <f t="shared" si="19"/>
        <v>0</v>
      </c>
      <c r="AD29" s="327" t="str">
        <f t="shared" si="10"/>
        <v>ok</v>
      </c>
      <c r="AF29" s="340"/>
      <c r="AH29" s="327" t="str">
        <f t="shared" si="11"/>
        <v/>
      </c>
      <c r="AI29" s="327" t="str">
        <f t="shared" si="12"/>
        <v/>
      </c>
      <c r="AK29" s="195"/>
      <c r="AM29" s="327"/>
    </row>
    <row r="30" spans="1:39" ht="39.950000000000003" customHeight="1">
      <c r="A30" s="325"/>
      <c r="B30" s="213"/>
      <c r="C30" s="215"/>
      <c r="D30" s="214"/>
      <c r="E30" s="214"/>
      <c r="F30" s="214"/>
      <c r="G30" s="215"/>
      <c r="H30" s="234"/>
      <c r="I30" s="234"/>
      <c r="J30" s="233" t="str">
        <f t="shared" si="13"/>
        <v/>
      </c>
      <c r="K30" s="145"/>
      <c r="L30" s="145"/>
      <c r="M30" s="59">
        <f t="shared" si="14"/>
        <v>0</v>
      </c>
      <c r="N30" s="145"/>
      <c r="O30" s="145"/>
      <c r="P30" s="59">
        <f t="shared" si="41"/>
        <v>0</v>
      </c>
      <c r="Q30" s="60"/>
      <c r="R30" s="217"/>
      <c r="T30" s="327"/>
      <c r="V30" s="333"/>
      <c r="W30" s="195">
        <f t="shared" si="20"/>
        <v>0</v>
      </c>
      <c r="X30" s="195">
        <f t="shared" si="21"/>
        <v>0</v>
      </c>
      <c r="Y30" s="327" t="str">
        <f t="shared" si="22"/>
        <v>ok</v>
      </c>
      <c r="AA30" s="338">
        <f t="shared" si="8"/>
        <v>0</v>
      </c>
      <c r="AB30" s="195">
        <f t="shared" si="18"/>
        <v>0</v>
      </c>
      <c r="AC30" s="195">
        <f t="shared" si="19"/>
        <v>0</v>
      </c>
      <c r="AD30" s="327" t="str">
        <f t="shared" si="10"/>
        <v>ok</v>
      </c>
      <c r="AF30" s="340"/>
      <c r="AH30" s="327" t="str">
        <f t="shared" si="11"/>
        <v/>
      </c>
      <c r="AI30" s="327" t="str">
        <f t="shared" si="12"/>
        <v/>
      </c>
      <c r="AK30" s="195"/>
      <c r="AM30" s="327"/>
    </row>
    <row r="31" spans="1:39" ht="39.950000000000003" customHeight="1">
      <c r="A31" s="326" t="s">
        <v>633</v>
      </c>
      <c r="B31" s="307"/>
      <c r="C31" s="312"/>
      <c r="D31" s="307"/>
      <c r="E31" s="307"/>
      <c r="F31" s="312"/>
      <c r="G31" s="307"/>
      <c r="H31" s="308">
        <f t="shared" ref="H31:P31" si="43">SUM(H32:H33)</f>
        <v>0</v>
      </c>
      <c r="I31" s="308">
        <f t="shared" si="43"/>
        <v>0</v>
      </c>
      <c r="J31" s="308">
        <f t="shared" si="43"/>
        <v>0</v>
      </c>
      <c r="K31" s="308">
        <f t="shared" si="43"/>
        <v>0</v>
      </c>
      <c r="L31" s="308">
        <f t="shared" si="43"/>
        <v>0</v>
      </c>
      <c r="M31" s="308">
        <f t="shared" si="43"/>
        <v>0</v>
      </c>
      <c r="N31" s="308">
        <f t="shared" si="43"/>
        <v>0</v>
      </c>
      <c r="O31" s="308">
        <f t="shared" si="43"/>
        <v>0</v>
      </c>
      <c r="P31" s="308">
        <f t="shared" si="43"/>
        <v>0</v>
      </c>
      <c r="Q31" s="309"/>
      <c r="R31" s="310"/>
      <c r="T31" s="327"/>
      <c r="V31" s="333"/>
      <c r="W31" s="308">
        <f t="shared" ref="W31:X31" si="44">SUM(W32:W33)</f>
        <v>0</v>
      </c>
      <c r="X31" s="308">
        <f t="shared" si="44"/>
        <v>0</v>
      </c>
      <c r="Y31" s="327" t="str">
        <f t="shared" si="22"/>
        <v>ok</v>
      </c>
      <c r="AA31" s="338">
        <f t="shared" si="8"/>
        <v>0</v>
      </c>
      <c r="AB31" s="308">
        <f t="shared" ref="AB31:AC31" si="45">SUM(AB32:AB33)</f>
        <v>0</v>
      </c>
      <c r="AC31" s="308">
        <f t="shared" si="45"/>
        <v>0</v>
      </c>
      <c r="AD31" s="327" t="str">
        <f t="shared" si="10"/>
        <v>ok</v>
      </c>
      <c r="AF31" s="340"/>
      <c r="AH31" s="327" t="str">
        <f t="shared" si="11"/>
        <v/>
      </c>
      <c r="AI31" s="327" t="str">
        <f t="shared" si="12"/>
        <v/>
      </c>
      <c r="AK31" s="195"/>
      <c r="AM31" s="327"/>
    </row>
    <row r="32" spans="1:39" ht="39.950000000000003" customHeight="1">
      <c r="A32" s="325"/>
      <c r="B32" s="213"/>
      <c r="C32" s="215"/>
      <c r="D32" s="214"/>
      <c r="E32" s="214"/>
      <c r="F32" s="214"/>
      <c r="G32" s="215"/>
      <c r="H32" s="233"/>
      <c r="I32" s="233"/>
      <c r="J32" s="233" t="str">
        <f t="shared" si="13"/>
        <v/>
      </c>
      <c r="K32" s="145"/>
      <c r="L32" s="145"/>
      <c r="M32" s="59">
        <f t="shared" si="14"/>
        <v>0</v>
      </c>
      <c r="N32" s="145"/>
      <c r="O32" s="145"/>
      <c r="P32" s="59">
        <f t="shared" si="41"/>
        <v>0</v>
      </c>
      <c r="Q32" s="60"/>
      <c r="R32" s="313"/>
      <c r="T32" s="327"/>
      <c r="V32" s="333"/>
      <c r="W32" s="195">
        <f t="shared" si="20"/>
        <v>0</v>
      </c>
      <c r="X32" s="195">
        <f t="shared" si="21"/>
        <v>0</v>
      </c>
      <c r="Y32" s="327" t="str">
        <f t="shared" si="22"/>
        <v>ok</v>
      </c>
      <c r="AA32" s="338">
        <f t="shared" si="8"/>
        <v>0</v>
      </c>
      <c r="AB32" s="195">
        <f t="shared" si="18"/>
        <v>0</v>
      </c>
      <c r="AC32" s="195">
        <f t="shared" si="19"/>
        <v>0</v>
      </c>
      <c r="AD32" s="327" t="str">
        <f t="shared" si="10"/>
        <v>ok</v>
      </c>
      <c r="AF32" s="340"/>
      <c r="AH32" s="327" t="str">
        <f t="shared" si="11"/>
        <v/>
      </c>
      <c r="AI32" s="327" t="str">
        <f t="shared" si="12"/>
        <v/>
      </c>
      <c r="AK32" s="195"/>
      <c r="AM32" s="327"/>
    </row>
    <row r="33" spans="1:39" ht="39.950000000000003" customHeight="1">
      <c r="A33" s="325"/>
      <c r="B33" s="213"/>
      <c r="C33" s="215"/>
      <c r="D33" s="214"/>
      <c r="E33" s="214"/>
      <c r="F33" s="214"/>
      <c r="G33" s="215"/>
      <c r="H33" s="233"/>
      <c r="I33" s="233"/>
      <c r="J33" s="233" t="str">
        <f t="shared" si="13"/>
        <v/>
      </c>
      <c r="K33" s="145"/>
      <c r="L33" s="145"/>
      <c r="M33" s="59">
        <f t="shared" si="14"/>
        <v>0</v>
      </c>
      <c r="N33" s="145"/>
      <c r="O33" s="145"/>
      <c r="P33" s="59">
        <f t="shared" si="41"/>
        <v>0</v>
      </c>
      <c r="Q33" s="60"/>
      <c r="R33" s="217"/>
      <c r="T33" s="328"/>
      <c r="V33" s="334"/>
      <c r="W33" s="335">
        <f t="shared" si="20"/>
        <v>0</v>
      </c>
      <c r="X33" s="335">
        <f t="shared" si="21"/>
        <v>0</v>
      </c>
      <c r="Y33" s="328" t="str">
        <f t="shared" si="22"/>
        <v>ok</v>
      </c>
      <c r="AA33" s="339">
        <f t="shared" si="8"/>
        <v>0</v>
      </c>
      <c r="AB33" s="335">
        <f t="shared" si="18"/>
        <v>0</v>
      </c>
      <c r="AC33" s="335">
        <f t="shared" si="19"/>
        <v>0</v>
      </c>
      <c r="AD33" s="328" t="str">
        <f t="shared" si="10"/>
        <v>ok</v>
      </c>
      <c r="AF33" s="342"/>
      <c r="AH33" s="328" t="str">
        <f t="shared" si="11"/>
        <v/>
      </c>
      <c r="AI33" s="328" t="str">
        <f t="shared" si="12"/>
        <v/>
      </c>
      <c r="AK33" s="335"/>
      <c r="AM33" s="328"/>
    </row>
    <row r="34" spans="1:39" ht="39.950000000000003" customHeight="1"/>
  </sheetData>
  <sheetProtection formatCells="0" formatColumns="0" formatRow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F9 AH9:AI9 T12:T536 AM12:AM536 AF12:AF536 AH12:AI536 AM9 T9">
    <cfRule type="containsText" dxfId="23" priority="186" operator="containsText" text="국도비">
      <formula>NOT(ISERROR(SEARCH("국도비",T9)))</formula>
    </cfRule>
  </conditionalFormatting>
  <conditionalFormatting sqref="H34:J536">
    <cfRule type="expression" dxfId="22" priority="185">
      <formula>($D34="본예산")</formula>
    </cfRule>
  </conditionalFormatting>
  <conditionalFormatting sqref="U12:X12 AB12:AD12 AB9:AD9 U9:X9 U14:X15 U13:V13 AB14:AD15 AD13 U17:X18 U16:V16 AB17:AD18 AD16 U20:X21 U19:V19 AB20:AD21 AD19 U23:X24 U22:V22 AB23:AD24 AD22 U26:X27 U25:V25 AB26:AD27 AD25 U29:X30 U28:V28 AB29:AD30 AD28 U32:X536 U31:V31 AB32:AD536 AD31">
    <cfRule type="containsText" dxfId="21" priority="184" operator="containsText" text="직접입력">
      <formula>NOT(ISERROR(SEARCH("직접입력",U9)))</formula>
    </cfRule>
  </conditionalFormatting>
  <conditionalFormatting sqref="AM10">
    <cfRule type="containsText" dxfId="20" priority="115" operator="containsText" text="국도비">
      <formula>NOT(ISERROR(SEARCH("국도비",AM10)))</formula>
    </cfRule>
  </conditionalFormatting>
  <conditionalFormatting sqref="T10">
    <cfRule type="containsText" dxfId="19" priority="112" operator="containsText" text="국도비">
      <formula>NOT(ISERROR(SEARCH("국도비",T10)))</formula>
    </cfRule>
  </conditionalFormatting>
  <conditionalFormatting sqref="AD10 U10:V10">
    <cfRule type="containsText" dxfId="18" priority="110" operator="containsText" text="직접입력">
      <formula>NOT(ISERROR(SEARCH("직접입력",U10)))</formula>
    </cfRule>
  </conditionalFormatting>
  <conditionalFormatting sqref="AF10">
    <cfRule type="containsText" dxfId="17" priority="109" operator="containsText" text="국도비">
      <formula>NOT(ISERROR(SEARCH("국도비",AF10)))</formula>
    </cfRule>
  </conditionalFormatting>
  <conditionalFormatting sqref="AH10">
    <cfRule type="containsText" dxfId="16" priority="108" operator="containsText" text="국도비">
      <formula>NOT(ISERROR(SEARCH("국도비",AH10)))</formula>
    </cfRule>
  </conditionalFormatting>
  <conditionalFormatting sqref="AI10">
    <cfRule type="containsText" dxfId="15" priority="107" operator="containsText" text="국도비">
      <formula>NOT(ISERROR(SEARCH("국도비",AI10)))</formula>
    </cfRule>
  </conditionalFormatting>
  <conditionalFormatting sqref="AM8">
    <cfRule type="containsText" dxfId="14" priority="33" operator="containsText" text="국도비">
      <formula>NOT(ISERROR(SEARCH("국도비",AM8)))</formula>
    </cfRule>
  </conditionalFormatting>
  <conditionalFormatting sqref="AF8">
    <cfRule type="containsText" dxfId="13" priority="31" operator="containsText" text="국도비">
      <formula>NOT(ISERROR(SEARCH("국도비",AF8)))</formula>
    </cfRule>
  </conditionalFormatting>
  <conditionalFormatting sqref="AH8">
    <cfRule type="containsText" dxfId="12" priority="30" operator="containsText" text="국도비">
      <formula>NOT(ISERROR(SEARCH("국도비",AH8)))</formula>
    </cfRule>
  </conditionalFormatting>
  <conditionalFormatting sqref="AI8">
    <cfRule type="containsText" dxfId="11" priority="29" operator="containsText" text="국도비">
      <formula>NOT(ISERROR(SEARCH("국도비",AI8)))</formula>
    </cfRule>
  </conditionalFormatting>
  <conditionalFormatting sqref="AM11">
    <cfRule type="containsText" dxfId="10" priority="13" operator="containsText" text="국도비">
      <formula>NOT(ISERROR(SEARCH("국도비",AM11)))</formula>
    </cfRule>
  </conditionalFormatting>
  <conditionalFormatting sqref="AF11">
    <cfRule type="containsText" dxfId="9" priority="11" operator="containsText" text="국도비">
      <formula>NOT(ISERROR(SEARCH("국도비",AF11)))</formula>
    </cfRule>
  </conditionalFormatting>
  <conditionalFormatting sqref="AH11">
    <cfRule type="containsText" dxfId="8" priority="10" operator="containsText" text="국도비">
      <formula>NOT(ISERROR(SEARCH("국도비",AH11)))</formula>
    </cfRule>
  </conditionalFormatting>
  <conditionalFormatting sqref="AI11">
    <cfRule type="containsText" dxfId="7" priority="9" operator="containsText" text="국도비">
      <formula>NOT(ISERROR(SEARCH("국도비",AI11)))</formula>
    </cfRule>
  </conditionalFormatting>
  <conditionalFormatting sqref="T8">
    <cfRule type="containsText" dxfId="6" priority="7" operator="containsText" text="국도비">
      <formula>NOT(ISERROR(SEARCH("국도비",T8)))</formula>
    </cfRule>
  </conditionalFormatting>
  <conditionalFormatting sqref="U8 W8:X8">
    <cfRule type="containsText" dxfId="5" priority="6" operator="containsText" text="직접입력">
      <formula>NOT(ISERROR(SEARCH("직접입력",U8)))</formula>
    </cfRule>
  </conditionalFormatting>
  <conditionalFormatting sqref="AB8:AC8">
    <cfRule type="containsText" dxfId="4" priority="5" operator="containsText" text="직접입력">
      <formula>NOT(ISERROR(SEARCH("직접입력",AB8)))</formula>
    </cfRule>
  </conditionalFormatting>
  <conditionalFormatting sqref="T11">
    <cfRule type="containsText" dxfId="3" priority="4" operator="containsText" text="국도비">
      <formula>NOT(ISERROR(SEARCH("국도비",T11)))</formula>
    </cfRule>
  </conditionalFormatting>
  <conditionalFormatting sqref="U11 W11:X11">
    <cfRule type="containsText" dxfId="2" priority="3" operator="containsText" text="직접입력">
      <formula>NOT(ISERROR(SEARCH("직접입력",U11)))</formula>
    </cfRule>
  </conditionalFormatting>
  <conditionalFormatting sqref="AB11:AC11">
    <cfRule type="containsText" dxfId="1" priority="2" operator="containsText" text="직접입력">
      <formula>NOT(ISERROR(SEARCH("직접입력",AB11)))</formula>
    </cfRule>
  </conditionalFormatting>
  <conditionalFormatting sqref="H8:J9 H11:J12 H14:J15 H17:J18 H20:J21 H23:J24 H26:J27 H29:J30 H32:J33">
    <cfRule type="expression" dxfId="0" priority="1">
      <formula>($D8="본예산")</formula>
    </cfRule>
  </conditionalFormatting>
  <dataValidations count="3">
    <dataValidation type="list" allowBlank="1" showInputMessage="1" showErrorMessage="1" sqref="D32:D33 D8:D30">
      <formula1>"본예산,1회추경,2회추경,3회추경,신규"</formula1>
    </dataValidation>
    <dataValidation type="list" allowBlank="1" showInputMessage="1" showErrorMessage="1" sqref="T7:T33">
      <formula1>"국도비, 도비"</formula1>
    </dataValidation>
    <dataValidation type="list" allowBlank="1" showInputMessage="1" showErrorMessage="1" sqref="V7:V33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56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2016-08-29T05:58:40Z</cp:lastPrinted>
  <dcterms:created xsi:type="dcterms:W3CDTF">2013-08-23T08:00:50Z</dcterms:created>
  <dcterms:modified xsi:type="dcterms:W3CDTF">2016-09-08T00:42:42Z</dcterms:modified>
</cp:coreProperties>
</file>