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16년 3회 추경\0000000.계수조정\최종\"/>
    </mc:Choice>
  </mc:AlternateContent>
  <bookViews>
    <workbookView xWindow="0" yWindow="180" windowWidth="19320" windowHeight="14010" tabRatio="794" firstSheet="5" activeTab="10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r:id="rId6"/>
    <sheet name="예결 표지(가로)" sheetId="62" r:id="rId7"/>
    <sheet name="15년총괄표" sheetId="68" state="hidden" r:id="rId8"/>
    <sheet name="15년총괄표(실국별)" sheetId="69" state="hidden" r:id="rId9"/>
    <sheet name="예산안 표지" sheetId="78" state="hidden" r:id="rId10"/>
    <sheet name="16년 3추총괄표" sheetId="79" r:id="rId11"/>
    <sheet name="16년3추 일입" sheetId="71" r:id="rId12"/>
    <sheet name="16년 3추일출" sheetId="72" r:id="rId13"/>
    <sheet name="2추총괄표" sheetId="48" state="hidden" r:id="rId14"/>
    <sheet name="2추총괄표(실국별)" sheetId="60" state="hidden" r:id="rId15"/>
    <sheet name="16년 3추특입" sheetId="83" r:id="rId16"/>
    <sheet name="16년 3추특출" sheetId="81" r:id="rId17"/>
  </sheets>
  <externalReferences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_xlnm._FilterDatabase" localSheetId="12" hidden="1">'16년 3추일출'!$A$6:$AO$166</definedName>
    <definedName name="_xlnm._FilterDatabase" localSheetId="15" hidden="1">'16년 3추특입'!$A$6:$AP$6</definedName>
    <definedName name="_xlnm._FilterDatabase" localSheetId="16" hidden="1">'16년 3추특출'!$A$6:$AN$10</definedName>
    <definedName name="_xlnm._FilterDatabase" localSheetId="11" hidden="1">'16년3추 일입'!$A$6:$AR$51</definedName>
    <definedName name="_xlnm._FilterDatabase" localSheetId="0" hidden="1">구분표!$A$1:$S$188</definedName>
    <definedName name="_xlnm.Print_Area" localSheetId="1">'15년검증'!$A$1:$M$20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12">'16년 3추일출'!$A$1:$U$166</definedName>
    <definedName name="_xlnm.Print_Area" localSheetId="10">'16년 3추총괄표'!$A$1:$J$25</definedName>
    <definedName name="_xlnm.Print_Area" localSheetId="15">'16년 3추특입'!$A$1:$R$37</definedName>
    <definedName name="_xlnm.Print_Area" localSheetId="16">'16년 3추특출'!$A$1:$R$38</definedName>
    <definedName name="_xlnm.Print_Area" localSheetId="11">'16년3추 일입'!$A$1:$T$51</definedName>
    <definedName name="_xlnm.Print_Area" localSheetId="2">'2추검증'!$A$1:$M$20</definedName>
    <definedName name="_xlnm.Print_Area" localSheetId="13">'2추총괄표'!$B$1:$H$26</definedName>
    <definedName name="_xlnm.Print_Area" localSheetId="14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4">표지!$A$1:$M$18</definedName>
    <definedName name="_xlnm.Print_Titles" localSheetId="12">'16년 3추일출'!$4:$5</definedName>
    <definedName name="_xlnm.Print_Titles" localSheetId="15">'16년 3추특입'!$4:$5</definedName>
    <definedName name="_xlnm.Print_Titles" localSheetId="16">'16년 3추특출'!$4:$5</definedName>
    <definedName name="_xlnm.Print_Titles" localSheetId="11">'16년3추 일입'!$4:$5</definedName>
  </definedNames>
  <calcPr calcId="152511"/>
</workbook>
</file>

<file path=xl/calcChain.xml><?xml version="1.0" encoding="utf-8"?>
<calcChain xmlns="http://schemas.openxmlformats.org/spreadsheetml/2006/main">
  <c r="AS8" i="71" l="1"/>
  <c r="AS9" i="71"/>
  <c r="AS10" i="71"/>
  <c r="AS11" i="71"/>
  <c r="AS12" i="71"/>
  <c r="AS13" i="71"/>
  <c r="AS14" i="71"/>
  <c r="AS15" i="71"/>
  <c r="AS16" i="71"/>
  <c r="AS17" i="71"/>
  <c r="AS18" i="71"/>
  <c r="AS19" i="71"/>
  <c r="AS20" i="71"/>
  <c r="AS21" i="71"/>
  <c r="AS22" i="71"/>
  <c r="AS23" i="71"/>
  <c r="AS24" i="71"/>
  <c r="AS25" i="71"/>
  <c r="AS26" i="71"/>
  <c r="AS27" i="71"/>
  <c r="AS28" i="71"/>
  <c r="AS29" i="71"/>
  <c r="AS30" i="71"/>
  <c r="AS31" i="71"/>
  <c r="AS32" i="71"/>
  <c r="AS33" i="71"/>
  <c r="AS34" i="71"/>
  <c r="AS35" i="71"/>
  <c r="AS36" i="71"/>
  <c r="AS37" i="71"/>
  <c r="AS38" i="71"/>
  <c r="AS39" i="71"/>
  <c r="AS40" i="71"/>
  <c r="AS41" i="71"/>
  <c r="AS42" i="71"/>
  <c r="AS43" i="71"/>
  <c r="AS44" i="71"/>
  <c r="AS45" i="71"/>
  <c r="AS46" i="71"/>
  <c r="AS47" i="71"/>
  <c r="AS49" i="71"/>
  <c r="AS50" i="71"/>
  <c r="AS51" i="71"/>
  <c r="AS7" i="71"/>
  <c r="AP164" i="72"/>
  <c r="AP163" i="72"/>
  <c r="AP162" i="72"/>
  <c r="AP161" i="72"/>
  <c r="AP156" i="72"/>
  <c r="AP155" i="72"/>
  <c r="AP154" i="72"/>
  <c r="AP153" i="72"/>
  <c r="AP152" i="72"/>
  <c r="AP151" i="72"/>
  <c r="AP150" i="72"/>
  <c r="AP140" i="72"/>
  <c r="AP133" i="72"/>
  <c r="AP131" i="72"/>
  <c r="AP125" i="72"/>
  <c r="AP124" i="72"/>
  <c r="AP123" i="72"/>
  <c r="AP122" i="72"/>
  <c r="AP121" i="72"/>
  <c r="AP120" i="72"/>
  <c r="AP119" i="72"/>
  <c r="AP118" i="72"/>
  <c r="AP117" i="72"/>
  <c r="AP116" i="72"/>
  <c r="AP115" i="72"/>
  <c r="AP114" i="72"/>
  <c r="AP113" i="72"/>
  <c r="AP112" i="72"/>
  <c r="AP111" i="72"/>
  <c r="AP110" i="72"/>
  <c r="AP109" i="72"/>
  <c r="AP108" i="72"/>
  <c r="AP107" i="72"/>
  <c r="AP106" i="72"/>
  <c r="AP105" i="72"/>
  <c r="AP104" i="72"/>
  <c r="AP103" i="72"/>
  <c r="AP102" i="72"/>
  <c r="AP101" i="72"/>
  <c r="AP100" i="72"/>
  <c r="AP99" i="72"/>
  <c r="AP98" i="72"/>
  <c r="AP97" i="72"/>
  <c r="AP96" i="72"/>
  <c r="AP95" i="72"/>
  <c r="AP94" i="72"/>
  <c r="AP93" i="72"/>
  <c r="AP92" i="72"/>
  <c r="AP91" i="72"/>
  <c r="AP90" i="72"/>
  <c r="AP89" i="72"/>
  <c r="AP88" i="72"/>
  <c r="AP87" i="72"/>
  <c r="AP72" i="72"/>
  <c r="AP71" i="72"/>
  <c r="AP68" i="72"/>
  <c r="AP67" i="72"/>
  <c r="AP66" i="72"/>
  <c r="AP65" i="72"/>
  <c r="AP64" i="72"/>
  <c r="AP63" i="72"/>
  <c r="AP60" i="72"/>
  <c r="AP53" i="72"/>
  <c r="AP45" i="72"/>
  <c r="AP34" i="72"/>
  <c r="G17" i="79" l="1"/>
  <c r="G16" i="79"/>
  <c r="G15" i="79"/>
  <c r="G14" i="79"/>
  <c r="G13" i="79"/>
  <c r="G12" i="79"/>
  <c r="G11" i="79"/>
  <c r="G10" i="79"/>
  <c r="G9" i="79"/>
  <c r="G8" i="79"/>
  <c r="F17" i="79"/>
  <c r="F16" i="79"/>
  <c r="F15" i="79"/>
  <c r="F14" i="79"/>
  <c r="F13" i="79"/>
  <c r="F12" i="79"/>
  <c r="F11" i="79"/>
  <c r="F10" i="79"/>
  <c r="F9" i="79"/>
  <c r="F8" i="79"/>
  <c r="AK41" i="72"/>
  <c r="AJ41" i="72"/>
  <c r="AD41" i="72"/>
  <c r="AE41" i="72" s="1"/>
  <c r="AF41" i="72" s="1"/>
  <c r="AC41" i="72"/>
  <c r="Y41" i="72"/>
  <c r="Z41" i="72" s="1"/>
  <c r="AA41" i="72" s="1"/>
  <c r="P41" i="72"/>
  <c r="M41" i="72"/>
  <c r="J41" i="72"/>
  <c r="AK40" i="72"/>
  <c r="AJ40" i="72"/>
  <c r="AD40" i="72"/>
  <c r="AC40" i="72"/>
  <c r="Y40" i="72"/>
  <c r="Z40" i="72" s="1"/>
  <c r="AA40" i="72" s="1"/>
  <c r="P40" i="72"/>
  <c r="M40" i="72"/>
  <c r="J40" i="72"/>
  <c r="AK28" i="72"/>
  <c r="AJ28" i="72"/>
  <c r="AD28" i="72"/>
  <c r="AC28" i="72"/>
  <c r="Y28" i="72"/>
  <c r="Z28" i="72" s="1"/>
  <c r="AA28" i="72" s="1"/>
  <c r="P28" i="72"/>
  <c r="M28" i="72"/>
  <c r="J28" i="72"/>
  <c r="AK27" i="72"/>
  <c r="AJ27" i="72"/>
  <c r="AD27" i="72"/>
  <c r="AC27" i="72"/>
  <c r="Y27" i="72"/>
  <c r="Z27" i="72" s="1"/>
  <c r="P27" i="72"/>
  <c r="M27" i="72"/>
  <c r="J27" i="72"/>
  <c r="AK29" i="72"/>
  <c r="AJ29" i="72"/>
  <c r="AE29" i="72"/>
  <c r="AD29" i="72"/>
  <c r="AC29" i="72"/>
  <c r="Y29" i="72"/>
  <c r="Z29" i="72" s="1"/>
  <c r="P29" i="72"/>
  <c r="M29" i="72"/>
  <c r="J29" i="72"/>
  <c r="AH47" i="71" a="1"/>
  <c r="AH47" i="71" s="1"/>
  <c r="AF47" i="71" s="1"/>
  <c r="AA47" i="71"/>
  <c r="P47" i="71"/>
  <c r="M47" i="71"/>
  <c r="J47" i="71"/>
  <c r="AH48" i="71" a="1"/>
  <c r="AH48" i="71" s="1"/>
  <c r="AF48" i="71" s="1"/>
  <c r="AA48" i="71"/>
  <c r="P48" i="71"/>
  <c r="M48" i="71"/>
  <c r="J48" i="71"/>
  <c r="AP29" i="72" l="1"/>
  <c r="AE28" i="72"/>
  <c r="AF28" i="72" s="1"/>
  <c r="AE40" i="72"/>
  <c r="AF40" i="72" s="1"/>
  <c r="G7" i="79"/>
  <c r="H8" i="79"/>
  <c r="F7" i="79"/>
  <c r="H9" i="79"/>
  <c r="Q41" i="72"/>
  <c r="Q29" i="72"/>
  <c r="Q40" i="72"/>
  <c r="Q27" i="72"/>
  <c r="Q28" i="72"/>
  <c r="AF29" i="72"/>
  <c r="AA29" i="72"/>
  <c r="AE27" i="72"/>
  <c r="AF27" i="72" s="1"/>
  <c r="AA27" i="72"/>
  <c r="AM47" i="71"/>
  <c r="W47" i="71"/>
  <c r="AN47" i="71" s="1"/>
  <c r="AQ47" i="71"/>
  <c r="AL47" i="71"/>
  <c r="AP47" i="71"/>
  <c r="AB47" i="71"/>
  <c r="AC47" i="71"/>
  <c r="AM48" i="71"/>
  <c r="W48" i="71"/>
  <c r="AN48" i="71" s="1"/>
  <c r="AQ48" i="71"/>
  <c r="AB48" i="71"/>
  <c r="O129" i="72"/>
  <c r="N129" i="72"/>
  <c r="AK160" i="72"/>
  <c r="AJ160" i="72"/>
  <c r="AE160" i="72"/>
  <c r="AD160" i="72"/>
  <c r="AC160" i="72"/>
  <c r="Y160" i="72"/>
  <c r="Z160" i="72" s="1"/>
  <c r="P160" i="72"/>
  <c r="M160" i="72"/>
  <c r="J160" i="72"/>
  <c r="AK165" i="72"/>
  <c r="AJ165" i="72"/>
  <c r="AD165" i="72"/>
  <c r="AC165" i="72"/>
  <c r="Y165" i="72"/>
  <c r="P165" i="72"/>
  <c r="M165" i="72"/>
  <c r="J165" i="72"/>
  <c r="AI12" i="81"/>
  <c r="AH12" i="81"/>
  <c r="AA12" i="81"/>
  <c r="P12" i="81"/>
  <c r="M12" i="81"/>
  <c r="J12" i="81"/>
  <c r="AI13" i="81"/>
  <c r="AH13" i="81"/>
  <c r="AA13" i="81"/>
  <c r="P13" i="81"/>
  <c r="M13" i="81"/>
  <c r="J13" i="81"/>
  <c r="AI14" i="81"/>
  <c r="AH14" i="81"/>
  <c r="AD14" i="81"/>
  <c r="AA14" i="81"/>
  <c r="Y14" i="81"/>
  <c r="P14" i="81"/>
  <c r="M14" i="81"/>
  <c r="J14" i="81"/>
  <c r="AD12" i="83"/>
  <c r="U12" i="83" s="1"/>
  <c r="Y12" i="83"/>
  <c r="P12" i="83"/>
  <c r="M12" i="83"/>
  <c r="J12" i="83"/>
  <c r="AD13" i="83"/>
  <c r="Z13" i="83"/>
  <c r="AA13" i="83" s="1"/>
  <c r="Y13" i="83"/>
  <c r="U13" i="83"/>
  <c r="V13" i="83" s="1"/>
  <c r="P13" i="83"/>
  <c r="M13" i="83"/>
  <c r="J13" i="83"/>
  <c r="AK105" i="72"/>
  <c r="AJ105" i="72"/>
  <c r="AC105" i="72"/>
  <c r="P105" i="72"/>
  <c r="M105" i="72"/>
  <c r="J105" i="72"/>
  <c r="AK104" i="72"/>
  <c r="AJ104" i="72"/>
  <c r="AF104" i="72"/>
  <c r="AC104" i="72"/>
  <c r="AA104" i="72"/>
  <c r="P104" i="72"/>
  <c r="M104" i="72"/>
  <c r="J104" i="72"/>
  <c r="AK103" i="72"/>
  <c r="AJ103" i="72"/>
  <c r="AF103" i="72"/>
  <c r="AC103" i="72"/>
  <c r="AA103" i="72"/>
  <c r="P103" i="72"/>
  <c r="M103" i="72"/>
  <c r="J103" i="72"/>
  <c r="AK102" i="72"/>
  <c r="AJ102" i="72"/>
  <c r="AC102" i="72"/>
  <c r="P102" i="72"/>
  <c r="M102" i="72"/>
  <c r="J102" i="72"/>
  <c r="AK101" i="72"/>
  <c r="AJ101" i="72"/>
  <c r="AC101" i="72"/>
  <c r="P101" i="72"/>
  <c r="M101" i="72"/>
  <c r="J101" i="72"/>
  <c r="AK100" i="72"/>
  <c r="AJ100" i="72"/>
  <c r="AF100" i="72"/>
  <c r="AC100" i="72"/>
  <c r="AA100" i="72"/>
  <c r="P100" i="72"/>
  <c r="M100" i="72"/>
  <c r="J100" i="72"/>
  <c r="AK99" i="72"/>
  <c r="AJ99" i="72"/>
  <c r="AF99" i="72"/>
  <c r="AC99" i="72"/>
  <c r="P99" i="72"/>
  <c r="M99" i="72"/>
  <c r="J99" i="72"/>
  <c r="AK98" i="72"/>
  <c r="AJ98" i="72"/>
  <c r="AC98" i="72"/>
  <c r="P98" i="72"/>
  <c r="M98" i="72"/>
  <c r="J98" i="72"/>
  <c r="AK113" i="72"/>
  <c r="AJ113" i="72"/>
  <c r="AF113" i="72"/>
  <c r="AC113" i="72"/>
  <c r="AA113" i="72"/>
  <c r="P113" i="72"/>
  <c r="M113" i="72"/>
  <c r="J113" i="72"/>
  <c r="AK112" i="72"/>
  <c r="AJ112" i="72"/>
  <c r="AC112" i="72"/>
  <c r="P112" i="72"/>
  <c r="M112" i="72"/>
  <c r="J112" i="72"/>
  <c r="AK111" i="72"/>
  <c r="AJ111" i="72"/>
  <c r="AC111" i="72"/>
  <c r="P111" i="72"/>
  <c r="M111" i="72"/>
  <c r="J111" i="72"/>
  <c r="AK110" i="72"/>
  <c r="AJ110" i="72"/>
  <c r="AF110" i="72"/>
  <c r="AC110" i="72"/>
  <c r="P110" i="72"/>
  <c r="M110" i="72"/>
  <c r="J110" i="72"/>
  <c r="AK109" i="72"/>
  <c r="AJ109" i="72"/>
  <c r="AF109" i="72"/>
  <c r="AC109" i="72"/>
  <c r="AA109" i="72"/>
  <c r="P109" i="72"/>
  <c r="M109" i="72"/>
  <c r="J109" i="72"/>
  <c r="AK108" i="72"/>
  <c r="AJ108" i="72"/>
  <c r="AC108" i="72"/>
  <c r="P108" i="72"/>
  <c r="M108" i="72"/>
  <c r="J108" i="72"/>
  <c r="AK107" i="72"/>
  <c r="AJ107" i="72"/>
  <c r="AC107" i="72"/>
  <c r="P107" i="72"/>
  <c r="M107" i="72"/>
  <c r="J107" i="72"/>
  <c r="AK106" i="72"/>
  <c r="AJ106" i="72"/>
  <c r="AF106" i="72"/>
  <c r="AC106" i="72"/>
  <c r="P106" i="72"/>
  <c r="M106" i="72"/>
  <c r="J106" i="72"/>
  <c r="AK121" i="72"/>
  <c r="AJ121" i="72"/>
  <c r="AC121" i="72"/>
  <c r="P121" i="72"/>
  <c r="M121" i="72"/>
  <c r="J121" i="72"/>
  <c r="AK120" i="72"/>
  <c r="AJ120" i="72"/>
  <c r="AF120" i="72"/>
  <c r="AC120" i="72"/>
  <c r="AA120" i="72"/>
  <c r="P120" i="72"/>
  <c r="M120" i="72"/>
  <c r="J120" i="72"/>
  <c r="AK119" i="72"/>
  <c r="AJ119" i="72"/>
  <c r="AF119" i="72"/>
  <c r="AC119" i="72"/>
  <c r="P119" i="72"/>
  <c r="M119" i="72"/>
  <c r="J119" i="72"/>
  <c r="AK118" i="72"/>
  <c r="AJ118" i="72"/>
  <c r="AC118" i="72"/>
  <c r="P118" i="72"/>
  <c r="M118" i="72"/>
  <c r="J118" i="72"/>
  <c r="AK117" i="72"/>
  <c r="AJ117" i="72"/>
  <c r="AC117" i="72"/>
  <c r="P117" i="72"/>
  <c r="M117" i="72"/>
  <c r="J117" i="72"/>
  <c r="AK116" i="72"/>
  <c r="AJ116" i="72"/>
  <c r="AF116" i="72"/>
  <c r="AC116" i="72"/>
  <c r="AA116" i="72"/>
  <c r="P116" i="72"/>
  <c r="M116" i="72"/>
  <c r="J116" i="72"/>
  <c r="AK115" i="72"/>
  <c r="AJ115" i="72"/>
  <c r="AF115" i="72"/>
  <c r="AC115" i="72"/>
  <c r="AA115" i="72"/>
  <c r="P115" i="72"/>
  <c r="M115" i="72"/>
  <c r="J115" i="72"/>
  <c r="AK114" i="72"/>
  <c r="AJ114" i="72"/>
  <c r="AC114" i="72"/>
  <c r="P114" i="72"/>
  <c r="M114" i="72"/>
  <c r="J114" i="72"/>
  <c r="AK127" i="72"/>
  <c r="AJ127" i="72"/>
  <c r="AD127" i="72"/>
  <c r="AE127" i="72" s="1"/>
  <c r="AF127" i="72" s="1"/>
  <c r="AC127" i="72"/>
  <c r="Y127" i="72"/>
  <c r="Z127" i="72" s="1"/>
  <c r="AA127" i="72" s="1"/>
  <c r="P127" i="72"/>
  <c r="M127" i="72"/>
  <c r="J127" i="72"/>
  <c r="AK126" i="72"/>
  <c r="AJ126" i="72"/>
  <c r="AD126" i="72"/>
  <c r="AC126" i="72"/>
  <c r="Y126" i="72"/>
  <c r="P126" i="72"/>
  <c r="M126" i="72"/>
  <c r="J126" i="72"/>
  <c r="AK125" i="72"/>
  <c r="AJ125" i="72"/>
  <c r="AC125" i="72"/>
  <c r="P125" i="72"/>
  <c r="M125" i="72"/>
  <c r="J125" i="72"/>
  <c r="AK124" i="72"/>
  <c r="AJ124" i="72"/>
  <c r="AF124" i="72"/>
  <c r="AC124" i="72"/>
  <c r="AA124" i="72"/>
  <c r="P124" i="72"/>
  <c r="M124" i="72"/>
  <c r="J124" i="72"/>
  <c r="AK123" i="72"/>
  <c r="AJ123" i="72"/>
  <c r="AF123" i="72"/>
  <c r="AC123" i="72"/>
  <c r="AA123" i="72"/>
  <c r="P123" i="72"/>
  <c r="M123" i="72"/>
  <c r="J123" i="72"/>
  <c r="AK122" i="72"/>
  <c r="AJ122" i="72"/>
  <c r="AC122" i="72"/>
  <c r="P122" i="72"/>
  <c r="M122" i="72"/>
  <c r="J122" i="72"/>
  <c r="AK162" i="72"/>
  <c r="AJ162" i="72"/>
  <c r="AF162" i="72"/>
  <c r="AC162" i="72"/>
  <c r="AA162" i="72"/>
  <c r="P162" i="72"/>
  <c r="M162" i="72"/>
  <c r="J162" i="72"/>
  <c r="AK161" i="72"/>
  <c r="AJ161" i="72"/>
  <c r="AC161" i="72"/>
  <c r="AA161" i="72"/>
  <c r="P161" i="72"/>
  <c r="M161" i="72"/>
  <c r="J161" i="72"/>
  <c r="AR48" i="71" l="1"/>
  <c r="AP40" i="72"/>
  <c r="AP160" i="72"/>
  <c r="AP28" i="72"/>
  <c r="AP27" i="72"/>
  <c r="Q115" i="72"/>
  <c r="Q161" i="72"/>
  <c r="AR47" i="71"/>
  <c r="X47" i="71"/>
  <c r="Y47" i="71" s="1"/>
  <c r="AD47" i="71"/>
  <c r="AC48" i="71"/>
  <c r="AD48" i="71" s="1"/>
  <c r="X48" i="71"/>
  <c r="Y48" i="71" s="1"/>
  <c r="Q127" i="72"/>
  <c r="Q165" i="72"/>
  <c r="Q160" i="72"/>
  <c r="AA160" i="72"/>
  <c r="AF160" i="72"/>
  <c r="Q99" i="72"/>
  <c r="Z165" i="72"/>
  <c r="AA165" i="72" s="1"/>
  <c r="AE165" i="72"/>
  <c r="AF165" i="72" s="1"/>
  <c r="Q119" i="72"/>
  <c r="Y12" i="81"/>
  <c r="AD12" i="81"/>
  <c r="Y13" i="81"/>
  <c r="AD13" i="81"/>
  <c r="V12" i="83"/>
  <c r="W12" i="83" s="1"/>
  <c r="W13" i="83"/>
  <c r="Z12" i="83"/>
  <c r="AA12" i="83" s="1"/>
  <c r="AA106" i="72"/>
  <c r="AA119" i="72"/>
  <c r="AA110" i="72"/>
  <c r="AA99" i="72"/>
  <c r="Q116" i="72"/>
  <c r="Q117" i="72"/>
  <c r="Q108" i="72"/>
  <c r="Q109" i="72"/>
  <c r="Q112" i="72"/>
  <c r="Q102" i="72"/>
  <c r="Q103" i="72"/>
  <c r="Q104" i="72"/>
  <c r="Q105" i="72"/>
  <c r="AF125" i="72"/>
  <c r="AF117" i="72"/>
  <c r="Q120" i="72"/>
  <c r="Q121" i="72"/>
  <c r="Q110" i="72"/>
  <c r="Q113" i="72"/>
  <c r="Q98" i="72"/>
  <c r="AA101" i="72"/>
  <c r="AF105" i="72"/>
  <c r="Q122" i="72"/>
  <c r="Q123" i="72"/>
  <c r="Q126" i="72"/>
  <c r="Q111" i="72"/>
  <c r="Q100" i="72"/>
  <c r="Q101" i="72"/>
  <c r="AA125" i="72"/>
  <c r="AA117" i="72"/>
  <c r="AF121" i="72"/>
  <c r="AA105" i="72"/>
  <c r="AA121" i="72"/>
  <c r="AF101" i="72"/>
  <c r="Q107" i="72"/>
  <c r="AA98" i="72"/>
  <c r="AF98" i="72"/>
  <c r="AA102" i="72"/>
  <c r="AF102" i="72"/>
  <c r="Q118" i="72"/>
  <c r="Q106" i="72"/>
  <c r="Q124" i="72"/>
  <c r="Q125" i="72"/>
  <c r="Q114" i="72"/>
  <c r="AA108" i="72"/>
  <c r="AF108" i="72"/>
  <c r="AA112" i="72"/>
  <c r="AF112" i="72"/>
  <c r="AA107" i="72"/>
  <c r="AF107" i="72"/>
  <c r="AA111" i="72"/>
  <c r="AF111" i="72"/>
  <c r="AA114" i="72"/>
  <c r="AF114" i="72"/>
  <c r="AA118" i="72"/>
  <c r="AF118" i="72"/>
  <c r="AA122" i="72"/>
  <c r="AF122" i="72"/>
  <c r="Z126" i="72"/>
  <c r="AA126" i="72" s="1"/>
  <c r="AE126" i="72"/>
  <c r="AF126" i="72" s="1"/>
  <c r="AF161" i="72"/>
  <c r="Q162" i="72"/>
  <c r="AH36" i="71" a="1"/>
  <c r="AH36" i="71" s="1"/>
  <c r="AA36" i="71"/>
  <c r="P36" i="71"/>
  <c r="M36" i="71"/>
  <c r="J36" i="71"/>
  <c r="AH35" i="71" a="1"/>
  <c r="AH35" i="71" s="1"/>
  <c r="AA35" i="71"/>
  <c r="P35" i="71"/>
  <c r="M35" i="71"/>
  <c r="J35" i="71"/>
  <c r="AH34" i="71" a="1"/>
  <c r="AH34" i="71" s="1"/>
  <c r="AA34" i="71"/>
  <c r="P34" i="71"/>
  <c r="M34" i="71"/>
  <c r="J34" i="71"/>
  <c r="AH33" i="71" a="1"/>
  <c r="AH33" i="71" s="1"/>
  <c r="AA33" i="71"/>
  <c r="P33" i="71"/>
  <c r="M33" i="71"/>
  <c r="J33" i="71"/>
  <c r="AH32" i="71" a="1"/>
  <c r="AH32" i="71" s="1"/>
  <c r="AA32" i="71"/>
  <c r="P32" i="71"/>
  <c r="M32" i="71"/>
  <c r="J32" i="71"/>
  <c r="AH31" i="71" a="1"/>
  <c r="AH31" i="71" s="1"/>
  <c r="AA31" i="71"/>
  <c r="P31" i="71"/>
  <c r="M31" i="71"/>
  <c r="J31" i="71"/>
  <c r="AH42" i="71" a="1"/>
  <c r="AH42" i="71" s="1"/>
  <c r="AA42" i="71"/>
  <c r="P42" i="71"/>
  <c r="M42" i="71"/>
  <c r="J42" i="71"/>
  <c r="AH41" i="71" a="1"/>
  <c r="AH41" i="71" s="1"/>
  <c r="AA41" i="71"/>
  <c r="P41" i="71"/>
  <c r="M41" i="71"/>
  <c r="J41" i="71"/>
  <c r="AH40" i="71" a="1"/>
  <c r="AH40" i="71" s="1"/>
  <c r="AA40" i="71"/>
  <c r="P40" i="71"/>
  <c r="M40" i="71"/>
  <c r="J40" i="71"/>
  <c r="AH39" i="71" a="1"/>
  <c r="AH39" i="71" s="1"/>
  <c r="AA39" i="71"/>
  <c r="P39" i="71"/>
  <c r="M39" i="71"/>
  <c r="J39" i="71"/>
  <c r="AH38" i="71" a="1"/>
  <c r="AH38" i="71" s="1"/>
  <c r="AA38" i="71"/>
  <c r="P38" i="71"/>
  <c r="M38" i="71"/>
  <c r="J38" i="71"/>
  <c r="AH37" i="71" a="1"/>
  <c r="AH37" i="71" s="1"/>
  <c r="AA37" i="71"/>
  <c r="P37" i="71"/>
  <c r="M37" i="71"/>
  <c r="J37" i="71"/>
  <c r="AS48" i="71" l="1"/>
  <c r="AK12" i="72"/>
  <c r="AJ12" i="72"/>
  <c r="AD12" i="72"/>
  <c r="AE12" i="72" s="1"/>
  <c r="AF12" i="72" s="1"/>
  <c r="AC12" i="72"/>
  <c r="Y12" i="72"/>
  <c r="Z12" i="72" s="1"/>
  <c r="AA12" i="72" s="1"/>
  <c r="P12" i="72"/>
  <c r="M12" i="72"/>
  <c r="J12" i="72"/>
  <c r="Q12" i="72" l="1"/>
  <c r="AK145" i="72"/>
  <c r="AJ145" i="72"/>
  <c r="AD145" i="72"/>
  <c r="AC145" i="72"/>
  <c r="Y145" i="72"/>
  <c r="P145" i="72"/>
  <c r="M145" i="72"/>
  <c r="AK144" i="72"/>
  <c r="AJ144" i="72"/>
  <c r="AD144" i="72"/>
  <c r="AC144" i="72"/>
  <c r="Y144" i="72"/>
  <c r="P144" i="72"/>
  <c r="M144" i="72"/>
  <c r="AK72" i="72"/>
  <c r="AJ72" i="72"/>
  <c r="AF72" i="72"/>
  <c r="AC72" i="72"/>
  <c r="AA72" i="72"/>
  <c r="P72" i="72"/>
  <c r="M72" i="72"/>
  <c r="J72" i="72"/>
  <c r="AK71" i="72"/>
  <c r="AJ71" i="72"/>
  <c r="AC71" i="72"/>
  <c r="P71" i="72"/>
  <c r="M71" i="72"/>
  <c r="J71" i="72"/>
  <c r="Q144" i="72" l="1"/>
  <c r="Q72" i="72"/>
  <c r="Q145" i="72"/>
  <c r="Q71" i="72"/>
  <c r="Z144" i="72"/>
  <c r="AA144" i="72" s="1"/>
  <c r="AE144" i="72"/>
  <c r="AF144" i="72" s="1"/>
  <c r="Z145" i="72"/>
  <c r="AA145" i="72" s="1"/>
  <c r="AE145" i="72"/>
  <c r="AF145" i="72" s="1"/>
  <c r="AA71" i="72"/>
  <c r="AF71" i="72"/>
  <c r="AP12" i="71" l="1"/>
  <c r="AP13" i="71"/>
  <c r="AK70" i="72" l="1"/>
  <c r="AJ70" i="72"/>
  <c r="AD70" i="72"/>
  <c r="AC70" i="72"/>
  <c r="Y70" i="72"/>
  <c r="P70" i="72"/>
  <c r="M70" i="72"/>
  <c r="J70" i="72"/>
  <c r="AK69" i="72"/>
  <c r="AJ69" i="72"/>
  <c r="AD69" i="72"/>
  <c r="AC69" i="72"/>
  <c r="Y69" i="72"/>
  <c r="P69" i="72"/>
  <c r="M69" i="72"/>
  <c r="J69" i="72"/>
  <c r="AK73" i="72"/>
  <c r="AJ73" i="72"/>
  <c r="AD73" i="72"/>
  <c r="AE73" i="72" s="1"/>
  <c r="AF73" i="72" s="1"/>
  <c r="AC73" i="72"/>
  <c r="Y73" i="72"/>
  <c r="Z73" i="72" s="1"/>
  <c r="AA73" i="72" s="1"/>
  <c r="P73" i="72"/>
  <c r="M73" i="72"/>
  <c r="J73" i="72"/>
  <c r="AK74" i="72"/>
  <c r="AJ74" i="72"/>
  <c r="AD74" i="72"/>
  <c r="AC74" i="72"/>
  <c r="Y74" i="72"/>
  <c r="P74" i="72"/>
  <c r="M74" i="72"/>
  <c r="J74" i="72"/>
  <c r="AH45" i="71" a="1"/>
  <c r="AH45" i="71" s="1"/>
  <c r="AA45" i="71"/>
  <c r="P45" i="71"/>
  <c r="M45" i="71"/>
  <c r="J45" i="71"/>
  <c r="AH44" i="71" a="1"/>
  <c r="AH44" i="71" s="1"/>
  <c r="AA44" i="71"/>
  <c r="P44" i="71"/>
  <c r="M44" i="71"/>
  <c r="J44" i="71"/>
  <c r="AH43" i="71" a="1"/>
  <c r="AH43" i="71" s="1"/>
  <c r="AA43" i="71"/>
  <c r="P43" i="71"/>
  <c r="M43" i="71"/>
  <c r="J43" i="71"/>
  <c r="AH46" i="71" a="1"/>
  <c r="AH46" i="71" s="1"/>
  <c r="AA46" i="71"/>
  <c r="P46" i="71"/>
  <c r="M46" i="71"/>
  <c r="J46" i="71"/>
  <c r="AH49" i="71" a="1"/>
  <c r="AH49" i="71" s="1"/>
  <c r="AF49" i="71" s="1"/>
  <c r="AP49" i="71" s="1"/>
  <c r="AA49" i="71"/>
  <c r="P49" i="71"/>
  <c r="M49" i="71"/>
  <c r="J49" i="71"/>
  <c r="Q74" i="72" l="1"/>
  <c r="AE69" i="72"/>
  <c r="AP69" i="72" s="1"/>
  <c r="Q73" i="72"/>
  <c r="Q69" i="72"/>
  <c r="Q70" i="72"/>
  <c r="Z69" i="72"/>
  <c r="AA69" i="72" s="1"/>
  <c r="Z70" i="72"/>
  <c r="AA70" i="72" s="1"/>
  <c r="AE70" i="72"/>
  <c r="AF70" i="72" s="1"/>
  <c r="Z74" i="72"/>
  <c r="AA74" i="72" s="1"/>
  <c r="AE74" i="72"/>
  <c r="AF74" i="72" s="1"/>
  <c r="AQ49" i="71"/>
  <c r="AL49" i="71"/>
  <c r="W49" i="71"/>
  <c r="AN49" i="71" s="1"/>
  <c r="AM49" i="71"/>
  <c r="AB49" i="71"/>
  <c r="AR49" i="71" s="1"/>
  <c r="O6" i="71"/>
  <c r="AK65" i="72"/>
  <c r="AJ65" i="72"/>
  <c r="AF65" i="72"/>
  <c r="AC65" i="72"/>
  <c r="AA65" i="72"/>
  <c r="P65" i="72"/>
  <c r="M65" i="72"/>
  <c r="J65" i="72"/>
  <c r="AK64" i="72"/>
  <c r="AJ64" i="72"/>
  <c r="AF64" i="72"/>
  <c r="AC64" i="72"/>
  <c r="AA64" i="72"/>
  <c r="P64" i="72"/>
  <c r="M64" i="72"/>
  <c r="J64" i="72"/>
  <c r="AK63" i="72"/>
  <c r="AJ63" i="72"/>
  <c r="AF63" i="72"/>
  <c r="AC63" i="72"/>
  <c r="AA63" i="72"/>
  <c r="P63" i="72"/>
  <c r="M63" i="72"/>
  <c r="J63" i="72"/>
  <c r="AP70" i="72" l="1"/>
  <c r="AF69" i="72"/>
  <c r="Q63" i="72"/>
  <c r="Q64" i="72"/>
  <c r="Q65" i="72"/>
  <c r="X49" i="71"/>
  <c r="Y49" i="71" s="1"/>
  <c r="AC49" i="71"/>
  <c r="AD49" i="71" s="1"/>
  <c r="P128" i="72"/>
  <c r="P97" i="72"/>
  <c r="P96" i="72"/>
  <c r="P95" i="72"/>
  <c r="P94" i="72"/>
  <c r="P93" i="72"/>
  <c r="P92" i="72"/>
  <c r="P91" i="72"/>
  <c r="P90" i="72"/>
  <c r="P89" i="72"/>
  <c r="P88" i="72"/>
  <c r="P87" i="72"/>
  <c r="P86" i="72"/>
  <c r="P85" i="72"/>
  <c r="P84" i="72"/>
  <c r="P83" i="72"/>
  <c r="P82" i="72"/>
  <c r="P81" i="72"/>
  <c r="P80" i="72"/>
  <c r="P79" i="72"/>
  <c r="P78" i="72"/>
  <c r="P77" i="72"/>
  <c r="P44" i="72"/>
  <c r="P42" i="72"/>
  <c r="P39" i="72"/>
  <c r="P38" i="72"/>
  <c r="P37" i="72"/>
  <c r="P36" i="72"/>
  <c r="P35" i="72"/>
  <c r="P34" i="72"/>
  <c r="P33" i="72"/>
  <c r="P31" i="72"/>
  <c r="P30" i="72"/>
  <c r="P26" i="72"/>
  <c r="P25" i="72"/>
  <c r="P24" i="72"/>
  <c r="P23" i="72"/>
  <c r="P21" i="72"/>
  <c r="P20" i="72"/>
  <c r="P19" i="72"/>
  <c r="P18" i="72"/>
  <c r="P17" i="72"/>
  <c r="P16" i="72"/>
  <c r="P15" i="72"/>
  <c r="P14" i="72"/>
  <c r="P11" i="72"/>
  <c r="P10" i="72"/>
  <c r="P9" i="72"/>
  <c r="P8" i="72"/>
  <c r="J38" i="72"/>
  <c r="J37" i="72"/>
  <c r="J36" i="72"/>
  <c r="J35" i="72"/>
  <c r="J34" i="72"/>
  <c r="J33" i="72"/>
  <c r="AK163" i="72"/>
  <c r="AJ163" i="72"/>
  <c r="AC163" i="72"/>
  <c r="P163" i="72"/>
  <c r="M163" i="72"/>
  <c r="J163" i="72"/>
  <c r="J158" i="72"/>
  <c r="AH25" i="71" a="1"/>
  <c r="AH25" i="71" s="1"/>
  <c r="AA25" i="71"/>
  <c r="P25" i="71"/>
  <c r="M25" i="71"/>
  <c r="J25" i="71"/>
  <c r="AH24" i="71" a="1"/>
  <c r="AH24" i="71" s="1"/>
  <c r="AA24" i="71"/>
  <c r="P24" i="71"/>
  <c r="M24" i="71"/>
  <c r="J24" i="71"/>
  <c r="AI33" i="81"/>
  <c r="AH33" i="81"/>
  <c r="AB33" i="81"/>
  <c r="AC33" i="81" s="1"/>
  <c r="AD33" i="81" s="1"/>
  <c r="AA33" i="81"/>
  <c r="W33" i="81"/>
  <c r="X33" i="81" s="1"/>
  <c r="Y33" i="81" s="1"/>
  <c r="P33" i="81"/>
  <c r="M33" i="81"/>
  <c r="J33" i="81"/>
  <c r="AC24" i="72"/>
  <c r="AC23" i="72"/>
  <c r="AD50" i="72"/>
  <c r="AC50" i="72"/>
  <c r="AD49" i="72"/>
  <c r="AC49" i="72"/>
  <c r="AD48" i="72"/>
  <c r="AC48" i="72"/>
  <c r="AD30" i="72"/>
  <c r="AE30" i="72" s="1"/>
  <c r="AF30" i="72" s="1"/>
  <c r="AC30" i="72"/>
  <c r="AD26" i="72"/>
  <c r="AC26" i="72"/>
  <c r="AD25" i="72"/>
  <c r="AC25" i="72"/>
  <c r="AD24" i="72"/>
  <c r="Y21" i="72"/>
  <c r="Z21" i="72" s="1"/>
  <c r="AA21" i="72" s="1"/>
  <c r="Y20" i="72"/>
  <c r="Y19" i="72"/>
  <c r="Z19" i="72" s="1"/>
  <c r="Y30" i="72"/>
  <c r="Y26" i="72"/>
  <c r="Z26" i="72" s="1"/>
  <c r="AA26" i="72" s="1"/>
  <c r="Y25" i="72"/>
  <c r="Y24" i="72"/>
  <c r="Y42" i="72"/>
  <c r="Z42" i="72" s="1"/>
  <c r="Y39" i="72"/>
  <c r="Z39" i="72" s="1"/>
  <c r="AA39" i="72" s="1"/>
  <c r="Y38" i="72"/>
  <c r="Z38" i="72" s="1"/>
  <c r="AA38" i="72" s="1"/>
  <c r="Y50" i="72"/>
  <c r="Z50" i="72" s="1"/>
  <c r="AA50" i="72" s="1"/>
  <c r="Y49" i="72"/>
  <c r="Y48" i="72"/>
  <c r="Y62" i="72"/>
  <c r="Y143" i="72"/>
  <c r="Y142" i="72"/>
  <c r="Z142" i="72" s="1"/>
  <c r="Y141" i="72"/>
  <c r="AA140" i="72"/>
  <c r="Y136" i="72"/>
  <c r="Y135" i="72"/>
  <c r="Z134" i="72"/>
  <c r="Y134" i="72"/>
  <c r="AD143" i="72"/>
  <c r="AC143" i="72"/>
  <c r="AD142" i="72"/>
  <c r="AC142" i="72"/>
  <c r="AD141" i="72"/>
  <c r="AC141" i="72"/>
  <c r="AF140" i="72"/>
  <c r="AC140" i="72"/>
  <c r="AD136" i="72"/>
  <c r="AC136" i="72"/>
  <c r="AD135" i="72"/>
  <c r="AC135" i="72"/>
  <c r="AD134" i="72"/>
  <c r="AC134" i="72"/>
  <c r="AC68" i="72"/>
  <c r="AC67" i="72"/>
  <c r="AF66" i="72"/>
  <c r="AC66" i="72"/>
  <c r="AE62" i="72"/>
  <c r="AD62" i="72"/>
  <c r="AC62" i="72"/>
  <c r="AD42" i="72"/>
  <c r="AC42" i="72"/>
  <c r="AD39" i="72"/>
  <c r="AC39" i="72"/>
  <c r="AD38" i="72"/>
  <c r="AC38" i="72"/>
  <c r="AD21" i="72"/>
  <c r="AC21" i="72"/>
  <c r="AD20" i="72"/>
  <c r="AC20" i="72"/>
  <c r="AD19" i="72"/>
  <c r="AC19" i="72"/>
  <c r="Y11" i="72"/>
  <c r="Z10" i="72"/>
  <c r="Y10" i="72"/>
  <c r="AD11" i="72"/>
  <c r="AE10" i="72"/>
  <c r="AD10" i="72"/>
  <c r="AH29" i="71" a="1"/>
  <c r="AH29" i="71" s="1"/>
  <c r="AA29" i="71"/>
  <c r="P29" i="71"/>
  <c r="M29" i="71"/>
  <c r="J29" i="71"/>
  <c r="AH28" i="71" a="1"/>
  <c r="AH28" i="71" s="1"/>
  <c r="AA28" i="71"/>
  <c r="P28" i="71"/>
  <c r="M28" i="71"/>
  <c r="J28" i="71"/>
  <c r="AH30" i="71" a="1"/>
  <c r="AH30" i="71" s="1"/>
  <c r="AA30" i="71"/>
  <c r="P30" i="71"/>
  <c r="M30" i="71"/>
  <c r="J30" i="71"/>
  <c r="AK143" i="72"/>
  <c r="AJ143" i="72"/>
  <c r="P143" i="72"/>
  <c r="M143" i="72"/>
  <c r="J143" i="72"/>
  <c r="AK142" i="72"/>
  <c r="AJ142" i="72"/>
  <c r="P142" i="72"/>
  <c r="M142" i="72"/>
  <c r="J142" i="72"/>
  <c r="AK141" i="72"/>
  <c r="AJ141" i="72"/>
  <c r="P141" i="72"/>
  <c r="M141" i="72"/>
  <c r="J141" i="72"/>
  <c r="AK140" i="72"/>
  <c r="AJ140" i="72"/>
  <c r="P140" i="72"/>
  <c r="M140" i="72"/>
  <c r="J140" i="72"/>
  <c r="AK136" i="72"/>
  <c r="AJ136" i="72"/>
  <c r="P136" i="72"/>
  <c r="M136" i="72"/>
  <c r="J136" i="72"/>
  <c r="AK135" i="72"/>
  <c r="AJ135" i="72"/>
  <c r="P135" i="72"/>
  <c r="M135" i="72"/>
  <c r="J135" i="72"/>
  <c r="AK134" i="72"/>
  <c r="AJ134" i="72"/>
  <c r="P134" i="72"/>
  <c r="M134" i="72"/>
  <c r="J134" i="72"/>
  <c r="AK68" i="72"/>
  <c r="AJ68" i="72"/>
  <c r="P68" i="72"/>
  <c r="M68" i="72"/>
  <c r="J68" i="72"/>
  <c r="AK67" i="72"/>
  <c r="AJ67" i="72"/>
  <c r="P67" i="72"/>
  <c r="M67" i="72"/>
  <c r="J67" i="72"/>
  <c r="AK66" i="72"/>
  <c r="AJ66" i="72"/>
  <c r="P66" i="72"/>
  <c r="M66" i="72"/>
  <c r="J66" i="72"/>
  <c r="AK62" i="72"/>
  <c r="AJ62" i="72"/>
  <c r="P62" i="72"/>
  <c r="M62" i="72"/>
  <c r="J62" i="72"/>
  <c r="AK50" i="72"/>
  <c r="AJ50" i="72"/>
  <c r="P50" i="72"/>
  <c r="M50" i="72"/>
  <c r="J50" i="72"/>
  <c r="AK49" i="72"/>
  <c r="AJ49" i="72"/>
  <c r="P49" i="72"/>
  <c r="M49" i="72"/>
  <c r="J49" i="72"/>
  <c r="AK48" i="72"/>
  <c r="AJ48" i="72"/>
  <c r="P48" i="72"/>
  <c r="M48" i="72"/>
  <c r="J48" i="72"/>
  <c r="AK42" i="72"/>
  <c r="AJ42" i="72"/>
  <c r="M42" i="72"/>
  <c r="J42" i="72"/>
  <c r="AK39" i="72"/>
  <c r="AJ39" i="72"/>
  <c r="M39" i="72"/>
  <c r="J39" i="72"/>
  <c r="AK38" i="72"/>
  <c r="AJ38" i="72"/>
  <c r="M38" i="72"/>
  <c r="AK30" i="72"/>
  <c r="AJ30" i="72"/>
  <c r="M30" i="72"/>
  <c r="J30" i="72"/>
  <c r="AK26" i="72"/>
  <c r="AJ26" i="72"/>
  <c r="M26" i="72"/>
  <c r="J26" i="72"/>
  <c r="AK25" i="72"/>
  <c r="AJ25" i="72"/>
  <c r="M25" i="72"/>
  <c r="J25" i="72"/>
  <c r="AK24" i="72"/>
  <c r="AJ24" i="72"/>
  <c r="M24" i="72"/>
  <c r="J24" i="72"/>
  <c r="AK21" i="72"/>
  <c r="AJ21" i="72"/>
  <c r="M21" i="72"/>
  <c r="J21" i="72"/>
  <c r="AK20" i="72"/>
  <c r="AJ20" i="72"/>
  <c r="M20" i="72"/>
  <c r="J20" i="72"/>
  <c r="AK19" i="72"/>
  <c r="AJ19" i="72"/>
  <c r="M19" i="72"/>
  <c r="J19" i="72"/>
  <c r="AK11" i="72"/>
  <c r="AJ11" i="72"/>
  <c r="AC11" i="72"/>
  <c r="M11" i="72"/>
  <c r="J11" i="72"/>
  <c r="AK10" i="72"/>
  <c r="AJ10" i="72"/>
  <c r="AC10" i="72"/>
  <c r="M10" i="72"/>
  <c r="J10" i="72"/>
  <c r="AP10" i="72" l="1"/>
  <c r="AE39" i="72"/>
  <c r="AP39" i="72" s="1"/>
  <c r="AP62" i="72"/>
  <c r="AE20" i="72"/>
  <c r="AF20" i="72" s="1"/>
  <c r="Q11" i="72"/>
  <c r="Q38" i="72"/>
  <c r="Q26" i="72"/>
  <c r="AE24" i="72"/>
  <c r="AF24" i="72" s="1"/>
  <c r="AE48" i="72"/>
  <c r="AF48" i="72" s="1"/>
  <c r="AE11" i="72"/>
  <c r="AF11" i="72" s="1"/>
  <c r="AE142" i="72"/>
  <c r="AF142" i="72" s="1"/>
  <c r="Q134" i="72"/>
  <c r="Q143" i="72"/>
  <c r="Q48" i="72"/>
  <c r="Q68" i="72"/>
  <c r="Q39" i="72"/>
  <c r="Q30" i="72"/>
  <c r="Q19" i="72"/>
  <c r="Q20" i="72"/>
  <c r="Q24" i="72"/>
  <c r="Q21" i="72"/>
  <c r="Q42" i="72"/>
  <c r="Q140" i="72"/>
  <c r="Q163" i="72"/>
  <c r="Q62" i="72"/>
  <c r="Q10" i="72"/>
  <c r="Q50" i="72"/>
  <c r="Q67" i="72"/>
  <c r="Q136" i="72"/>
  <c r="Q142" i="72"/>
  <c r="Q25" i="72"/>
  <c r="Q49" i="72"/>
  <c r="Q66" i="72"/>
  <c r="Q135" i="72"/>
  <c r="Q141" i="72"/>
  <c r="AE38" i="72"/>
  <c r="AF38" i="72" s="1"/>
  <c r="P7" i="72"/>
  <c r="AA10" i="72"/>
  <c r="AF10" i="72"/>
  <c r="AA134" i="72"/>
  <c r="AF163" i="72"/>
  <c r="AA163" i="72"/>
  <c r="AE50" i="72"/>
  <c r="AF50" i="72" s="1"/>
  <c r="AE49" i="72"/>
  <c r="AF49" i="72" s="1"/>
  <c r="AE26" i="72"/>
  <c r="AF26" i="72" s="1"/>
  <c r="AE25" i="72"/>
  <c r="AF25" i="72" s="1"/>
  <c r="Z20" i="72"/>
  <c r="AA20" i="72" s="1"/>
  <c r="AA19" i="72"/>
  <c r="Z30" i="72"/>
  <c r="AA30" i="72" s="1"/>
  <c r="Z25" i="72"/>
  <c r="AA25" i="72" s="1"/>
  <c r="Z24" i="72"/>
  <c r="AA24" i="72" s="1"/>
  <c r="AA42" i="72"/>
  <c r="Z49" i="72"/>
  <c r="AA49" i="72" s="1"/>
  <c r="Z48" i="72"/>
  <c r="AA48" i="72" s="1"/>
  <c r="AF68" i="72"/>
  <c r="AA68" i="72"/>
  <c r="AA67" i="72"/>
  <c r="AA66" i="72"/>
  <c r="AF62" i="72"/>
  <c r="Z62" i="72"/>
  <c r="AA62" i="72" s="1"/>
  <c r="Z143" i="72"/>
  <c r="AA143" i="72" s="1"/>
  <c r="AA142" i="72"/>
  <c r="Z141" i="72"/>
  <c r="AA141" i="72" s="1"/>
  <c r="Z136" i="72"/>
  <c r="AA136" i="72" s="1"/>
  <c r="Z135" i="72"/>
  <c r="AA135" i="72" s="1"/>
  <c r="AE135" i="72"/>
  <c r="AF135" i="72" s="1"/>
  <c r="AE134" i="72"/>
  <c r="AF134" i="72" s="1"/>
  <c r="AE143" i="72"/>
  <c r="AF143" i="72" s="1"/>
  <c r="AE141" i="72"/>
  <c r="AF141" i="72" s="1"/>
  <c r="AE136" i="72"/>
  <c r="AF136" i="72" s="1"/>
  <c r="AF67" i="72"/>
  <c r="AE42" i="72"/>
  <c r="AF42" i="72" s="1"/>
  <c r="AE21" i="72"/>
  <c r="AF21" i="72" s="1"/>
  <c r="AE19" i="72"/>
  <c r="AF19" i="72" s="1"/>
  <c r="Z11" i="72"/>
  <c r="AA11" i="72" s="1"/>
  <c r="E39" i="79"/>
  <c r="E38" i="79"/>
  <c r="AF39" i="72" l="1"/>
  <c r="AP134" i="72"/>
  <c r="AP142" i="72"/>
  <c r="AP26" i="72"/>
  <c r="AP141" i="72"/>
  <c r="AP48" i="72"/>
  <c r="AP20" i="72"/>
  <c r="AP11" i="72"/>
  <c r="AP24" i="72"/>
  <c r="AP49" i="72"/>
  <c r="AP143" i="72"/>
  <c r="AP38" i="72"/>
  <c r="AP25" i="72"/>
  <c r="AP19" i="72"/>
  <c r="AE148" i="72"/>
  <c r="AD147" i="72"/>
  <c r="AD139" i="72"/>
  <c r="AE138" i="72"/>
  <c r="AD130" i="72"/>
  <c r="AE78" i="72"/>
  <c r="AD77" i="72"/>
  <c r="AE54" i="72"/>
  <c r="AD52" i="72"/>
  <c r="AD44" i="72"/>
  <c r="AE35" i="72"/>
  <c r="AD33" i="72"/>
  <c r="AE18" i="72"/>
  <c r="AD17" i="72"/>
  <c r="AE16" i="72"/>
  <c r="AD15" i="72"/>
  <c r="AE8" i="72"/>
  <c r="AD8" i="72"/>
  <c r="Y137" i="72"/>
  <c r="AP8" i="72" l="1"/>
  <c r="AF8" i="72"/>
  <c r="AA78" i="72"/>
  <c r="AA157" i="72"/>
  <c r="AA156" i="72"/>
  <c r="AA155" i="72"/>
  <c r="AA154" i="72"/>
  <c r="AA153" i="72"/>
  <c r="AA152" i="72"/>
  <c r="AA151" i="72"/>
  <c r="AA150" i="72"/>
  <c r="AA149" i="72"/>
  <c r="AA148" i="72"/>
  <c r="AA147" i="72"/>
  <c r="AA133" i="72"/>
  <c r="AA97" i="72"/>
  <c r="AA96" i="72"/>
  <c r="AA95" i="72"/>
  <c r="AA94" i="72"/>
  <c r="AA93" i="72"/>
  <c r="AA92" i="72"/>
  <c r="AA91" i="72"/>
  <c r="AA90" i="72"/>
  <c r="AA89" i="72"/>
  <c r="AA88" i="72"/>
  <c r="AA87" i="72"/>
  <c r="AA86" i="72"/>
  <c r="AA85" i="72"/>
  <c r="AA84" i="72"/>
  <c r="AA83" i="72"/>
  <c r="AA82" i="72"/>
  <c r="AA81" i="72"/>
  <c r="AA80" i="72"/>
  <c r="AA79" i="72"/>
  <c r="AA77" i="72"/>
  <c r="AA61" i="72"/>
  <c r="AA60" i="72"/>
  <c r="AA59" i="72"/>
  <c r="AA58" i="72"/>
  <c r="AA57" i="72"/>
  <c r="AA56" i="72"/>
  <c r="AA55" i="72"/>
  <c r="AA54" i="72"/>
  <c r="AA53" i="72"/>
  <c r="AA52" i="72"/>
  <c r="AA45" i="72"/>
  <c r="AA34" i="72"/>
  <c r="Z44" i="72"/>
  <c r="J159" i="72"/>
  <c r="J164" i="72"/>
  <c r="M158" i="72"/>
  <c r="M159" i="72"/>
  <c r="M164" i="72"/>
  <c r="P158" i="72"/>
  <c r="P159" i="72"/>
  <c r="Y159" i="72"/>
  <c r="Z159" i="72" s="1"/>
  <c r="Y158" i="72"/>
  <c r="AD166" i="72"/>
  <c r="AD159" i="72"/>
  <c r="AD158" i="72"/>
  <c r="AE157" i="72"/>
  <c r="AD157" i="72"/>
  <c r="AE149" i="72"/>
  <c r="AD149" i="72"/>
  <c r="AD148" i="72"/>
  <c r="AP148" i="72" s="1"/>
  <c r="AE147" i="72"/>
  <c r="AP147" i="72" s="1"/>
  <c r="AE139" i="72"/>
  <c r="AP139" i="72" s="1"/>
  <c r="AD138" i="72"/>
  <c r="AP138" i="72" s="1"/>
  <c r="AE132" i="72"/>
  <c r="AD132" i="72"/>
  <c r="AE130" i="72"/>
  <c r="AP130" i="72" s="1"/>
  <c r="AD128" i="72"/>
  <c r="AE128" i="72" s="1"/>
  <c r="AF128" i="72" s="1"/>
  <c r="AE86" i="72"/>
  <c r="AD86" i="72"/>
  <c r="AE85" i="72"/>
  <c r="AD85" i="72"/>
  <c r="AE84" i="72"/>
  <c r="AD84" i="72"/>
  <c r="AE83" i="72"/>
  <c r="AD83" i="72"/>
  <c r="AE82" i="72"/>
  <c r="AD82" i="72"/>
  <c r="AE81" i="72"/>
  <c r="AD81" i="72"/>
  <c r="AE80" i="72"/>
  <c r="AD80" i="72"/>
  <c r="AE79" i="72"/>
  <c r="AD79" i="72"/>
  <c r="AD78" i="72"/>
  <c r="AP78" i="72" s="1"/>
  <c r="AE77" i="72"/>
  <c r="AF77" i="72" s="1"/>
  <c r="AC166" i="72"/>
  <c r="AC164" i="72"/>
  <c r="AC159" i="72"/>
  <c r="AC158" i="72"/>
  <c r="AC157" i="72"/>
  <c r="AC156" i="72"/>
  <c r="AC155" i="72"/>
  <c r="AC154" i="72"/>
  <c r="AC153" i="72"/>
  <c r="AC152" i="72"/>
  <c r="AC151" i="72"/>
  <c r="AC150" i="72"/>
  <c r="AC149" i="72"/>
  <c r="AC148" i="72"/>
  <c r="AC147" i="72"/>
  <c r="AC146" i="72"/>
  <c r="AC139" i="72"/>
  <c r="AC138" i="72"/>
  <c r="AC137" i="72"/>
  <c r="AC133" i="72"/>
  <c r="AC132" i="72"/>
  <c r="AC131" i="72"/>
  <c r="AC130" i="72"/>
  <c r="AC129" i="72"/>
  <c r="AC128" i="72"/>
  <c r="AC97" i="72"/>
  <c r="AC96" i="72"/>
  <c r="AC95" i="72"/>
  <c r="AC94" i="72"/>
  <c r="AC93" i="72"/>
  <c r="AC92" i="72"/>
  <c r="AC91" i="72"/>
  <c r="AC90" i="72"/>
  <c r="AC89" i="72"/>
  <c r="AC88" i="72"/>
  <c r="AC87" i="72"/>
  <c r="AC86" i="72"/>
  <c r="AC85" i="72"/>
  <c r="AC84" i="72"/>
  <c r="AC83" i="72"/>
  <c r="AC82" i="72"/>
  <c r="AC81" i="72"/>
  <c r="AC80" i="72"/>
  <c r="AC79" i="72"/>
  <c r="AC78" i="72"/>
  <c r="AC77" i="72"/>
  <c r="AC76" i="72"/>
  <c r="AC75" i="72"/>
  <c r="AC61" i="72"/>
  <c r="AC60" i="72"/>
  <c r="AC59" i="72"/>
  <c r="AC58" i="72"/>
  <c r="AC57" i="72"/>
  <c r="AC56" i="72"/>
  <c r="AC55" i="72"/>
  <c r="AC54" i="72"/>
  <c r="AC53" i="72"/>
  <c r="AC52" i="72"/>
  <c r="AC51" i="72"/>
  <c r="AC47" i="72"/>
  <c r="AC46" i="72"/>
  <c r="AC45" i="72"/>
  <c r="AC44" i="72"/>
  <c r="AC43" i="72"/>
  <c r="AC37" i="72"/>
  <c r="AC36" i="72"/>
  <c r="AC35" i="72"/>
  <c r="AC34" i="72"/>
  <c r="AC33" i="72"/>
  <c r="AC32" i="72"/>
  <c r="AC31" i="72"/>
  <c r="AC22" i="72"/>
  <c r="AC18" i="72"/>
  <c r="AC17" i="72"/>
  <c r="AC16" i="72"/>
  <c r="AC15" i="72"/>
  <c r="AC14" i="72"/>
  <c r="AC13" i="72"/>
  <c r="AC9" i="72"/>
  <c r="AC8" i="72"/>
  <c r="AC7" i="72"/>
  <c r="AD75" i="72"/>
  <c r="AE75" i="72" s="1"/>
  <c r="AF75" i="72" s="1"/>
  <c r="AE61" i="72"/>
  <c r="AD61" i="72"/>
  <c r="AE59" i="72"/>
  <c r="AD59" i="72"/>
  <c r="AE58" i="72"/>
  <c r="AD58" i="72"/>
  <c r="AE57" i="72"/>
  <c r="AD57" i="72"/>
  <c r="AE56" i="72"/>
  <c r="AD56" i="72"/>
  <c r="AE55" i="72"/>
  <c r="AD55" i="72"/>
  <c r="AD54" i="72"/>
  <c r="AP54" i="72" s="1"/>
  <c r="AE52" i="72"/>
  <c r="AP52" i="72" s="1"/>
  <c r="AE47" i="72"/>
  <c r="AD47" i="72"/>
  <c r="AE46" i="72"/>
  <c r="AD46" i="72"/>
  <c r="AE44" i="72"/>
  <c r="AP44" i="72" s="1"/>
  <c r="AE37" i="72"/>
  <c r="AD37" i="72"/>
  <c r="AE36" i="72"/>
  <c r="AD36" i="72"/>
  <c r="AD35" i="72"/>
  <c r="AP35" i="72" s="1"/>
  <c r="AE33" i="72"/>
  <c r="AF33" i="72" s="1"/>
  <c r="AD31" i="72"/>
  <c r="AE31" i="72" s="1"/>
  <c r="AF31" i="72" s="1"/>
  <c r="AD23" i="72"/>
  <c r="AD18" i="72"/>
  <c r="AP18" i="72" s="1"/>
  <c r="AE17" i="72"/>
  <c r="AP17" i="72" s="1"/>
  <c r="AD16" i="72"/>
  <c r="AP16" i="72" s="1"/>
  <c r="AE15" i="72"/>
  <c r="AP15" i="72" s="1"/>
  <c r="AE14" i="72"/>
  <c r="AD14" i="72"/>
  <c r="Z8" i="72"/>
  <c r="Y8" i="72"/>
  <c r="AK8" i="72"/>
  <c r="AJ8" i="72"/>
  <c r="AK9" i="72"/>
  <c r="AK13" i="72"/>
  <c r="AK14" i="72"/>
  <c r="AK15" i="72"/>
  <c r="AK16" i="72"/>
  <c r="AK17" i="72"/>
  <c r="AK18" i="72"/>
  <c r="AK22" i="72"/>
  <c r="AK23" i="72"/>
  <c r="AK31" i="72"/>
  <c r="AK32" i="72"/>
  <c r="AK33" i="72"/>
  <c r="AK34" i="72"/>
  <c r="AK35" i="72"/>
  <c r="AK36" i="72"/>
  <c r="AK37" i="72"/>
  <c r="AK43" i="72"/>
  <c r="AK44" i="72"/>
  <c r="AK45" i="72"/>
  <c r="AK46" i="72"/>
  <c r="AK47" i="72"/>
  <c r="AK51" i="72"/>
  <c r="AK52" i="72"/>
  <c r="AK53" i="72"/>
  <c r="AK54" i="72"/>
  <c r="AK55" i="72"/>
  <c r="AK56" i="72"/>
  <c r="AK57" i="72"/>
  <c r="AK58" i="72"/>
  <c r="AK59" i="72"/>
  <c r="AK60" i="72"/>
  <c r="AK61" i="72"/>
  <c r="AK75" i="72"/>
  <c r="AK76" i="72"/>
  <c r="AK77" i="72"/>
  <c r="AK78" i="72"/>
  <c r="AK79" i="72"/>
  <c r="AK80" i="72"/>
  <c r="AK81" i="72"/>
  <c r="AK82" i="72"/>
  <c r="AK83" i="72"/>
  <c r="AK84" i="72"/>
  <c r="AK85" i="72"/>
  <c r="AK86" i="72"/>
  <c r="AK87" i="72"/>
  <c r="AK88" i="72"/>
  <c r="AK89" i="72"/>
  <c r="AK90" i="72"/>
  <c r="AK91" i="72"/>
  <c r="AK92" i="72"/>
  <c r="AK93" i="72"/>
  <c r="AK94" i="72"/>
  <c r="AK95" i="72"/>
  <c r="AK96" i="72"/>
  <c r="AK97" i="72"/>
  <c r="AK128" i="72"/>
  <c r="AK129" i="72"/>
  <c r="AK130" i="72"/>
  <c r="AK131" i="72"/>
  <c r="AK132" i="72"/>
  <c r="AK133" i="72"/>
  <c r="AK137" i="72"/>
  <c r="AK138" i="72"/>
  <c r="AK139" i="72"/>
  <c r="AK146" i="72"/>
  <c r="AK147" i="72"/>
  <c r="AK148" i="72"/>
  <c r="AK149" i="72"/>
  <c r="AK150" i="72"/>
  <c r="AK151" i="72"/>
  <c r="AK152" i="72"/>
  <c r="AK153" i="72"/>
  <c r="AK154" i="72"/>
  <c r="AK155" i="72"/>
  <c r="AK156" i="72"/>
  <c r="AK157" i="72"/>
  <c r="AK158" i="72"/>
  <c r="AK159" i="72"/>
  <c r="AK164" i="72"/>
  <c r="AK166" i="72"/>
  <c r="AJ13" i="72"/>
  <c r="AJ14" i="72"/>
  <c r="AJ15" i="72"/>
  <c r="AJ16" i="72"/>
  <c r="AJ17" i="72"/>
  <c r="AJ18" i="72"/>
  <c r="AJ22" i="72"/>
  <c r="AJ23" i="72"/>
  <c r="AJ31" i="72"/>
  <c r="AJ32" i="72"/>
  <c r="AJ33" i="72"/>
  <c r="AJ34" i="72"/>
  <c r="AJ35" i="72"/>
  <c r="AJ36" i="72"/>
  <c r="AJ37" i="72"/>
  <c r="AJ43" i="72"/>
  <c r="AJ44" i="72"/>
  <c r="AJ45" i="72"/>
  <c r="AJ46" i="72"/>
  <c r="AJ47" i="72"/>
  <c r="AJ51" i="72"/>
  <c r="AJ52" i="72"/>
  <c r="AJ53" i="72"/>
  <c r="AJ54" i="72"/>
  <c r="AJ55" i="72"/>
  <c r="AJ56" i="72"/>
  <c r="AJ57" i="72"/>
  <c r="AJ58" i="72"/>
  <c r="AJ59" i="72"/>
  <c r="AJ60" i="72"/>
  <c r="AJ61" i="72"/>
  <c r="AJ75" i="72"/>
  <c r="AJ76" i="72"/>
  <c r="AJ77" i="72"/>
  <c r="AJ78" i="72"/>
  <c r="AJ79" i="72"/>
  <c r="AJ80" i="72"/>
  <c r="AJ81" i="72"/>
  <c r="AJ82" i="72"/>
  <c r="AJ83" i="72"/>
  <c r="AJ84" i="72"/>
  <c r="AJ85" i="72"/>
  <c r="AJ86" i="72"/>
  <c r="AJ87" i="72"/>
  <c r="AJ88" i="72"/>
  <c r="AJ89" i="72"/>
  <c r="AJ90" i="72"/>
  <c r="AJ91" i="72"/>
  <c r="AJ92" i="72"/>
  <c r="AJ93" i="72"/>
  <c r="AJ94" i="72"/>
  <c r="AJ95" i="72"/>
  <c r="AJ96" i="72"/>
  <c r="AJ97" i="72"/>
  <c r="AJ128" i="72"/>
  <c r="AJ129" i="72"/>
  <c r="AJ130" i="72"/>
  <c r="AJ131" i="72"/>
  <c r="AJ132" i="72"/>
  <c r="AJ133" i="72"/>
  <c r="AJ137" i="72"/>
  <c r="AJ138" i="72"/>
  <c r="AJ139" i="72"/>
  <c r="AJ146" i="72"/>
  <c r="AJ147" i="72"/>
  <c r="AJ148" i="72"/>
  <c r="AJ149" i="72"/>
  <c r="AJ150" i="72"/>
  <c r="AJ151" i="72"/>
  <c r="AJ152" i="72"/>
  <c r="AJ153" i="72"/>
  <c r="AJ154" i="72"/>
  <c r="AJ155" i="72"/>
  <c r="AJ156" i="72"/>
  <c r="AJ157" i="72"/>
  <c r="AJ158" i="72"/>
  <c r="AJ159" i="72"/>
  <c r="AJ164" i="72"/>
  <c r="AJ166" i="72"/>
  <c r="AJ9" i="72"/>
  <c r="I146" i="72"/>
  <c r="K146" i="72"/>
  <c r="L146" i="72"/>
  <c r="N146" i="72"/>
  <c r="O146" i="72"/>
  <c r="H146" i="72"/>
  <c r="I137" i="72"/>
  <c r="K137" i="72"/>
  <c r="L137" i="72"/>
  <c r="N137" i="72"/>
  <c r="O137" i="72"/>
  <c r="H137" i="72"/>
  <c r="I129" i="72"/>
  <c r="K129" i="72"/>
  <c r="L129" i="72"/>
  <c r="H129" i="72"/>
  <c r="I76" i="72"/>
  <c r="K76" i="72"/>
  <c r="L76" i="72"/>
  <c r="N76" i="72"/>
  <c r="O76" i="72"/>
  <c r="H76" i="72"/>
  <c r="I51" i="72"/>
  <c r="K51" i="72"/>
  <c r="L51" i="72"/>
  <c r="N51" i="72"/>
  <c r="O51" i="72"/>
  <c r="H51" i="72"/>
  <c r="I43" i="72"/>
  <c r="K43" i="72"/>
  <c r="L43" i="72"/>
  <c r="N43" i="72"/>
  <c r="O43" i="72"/>
  <c r="H43" i="72"/>
  <c r="I32" i="72"/>
  <c r="K32" i="72"/>
  <c r="L32" i="72"/>
  <c r="N32" i="72"/>
  <c r="O32" i="72"/>
  <c r="H32" i="72"/>
  <c r="I22" i="72"/>
  <c r="K22" i="72"/>
  <c r="L22" i="72"/>
  <c r="N22" i="72"/>
  <c r="O22" i="72"/>
  <c r="H22" i="72"/>
  <c r="I13" i="72"/>
  <c r="K13" i="72"/>
  <c r="L13" i="72"/>
  <c r="N13" i="72"/>
  <c r="H13" i="72"/>
  <c r="M8" i="72"/>
  <c r="Q8" i="72" s="1"/>
  <c r="J9" i="72"/>
  <c r="J8" i="72"/>
  <c r="I7" i="72"/>
  <c r="K7" i="72"/>
  <c r="L7" i="72"/>
  <c r="N7" i="72"/>
  <c r="O7" i="72"/>
  <c r="H7" i="72"/>
  <c r="AP47" i="72" l="1"/>
  <c r="AP55" i="72"/>
  <c r="AP57" i="72"/>
  <c r="AP59" i="72"/>
  <c r="AP79" i="72"/>
  <c r="AP81" i="72"/>
  <c r="AP83" i="72"/>
  <c r="AP85" i="72"/>
  <c r="AP149" i="72"/>
  <c r="AP46" i="72"/>
  <c r="AP56" i="72"/>
  <c r="AP58" i="72"/>
  <c r="AP61" i="72"/>
  <c r="AP80" i="72"/>
  <c r="AP82" i="72"/>
  <c r="AP84" i="72"/>
  <c r="AP86" i="72"/>
  <c r="AP132" i="72"/>
  <c r="AP157" i="72"/>
  <c r="AP14" i="72"/>
  <c r="AP36" i="72"/>
  <c r="AP33" i="72"/>
  <c r="AP37" i="72"/>
  <c r="AP77" i="72"/>
  <c r="AE159" i="72"/>
  <c r="AF159" i="72" s="1"/>
  <c r="AF35" i="72"/>
  <c r="AE23" i="72"/>
  <c r="AF23" i="72" s="1"/>
  <c r="AE158" i="72"/>
  <c r="AF158" i="72" s="1"/>
  <c r="Q159" i="72"/>
  <c r="Q158" i="72"/>
  <c r="N6" i="72"/>
  <c r="AD51" i="72"/>
  <c r="H6" i="72"/>
  <c r="K6" i="72"/>
  <c r="I6" i="72"/>
  <c r="AD76" i="72"/>
  <c r="AE137" i="72"/>
  <c r="AD129" i="72"/>
  <c r="AD32" i="72"/>
  <c r="AD43" i="72"/>
  <c r="AF152" i="72"/>
  <c r="AF156" i="72"/>
  <c r="AD146" i="72"/>
  <c r="AF88" i="72"/>
  <c r="AF96" i="72"/>
  <c r="Z158" i="72"/>
  <c r="AA158" i="72" s="1"/>
  <c r="AD22" i="72"/>
  <c r="AA8" i="72"/>
  <c r="AF85" i="72"/>
  <c r="AF87" i="72"/>
  <c r="AF89" i="72"/>
  <c r="AF93" i="72"/>
  <c r="AF95" i="72"/>
  <c r="AF97" i="72"/>
  <c r="AF53" i="72"/>
  <c r="AF55" i="72"/>
  <c r="AF57" i="72"/>
  <c r="AF147" i="72"/>
  <c r="AF54" i="72"/>
  <c r="AF56" i="72"/>
  <c r="AF130" i="72"/>
  <c r="AF138" i="72"/>
  <c r="AA159" i="72"/>
  <c r="AF131" i="72"/>
  <c r="AF52" i="72"/>
  <c r="AF15" i="72"/>
  <c r="AF17" i="72"/>
  <c r="AF59" i="72"/>
  <c r="AF61" i="72"/>
  <c r="AF78" i="72"/>
  <c r="AF80" i="72"/>
  <c r="AF82" i="72"/>
  <c r="AF84" i="72"/>
  <c r="AF132" i="72"/>
  <c r="AF148" i="72"/>
  <c r="AF150" i="72"/>
  <c r="AF155" i="72"/>
  <c r="AF18" i="72"/>
  <c r="AF58" i="72"/>
  <c r="AF60" i="72"/>
  <c r="AF79" i="72"/>
  <c r="AF81" i="72"/>
  <c r="AF83" i="72"/>
  <c r="AF86" i="72"/>
  <c r="AF90" i="72"/>
  <c r="AF133" i="72"/>
  <c r="AF149" i="72"/>
  <c r="AF16" i="72"/>
  <c r="AF37" i="72"/>
  <c r="AF45" i="72"/>
  <c r="AF47" i="72"/>
  <c r="AF92" i="72"/>
  <c r="AF154" i="72"/>
  <c r="AF14" i="72"/>
  <c r="AF34" i="72"/>
  <c r="AF36" i="72"/>
  <c r="AF44" i="72"/>
  <c r="AF46" i="72"/>
  <c r="AF91" i="72"/>
  <c r="AF94" i="72"/>
  <c r="AF151" i="72"/>
  <c r="AF153" i="72"/>
  <c r="AF157" i="72"/>
  <c r="AF164" i="72"/>
  <c r="AE166" i="72"/>
  <c r="AF166" i="72" s="1"/>
  <c r="AF139" i="72"/>
  <c r="L6" i="72"/>
  <c r="J7" i="71"/>
  <c r="J8" i="71"/>
  <c r="J9" i="71"/>
  <c r="J10" i="71"/>
  <c r="J11" i="71"/>
  <c r="J12" i="71"/>
  <c r="J13" i="71"/>
  <c r="J14" i="71"/>
  <c r="J15" i="71"/>
  <c r="J16" i="71"/>
  <c r="J17" i="71"/>
  <c r="J18" i="71"/>
  <c r="J19" i="71"/>
  <c r="J20" i="71"/>
  <c r="J21" i="71"/>
  <c r="J22" i="71"/>
  <c r="J23" i="71"/>
  <c r="J26" i="71"/>
  <c r="J27" i="71"/>
  <c r="J50" i="71"/>
  <c r="J51" i="71"/>
  <c r="P7" i="71"/>
  <c r="P8" i="71"/>
  <c r="P9" i="71"/>
  <c r="P10" i="71"/>
  <c r="P11" i="71"/>
  <c r="P12" i="71"/>
  <c r="P13" i="71"/>
  <c r="P14" i="71"/>
  <c r="P15" i="71"/>
  <c r="P16" i="71"/>
  <c r="P17" i="71"/>
  <c r="P18" i="71"/>
  <c r="P19" i="71"/>
  <c r="P20" i="71"/>
  <c r="P21" i="71"/>
  <c r="P22" i="71"/>
  <c r="P23" i="71"/>
  <c r="P26" i="71"/>
  <c r="P27" i="71"/>
  <c r="P50" i="71"/>
  <c r="P51" i="71"/>
  <c r="M7" i="71"/>
  <c r="M8" i="71"/>
  <c r="M9" i="71"/>
  <c r="M10" i="71"/>
  <c r="M11" i="71"/>
  <c r="M12" i="71"/>
  <c r="M13" i="71"/>
  <c r="M14" i="71"/>
  <c r="M15" i="71"/>
  <c r="M16" i="71"/>
  <c r="M17" i="71"/>
  <c r="M18" i="71"/>
  <c r="M19" i="71"/>
  <c r="M20" i="71"/>
  <c r="M21" i="71"/>
  <c r="M22" i="71"/>
  <c r="M23" i="71"/>
  <c r="M26" i="71"/>
  <c r="M27" i="71"/>
  <c r="M50" i="71"/>
  <c r="M51" i="71"/>
  <c r="AH7" i="71" a="1"/>
  <c r="AH7" i="71" s="1"/>
  <c r="AQ12" i="71"/>
  <c r="AQ13" i="71"/>
  <c r="AN9" i="71"/>
  <c r="AM12" i="71"/>
  <c r="AM13" i="71"/>
  <c r="AL12" i="71"/>
  <c r="AL13" i="71"/>
  <c r="AP159" i="72" l="1"/>
  <c r="AP158" i="72"/>
  <c r="AP23" i="72"/>
  <c r="AE22" i="72"/>
  <c r="AP22" i="72" s="1"/>
  <c r="M2" i="72"/>
  <c r="AH8" i="71" a="1"/>
  <c r="AH8" i="71" s="1"/>
  <c r="AH9" i="71" a="1"/>
  <c r="AH9" i="71" s="1"/>
  <c r="AF9" i="71" s="1"/>
  <c r="AM9" i="71" s="1"/>
  <c r="AH10" i="71" a="1"/>
  <c r="AH10" i="71" s="1"/>
  <c r="AH11" i="71" a="1"/>
  <c r="AH11" i="71" s="1"/>
  <c r="AH12" i="71" a="1"/>
  <c r="AH12" i="71" s="1"/>
  <c r="AH13" i="71" a="1"/>
  <c r="AH13" i="71" s="1"/>
  <c r="AH14" i="71" a="1"/>
  <c r="AH14" i="71" s="1"/>
  <c r="AH15" i="71" a="1"/>
  <c r="AH15" i="71" s="1"/>
  <c r="AH16" i="71" a="1"/>
  <c r="AH16" i="71" s="1"/>
  <c r="AH17" i="71" a="1"/>
  <c r="AH17" i="71" s="1"/>
  <c r="AH18" i="71" a="1"/>
  <c r="AH18" i="71" s="1"/>
  <c r="AH19" i="71" a="1"/>
  <c r="AH19" i="71" s="1"/>
  <c r="AH20" i="71" a="1"/>
  <c r="AH20" i="71" s="1"/>
  <c r="AH21" i="71" a="1"/>
  <c r="AH21" i="71" s="1"/>
  <c r="AH22" i="71" a="1"/>
  <c r="AH22" i="71" s="1"/>
  <c r="AF22" i="71" s="1"/>
  <c r="AH23" i="71" a="1"/>
  <c r="AH23" i="71" s="1"/>
  <c r="AF23" i="71" s="1"/>
  <c r="AH26" i="71" a="1"/>
  <c r="AH26" i="71" s="1"/>
  <c r="AH27" i="71" a="1"/>
  <c r="AH27" i="71" s="1"/>
  <c r="AH50" i="71" a="1"/>
  <c r="AH50" i="71" s="1"/>
  <c r="AH51" i="71" a="1"/>
  <c r="AH51" i="71" s="1"/>
  <c r="AF32" i="71" l="1"/>
  <c r="AL32" i="71" s="1"/>
  <c r="AQ32" i="71"/>
  <c r="AF45" i="71"/>
  <c r="AF31" i="71"/>
  <c r="AF37" i="71"/>
  <c r="AF42" i="71"/>
  <c r="AF44" i="71"/>
  <c r="AF39" i="71"/>
  <c r="AF40" i="71"/>
  <c r="AF38" i="71"/>
  <c r="AF46" i="71"/>
  <c r="AF33" i="71"/>
  <c r="AF34" i="71"/>
  <c r="AF41" i="71"/>
  <c r="AF43" i="71"/>
  <c r="AF35" i="71"/>
  <c r="AF36" i="71"/>
  <c r="AF29" i="71"/>
  <c r="AF30" i="71"/>
  <c r="AP30" i="71" s="1"/>
  <c r="AF28" i="71"/>
  <c r="AP28" i="71" s="1"/>
  <c r="AF24" i="71"/>
  <c r="AF25" i="71"/>
  <c r="AF20" i="71"/>
  <c r="W20" i="71" s="1"/>
  <c r="AQ9" i="71"/>
  <c r="AM22" i="71"/>
  <c r="AQ22" i="71"/>
  <c r="AF18" i="71"/>
  <c r="AP18" i="71" s="1"/>
  <c r="AF19" i="71"/>
  <c r="AF26" i="71"/>
  <c r="AP26" i="71" s="1"/>
  <c r="AF21" i="71"/>
  <c r="AQ23" i="71"/>
  <c r="AM23" i="71"/>
  <c r="AF27" i="71"/>
  <c r="AP27" i="71" s="1"/>
  <c r="AF17" i="71"/>
  <c r="AP17" i="71" s="1"/>
  <c r="AA21" i="71"/>
  <c r="AA20" i="71"/>
  <c r="AA19" i="71"/>
  <c r="AA18" i="71"/>
  <c r="AA17" i="71"/>
  <c r="M128" i="72"/>
  <c r="Q128" i="72" s="1"/>
  <c r="M97" i="72"/>
  <c r="Q97" i="72" s="1"/>
  <c r="M96" i="72"/>
  <c r="Q96" i="72" s="1"/>
  <c r="M95" i="72"/>
  <c r="Q95" i="72" s="1"/>
  <c r="M94" i="72"/>
  <c r="Q94" i="72" s="1"/>
  <c r="M93" i="72"/>
  <c r="Q93" i="72" s="1"/>
  <c r="M92" i="72"/>
  <c r="Q92" i="72" s="1"/>
  <c r="M91" i="72"/>
  <c r="Q91" i="72" s="1"/>
  <c r="M90" i="72"/>
  <c r="Q90" i="72" s="1"/>
  <c r="M89" i="72"/>
  <c r="Q89" i="72" s="1"/>
  <c r="M88" i="72"/>
  <c r="Q88" i="72" s="1"/>
  <c r="M87" i="72"/>
  <c r="Q87" i="72" s="1"/>
  <c r="M86" i="72"/>
  <c r="Q86" i="72" s="1"/>
  <c r="M85" i="72"/>
  <c r="Q85" i="72" s="1"/>
  <c r="M84" i="72"/>
  <c r="Q84" i="72" s="1"/>
  <c r="M83" i="72"/>
  <c r="Q83" i="72" s="1"/>
  <c r="M82" i="72"/>
  <c r="Q82" i="72" s="1"/>
  <c r="M81" i="72"/>
  <c r="Q81" i="72" s="1"/>
  <c r="M80" i="72"/>
  <c r="Q80" i="72" s="1"/>
  <c r="M79" i="72"/>
  <c r="Q79" i="72" s="1"/>
  <c r="M78" i="72"/>
  <c r="Q78" i="72" s="1"/>
  <c r="M77" i="72"/>
  <c r="Q77" i="72" s="1"/>
  <c r="J97" i="72"/>
  <c r="J96" i="72"/>
  <c r="J95" i="72"/>
  <c r="J94" i="72"/>
  <c r="J93" i="72"/>
  <c r="J92" i="72"/>
  <c r="J91" i="72"/>
  <c r="J90" i="72"/>
  <c r="J89" i="72"/>
  <c r="J88" i="72"/>
  <c r="J87" i="72"/>
  <c r="J86" i="72"/>
  <c r="J85" i="72"/>
  <c r="J84" i="72"/>
  <c r="J83" i="72"/>
  <c r="J82" i="72"/>
  <c r="J81" i="72"/>
  <c r="J80" i="72"/>
  <c r="J79" i="72"/>
  <c r="J78" i="72"/>
  <c r="J77" i="72"/>
  <c r="AC32" i="71" l="1"/>
  <c r="AD32" i="71" s="1"/>
  <c r="W32" i="71"/>
  <c r="AM32" i="71"/>
  <c r="AB32" i="71"/>
  <c r="AP32" i="71"/>
  <c r="AR32" i="71" s="1"/>
  <c r="AQ35" i="71"/>
  <c r="W35" i="71"/>
  <c r="AN35" i="71" s="1"/>
  <c r="AP35" i="71"/>
  <c r="AB35" i="71"/>
  <c r="AC35" i="71" s="1"/>
  <c r="AD35" i="71" s="1"/>
  <c r="AL35" i="71"/>
  <c r="AM35" i="71"/>
  <c r="AB33" i="71"/>
  <c r="AQ33" i="71"/>
  <c r="W33" i="71"/>
  <c r="AN33" i="71" s="1"/>
  <c r="AC33" i="71"/>
  <c r="AD33" i="71" s="1"/>
  <c r="AP33" i="71"/>
  <c r="AL33" i="71"/>
  <c r="AM33" i="71"/>
  <c r="AP31" i="71"/>
  <c r="AQ31" i="71"/>
  <c r="W31" i="71"/>
  <c r="AN31" i="71" s="1"/>
  <c r="AL31" i="71"/>
  <c r="AM31" i="71"/>
  <c r="AB31" i="71"/>
  <c r="X31" i="71"/>
  <c r="Y31" i="71" s="1"/>
  <c r="W41" i="71"/>
  <c r="AN41" i="71" s="1"/>
  <c r="AC41" i="71"/>
  <c r="AB41" i="71"/>
  <c r="AQ41" i="71"/>
  <c r="AP41" i="71"/>
  <c r="AM41" i="71"/>
  <c r="AL41" i="71"/>
  <c r="AD41" i="71"/>
  <c r="AP38" i="71"/>
  <c r="AM38" i="71"/>
  <c r="AL38" i="71"/>
  <c r="W38" i="71"/>
  <c r="AN38" i="71" s="1"/>
  <c r="AB38" i="71"/>
  <c r="AQ38" i="71"/>
  <c r="AP42" i="71"/>
  <c r="W42" i="71"/>
  <c r="AN42" i="71" s="1"/>
  <c r="AM42" i="71"/>
  <c r="AB42" i="71"/>
  <c r="AL42" i="71"/>
  <c r="X42" i="71"/>
  <c r="Y42" i="71" s="1"/>
  <c r="AQ42" i="71"/>
  <c r="AL36" i="71"/>
  <c r="W36" i="71"/>
  <c r="AN36" i="71" s="1"/>
  <c r="AQ36" i="71"/>
  <c r="AP36" i="71"/>
  <c r="X36" i="71"/>
  <c r="Y36" i="71" s="1"/>
  <c r="AB36" i="71"/>
  <c r="AM36" i="71"/>
  <c r="AC36" i="71"/>
  <c r="AD36" i="71" s="1"/>
  <c r="AP34" i="71"/>
  <c r="AQ34" i="71"/>
  <c r="AB34" i="71"/>
  <c r="W34" i="71"/>
  <c r="AN34" i="71" s="1"/>
  <c r="AL34" i="71"/>
  <c r="AC34" i="71"/>
  <c r="AM34" i="71"/>
  <c r="X34" i="71"/>
  <c r="Y34" i="71" s="1"/>
  <c r="W40" i="71"/>
  <c r="AN40" i="71" s="1"/>
  <c r="AM40" i="71"/>
  <c r="AP40" i="71"/>
  <c r="X40" i="71"/>
  <c r="Y40" i="71" s="1"/>
  <c r="AQ40" i="71"/>
  <c r="AL40" i="71"/>
  <c r="AB40" i="71"/>
  <c r="AC40" i="71"/>
  <c r="AD40" i="71" s="1"/>
  <c r="AQ37" i="71"/>
  <c r="AM37" i="71"/>
  <c r="W37" i="71"/>
  <c r="AN37" i="71" s="1"/>
  <c r="AL37" i="71"/>
  <c r="AB37" i="71"/>
  <c r="AC37" i="71" s="1"/>
  <c r="AD37" i="71" s="1"/>
  <c r="AP37" i="71"/>
  <c r="X37" i="71"/>
  <c r="Y37" i="71" s="1"/>
  <c r="W39" i="71"/>
  <c r="AN39" i="71" s="1"/>
  <c r="AP39" i="71"/>
  <c r="AB39" i="71"/>
  <c r="AL39" i="71"/>
  <c r="AM39" i="71"/>
  <c r="AQ39" i="71"/>
  <c r="AP43" i="71"/>
  <c r="AL43" i="71"/>
  <c r="AB43" i="71"/>
  <c r="W43" i="71"/>
  <c r="AN43" i="71" s="1"/>
  <c r="AM43" i="71"/>
  <c r="AQ43" i="71"/>
  <c r="AC43" i="71"/>
  <c r="AD43" i="71" s="1"/>
  <c r="X43" i="71"/>
  <c r="Y43" i="71" s="1"/>
  <c r="AP46" i="71"/>
  <c r="AB46" i="71"/>
  <c r="AC46" i="71" s="1"/>
  <c r="AD46" i="71" s="1"/>
  <c r="AM46" i="71"/>
  <c r="AL46" i="71"/>
  <c r="W46" i="71"/>
  <c r="AN46" i="71" s="1"/>
  <c r="AQ46" i="71"/>
  <c r="AP44" i="71"/>
  <c r="AQ44" i="71"/>
  <c r="AL44" i="71"/>
  <c r="AB44" i="71"/>
  <c r="AC44" i="71" s="1"/>
  <c r="AD44" i="71" s="1"/>
  <c r="W44" i="71"/>
  <c r="AN44" i="71" s="1"/>
  <c r="AM44" i="71"/>
  <c r="AB45" i="71"/>
  <c r="W45" i="71"/>
  <c r="AN45" i="71" s="1"/>
  <c r="AP45" i="71"/>
  <c r="AR45" i="71" s="1"/>
  <c r="AL45" i="71"/>
  <c r="AM45" i="71"/>
  <c r="AQ45" i="71"/>
  <c r="AC45" i="71"/>
  <c r="AD45" i="71" s="1"/>
  <c r="W19" i="71"/>
  <c r="AP19" i="71"/>
  <c r="AQ20" i="71"/>
  <c r="AP20" i="71"/>
  <c r="AR20" i="71" s="1"/>
  <c r="W21" i="71"/>
  <c r="AP21" i="71"/>
  <c r="W29" i="71"/>
  <c r="AN29" i="71" s="1"/>
  <c r="AP29" i="71"/>
  <c r="AL29" i="71"/>
  <c r="AB29" i="71"/>
  <c r="AC29" i="71" s="1"/>
  <c r="AD29" i="71" s="1"/>
  <c r="AM29" i="71"/>
  <c r="AQ29" i="71"/>
  <c r="AB20" i="71"/>
  <c r="W28" i="71"/>
  <c r="AN28" i="71" s="1"/>
  <c r="AQ28" i="71"/>
  <c r="AM28" i="71"/>
  <c r="AL28" i="71"/>
  <c r="AB28" i="71"/>
  <c r="AR28" i="71" s="1"/>
  <c r="AM30" i="71"/>
  <c r="W30" i="71"/>
  <c r="AN30" i="71" s="1"/>
  <c r="AB30" i="71"/>
  <c r="AC30" i="71" s="1"/>
  <c r="AD30" i="71" s="1"/>
  <c r="AQ30" i="71"/>
  <c r="AL30" i="71"/>
  <c r="W18" i="71"/>
  <c r="AM25" i="71"/>
  <c r="AB25" i="71"/>
  <c r="AR25" i="71" s="1"/>
  <c r="AQ25" i="71"/>
  <c r="W25" i="71"/>
  <c r="AN25" i="71" s="1"/>
  <c r="AM24" i="71"/>
  <c r="AB24" i="71"/>
  <c r="AR24" i="71" s="1"/>
  <c r="AQ24" i="71"/>
  <c r="W24" i="71"/>
  <c r="AN24" i="71" s="1"/>
  <c r="AM20" i="71"/>
  <c r="AL20" i="71"/>
  <c r="AN20" i="71" s="1"/>
  <c r="AM26" i="71"/>
  <c r="AL26" i="71"/>
  <c r="AQ26" i="71"/>
  <c r="AB21" i="71"/>
  <c r="AL19" i="71"/>
  <c r="AN19" i="71" s="1"/>
  <c r="AM19" i="71"/>
  <c r="AQ19" i="71"/>
  <c r="AL27" i="71"/>
  <c r="AM27" i="71"/>
  <c r="AQ27" i="71"/>
  <c r="AL21" i="71"/>
  <c r="AN21" i="71" s="1"/>
  <c r="AQ21" i="71"/>
  <c r="AM21" i="71"/>
  <c r="AL17" i="71"/>
  <c r="AQ17" i="71"/>
  <c r="AM17" i="71"/>
  <c r="AM18" i="71"/>
  <c r="AL18" i="71"/>
  <c r="AN18" i="71" s="1"/>
  <c r="AQ18" i="71"/>
  <c r="W17" i="71"/>
  <c r="X17" i="71" s="1"/>
  <c r="Y17" i="71" s="1"/>
  <c r="X20" i="71"/>
  <c r="Y20" i="71" s="1"/>
  <c r="M76" i="72"/>
  <c r="X21" i="71"/>
  <c r="Y21" i="71" s="1"/>
  <c r="AB17" i="71"/>
  <c r="AB18" i="71"/>
  <c r="AR18" i="71" s="1"/>
  <c r="AB19" i="71"/>
  <c r="AC19" i="71" s="1"/>
  <c r="AD19" i="71" s="1"/>
  <c r="X18" i="71"/>
  <c r="Y18" i="71" s="1"/>
  <c r="X19" i="71"/>
  <c r="Y19" i="71" s="1"/>
  <c r="AC20" i="71"/>
  <c r="AD20" i="71" s="1"/>
  <c r="AR38" i="71" l="1"/>
  <c r="AR42" i="71"/>
  <c r="AR39" i="71"/>
  <c r="X46" i="71"/>
  <c r="Y46" i="71" s="1"/>
  <c r="X39" i="71"/>
  <c r="Y39" i="71" s="1"/>
  <c r="AR43" i="71"/>
  <c r="AD34" i="71"/>
  <c r="AN32" i="71"/>
  <c r="X32" i="71"/>
  <c r="Y32" i="71" s="1"/>
  <c r="X45" i="71"/>
  <c r="Y45" i="71" s="1"/>
  <c r="AR44" i="71"/>
  <c r="AC39" i="71"/>
  <c r="AD39" i="71" s="1"/>
  <c r="AR37" i="71"/>
  <c r="AR36" i="71"/>
  <c r="X38" i="71"/>
  <c r="Y38" i="71" s="1"/>
  <c r="X41" i="71"/>
  <c r="Y41" i="71" s="1"/>
  <c r="AC31" i="71"/>
  <c r="AD31" i="71" s="1"/>
  <c r="AR31" i="71"/>
  <c r="AR33" i="71"/>
  <c r="X33" i="71"/>
  <c r="Y33" i="71" s="1"/>
  <c r="X35" i="71"/>
  <c r="Y35" i="71" s="1"/>
  <c r="AR35" i="71"/>
  <c r="X44" i="71"/>
  <c r="Y44" i="71" s="1"/>
  <c r="AR46" i="71"/>
  <c r="AR40" i="71"/>
  <c r="AR29" i="71"/>
  <c r="AR34" i="71"/>
  <c r="AC42" i="71"/>
  <c r="AD42" i="71" s="1"/>
  <c r="AC38" i="71"/>
  <c r="AD38" i="71" s="1"/>
  <c r="AR41" i="71"/>
  <c r="X29" i="71"/>
  <c r="Y29" i="71" s="1"/>
  <c r="X28" i="71"/>
  <c r="Y28" i="71" s="1"/>
  <c r="X30" i="71"/>
  <c r="Y30" i="71" s="1"/>
  <c r="AR30" i="71"/>
  <c r="AC28" i="71"/>
  <c r="AD28" i="71" s="1"/>
  <c r="AC24" i="71"/>
  <c r="AD24" i="71" s="1"/>
  <c r="X24" i="71"/>
  <c r="Y24" i="71" s="1"/>
  <c r="X25" i="71"/>
  <c r="Y25" i="71" s="1"/>
  <c r="AC25" i="71"/>
  <c r="AD25" i="71" s="1"/>
  <c r="AR17" i="71"/>
  <c r="AR19" i="71"/>
  <c r="AR21" i="71"/>
  <c r="AC21" i="71"/>
  <c r="AD21" i="71" s="1"/>
  <c r="AN17" i="71"/>
  <c r="AC17" i="71"/>
  <c r="AD17" i="71" s="1"/>
  <c r="AC18" i="71"/>
  <c r="AD18" i="71" s="1"/>
  <c r="J132" i="72"/>
  <c r="AA12" i="71"/>
  <c r="AB12" i="71" s="1"/>
  <c r="AR12" i="71" s="1"/>
  <c r="W23" i="71"/>
  <c r="X22" i="71"/>
  <c r="W22" i="71"/>
  <c r="AN22" i="71" s="1"/>
  <c r="X9" i="71"/>
  <c r="J147" i="72"/>
  <c r="P148" i="72"/>
  <c r="P149" i="72"/>
  <c r="P150" i="72"/>
  <c r="P151" i="72"/>
  <c r="P152" i="72"/>
  <c r="P153" i="72"/>
  <c r="P154" i="72"/>
  <c r="P155" i="72"/>
  <c r="P156" i="72"/>
  <c r="P157" i="72"/>
  <c r="P147" i="72"/>
  <c r="AA16" i="71"/>
  <c r="AA15" i="71"/>
  <c r="AA14" i="71"/>
  <c r="AA13" i="71"/>
  <c r="AB13" i="71" s="1"/>
  <c r="AR13" i="71" s="1"/>
  <c r="W13" i="71"/>
  <c r="AN13" i="71" s="1"/>
  <c r="W12" i="71"/>
  <c r="X23" i="71" l="1"/>
  <c r="AN23" i="71"/>
  <c r="X12" i="71"/>
  <c r="Y12" i="71" s="1"/>
  <c r="AN12" i="71"/>
  <c r="X13" i="71"/>
  <c r="Y13" i="71" s="1"/>
  <c r="AC12" i="71"/>
  <c r="AD12" i="71" s="1"/>
  <c r="AC13" i="71"/>
  <c r="AD13" i="71" s="1"/>
  <c r="M132" i="72" l="1"/>
  <c r="J7" i="72"/>
  <c r="AA27" i="71"/>
  <c r="AB27" i="71" s="1"/>
  <c r="AR27" i="71" s="1"/>
  <c r="W27" i="71"/>
  <c r="AA26" i="71"/>
  <c r="AB26" i="71" s="1"/>
  <c r="W26" i="71"/>
  <c r="AN26" i="71" s="1"/>
  <c r="AA23" i="71"/>
  <c r="AB23" i="71" s="1"/>
  <c r="AR23" i="71" s="1"/>
  <c r="Y23" i="71"/>
  <c r="AA22" i="71"/>
  <c r="AC22" i="71" s="1"/>
  <c r="Y22" i="71"/>
  <c r="J52" i="72"/>
  <c r="M52" i="72"/>
  <c r="P52" i="72"/>
  <c r="J53" i="72"/>
  <c r="M53" i="72"/>
  <c r="P53" i="72"/>
  <c r="J54" i="72"/>
  <c r="M54" i="72"/>
  <c r="P54" i="72"/>
  <c r="J55" i="72"/>
  <c r="M55" i="72"/>
  <c r="P55" i="72"/>
  <c r="J56" i="72"/>
  <c r="M56" i="72"/>
  <c r="P56" i="72"/>
  <c r="J57" i="72"/>
  <c r="M57" i="72"/>
  <c r="P57" i="72"/>
  <c r="J58" i="72"/>
  <c r="M58" i="72"/>
  <c r="P58" i="72"/>
  <c r="J59" i="72"/>
  <c r="M59" i="72"/>
  <c r="P59" i="72"/>
  <c r="J60" i="72"/>
  <c r="M60" i="72"/>
  <c r="P60" i="72"/>
  <c r="J61" i="72"/>
  <c r="M61" i="72"/>
  <c r="P61" i="72"/>
  <c r="P75" i="72"/>
  <c r="M75" i="72"/>
  <c r="J75" i="72"/>
  <c r="Q52" i="72" l="1"/>
  <c r="Q56" i="72"/>
  <c r="Q60" i="72"/>
  <c r="Q57" i="72"/>
  <c r="Q53" i="72"/>
  <c r="Q61" i="72"/>
  <c r="Q75" i="72"/>
  <c r="Q58" i="72"/>
  <c r="Q54" i="72"/>
  <c r="Q59" i="72"/>
  <c r="Q55" i="72"/>
  <c r="X26" i="71"/>
  <c r="Y26" i="71" s="1"/>
  <c r="AR26" i="71"/>
  <c r="P51" i="72"/>
  <c r="J51" i="72"/>
  <c r="M51" i="72"/>
  <c r="X27" i="71"/>
  <c r="Y27" i="71" s="1"/>
  <c r="AN27" i="71"/>
  <c r="AB22" i="71"/>
  <c r="AR22" i="71" s="1"/>
  <c r="AC23" i="71"/>
  <c r="AD23" i="71" s="1"/>
  <c r="AC27" i="71"/>
  <c r="AD27" i="71" s="1"/>
  <c r="AC26" i="71"/>
  <c r="AD26" i="71" s="1"/>
  <c r="AD22" i="71" l="1"/>
  <c r="P139" i="72"/>
  <c r="P138" i="72"/>
  <c r="P133" i="72"/>
  <c r="P132" i="72"/>
  <c r="Q132" i="72" s="1"/>
  <c r="P131" i="72"/>
  <c r="P130" i="72"/>
  <c r="P76" i="72"/>
  <c r="P47" i="72"/>
  <c r="P46" i="72"/>
  <c r="P45" i="72"/>
  <c r="M157" i="72"/>
  <c r="Q157" i="72" s="1"/>
  <c r="M156" i="72"/>
  <c r="Q156" i="72" s="1"/>
  <c r="M155" i="72"/>
  <c r="Q155" i="72" s="1"/>
  <c r="M154" i="72"/>
  <c r="Q154" i="72" s="1"/>
  <c r="M153" i="72"/>
  <c r="Q153" i="72" s="1"/>
  <c r="M152" i="72"/>
  <c r="Q152" i="72" s="1"/>
  <c r="M151" i="72"/>
  <c r="Q151" i="72" s="1"/>
  <c r="M150" i="72"/>
  <c r="Q150" i="72" s="1"/>
  <c r="M149" i="72"/>
  <c r="Q149" i="72" s="1"/>
  <c r="M148" i="72"/>
  <c r="Q148" i="72" s="1"/>
  <c r="M147" i="72"/>
  <c r="Q147" i="72" s="1"/>
  <c r="M139" i="72"/>
  <c r="M138" i="72"/>
  <c r="M133" i="72"/>
  <c r="M131" i="72"/>
  <c r="M130" i="72"/>
  <c r="M47" i="72"/>
  <c r="M46" i="72"/>
  <c r="M45" i="72"/>
  <c r="M44" i="72"/>
  <c r="Q44" i="72" s="1"/>
  <c r="M37" i="72"/>
  <c r="Q37" i="72" s="1"/>
  <c r="M36" i="72"/>
  <c r="Q36" i="72" s="1"/>
  <c r="M35" i="72"/>
  <c r="Q35" i="72" s="1"/>
  <c r="M34" i="72"/>
  <c r="Q34" i="72" s="1"/>
  <c r="M33" i="72"/>
  <c r="Q33" i="72" s="1"/>
  <c r="M31" i="72"/>
  <c r="Q31" i="72" s="1"/>
  <c r="M23" i="72"/>
  <c r="Q23" i="72" s="1"/>
  <c r="M18" i="72"/>
  <c r="Q18" i="72" s="1"/>
  <c r="M17" i="72"/>
  <c r="Q17" i="72" s="1"/>
  <c r="M16" i="72"/>
  <c r="Q16" i="72" s="1"/>
  <c r="M15" i="72"/>
  <c r="Q15" i="72" s="1"/>
  <c r="M14" i="72"/>
  <c r="Q14" i="72" s="1"/>
  <c r="M9" i="72"/>
  <c r="Q9" i="72" s="1"/>
  <c r="J157" i="72"/>
  <c r="J156" i="72"/>
  <c r="J155" i="72"/>
  <c r="J154" i="72"/>
  <c r="J153" i="72"/>
  <c r="J152" i="72"/>
  <c r="J151" i="72"/>
  <c r="J150" i="72"/>
  <c r="J149" i="72"/>
  <c r="J148" i="72"/>
  <c r="Q130" i="72" l="1"/>
  <c r="Q45" i="72"/>
  <c r="Q138" i="72"/>
  <c r="Q131" i="72"/>
  <c r="Q46" i="72"/>
  <c r="Q47" i="72"/>
  <c r="Q139" i="72"/>
  <c r="Q133" i="72"/>
  <c r="P22" i="72"/>
  <c r="M22" i="72"/>
  <c r="M137" i="72"/>
  <c r="M32" i="72"/>
  <c r="P32" i="72"/>
  <c r="P137" i="72"/>
  <c r="M7" i="72"/>
  <c r="M43" i="72"/>
  <c r="M129" i="72"/>
  <c r="P43" i="72"/>
  <c r="M13" i="72"/>
  <c r="P129" i="72"/>
  <c r="AE129" i="72"/>
  <c r="AP129" i="72" s="1"/>
  <c r="J133" i="72"/>
  <c r="Z132" i="72"/>
  <c r="Y132" i="72"/>
  <c r="AA131" i="72"/>
  <c r="J131" i="72"/>
  <c r="Z130" i="72"/>
  <c r="Y130" i="72"/>
  <c r="J130" i="72"/>
  <c r="AA11" i="71"/>
  <c r="AA132" i="72" l="1"/>
  <c r="AA130" i="72"/>
  <c r="Y129" i="72"/>
  <c r="J129" i="72"/>
  <c r="Z129" i="72"/>
  <c r="AA129" i="72" l="1"/>
  <c r="AA10" i="71"/>
  <c r="Z47" i="72"/>
  <c r="Y47" i="72"/>
  <c r="J47" i="72"/>
  <c r="Z46" i="72"/>
  <c r="Y46" i="72"/>
  <c r="J46" i="72"/>
  <c r="J45" i="72"/>
  <c r="Y44" i="72"/>
  <c r="J44" i="72"/>
  <c r="AA46" i="72" l="1"/>
  <c r="AA44" i="72"/>
  <c r="Y43" i="72"/>
  <c r="AA47" i="72"/>
  <c r="J43" i="72"/>
  <c r="Z43" i="72"/>
  <c r="AE43" i="72"/>
  <c r="AP43" i="72" s="1"/>
  <c r="AF8" i="71" l="1"/>
  <c r="AA8" i="71"/>
  <c r="AF7" i="71"/>
  <c r="AA7" i="71"/>
  <c r="Z37" i="72"/>
  <c r="Y37" i="72"/>
  <c r="Z36" i="72"/>
  <c r="Y36" i="72"/>
  <c r="Z35" i="72"/>
  <c r="Y35" i="72"/>
  <c r="AE32" i="72"/>
  <c r="AP32" i="72" s="1"/>
  <c r="Z33" i="72"/>
  <c r="Y33" i="72"/>
  <c r="J32" i="72"/>
  <c r="Z139" i="72"/>
  <c r="AA139" i="72" s="1"/>
  <c r="J139" i="72"/>
  <c r="Z138" i="72"/>
  <c r="AA138" i="72" s="1"/>
  <c r="J138" i="72"/>
  <c r="AA9" i="71"/>
  <c r="AB9" i="71" s="1"/>
  <c r="AR9" i="71" s="1"/>
  <c r="Y9" i="71"/>
  <c r="W7" i="71" l="1"/>
  <c r="AP7" i="71"/>
  <c r="J137" i="72"/>
  <c r="AA35" i="72"/>
  <c r="AA37" i="72"/>
  <c r="AA33" i="72"/>
  <c r="Y32" i="72"/>
  <c r="AA36" i="72"/>
  <c r="Z137" i="72"/>
  <c r="AA137" i="72" s="1"/>
  <c r="Z32" i="72"/>
  <c r="AM7" i="71"/>
  <c r="AQ7" i="71"/>
  <c r="AL7" i="71"/>
  <c r="AN7" i="71" s="1"/>
  <c r="AQ8" i="71"/>
  <c r="AM8" i="71"/>
  <c r="AD137" i="72"/>
  <c r="AP137" i="72" s="1"/>
  <c r="X7" i="71"/>
  <c r="Y7" i="71" s="1"/>
  <c r="W8" i="71"/>
  <c r="AN8" i="71" s="1"/>
  <c r="AB8" i="71"/>
  <c r="AR8" i="71" s="1"/>
  <c r="AB7" i="71"/>
  <c r="AC8" i="71"/>
  <c r="AC9" i="71"/>
  <c r="AD9" i="71" s="1"/>
  <c r="AR7" i="71" l="1"/>
  <c r="AD8" i="71"/>
  <c r="AC7" i="71"/>
  <c r="AD7" i="71" s="1"/>
  <c r="X8" i="71"/>
  <c r="Y8" i="71" s="1"/>
  <c r="Y16" i="72" l="1"/>
  <c r="J16" i="72"/>
  <c r="Z16" i="72" l="1"/>
  <c r="AA16" i="72" s="1"/>
  <c r="AD7" i="83"/>
  <c r="AD8" i="83"/>
  <c r="AD9" i="83"/>
  <c r="AD10" i="83"/>
  <c r="AD11" i="83"/>
  <c r="AD14" i="83"/>
  <c r="AD15" i="83"/>
  <c r="AD16" i="83"/>
  <c r="AD17" i="83"/>
  <c r="AD18" i="83"/>
  <c r="AD19" i="83"/>
  <c r="AD20" i="83"/>
  <c r="AD21" i="83"/>
  <c r="AD22" i="83"/>
  <c r="AD23" i="83"/>
  <c r="AD24" i="83"/>
  <c r="AD25" i="83"/>
  <c r="AD26" i="83"/>
  <c r="AD27" i="83"/>
  <c r="AD28" i="83"/>
  <c r="AD29" i="83"/>
  <c r="AD30" i="83"/>
  <c r="AD31" i="83"/>
  <c r="AD32" i="83"/>
  <c r="AD33" i="83"/>
  <c r="AD34" i="83"/>
  <c r="AD35" i="83"/>
  <c r="AI7" i="81" l="1"/>
  <c r="AI8" i="81"/>
  <c r="AI9" i="81"/>
  <c r="AI10" i="81"/>
  <c r="AI11" i="81"/>
  <c r="AI15" i="81"/>
  <c r="AI16" i="81"/>
  <c r="AI17" i="81"/>
  <c r="AI18" i="81"/>
  <c r="AI19" i="81"/>
  <c r="AI20" i="81"/>
  <c r="AI21" i="81"/>
  <c r="AI22" i="81"/>
  <c r="AI23" i="81"/>
  <c r="AI24" i="81"/>
  <c r="AI25" i="81"/>
  <c r="AI26" i="81"/>
  <c r="AI27" i="81"/>
  <c r="AI28" i="81"/>
  <c r="AI29" i="81"/>
  <c r="AI30" i="81"/>
  <c r="AI31" i="81"/>
  <c r="AI32" i="81"/>
  <c r="AI34" i="81"/>
  <c r="AI35" i="81"/>
  <c r="AI36" i="81"/>
  <c r="AI37" i="81"/>
  <c r="AH7" i="81"/>
  <c r="AH8" i="81"/>
  <c r="AH9" i="81"/>
  <c r="AH10" i="81"/>
  <c r="AH11" i="81"/>
  <c r="AH15" i="81"/>
  <c r="AH16" i="81"/>
  <c r="AH17" i="81"/>
  <c r="AH18" i="81"/>
  <c r="AH19" i="81"/>
  <c r="AH20" i="81"/>
  <c r="AH21" i="81"/>
  <c r="AH22" i="81"/>
  <c r="AH23" i="81"/>
  <c r="AH24" i="81"/>
  <c r="AH25" i="81"/>
  <c r="AH26" i="81"/>
  <c r="AH27" i="81"/>
  <c r="AH28" i="81"/>
  <c r="AH29" i="81"/>
  <c r="AH30" i="81"/>
  <c r="AH31" i="81"/>
  <c r="AH32" i="81"/>
  <c r="AH34" i="81"/>
  <c r="AH35" i="81"/>
  <c r="AH36" i="81"/>
  <c r="AH37" i="81"/>
  <c r="Y7" i="83"/>
  <c r="Y8" i="83"/>
  <c r="Z8" i="83" s="1"/>
  <c r="Y9" i="83"/>
  <c r="Z9" i="83" s="1"/>
  <c r="AA9" i="83" s="1"/>
  <c r="Y10" i="83"/>
  <c r="Y11" i="83"/>
  <c r="Z11" i="83" s="1"/>
  <c r="Y14" i="83"/>
  <c r="Z14" i="83" s="1"/>
  <c r="AA14" i="83" s="1"/>
  <c r="Y15" i="83"/>
  <c r="Y16" i="83"/>
  <c r="Z16" i="83" s="1"/>
  <c r="Y17" i="83"/>
  <c r="Z17" i="83" s="1"/>
  <c r="AA17" i="83" s="1"/>
  <c r="Y18" i="83"/>
  <c r="Y19" i="83"/>
  <c r="Z19" i="83" s="1"/>
  <c r="Y20" i="83"/>
  <c r="Z20" i="83" s="1"/>
  <c r="AA20" i="83" s="1"/>
  <c r="Y21" i="83"/>
  <c r="Y22" i="83"/>
  <c r="Z22" i="83" s="1"/>
  <c r="Y23" i="83"/>
  <c r="Z23" i="83" s="1"/>
  <c r="AA23" i="83" s="1"/>
  <c r="Y24" i="83"/>
  <c r="Y25" i="83"/>
  <c r="Z25" i="83" s="1"/>
  <c r="Y26" i="83"/>
  <c r="Z26" i="83" s="1"/>
  <c r="AA26" i="83" s="1"/>
  <c r="Y27" i="83"/>
  <c r="Y28" i="83"/>
  <c r="Z28" i="83" s="1"/>
  <c r="Y29" i="83"/>
  <c r="Z29" i="83" s="1"/>
  <c r="AA29" i="83" s="1"/>
  <c r="Y30" i="83"/>
  <c r="Y31" i="83"/>
  <c r="Z31" i="83" s="1"/>
  <c r="Y32" i="83"/>
  <c r="Z32" i="83" s="1"/>
  <c r="AA32" i="83" s="1"/>
  <c r="Y33" i="83"/>
  <c r="Y34" i="83"/>
  <c r="Z34" i="83" s="1"/>
  <c r="Y35" i="83"/>
  <c r="Z35" i="83" s="1"/>
  <c r="AA35" i="83" s="1"/>
  <c r="U8" i="83"/>
  <c r="V8" i="83" s="1"/>
  <c r="U9" i="83"/>
  <c r="V9" i="83" s="1"/>
  <c r="U11" i="83"/>
  <c r="U14" i="83"/>
  <c r="V14" i="83" s="1"/>
  <c r="U16" i="83"/>
  <c r="V16" i="83" s="1"/>
  <c r="U17" i="83"/>
  <c r="U19" i="83"/>
  <c r="U20" i="83"/>
  <c r="U22" i="83"/>
  <c r="V22" i="83" s="1"/>
  <c r="U23" i="83"/>
  <c r="V23" i="83" s="1"/>
  <c r="U25" i="83"/>
  <c r="U26" i="83"/>
  <c r="V26" i="83" s="1"/>
  <c r="U28" i="83"/>
  <c r="V28" i="83" s="1"/>
  <c r="U29" i="83"/>
  <c r="U31" i="83"/>
  <c r="U32" i="83"/>
  <c r="V32" i="83" s="1"/>
  <c r="W32" i="83" s="1"/>
  <c r="U34" i="83"/>
  <c r="V34" i="83" s="1"/>
  <c r="U35" i="83"/>
  <c r="V35" i="83" s="1"/>
  <c r="AA7" i="81"/>
  <c r="AA8" i="81"/>
  <c r="AA9" i="81"/>
  <c r="AA10" i="81"/>
  <c r="AA11" i="81"/>
  <c r="AA15" i="81"/>
  <c r="AA16" i="81"/>
  <c r="AA17" i="81"/>
  <c r="AA18" i="81"/>
  <c r="AA19" i="81"/>
  <c r="AA20" i="81"/>
  <c r="AA21" i="81"/>
  <c r="AA22" i="81"/>
  <c r="AA23" i="81"/>
  <c r="AA24" i="81"/>
  <c r="AA25" i="81"/>
  <c r="AA26" i="81"/>
  <c r="AA27" i="81"/>
  <c r="AA28" i="81"/>
  <c r="AA29" i="81"/>
  <c r="AA30" i="81"/>
  <c r="AA31" i="81"/>
  <c r="AA32" i="81"/>
  <c r="AA34" i="81"/>
  <c r="AA35" i="81"/>
  <c r="AA36" i="81"/>
  <c r="AA37" i="81"/>
  <c r="AB8" i="81"/>
  <c r="AC8" i="81" s="1"/>
  <c r="AB9" i="81"/>
  <c r="AB15" i="81"/>
  <c r="AC15" i="81" s="1"/>
  <c r="AB17" i="81"/>
  <c r="AB18" i="81"/>
  <c r="AC18" i="81" s="1"/>
  <c r="AB20" i="81"/>
  <c r="AC20" i="81" s="1"/>
  <c r="AB21" i="81"/>
  <c r="AB23" i="81"/>
  <c r="AB24" i="81"/>
  <c r="AC24" i="81" s="1"/>
  <c r="AB26" i="81"/>
  <c r="AC26" i="81" s="1"/>
  <c r="AB27" i="81"/>
  <c r="AB29" i="81"/>
  <c r="AB30" i="81"/>
  <c r="AC30" i="81" s="1"/>
  <c r="AB32" i="81"/>
  <c r="AC32" i="81" s="1"/>
  <c r="AB34" i="81"/>
  <c r="AB36" i="81"/>
  <c r="AB37" i="81"/>
  <c r="AC37" i="81" s="1"/>
  <c r="W8" i="81"/>
  <c r="X8" i="81" s="1"/>
  <c r="W9" i="81"/>
  <c r="W15" i="81"/>
  <c r="X15" i="81" s="1"/>
  <c r="Y15" i="81" s="1"/>
  <c r="W17" i="81"/>
  <c r="X17" i="81" s="1"/>
  <c r="W18" i="81"/>
  <c r="W20" i="81"/>
  <c r="X20" i="81" s="1"/>
  <c r="Y20" i="81" s="1"/>
  <c r="W21" i="81"/>
  <c r="X21" i="81" s="1"/>
  <c r="W23" i="81"/>
  <c r="W24" i="81"/>
  <c r="X24" i="81" s="1"/>
  <c r="Y24" i="81" s="1"/>
  <c r="W26" i="81"/>
  <c r="W27" i="81"/>
  <c r="X27" i="81" s="1"/>
  <c r="Y27" i="81" s="1"/>
  <c r="W29" i="81"/>
  <c r="X29" i="81" s="1"/>
  <c r="W30" i="81"/>
  <c r="W32" i="81"/>
  <c r="X32" i="81" s="1"/>
  <c r="Y32" i="81" s="1"/>
  <c r="W34" i="81"/>
  <c r="X34" i="81" s="1"/>
  <c r="W36" i="81"/>
  <c r="W37" i="81"/>
  <c r="X37" i="81" s="1"/>
  <c r="Y37" i="81" s="1"/>
  <c r="AK7" i="72"/>
  <c r="AJ7" i="72"/>
  <c r="Y9" i="72"/>
  <c r="Y7" i="72" s="1"/>
  <c r="Y14" i="72"/>
  <c r="Y15" i="72"/>
  <c r="Y17" i="72"/>
  <c r="Y18" i="72"/>
  <c r="Y23" i="72"/>
  <c r="Y31" i="72"/>
  <c r="Y75" i="72"/>
  <c r="Y51" i="72" s="1"/>
  <c r="Y128" i="72"/>
  <c r="Y76" i="72" s="1"/>
  <c r="AA164" i="72"/>
  <c r="Y166" i="72"/>
  <c r="Y146" i="72" s="1"/>
  <c r="AA50" i="71"/>
  <c r="AA51" i="71"/>
  <c r="AD9" i="72"/>
  <c r="AL48" i="71" l="1"/>
  <c r="AL25" i="71"/>
  <c r="AL24" i="71"/>
  <c r="W10" i="81"/>
  <c r="W35" i="81"/>
  <c r="W25" i="81"/>
  <c r="W22" i="81"/>
  <c r="AC10" i="81"/>
  <c r="AE9" i="72"/>
  <c r="AF9" i="72" s="1"/>
  <c r="AD7" i="72"/>
  <c r="Y22" i="72"/>
  <c r="Y13" i="72"/>
  <c r="AB35" i="81"/>
  <c r="AB28" i="81"/>
  <c r="AB16" i="81"/>
  <c r="AB10" i="81"/>
  <c r="X36" i="81"/>
  <c r="Y36" i="81" s="1"/>
  <c r="AC36" i="81"/>
  <c r="AC35" i="81" s="1"/>
  <c r="AL22" i="71"/>
  <c r="AL9" i="71"/>
  <c r="AL23" i="71"/>
  <c r="AL8" i="71"/>
  <c r="Z128" i="72"/>
  <c r="AA128" i="72" s="1"/>
  <c r="Z9" i="72"/>
  <c r="Z7" i="72" s="1"/>
  <c r="Z75" i="72"/>
  <c r="AA75" i="72" s="1"/>
  <c r="Z17" i="72"/>
  <c r="AA17" i="72" s="1"/>
  <c r="Z166" i="72"/>
  <c r="AA166" i="72" s="1"/>
  <c r="Z31" i="72"/>
  <c r="AA31" i="72" s="1"/>
  <c r="Z15" i="72"/>
  <c r="AA15" i="72" s="1"/>
  <c r="AC23" i="81"/>
  <c r="AC22" i="81" s="1"/>
  <c r="AB7" i="81"/>
  <c r="AB19" i="81"/>
  <c r="AB22" i="81"/>
  <c r="AB25" i="81"/>
  <c r="AB31" i="81"/>
  <c r="X23" i="81"/>
  <c r="AD15" i="81"/>
  <c r="W7" i="81"/>
  <c r="W19" i="81"/>
  <c r="W28" i="81"/>
  <c r="W31" i="81"/>
  <c r="AD36" i="81"/>
  <c r="AC27" i="81"/>
  <c r="AC25" i="81" s="1"/>
  <c r="W16" i="81"/>
  <c r="X19" i="81"/>
  <c r="X31" i="81"/>
  <c r="Z14" i="72"/>
  <c r="AA14" i="72" s="1"/>
  <c r="Z18" i="72"/>
  <c r="AA18" i="72" s="1"/>
  <c r="AE76" i="72"/>
  <c r="AP76" i="72" s="1"/>
  <c r="AE51" i="72"/>
  <c r="AP51" i="72" s="1"/>
  <c r="Z23" i="72"/>
  <c r="AA23" i="72" s="1"/>
  <c r="W26" i="83"/>
  <c r="W14" i="83"/>
  <c r="U30" i="83"/>
  <c r="U24" i="83"/>
  <c r="U18" i="83"/>
  <c r="U10" i="83"/>
  <c r="V20" i="83"/>
  <c r="W20" i="83" s="1"/>
  <c r="W35" i="83"/>
  <c r="W23" i="83"/>
  <c r="W9" i="83"/>
  <c r="Z30" i="83"/>
  <c r="AA31" i="83"/>
  <c r="AA30" i="83" s="1"/>
  <c r="Z24" i="83"/>
  <c r="AA25" i="83"/>
  <c r="AA24" i="83" s="1"/>
  <c r="Z18" i="83"/>
  <c r="AA19" i="83"/>
  <c r="AA18" i="83" s="1"/>
  <c r="AA11" i="83"/>
  <c r="AA10" i="83" s="1"/>
  <c r="Z10" i="83"/>
  <c r="U33" i="83"/>
  <c r="U27" i="83"/>
  <c r="U21" i="83"/>
  <c r="U15" i="83"/>
  <c r="U7" i="83"/>
  <c r="V31" i="83"/>
  <c r="V30" i="83" s="1"/>
  <c r="V25" i="83"/>
  <c r="V24" i="83" s="1"/>
  <c r="V19" i="83"/>
  <c r="V11" i="83"/>
  <c r="V10" i="83" s="1"/>
  <c r="W34" i="83"/>
  <c r="W22" i="83"/>
  <c r="W8" i="83"/>
  <c r="V29" i="83"/>
  <c r="W29" i="83" s="1"/>
  <c r="V17" i="83"/>
  <c r="W17" i="83" s="1"/>
  <c r="W25" i="83"/>
  <c r="Z33" i="83"/>
  <c r="AA34" i="83"/>
  <c r="AA33" i="83" s="1"/>
  <c r="Z27" i="83"/>
  <c r="AA28" i="83"/>
  <c r="AA27" i="83" s="1"/>
  <c r="Z21" i="83"/>
  <c r="AA22" i="83"/>
  <c r="AA21" i="83" s="1"/>
  <c r="Z15" i="83"/>
  <c r="AA16" i="83"/>
  <c r="AA15" i="83" s="1"/>
  <c r="Z7" i="83"/>
  <c r="AA8" i="83"/>
  <c r="AA7" i="83" s="1"/>
  <c r="V33" i="83"/>
  <c r="V21" i="83"/>
  <c r="V7" i="83"/>
  <c r="W28" i="83"/>
  <c r="W16" i="83"/>
  <c r="X9" i="81"/>
  <c r="Y9" i="81" s="1"/>
  <c r="Y34" i="81"/>
  <c r="Y29" i="81"/>
  <c r="Y21" i="81"/>
  <c r="Y17" i="81"/>
  <c r="AC34" i="81"/>
  <c r="AD34" i="81" s="1"/>
  <c r="AC29" i="81"/>
  <c r="AC21" i="81"/>
  <c r="AC17" i="81"/>
  <c r="AC16" i="81" s="1"/>
  <c r="AD37" i="81"/>
  <c r="AD32" i="81"/>
  <c r="AD24" i="81"/>
  <c r="AD20" i="81"/>
  <c r="AC9" i="81"/>
  <c r="AD9" i="81" s="1"/>
  <c r="X30" i="81"/>
  <c r="X28" i="81" s="1"/>
  <c r="X26" i="81"/>
  <c r="X18" i="81"/>
  <c r="Y18" i="81" s="1"/>
  <c r="X10" i="81"/>
  <c r="AD30" i="81"/>
  <c r="AD26" i="81"/>
  <c r="AD18" i="81"/>
  <c r="AD8" i="81"/>
  <c r="AD11" i="81"/>
  <c r="Y8" i="81"/>
  <c r="J8" i="83"/>
  <c r="M8" i="83"/>
  <c r="P8" i="83"/>
  <c r="AP9" i="72" l="1"/>
  <c r="X35" i="81"/>
  <c r="AD27" i="81"/>
  <c r="W6" i="81"/>
  <c r="AE7" i="72"/>
  <c r="AP7" i="72" s="1"/>
  <c r="Y6" i="72"/>
  <c r="Z146" i="72"/>
  <c r="AA146" i="72" s="1"/>
  <c r="AD17" i="81"/>
  <c r="V15" i="83"/>
  <c r="Z6" i="83"/>
  <c r="V18" i="83"/>
  <c r="AC31" i="81"/>
  <c r="Y11" i="81"/>
  <c r="AA9" i="72"/>
  <c r="Z13" i="72"/>
  <c r="AD21" i="81"/>
  <c r="AC19" i="81"/>
  <c r="Y30" i="81"/>
  <c r="AB6" i="81"/>
  <c r="AC7" i="81"/>
  <c r="Y26" i="81"/>
  <c r="X25" i="81"/>
  <c r="AD23" i="81"/>
  <c r="X16" i="81"/>
  <c r="AD29" i="81"/>
  <c r="AC28" i="81"/>
  <c r="Y23" i="81"/>
  <c r="X22" i="81"/>
  <c r="X7" i="81"/>
  <c r="Z51" i="72"/>
  <c r="Z76" i="72"/>
  <c r="AA76" i="72" s="1"/>
  <c r="Z22" i="72"/>
  <c r="V27" i="83"/>
  <c r="W31" i="83"/>
  <c r="U6" i="83"/>
  <c r="W11" i="83"/>
  <c r="W19" i="83"/>
  <c r="AA6" i="83"/>
  <c r="P37" i="81"/>
  <c r="P36" i="81"/>
  <c r="P34" i="81"/>
  <c r="P32" i="81"/>
  <c r="P31" i="81" s="1"/>
  <c r="P27" i="81"/>
  <c r="P26" i="81"/>
  <c r="P24" i="81"/>
  <c r="P23" i="81"/>
  <c r="P21" i="81"/>
  <c r="P20" i="81"/>
  <c r="P18" i="81"/>
  <c r="P17" i="81"/>
  <c r="P15" i="81"/>
  <c r="P11" i="81"/>
  <c r="P8" i="81"/>
  <c r="P9" i="81"/>
  <c r="M37" i="81"/>
  <c r="M36" i="81"/>
  <c r="M34" i="81"/>
  <c r="M32" i="81"/>
  <c r="M30" i="81"/>
  <c r="M29" i="81"/>
  <c r="M28" i="81" s="1"/>
  <c r="M27" i="81"/>
  <c r="M26" i="81"/>
  <c r="M24" i="81"/>
  <c r="M23" i="81"/>
  <c r="M21" i="81"/>
  <c r="M20" i="81"/>
  <c r="M18" i="81"/>
  <c r="M17" i="81"/>
  <c r="M15" i="81"/>
  <c r="M11" i="81"/>
  <c r="M8" i="81"/>
  <c r="M9" i="81"/>
  <c r="J37" i="81"/>
  <c r="J36" i="81"/>
  <c r="J34" i="81"/>
  <c r="J32" i="81"/>
  <c r="J30" i="81"/>
  <c r="J29" i="81"/>
  <c r="J27" i="81"/>
  <c r="J26" i="81"/>
  <c r="J24" i="81"/>
  <c r="J23" i="81"/>
  <c r="J21" i="81"/>
  <c r="J20" i="81"/>
  <c r="J18" i="81"/>
  <c r="J17" i="81"/>
  <c r="J15" i="81"/>
  <c r="J11" i="81"/>
  <c r="J8" i="81"/>
  <c r="J9" i="81"/>
  <c r="H35" i="81"/>
  <c r="I35" i="81"/>
  <c r="K35" i="81"/>
  <c r="L35" i="81"/>
  <c r="N35" i="81"/>
  <c r="O35" i="81"/>
  <c r="H31" i="81"/>
  <c r="I31" i="81"/>
  <c r="K31" i="81"/>
  <c r="L31" i="81"/>
  <c r="N31" i="81"/>
  <c r="O31" i="81"/>
  <c r="H28" i="81"/>
  <c r="I28" i="81"/>
  <c r="K28" i="81"/>
  <c r="L28" i="81"/>
  <c r="N28" i="81"/>
  <c r="O28" i="81"/>
  <c r="H25" i="81"/>
  <c r="I25" i="81"/>
  <c r="K25" i="81"/>
  <c r="L25" i="81"/>
  <c r="N25" i="81"/>
  <c r="O25" i="81"/>
  <c r="H22" i="81"/>
  <c r="I22" i="81"/>
  <c r="K22" i="81"/>
  <c r="L22" i="81"/>
  <c r="N22" i="81"/>
  <c r="O22" i="81"/>
  <c r="H19" i="81"/>
  <c r="I19" i="81"/>
  <c r="K19" i="81"/>
  <c r="L19" i="81"/>
  <c r="N19" i="81"/>
  <c r="O19" i="81"/>
  <c r="H16" i="81"/>
  <c r="I16" i="81"/>
  <c r="K16" i="81"/>
  <c r="L16" i="81"/>
  <c r="N16" i="81"/>
  <c r="O16" i="81"/>
  <c r="H10" i="81"/>
  <c r="I10" i="81"/>
  <c r="K10" i="81"/>
  <c r="L10" i="81"/>
  <c r="N10" i="81"/>
  <c r="O10" i="81"/>
  <c r="H7" i="81"/>
  <c r="I7" i="81"/>
  <c r="K7" i="81"/>
  <c r="L7" i="81"/>
  <c r="N7" i="81"/>
  <c r="O7" i="81"/>
  <c r="P30" i="81"/>
  <c r="P29" i="81"/>
  <c r="P35" i="83"/>
  <c r="P34" i="83"/>
  <c r="P32" i="83"/>
  <c r="P31" i="83"/>
  <c r="P29" i="83"/>
  <c r="P28" i="83"/>
  <c r="P26" i="83"/>
  <c r="P25" i="83"/>
  <c r="P23" i="83"/>
  <c r="P22" i="83"/>
  <c r="P20" i="83"/>
  <c r="P19" i="83"/>
  <c r="P17" i="83"/>
  <c r="P16" i="83"/>
  <c r="P14" i="83"/>
  <c r="P11" i="83"/>
  <c r="P9" i="83"/>
  <c r="P7" i="83" s="1"/>
  <c r="M35" i="83"/>
  <c r="M34" i="83"/>
  <c r="M32" i="83"/>
  <c r="M31" i="83"/>
  <c r="M29" i="83"/>
  <c r="M28" i="83"/>
  <c r="M26" i="83"/>
  <c r="M25" i="83"/>
  <c r="M23" i="83"/>
  <c r="M22" i="83"/>
  <c r="M20" i="83"/>
  <c r="M19" i="83"/>
  <c r="M17" i="83"/>
  <c r="M16" i="83"/>
  <c r="M14" i="83"/>
  <c r="M11" i="83"/>
  <c r="M9" i="83"/>
  <c r="M7" i="83" s="1"/>
  <c r="J35" i="83"/>
  <c r="J34" i="83"/>
  <c r="J32" i="83"/>
  <c r="J31" i="83"/>
  <c r="J29" i="83"/>
  <c r="J28" i="83"/>
  <c r="J26" i="83"/>
  <c r="J25" i="83"/>
  <c r="J23" i="83"/>
  <c r="J22" i="83"/>
  <c r="J20" i="83"/>
  <c r="J19" i="83"/>
  <c r="J17" i="83"/>
  <c r="J16" i="83"/>
  <c r="J14" i="83"/>
  <c r="J11" i="83"/>
  <c r="J9" i="83"/>
  <c r="J7" i="83" s="1"/>
  <c r="H33" i="83"/>
  <c r="I33" i="83"/>
  <c r="K33" i="83"/>
  <c r="L33" i="83"/>
  <c r="N33" i="83"/>
  <c r="O33" i="83"/>
  <c r="H30" i="83"/>
  <c r="I30" i="83"/>
  <c r="K30" i="83"/>
  <c r="L30" i="83"/>
  <c r="N30" i="83"/>
  <c r="O30" i="83"/>
  <c r="H27" i="83"/>
  <c r="I27" i="83"/>
  <c r="K27" i="83"/>
  <c r="L27" i="83"/>
  <c r="N27" i="83"/>
  <c r="O27" i="83"/>
  <c r="H24" i="83"/>
  <c r="I24" i="83"/>
  <c r="K24" i="83"/>
  <c r="L24" i="83"/>
  <c r="N24" i="83"/>
  <c r="O24" i="83"/>
  <c r="H21" i="83"/>
  <c r="I21" i="83"/>
  <c r="K21" i="83"/>
  <c r="L21" i="83"/>
  <c r="N21" i="83"/>
  <c r="O21" i="83"/>
  <c r="H18" i="83"/>
  <c r="I18" i="83"/>
  <c r="K18" i="83"/>
  <c r="L18" i="83"/>
  <c r="N18" i="83"/>
  <c r="O18" i="83"/>
  <c r="H15" i="83"/>
  <c r="I15" i="83"/>
  <c r="K15" i="83"/>
  <c r="L15" i="83"/>
  <c r="N15" i="83"/>
  <c r="O15" i="83"/>
  <c r="H10" i="83"/>
  <c r="I10" i="83"/>
  <c r="K10" i="83"/>
  <c r="L10" i="83"/>
  <c r="N10" i="83"/>
  <c r="O10" i="83"/>
  <c r="H7" i="83"/>
  <c r="I7" i="83"/>
  <c r="K7" i="83"/>
  <c r="L7" i="83"/>
  <c r="N7" i="83"/>
  <c r="O7" i="83"/>
  <c r="P164" i="72"/>
  <c r="Q164" i="72" s="1"/>
  <c r="P166" i="72"/>
  <c r="M166" i="72"/>
  <c r="J166" i="72"/>
  <c r="J146" i="72" s="1"/>
  <c r="J128" i="72"/>
  <c r="J76" i="72" s="1"/>
  <c r="J23" i="72"/>
  <c r="J31" i="72"/>
  <c r="J14" i="72"/>
  <c r="J15" i="72"/>
  <c r="J17" i="72"/>
  <c r="J18" i="72"/>
  <c r="W33" i="83" l="1"/>
  <c r="W30" i="83"/>
  <c r="Y31" i="81"/>
  <c r="AD35" i="81"/>
  <c r="Z3" i="83"/>
  <c r="AB3" i="81"/>
  <c r="AD19" i="81"/>
  <c r="J10" i="81"/>
  <c r="P10" i="81"/>
  <c r="J19" i="81"/>
  <c r="J25" i="81"/>
  <c r="M22" i="81"/>
  <c r="P19" i="81"/>
  <c r="P25" i="81"/>
  <c r="M7" i="81"/>
  <c r="J16" i="81"/>
  <c r="J22" i="81"/>
  <c r="J28" i="81"/>
  <c r="J35" i="81"/>
  <c r="M10" i="81"/>
  <c r="M19" i="81"/>
  <c r="M25" i="81"/>
  <c r="M31" i="81"/>
  <c r="P16" i="81"/>
  <c r="P22" i="81"/>
  <c r="M10" i="83"/>
  <c r="M18" i="83"/>
  <c r="M24" i="83"/>
  <c r="M30" i="83"/>
  <c r="P27" i="83"/>
  <c r="Q166" i="72"/>
  <c r="M146" i="72"/>
  <c r="M6" i="72" s="1"/>
  <c r="M3" i="72" s="1"/>
  <c r="W18" i="83"/>
  <c r="W24" i="83"/>
  <c r="P18" i="83"/>
  <c r="V6" i="83"/>
  <c r="W15" i="83"/>
  <c r="U3" i="83"/>
  <c r="W3" i="81"/>
  <c r="AD7" i="81"/>
  <c r="J7" i="81"/>
  <c r="W21" i="83"/>
  <c r="Y10" i="81"/>
  <c r="J10" i="83"/>
  <c r="J18" i="83"/>
  <c r="J24" i="83"/>
  <c r="J30" i="83"/>
  <c r="P15" i="83"/>
  <c r="P21" i="83"/>
  <c r="P33" i="83"/>
  <c r="H6" i="83"/>
  <c r="H6" i="81"/>
  <c r="L3" i="81"/>
  <c r="L6" i="81"/>
  <c r="W10" i="83"/>
  <c r="W27" i="83"/>
  <c r="J27" i="83"/>
  <c r="M15" i="83"/>
  <c r="M21" i="83"/>
  <c r="M27" i="83"/>
  <c r="M33" i="83"/>
  <c r="P10" i="83"/>
  <c r="P24" i="83"/>
  <c r="P28" i="81"/>
  <c r="AC6" i="81"/>
  <c r="P146" i="72"/>
  <c r="J13" i="72"/>
  <c r="Z6" i="72"/>
  <c r="J22" i="72"/>
  <c r="Y25" i="81"/>
  <c r="N3" i="81"/>
  <c r="N3" i="83"/>
  <c r="J15" i="83"/>
  <c r="J21" i="83"/>
  <c r="J33" i="83"/>
  <c r="P30" i="83"/>
  <c r="O3" i="81"/>
  <c r="Y7" i="81"/>
  <c r="Y16" i="81"/>
  <c r="AD22" i="81"/>
  <c r="AD25" i="81"/>
  <c r="AD28" i="81"/>
  <c r="J31" i="81"/>
  <c r="M16" i="81"/>
  <c r="M35" i="81"/>
  <c r="P35" i="81"/>
  <c r="K3" i="81"/>
  <c r="AD10" i="81"/>
  <c r="X6" i="81"/>
  <c r="AD16" i="81"/>
  <c r="O3" i="83"/>
  <c r="K3" i="83"/>
  <c r="W7" i="83"/>
  <c r="Y19" i="81"/>
  <c r="K6" i="81"/>
  <c r="Y22" i="81"/>
  <c r="Y28" i="81"/>
  <c r="AD31" i="81"/>
  <c r="Y35" i="81"/>
  <c r="P7" i="81"/>
  <c r="AF76" i="72"/>
  <c r="AF51" i="72"/>
  <c r="AF7" i="72"/>
  <c r="AF32" i="72"/>
  <c r="AF43" i="72"/>
  <c r="AA43" i="72"/>
  <c r="AA22" i="72"/>
  <c r="AF129" i="72"/>
  <c r="AF137" i="72"/>
  <c r="AF22" i="72"/>
  <c r="AA51" i="72"/>
  <c r="L3" i="72"/>
  <c r="AA7" i="72"/>
  <c r="K3" i="72"/>
  <c r="AA32" i="72"/>
  <c r="N3" i="72"/>
  <c r="AA13" i="72"/>
  <c r="L3" i="83"/>
  <c r="L6" i="83"/>
  <c r="I6" i="83"/>
  <c r="N6" i="81"/>
  <c r="O6" i="81"/>
  <c r="I6" i="81"/>
  <c r="N6" i="83"/>
  <c r="O6" i="83"/>
  <c r="K6" i="83"/>
  <c r="B7" i="79"/>
  <c r="P6" i="81" l="1"/>
  <c r="J6" i="81"/>
  <c r="M6" i="83"/>
  <c r="J6" i="72"/>
  <c r="J6" i="83"/>
  <c r="P6" i="83"/>
  <c r="M6" i="81"/>
  <c r="AE146" i="72"/>
  <c r="AP146" i="72" s="1"/>
  <c r="C9" i="79"/>
  <c r="D9" i="79"/>
  <c r="C10" i="79"/>
  <c r="D10" i="79"/>
  <c r="H10" i="79"/>
  <c r="C11" i="79"/>
  <c r="D11" i="79"/>
  <c r="H11" i="79"/>
  <c r="C12" i="79"/>
  <c r="D12" i="79"/>
  <c r="H12" i="79"/>
  <c r="C13" i="79"/>
  <c r="D13" i="79"/>
  <c r="H13" i="79"/>
  <c r="C14" i="79"/>
  <c r="D14" i="79"/>
  <c r="H14" i="79"/>
  <c r="C15" i="79"/>
  <c r="D15" i="79"/>
  <c r="H15" i="79"/>
  <c r="C16" i="79"/>
  <c r="D16" i="79"/>
  <c r="H16" i="79"/>
  <c r="AF146" i="72" l="1"/>
  <c r="E13" i="79"/>
  <c r="I13" i="79" s="1"/>
  <c r="E9" i="79"/>
  <c r="E11" i="79"/>
  <c r="I11" i="79" s="1"/>
  <c r="E14" i="79"/>
  <c r="I14" i="79" s="1"/>
  <c r="E10" i="79"/>
  <c r="I10" i="79" s="1"/>
  <c r="E15" i="79"/>
  <c r="I15" i="79" s="1"/>
  <c r="E16" i="79"/>
  <c r="I16" i="79" s="1"/>
  <c r="E12" i="79"/>
  <c r="I12" i="79" s="1"/>
  <c r="B31" i="79" l="1"/>
  <c r="B32" i="79"/>
  <c r="B33" i="79"/>
  <c r="B34" i="79"/>
  <c r="B35" i="79"/>
  <c r="B36" i="79"/>
  <c r="B37" i="79"/>
  <c r="B38" i="79"/>
  <c r="B39" i="79"/>
  <c r="B40" i="79"/>
  <c r="C31" i="79"/>
  <c r="C32" i="79"/>
  <c r="C33" i="79"/>
  <c r="C34" i="79"/>
  <c r="C35" i="79"/>
  <c r="C36" i="79"/>
  <c r="C37" i="79"/>
  <c r="C38" i="79"/>
  <c r="C39" i="79"/>
  <c r="C40" i="79"/>
  <c r="H17" i="79"/>
  <c r="H7" i="79" s="1"/>
  <c r="D8" i="79"/>
  <c r="D17" i="79"/>
  <c r="C8" i="79"/>
  <c r="C17" i="79"/>
  <c r="E8" i="79" l="1"/>
  <c r="I8" i="79" s="1"/>
  <c r="E17" i="79"/>
  <c r="I17" i="79" s="1"/>
  <c r="D7" i="79"/>
  <c r="E7" i="79" l="1"/>
  <c r="G25" i="79"/>
  <c r="F25" i="79"/>
  <c r="J6" i="71" l="1"/>
  <c r="H25" i="79"/>
  <c r="C25" i="79"/>
  <c r="D25" i="79"/>
  <c r="N9" i="79"/>
  <c r="E25" i="79" l="1"/>
  <c r="M9" i="79"/>
  <c r="F24" i="79"/>
  <c r="I25" i="79" l="1"/>
  <c r="AO6" i="83" l="1"/>
  <c r="AK6" i="83" l="1"/>
  <c r="AN6" i="83"/>
  <c r="AJ6" i="83"/>
  <c r="AJ3" i="83" s="1"/>
  <c r="AL6" i="83"/>
  <c r="AP6" i="83"/>
  <c r="W6" i="83" l="1"/>
  <c r="W3" i="83" s="1"/>
  <c r="AA3" i="83"/>
  <c r="AN3" i="83"/>
  <c r="AB6" i="83"/>
  <c r="AB3" i="83" s="1"/>
  <c r="V3" i="83" l="1"/>
  <c r="J17" i="79"/>
  <c r="J16" i="79"/>
  <c r="J15" i="79"/>
  <c r="J14" i="79"/>
  <c r="J13" i="79"/>
  <c r="J12" i="79"/>
  <c r="J11" i="79"/>
  <c r="J10" i="79"/>
  <c r="J8" i="79"/>
  <c r="F30" i="79"/>
  <c r="E30" i="79"/>
  <c r="D30" i="79"/>
  <c r="F23" i="79"/>
  <c r="C7" i="79"/>
  <c r="D3" i="79" l="1"/>
  <c r="J25" i="79"/>
  <c r="B30" i="79"/>
  <c r="C30" i="79"/>
  <c r="O9" i="79"/>
  <c r="B23" i="79" l="1"/>
  <c r="C47" i="60" l="1"/>
  <c r="F47" i="60" s="1"/>
  <c r="C47" i="69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6" i="60"/>
  <c r="F45" i="60"/>
  <c r="F44" i="60"/>
  <c r="F43" i="60"/>
  <c r="F42" i="60"/>
  <c r="F41" i="60"/>
  <c r="F40" i="60"/>
  <c r="F39" i="60"/>
  <c r="E38" i="60"/>
  <c r="D38" i="60"/>
  <c r="F66" i="48"/>
  <c r="F65" i="48"/>
  <c r="F64" i="48"/>
  <c r="F63" i="48"/>
  <c r="F62" i="48"/>
  <c r="F61" i="48"/>
  <c r="F60" i="48"/>
  <c r="F59" i="48"/>
  <c r="F58" i="48"/>
  <c r="F57" i="48"/>
  <c r="E56" i="48"/>
  <c r="D56" i="48"/>
  <c r="C56" i="48"/>
  <c r="I16" i="56"/>
  <c r="I20" i="56" s="1"/>
  <c r="D65" i="68"/>
  <c r="D64" i="68"/>
  <c r="F64" i="68" s="1"/>
  <c r="F66" i="68"/>
  <c r="F63" i="68"/>
  <c r="F62" i="68"/>
  <c r="F61" i="68"/>
  <c r="F60" i="68"/>
  <c r="F59" i="68"/>
  <c r="F58" i="68"/>
  <c r="F57" i="68"/>
  <c r="E56" i="68"/>
  <c r="C56" i="68"/>
  <c r="C38" i="60" l="1"/>
  <c r="F38" i="60" s="1"/>
  <c r="D56" i="68"/>
  <c r="F56" i="68" s="1"/>
  <c r="F56" i="48"/>
  <c r="F65" i="68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56" i="69"/>
  <c r="F57" i="69"/>
  <c r="F58" i="69"/>
  <c r="F59" i="69"/>
  <c r="F60" i="69"/>
  <c r="F61" i="69"/>
  <c r="F62" i="69"/>
  <c r="F63" i="69"/>
  <c r="F64" i="69"/>
  <c r="E38" i="69"/>
  <c r="F25" i="68" l="1"/>
  <c r="D38" i="69"/>
  <c r="C38" i="69"/>
  <c r="J31" i="69"/>
  <c r="I31" i="69"/>
  <c r="N26" i="69"/>
  <c r="N30" i="69" s="1"/>
  <c r="J26" i="69"/>
  <c r="I26" i="69"/>
  <c r="N18" i="69"/>
  <c r="N22" i="69" s="1"/>
  <c r="J18" i="69"/>
  <c r="I18" i="69"/>
  <c r="N10" i="69"/>
  <c r="N14" i="69" s="1"/>
  <c r="J10" i="69"/>
  <c r="I10" i="69"/>
  <c r="N9" i="69"/>
  <c r="J9" i="69"/>
  <c r="I9" i="69"/>
  <c r="N7" i="69"/>
  <c r="M7" i="69"/>
  <c r="J7" i="69"/>
  <c r="I7" i="69"/>
  <c r="C7" i="69"/>
  <c r="C43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H26" i="68"/>
  <c r="C24" i="68"/>
  <c r="J10" i="68"/>
  <c r="I10" i="68"/>
  <c r="H8" i="68"/>
  <c r="C7" i="68"/>
  <c r="E41" i="68" l="1"/>
  <c r="K7" i="69"/>
  <c r="J26" i="68"/>
  <c r="N31" i="69"/>
  <c r="F38" i="69"/>
  <c r="F24" i="68"/>
  <c r="D14" i="73"/>
  <c r="D13" i="73"/>
  <c r="D11" i="73" l="1"/>
  <c r="D10" i="73"/>
  <c r="K14" i="73"/>
  <c r="K13" i="73"/>
  <c r="D12" i="73"/>
  <c r="D8" i="73" l="1"/>
  <c r="K11" i="73"/>
  <c r="D7" i="73"/>
  <c r="D9" i="73"/>
  <c r="K12" i="73"/>
  <c r="K10" i="73"/>
  <c r="Z3" i="72"/>
  <c r="K8" i="73" l="1"/>
  <c r="K9" i="73"/>
  <c r="D6" i="73"/>
  <c r="AA3" i="72"/>
  <c r="D5" i="73" l="1"/>
  <c r="E5" i="73" s="1"/>
  <c r="E6" i="73"/>
  <c r="D14" i="56" l="1"/>
  <c r="D11" i="56" l="1"/>
  <c r="D13" i="56"/>
  <c r="B13" i="56" l="1"/>
  <c r="F13" i="56" s="1"/>
  <c r="B14" i="56"/>
  <c r="F14" i="56" s="1"/>
  <c r="B11" i="56"/>
  <c r="F11" i="56" s="1"/>
  <c r="B7" i="56"/>
  <c r="E25" i="48"/>
  <c r="D25" i="48"/>
  <c r="I11" i="56" l="1"/>
  <c r="I14" i="56"/>
  <c r="I13" i="56"/>
  <c r="AF51" i="71" l="1"/>
  <c r="AP51" i="71" s="1"/>
  <c r="AF50" i="71"/>
  <c r="AP50" i="71" s="1"/>
  <c r="I7" i="56"/>
  <c r="AQ50" i="71" l="1"/>
  <c r="AL50" i="71"/>
  <c r="AM50" i="71"/>
  <c r="AM51" i="71"/>
  <c r="AQ51" i="71"/>
  <c r="AL51" i="71"/>
  <c r="AB50" i="71"/>
  <c r="AR50" i="71" s="1"/>
  <c r="W50" i="71"/>
  <c r="AB51" i="71"/>
  <c r="W51" i="71"/>
  <c r="F17" i="68"/>
  <c r="F14" i="68"/>
  <c r="G11" i="68"/>
  <c r="F15" i="68"/>
  <c r="F9" i="68"/>
  <c r="G16" i="68"/>
  <c r="F12" i="68"/>
  <c r="G17" i="68"/>
  <c r="G9" i="68"/>
  <c r="F13" i="68"/>
  <c r="G14" i="68"/>
  <c r="F18" i="68"/>
  <c r="F10" i="68"/>
  <c r="G15" i="68"/>
  <c r="F11" i="68"/>
  <c r="G12" i="68"/>
  <c r="F16" i="68"/>
  <c r="G13" i="68"/>
  <c r="G18" i="68"/>
  <c r="E17" i="48"/>
  <c r="E11" i="48"/>
  <c r="D9" i="48"/>
  <c r="D18" i="48"/>
  <c r="D14" i="48"/>
  <c r="E18" i="48"/>
  <c r="E13" i="48"/>
  <c r="E9" i="48"/>
  <c r="E16" i="48"/>
  <c r="D16" i="48"/>
  <c r="D12" i="48"/>
  <c r="E15" i="48"/>
  <c r="D17" i="48"/>
  <c r="E12" i="48"/>
  <c r="D11" i="48"/>
  <c r="E14" i="48"/>
  <c r="D15" i="48"/>
  <c r="D10" i="48"/>
  <c r="E10" i="48"/>
  <c r="D13" i="48"/>
  <c r="E22" i="60"/>
  <c r="D29" i="60"/>
  <c r="D12" i="60"/>
  <c r="E13" i="60"/>
  <c r="E26" i="60"/>
  <c r="E18" i="60"/>
  <c r="E10" i="60"/>
  <c r="D11" i="60"/>
  <c r="D31" i="60"/>
  <c r="D27" i="60"/>
  <c r="D23" i="60"/>
  <c r="D18" i="60"/>
  <c r="E32" i="60"/>
  <c r="E25" i="60"/>
  <c r="E17" i="60"/>
  <c r="E9" i="60"/>
  <c r="D10" i="60"/>
  <c r="E24" i="60"/>
  <c r="E8" i="60"/>
  <c r="D30" i="60"/>
  <c r="D22" i="60"/>
  <c r="E31" i="60"/>
  <c r="E15" i="60"/>
  <c r="E14" i="60"/>
  <c r="D33" i="60"/>
  <c r="D21" i="60"/>
  <c r="E21" i="60"/>
  <c r="E33" i="60"/>
  <c r="E16" i="60"/>
  <c r="D8" i="60"/>
  <c r="D26" i="60"/>
  <c r="D15" i="60"/>
  <c r="E23" i="60"/>
  <c r="D19" i="60"/>
  <c r="E30" i="60"/>
  <c r="D17" i="60"/>
  <c r="D25" i="60"/>
  <c r="E29" i="60"/>
  <c r="D16" i="60"/>
  <c r="E20" i="60"/>
  <c r="D28" i="60"/>
  <c r="E27" i="60"/>
  <c r="D24" i="60"/>
  <c r="D14" i="60"/>
  <c r="D20" i="60"/>
  <c r="E11" i="60"/>
  <c r="E28" i="60"/>
  <c r="D32" i="60"/>
  <c r="D9" i="60"/>
  <c r="D13" i="60"/>
  <c r="E12" i="60"/>
  <c r="E19" i="60"/>
  <c r="D21" i="69"/>
  <c r="E12" i="69"/>
  <c r="D30" i="69"/>
  <c r="D22" i="69"/>
  <c r="D14" i="69"/>
  <c r="E33" i="69"/>
  <c r="E25" i="69"/>
  <c r="E17" i="69"/>
  <c r="E9" i="69"/>
  <c r="D27" i="69"/>
  <c r="D19" i="69"/>
  <c r="D11" i="69"/>
  <c r="E14" i="69"/>
  <c r="E26" i="69"/>
  <c r="E24" i="69"/>
  <c r="D28" i="69"/>
  <c r="D20" i="69"/>
  <c r="D12" i="69"/>
  <c r="E31" i="69"/>
  <c r="E23" i="69"/>
  <c r="E15" i="69"/>
  <c r="D33" i="69"/>
  <c r="D25" i="69"/>
  <c r="D17" i="69"/>
  <c r="D9" i="69"/>
  <c r="E28" i="69"/>
  <c r="E18" i="69"/>
  <c r="E16" i="69"/>
  <c r="D26" i="69"/>
  <c r="D18" i="69"/>
  <c r="D10" i="69"/>
  <c r="E29" i="69"/>
  <c r="E21" i="69"/>
  <c r="E13" i="69"/>
  <c r="D31" i="69"/>
  <c r="D23" i="69"/>
  <c r="D15" i="69"/>
  <c r="E30" i="69"/>
  <c r="E20" i="69"/>
  <c r="E10" i="69"/>
  <c r="E8" i="69"/>
  <c r="D32" i="69"/>
  <c r="D24" i="69"/>
  <c r="D16" i="69"/>
  <c r="D8" i="69"/>
  <c r="E27" i="69"/>
  <c r="E19" i="69"/>
  <c r="E11" i="69"/>
  <c r="D29" i="69"/>
  <c r="D13" i="69"/>
  <c r="E22" i="69"/>
  <c r="E32" i="69"/>
  <c r="D15" i="68"/>
  <c r="E18" i="68"/>
  <c r="E10" i="68"/>
  <c r="D12" i="68"/>
  <c r="D13" i="68"/>
  <c r="E16" i="68"/>
  <c r="D18" i="68"/>
  <c r="D10" i="68"/>
  <c r="E11" i="68"/>
  <c r="E15" i="68"/>
  <c r="D11" i="68"/>
  <c r="E14" i="68"/>
  <c r="D16" i="68"/>
  <c r="E13" i="68"/>
  <c r="E17" i="68"/>
  <c r="D17" i="68"/>
  <c r="D9" i="68"/>
  <c r="E12" i="68"/>
  <c r="E9" i="68"/>
  <c r="D14" i="68"/>
  <c r="F28" i="69"/>
  <c r="F20" i="69"/>
  <c r="F12" i="69"/>
  <c r="G31" i="69"/>
  <c r="G23" i="69"/>
  <c r="G15" i="69"/>
  <c r="F33" i="69"/>
  <c r="F25" i="69"/>
  <c r="F17" i="69"/>
  <c r="F9" i="69"/>
  <c r="G8" i="69"/>
  <c r="G28" i="69"/>
  <c r="G18" i="69"/>
  <c r="F18" i="69"/>
  <c r="G29" i="69"/>
  <c r="G13" i="69"/>
  <c r="F31" i="69"/>
  <c r="F23" i="69"/>
  <c r="F15" i="69"/>
  <c r="G32" i="69"/>
  <c r="G30" i="69"/>
  <c r="G20" i="69"/>
  <c r="G10" i="69"/>
  <c r="F26" i="69"/>
  <c r="F10" i="69"/>
  <c r="G21" i="69"/>
  <c r="F32" i="69"/>
  <c r="F24" i="69"/>
  <c r="F16" i="69"/>
  <c r="F8" i="69"/>
  <c r="G27" i="69"/>
  <c r="G19" i="69"/>
  <c r="G11" i="69"/>
  <c r="F29" i="69"/>
  <c r="F21" i="69"/>
  <c r="F13" i="69"/>
  <c r="G24" i="69"/>
  <c r="G22" i="69"/>
  <c r="G12" i="69"/>
  <c r="F30" i="69"/>
  <c r="G25" i="69"/>
  <c r="F19" i="69"/>
  <c r="G26" i="69"/>
  <c r="F22" i="69"/>
  <c r="F11" i="69"/>
  <c r="F14" i="69"/>
  <c r="G16" i="69"/>
  <c r="G33" i="69"/>
  <c r="F27" i="69"/>
  <c r="G14" i="69"/>
  <c r="G17" i="69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AC51" i="71" l="1"/>
  <c r="AD51" i="71" s="1"/>
  <c r="AR51" i="71"/>
  <c r="X51" i="71"/>
  <c r="Y51" i="71" s="1"/>
  <c r="AN51" i="71"/>
  <c r="X50" i="71"/>
  <c r="Y50" i="71" s="1"/>
  <c r="AN50" i="71"/>
  <c r="AF14" i="71"/>
  <c r="AP14" i="71" s="1"/>
  <c r="AF15" i="71"/>
  <c r="AP15" i="71" s="1"/>
  <c r="AF16" i="71"/>
  <c r="AP16" i="71" s="1"/>
  <c r="AC50" i="71"/>
  <c r="AF10" i="71"/>
  <c r="AP10" i="71" s="1"/>
  <c r="AF11" i="71"/>
  <c r="AP11" i="71" s="1"/>
  <c r="H11" i="69"/>
  <c r="H11" i="68"/>
  <c r="H13" i="69"/>
  <c r="H16" i="68"/>
  <c r="H21" i="69"/>
  <c r="H15" i="69"/>
  <c r="H22" i="69"/>
  <c r="H26" i="69"/>
  <c r="H15" i="68"/>
  <c r="H14" i="69"/>
  <c r="H24" i="69"/>
  <c r="H16" i="69"/>
  <c r="H31" i="69"/>
  <c r="H17" i="69"/>
  <c r="H28" i="69"/>
  <c r="H14" i="68"/>
  <c r="D7" i="68"/>
  <c r="H30" i="69"/>
  <c r="H25" i="69"/>
  <c r="H13" i="68"/>
  <c r="H27" i="69"/>
  <c r="H19" i="69"/>
  <c r="H29" i="69"/>
  <c r="F7" i="69"/>
  <c r="H8" i="69"/>
  <c r="H23" i="69"/>
  <c r="H18" i="69"/>
  <c r="H20" i="69"/>
  <c r="H17" i="68"/>
  <c r="H12" i="68"/>
  <c r="H9" i="68"/>
  <c r="F7" i="68"/>
  <c r="E7" i="68"/>
  <c r="H32" i="69"/>
  <c r="H10" i="69"/>
  <c r="H33" i="69"/>
  <c r="H12" i="69"/>
  <c r="D7" i="69"/>
  <c r="E7" i="69"/>
  <c r="H18" i="68"/>
  <c r="G25" i="48"/>
  <c r="AQ11" i="71" l="1"/>
  <c r="AL11" i="71"/>
  <c r="AM11" i="71"/>
  <c r="AM15" i="71"/>
  <c r="AQ15" i="71"/>
  <c r="AL15" i="71"/>
  <c r="AQ14" i="71"/>
  <c r="AL14" i="71"/>
  <c r="AM14" i="71"/>
  <c r="AQ10" i="71"/>
  <c r="AL10" i="71"/>
  <c r="AM10" i="71"/>
  <c r="AQ16" i="71"/>
  <c r="AL16" i="71"/>
  <c r="AM16" i="71"/>
  <c r="AB15" i="71"/>
  <c r="W15" i="71"/>
  <c r="W16" i="71"/>
  <c r="AB16" i="71"/>
  <c r="AR16" i="71" s="1"/>
  <c r="W14" i="71"/>
  <c r="AB14" i="71"/>
  <c r="AD50" i="71"/>
  <c r="W10" i="71"/>
  <c r="AN10" i="71" s="1"/>
  <c r="AB10" i="71"/>
  <c r="AB11" i="71"/>
  <c r="W11" i="71"/>
  <c r="E3" i="69"/>
  <c r="E3" i="68"/>
  <c r="I8" i="68"/>
  <c r="K11" i="56"/>
  <c r="M11" i="56" s="1"/>
  <c r="K13" i="56"/>
  <c r="M13" i="56" s="1"/>
  <c r="K14" i="56"/>
  <c r="F25" i="48"/>
  <c r="D12" i="56"/>
  <c r="D10" i="56"/>
  <c r="D7" i="56"/>
  <c r="AB6" i="71" l="1"/>
  <c r="AR11" i="71"/>
  <c r="AR15" i="71"/>
  <c r="AR14" i="71"/>
  <c r="AR10" i="71"/>
  <c r="AN11" i="71"/>
  <c r="AC15" i="71"/>
  <c r="AD15" i="71" s="1"/>
  <c r="X14" i="71"/>
  <c r="Y14" i="71" s="1"/>
  <c r="AN14" i="71"/>
  <c r="AN15" i="71"/>
  <c r="AN16" i="71"/>
  <c r="X10" i="71"/>
  <c r="Y10" i="71" s="1"/>
  <c r="AC14" i="71"/>
  <c r="AD14" i="71" s="1"/>
  <c r="AC11" i="71"/>
  <c r="AD11" i="71" s="1"/>
  <c r="AC10" i="71"/>
  <c r="AD10" i="71" s="1"/>
  <c r="AC16" i="71"/>
  <c r="AD16" i="71" s="1"/>
  <c r="X16" i="71"/>
  <c r="Y16" i="71" s="1"/>
  <c r="X15" i="71"/>
  <c r="Y15" i="71" s="1"/>
  <c r="X11" i="71"/>
  <c r="Y11" i="71" s="1"/>
  <c r="B12" i="56"/>
  <c r="F12" i="56" s="1"/>
  <c r="I12" i="56"/>
  <c r="AL6" i="71"/>
  <c r="AM6" i="71"/>
  <c r="AQ6" i="71"/>
  <c r="L14" i="56"/>
  <c r="M14" i="56"/>
  <c r="K10" i="56"/>
  <c r="K12" i="56"/>
  <c r="L13" i="56"/>
  <c r="L11" i="56"/>
  <c r="D8" i="56"/>
  <c r="D6" i="56" s="1"/>
  <c r="L12" i="56" l="1"/>
  <c r="M12" i="56"/>
  <c r="K9" i="56"/>
  <c r="K7" i="56"/>
  <c r="E6" i="56"/>
  <c r="K8" i="56"/>
  <c r="K6" i="56" l="1"/>
  <c r="K5" i="56" s="1"/>
  <c r="L6" i="56" l="1"/>
  <c r="C24" i="48" l="1"/>
  <c r="H26" i="48"/>
  <c r="I26" i="48"/>
  <c r="N26" i="60"/>
  <c r="N30" i="60" s="1"/>
  <c r="J26" i="60"/>
  <c r="I26" i="60"/>
  <c r="J26" i="48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L5" i="56" l="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E12" i="56" l="1"/>
  <c r="E14" i="56"/>
  <c r="E11" i="56"/>
  <c r="E13" i="56"/>
  <c r="D9" i="56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F7" i="48" l="1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  <c r="B8" i="56" l="1"/>
  <c r="B6" i="56" s="1"/>
  <c r="B10" i="56"/>
  <c r="I10" i="56"/>
  <c r="C6" i="56" l="1"/>
  <c r="I8" i="56"/>
  <c r="I6" i="56" s="1"/>
  <c r="J6" i="56" s="1"/>
  <c r="M10" i="56"/>
  <c r="I9" i="56"/>
  <c r="L10" i="56"/>
  <c r="F10" i="56"/>
  <c r="E10" i="56"/>
  <c r="B9" i="56"/>
  <c r="C9" i="56" l="1"/>
  <c r="E9" i="56"/>
  <c r="F9" i="56"/>
  <c r="B5" i="56"/>
  <c r="C5" i="56" s="1"/>
  <c r="M9" i="56"/>
  <c r="J9" i="56"/>
  <c r="L9" i="56"/>
  <c r="I5" i="56"/>
  <c r="I18" i="56" l="1"/>
  <c r="J5" i="56"/>
  <c r="AC3" i="81" l="1"/>
  <c r="Y3" i="81" l="1"/>
  <c r="X3" i="81"/>
  <c r="AD3" i="81"/>
  <c r="B8" i="73"/>
  <c r="M6" i="71"/>
  <c r="B13" i="73"/>
  <c r="E13" i="73" s="1"/>
  <c r="X6" i="71"/>
  <c r="B12" i="73"/>
  <c r="E12" i="73" s="1"/>
  <c r="K3" i="71"/>
  <c r="L6" i="71"/>
  <c r="L3" i="71"/>
  <c r="H6" i="71"/>
  <c r="B14" i="73"/>
  <c r="F14" i="73" s="1"/>
  <c r="O3" i="71"/>
  <c r="W6" i="71"/>
  <c r="X3" i="71" s="1"/>
  <c r="B11" i="73"/>
  <c r="F11" i="73" s="1"/>
  <c r="B10" i="73"/>
  <c r="N3" i="71"/>
  <c r="P6" i="71"/>
  <c r="K6" i="71"/>
  <c r="B7" i="73"/>
  <c r="I7" i="73"/>
  <c r="I6" i="71"/>
  <c r="N6" i="71"/>
  <c r="C24" i="79" s="1"/>
  <c r="D24" i="79"/>
  <c r="D23" i="79" s="1"/>
  <c r="I8" i="73"/>
  <c r="E25" i="68" l="1"/>
  <c r="E24" i="68" s="1"/>
  <c r="Y6" i="71"/>
  <c r="Y3" i="71" s="1"/>
  <c r="B9" i="73"/>
  <c r="F9" i="73" s="1"/>
  <c r="B6" i="73"/>
  <c r="C6" i="73" s="1"/>
  <c r="F13" i="73"/>
  <c r="E14" i="73"/>
  <c r="I6" i="73"/>
  <c r="E24" i="79"/>
  <c r="C23" i="79"/>
  <c r="M8" i="79"/>
  <c r="D25" i="68"/>
  <c r="E11" i="73"/>
  <c r="F12" i="73"/>
  <c r="F10" i="73"/>
  <c r="AL3" i="71"/>
  <c r="E10" i="73"/>
  <c r="W3" i="71"/>
  <c r="I13" i="73"/>
  <c r="I14" i="73"/>
  <c r="AC6" i="71"/>
  <c r="I10" i="73"/>
  <c r="I12" i="73"/>
  <c r="I11" i="73"/>
  <c r="Y3" i="72"/>
  <c r="E26" i="79" l="1"/>
  <c r="B5" i="73"/>
  <c r="C5" i="73" s="1"/>
  <c r="C9" i="73"/>
  <c r="E9" i="73"/>
  <c r="M14" i="73"/>
  <c r="L14" i="73"/>
  <c r="M7" i="79"/>
  <c r="M13" i="73"/>
  <c r="L13" i="73"/>
  <c r="D24" i="68"/>
  <c r="I25" i="68"/>
  <c r="I7" i="68"/>
  <c r="I9" i="73"/>
  <c r="I5" i="73" s="1"/>
  <c r="L10" i="73"/>
  <c r="M10" i="73"/>
  <c r="E23" i="79"/>
  <c r="L11" i="73"/>
  <c r="M11" i="73"/>
  <c r="M12" i="73"/>
  <c r="L12" i="73"/>
  <c r="J6" i="73"/>
  <c r="AC3" i="71" l="1"/>
  <c r="J5" i="73" s="1"/>
  <c r="AD6" i="71"/>
  <c r="AD3" i="71" s="1"/>
  <c r="I24" i="68"/>
  <c r="M7" i="68"/>
  <c r="J9" i="73"/>
  <c r="L9" i="73"/>
  <c r="AN6" i="71"/>
  <c r="AR6" i="71"/>
  <c r="J9" i="79"/>
  <c r="J7" i="79" s="1"/>
  <c r="AP48" i="71"/>
  <c r="G9" i="69"/>
  <c r="H9" i="69" s="1"/>
  <c r="H7" i="69" s="1"/>
  <c r="G10" i="68"/>
  <c r="G7" i="68" s="1"/>
  <c r="O13" i="72"/>
  <c r="O3" i="72" l="1"/>
  <c r="K7" i="73"/>
  <c r="K6" i="73" s="1"/>
  <c r="K5" i="73" s="1"/>
  <c r="I18" i="73" s="1"/>
  <c r="AP24" i="71"/>
  <c r="AP22" i="71"/>
  <c r="AP25" i="71"/>
  <c r="AP8" i="71"/>
  <c r="AP23" i="71"/>
  <c r="AP9" i="71"/>
  <c r="O6" i="72"/>
  <c r="P13" i="72"/>
  <c r="P6" i="72" s="1"/>
  <c r="P3" i="72" s="1"/>
  <c r="AD13" i="72"/>
  <c r="AD6" i="72" s="1"/>
  <c r="H10" i="68"/>
  <c r="H7" i="68" s="1"/>
  <c r="G7" i="69"/>
  <c r="G3" i="69" s="1"/>
  <c r="G3" i="68"/>
  <c r="J8" i="68"/>
  <c r="K8" i="68" s="1"/>
  <c r="I16" i="73"/>
  <c r="I20" i="73" s="1"/>
  <c r="G3" i="79"/>
  <c r="AD1" i="72" l="1"/>
  <c r="G24" i="79"/>
  <c r="G23" i="79" s="1"/>
  <c r="AE13" i="72"/>
  <c r="AE6" i="72" s="1"/>
  <c r="L6" i="73" s="1"/>
  <c r="AD3" i="72"/>
  <c r="P2" i="72"/>
  <c r="AP6" i="71"/>
  <c r="AP3" i="71" s="1"/>
  <c r="G25" i="68"/>
  <c r="J7" i="68" s="1"/>
  <c r="K7" i="68" s="1"/>
  <c r="AB3" i="71"/>
  <c r="I9" i="79"/>
  <c r="I7" i="79" s="1"/>
  <c r="J24" i="79" l="1"/>
  <c r="J23" i="79" s="1"/>
  <c r="AP13" i="72"/>
  <c r="N8" i="79"/>
  <c r="O8" i="79" s="1"/>
  <c r="H24" i="79"/>
  <c r="H26" i="79" s="1"/>
  <c r="AF13" i="72"/>
  <c r="AF3" i="72" s="1"/>
  <c r="AE3" i="72"/>
  <c r="L5" i="73" s="1"/>
  <c r="H25" i="68"/>
  <c r="G24" i="68"/>
  <c r="N7" i="68" s="1"/>
  <c r="N10" i="68" s="1"/>
  <c r="N14" i="68" s="1"/>
  <c r="H23" i="79" l="1"/>
  <c r="N7" i="79"/>
  <c r="O7" i="79" s="1"/>
  <c r="I24" i="79"/>
  <c r="I23" i="79" s="1"/>
  <c r="H24" i="68"/>
  <c r="J24" i="68" s="1"/>
  <c r="J25" i="68"/>
</calcChain>
</file>

<file path=xl/comments1.xml><?xml version="1.0" encoding="utf-8"?>
<comments xmlns="http://schemas.openxmlformats.org/spreadsheetml/2006/main">
  <authors>
    <author>user</author>
  </authors>
  <commentList>
    <comment ref="M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도비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국비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지특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기금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특교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소방안전</t>
        </r>
      </text>
    </comment>
  </commentList>
</comments>
</file>

<file path=xl/comments2.xml><?xml version="1.0" encoding="utf-8"?>
<comments xmlns="http://schemas.openxmlformats.org/spreadsheetml/2006/main">
  <authors>
    <author>Your User Name</author>
  </authors>
  <commentList>
    <comment ref="B10" authorId="0" shape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기타
지역균형발전</t>
        </r>
      </text>
    </comment>
    <comment ref="B11" authorId="0" shape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 shape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 shape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 shape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 shape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 shape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Administrator</author>
  </authors>
  <commentList>
    <comment ref="V4" authorId="0" shapeId="0">
      <text>
        <r>
          <rPr>
            <b/>
            <sz val="9"/>
            <color indexed="81"/>
            <rFont val="돋움"/>
            <family val="3"/>
            <charset val="129"/>
          </rPr>
          <t>도비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지특</t>
        </r>
        <r>
          <rPr>
            <b/>
            <sz val="9"/>
            <color indexed="81"/>
            <rFont val="Tahoma"/>
            <family val="2"/>
          </rPr>
          <t xml:space="preserve">,
</t>
        </r>
        <r>
          <rPr>
            <b/>
            <sz val="9"/>
            <color indexed="81"/>
            <rFont val="돋움"/>
            <family val="3"/>
            <charset val="129"/>
          </rPr>
          <t>기금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소방안전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comments4.xml><?xml version="1.0" encoding="utf-8"?>
<comments xmlns="http://schemas.openxmlformats.org/spreadsheetml/2006/main">
  <authors>
    <author>Your User Name</author>
  </authors>
  <commentList>
    <comment ref="B10" authorId="0" shapeId="0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 shapeId="0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 shapeId="0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 shapeId="0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 shapeId="0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 shapeId="0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 shapeId="0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Administrator</author>
  </authors>
  <commentList>
    <comment ref="T4" authorId="0" shapeId="0">
      <text>
        <r>
          <rPr>
            <b/>
            <sz val="12"/>
            <color indexed="81"/>
            <rFont val="맑은 고딕"/>
            <family val="3"/>
            <charset val="129"/>
          </rPr>
          <t>도비, 국비, 지특,
기금, 특교, 소방안전 입력</t>
        </r>
      </text>
    </comment>
  </commentList>
</comments>
</file>

<file path=xl/sharedStrings.xml><?xml version="1.0" encoding="utf-8"?>
<sst xmlns="http://schemas.openxmlformats.org/spreadsheetml/2006/main" count="3972" uniqueCount="1331">
  <si>
    <t>감액</t>
    <phoneticPr fontId="2" type="noConversion"/>
  </si>
  <si>
    <t>증액</t>
    <phoneticPr fontId="2" type="noConversion"/>
  </si>
  <si>
    <t>도 비</t>
    <phoneticPr fontId="2" type="noConversion"/>
  </si>
  <si>
    <t>국비 등</t>
    <phoneticPr fontId="2" type="noConversion"/>
  </si>
  <si>
    <t>부서명</t>
    <phoneticPr fontId="6" type="noConversion"/>
  </si>
  <si>
    <t>재원</t>
    <phoneticPr fontId="6" type="noConversion"/>
  </si>
  <si>
    <t>□세입예산</t>
    <phoneticPr fontId="6" type="noConversion"/>
  </si>
  <si>
    <t>상임위 재원별 증감액</t>
    <phoneticPr fontId="6" type="noConversion"/>
  </si>
  <si>
    <t>(단위 : 천원)</t>
    <phoneticPr fontId="6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</si>
  <si>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</si>
  <si>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</si>
  <si>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</si>
  <si>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</si>
  <si>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</si>
  <si>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</si>
  <si>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</si>
  <si>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</si>
  <si>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</si>
  <si>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</si>
  <si>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</si>
  <si>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6" type="noConversion"/>
  </si>
  <si>
    <t>(단위:천원)</t>
    <phoneticPr fontId="6" type="noConversion"/>
  </si>
  <si>
    <t>(일반+특별+기금)</t>
    <phoneticPr fontId="6" type="noConversion"/>
  </si>
  <si>
    <t>특별+기금</t>
    <phoneticPr fontId="6" type="noConversion"/>
  </si>
  <si>
    <t>구   분</t>
    <phoneticPr fontId="6" type="noConversion"/>
  </si>
  <si>
    <t>집행부제출(안)</t>
    <phoneticPr fontId="6" type="noConversion"/>
  </si>
  <si>
    <t>세입예산(안)</t>
    <phoneticPr fontId="6" type="noConversion"/>
  </si>
  <si>
    <t>세출예산(안)</t>
    <phoneticPr fontId="6" type="noConversion"/>
  </si>
  <si>
    <t>예산수정(안)</t>
    <phoneticPr fontId="6" type="noConversion"/>
  </si>
  <si>
    <t>일반회계 증감(총괄표)</t>
    <phoneticPr fontId="6" type="noConversion"/>
  </si>
  <si>
    <t>예비비증감</t>
    <phoneticPr fontId="6" type="noConversion"/>
  </si>
  <si>
    <t>비    고</t>
    <phoneticPr fontId="6" type="noConversion"/>
  </si>
  <si>
    <t>전체 증감(시트)</t>
    <phoneticPr fontId="6" type="noConversion"/>
  </si>
  <si>
    <t>비고</t>
    <phoneticPr fontId="6" type="noConversion"/>
  </si>
  <si>
    <t>감 액</t>
    <phoneticPr fontId="6" type="noConversion"/>
  </si>
  <si>
    <t>증 액</t>
    <phoneticPr fontId="6" type="noConversion"/>
  </si>
  <si>
    <t>세입</t>
    <phoneticPr fontId="6" type="noConversion"/>
  </si>
  <si>
    <t>세출</t>
    <phoneticPr fontId="6" type="noConversion"/>
  </si>
  <si>
    <t>합    계</t>
    <phoneticPr fontId="6" type="noConversion"/>
  </si>
  <si>
    <t>예비비 증감이
- 예산이면 감액에
+ 예산이면 증액에 입력</t>
    <phoneticPr fontId="6" type="noConversion"/>
  </si>
  <si>
    <t>기     타</t>
    <phoneticPr fontId="6" type="noConversion"/>
  </si>
  <si>
    <t>일반회계 증감(시트)</t>
    <phoneticPr fontId="6" type="noConversion"/>
  </si>
  <si>
    <t>전체 증감</t>
    <phoneticPr fontId="6" type="noConversion"/>
  </si>
  <si>
    <t>기금</t>
    <phoneticPr fontId="6" type="noConversion"/>
  </si>
  <si>
    <t>□ 회계별 예산총규모</t>
    <phoneticPr fontId="6" type="noConversion"/>
  </si>
  <si>
    <t>구 분</t>
  </si>
  <si>
    <t>세출예산액
(집행부제출 안)</t>
    <phoneticPr fontId="6" type="noConversion"/>
  </si>
  <si>
    <t>세입기준 수정예산안</t>
    <phoneticPr fontId="6" type="noConversion"/>
  </si>
  <si>
    <t>합 계</t>
  </si>
  <si>
    <t>(세출기준-세입기준)</t>
    <phoneticPr fontId="6" type="noConversion"/>
  </si>
  <si>
    <t>특별회계</t>
    <phoneticPr fontId="6" type="noConversion"/>
  </si>
  <si>
    <t>일반+기특</t>
    <phoneticPr fontId="6" type="noConversion"/>
  </si>
  <si>
    <t>공기업</t>
    <phoneticPr fontId="6" type="noConversion"/>
  </si>
  <si>
    <t>합계</t>
    <phoneticPr fontId="6" type="noConversion"/>
  </si>
  <si>
    <t>예비비</t>
    <phoneticPr fontId="6" type="noConversion"/>
  </si>
  <si>
    <t>◦ 본청 83,000 증
◦ 북부청 377,000 증</t>
    <phoneticPr fontId="6" type="noConversion"/>
  </si>
  <si>
    <t>예결위 계수조정 결과</t>
    <phoneticPr fontId="6" type="noConversion"/>
  </si>
  <si>
    <t>예산결산특별위원회</t>
    <phoneticPr fontId="6" type="noConversion"/>
  </si>
  <si>
    <t>□세출예산</t>
    <phoneticPr fontId="6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</si>
  <si>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</si>
  <si>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</si>
  <si>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</si>
  <si>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6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</si>
  <si>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</si>
  <si>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</si>
  <si>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</si>
  <si>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</si>
  <si>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</si>
  <si>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6" type="noConversion"/>
  </si>
  <si>
    <t>복지여성실</t>
  </si>
  <si>
    <t>북부여성비전센터</t>
  </si>
  <si>
    <t>세입 = 세출</t>
    <phoneticPr fontId="2" type="noConversion"/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</si>
  <si>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</si>
  <si>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</si>
  <si>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</si>
  <si>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</si>
  <si>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</si>
  <si>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</si>
  <si>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예결위 재원별 증감액</t>
    <phoneticPr fontId="6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</si>
  <si>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</si>
  <si>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</si>
  <si>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</si>
  <si>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</si>
  <si>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</si>
  <si>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</si>
  <si>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</si>
  <si>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</si>
  <si>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</si>
  <si>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</si>
  <si>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</si>
  <si>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</si>
  <si>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</si>
  <si>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</si>
  <si>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</si>
  <si>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6" type="noConversion"/>
  </si>
  <si>
    <t>기획재정위원회</t>
    <phoneticPr fontId="6" type="noConversion"/>
  </si>
  <si>
    <t>경제과학기술위원회</t>
    <phoneticPr fontId="6" type="noConversion"/>
  </si>
  <si>
    <t>안전행정위원회</t>
    <phoneticPr fontId="6" type="noConversion"/>
  </si>
  <si>
    <t>문화체육관광위원회</t>
    <phoneticPr fontId="6" type="noConversion"/>
  </si>
  <si>
    <t>농정해양위원회</t>
    <phoneticPr fontId="6" type="noConversion"/>
  </si>
  <si>
    <t>건설교통위원회</t>
    <phoneticPr fontId="6" type="noConversion"/>
  </si>
  <si>
    <t>도시환경위원회</t>
    <phoneticPr fontId="6" type="noConversion"/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</si>
  <si>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</si>
  <si>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</si>
  <si>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</si>
  <si>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</si>
  <si>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</si>
  <si>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</si>
  <si>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</si>
  <si>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대외협력담당관</t>
  </si>
  <si>
    <t>감사관</t>
  </si>
  <si>
    <t>대변인</t>
  </si>
  <si>
    <t>□  총괄(실국별)</t>
    <phoneticPr fontId="6" type="noConversion"/>
  </si>
  <si>
    <t>세입예산증감</t>
    <phoneticPr fontId="2" type="noConversion"/>
  </si>
  <si>
    <t>세출예산증감</t>
    <phoneticPr fontId="2" type="noConversion"/>
  </si>
  <si>
    <t>실국명</t>
    <phoneticPr fontId="6" type="noConversion"/>
  </si>
  <si>
    <t>편성
구분</t>
    <phoneticPr fontId="2" type="noConversion"/>
  </si>
  <si>
    <t>세부사업명 및 부기명</t>
    <phoneticPr fontId="2" type="noConversion"/>
  </si>
  <si>
    <t>위원회
부서별 정렬</t>
    <phoneticPr fontId="2" type="noConversion"/>
  </si>
  <si>
    <t>정렬순서</t>
    <phoneticPr fontId="78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</si>
  <si>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</si>
  <si>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</si>
  <si>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</si>
  <si>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</si>
  <si>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</si>
  <si>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</si>
  <si>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</si>
  <si>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</si>
  <si>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</si>
  <si>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</si>
  <si>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</si>
  <si>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</si>
  <si>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</si>
  <si>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</si>
  <si>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</si>
  <si>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</si>
  <si>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</si>
  <si>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</si>
  <si>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</si>
  <si>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</si>
  <si>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</si>
  <si>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</si>
  <si>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</si>
  <si>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</si>
  <si>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</si>
  <si>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</si>
  <si>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</si>
  <si>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</si>
  <si>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</si>
  <si>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</si>
  <si>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</si>
  <si>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</si>
  <si>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</si>
  <si>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</si>
  <si>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</si>
  <si>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</si>
  <si>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</si>
  <si>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</si>
  <si>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</si>
  <si>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</si>
  <si>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</si>
  <si>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</si>
  <si>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</si>
  <si>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</si>
  <si>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</si>
  <si>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</si>
  <si>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</si>
  <si>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</si>
  <si>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</si>
  <si>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</si>
  <si>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</si>
  <si>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</si>
  <si>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</si>
  <si>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</si>
  <si>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</si>
  <si>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</si>
  <si>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</si>
  <si>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</si>
  <si>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</si>
  <si>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</si>
  <si>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</si>
  <si>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</si>
  <si>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</si>
  <si>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</si>
  <si>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</si>
  <si>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</si>
  <si>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</si>
  <si>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</si>
  <si>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</si>
  <si>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</si>
  <si>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</si>
  <si>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</si>
  <si>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</si>
  <si>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</si>
  <si>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</si>
  <si>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</si>
  <si>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</si>
  <si>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</si>
  <si>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</si>
  <si>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</si>
  <si>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</si>
  <si>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</si>
  <si>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</si>
  <si>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</si>
  <si>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</si>
  <si>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</si>
  <si>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</si>
  <si>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</si>
  <si>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</si>
  <si>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</si>
  <si>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</si>
  <si>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</si>
  <si>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</si>
  <si>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</si>
  <si>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</si>
  <si>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</si>
  <si>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</si>
  <si>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</si>
  <si>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</si>
  <si>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</si>
  <si>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</si>
  <si>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</si>
  <si>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</si>
  <si>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</si>
  <si>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</si>
  <si>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</si>
  <si>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</si>
  <si>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</si>
  <si>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</si>
  <si>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</si>
  <si>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</si>
  <si>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</si>
  <si>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</si>
  <si>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</si>
  <si>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</si>
  <si>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</si>
  <si>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</si>
  <si>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</si>
  <si>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</si>
  <si>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</si>
  <si>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</si>
  <si>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</si>
  <si>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</si>
  <si>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</si>
  <si>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</si>
  <si>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</si>
  <si>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</si>
  <si>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</si>
  <si>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</si>
  <si>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</si>
  <si>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</si>
  <si>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</si>
  <si>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</si>
  <si>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</si>
  <si>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</si>
  <si>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</si>
  <si>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사회적일자리과</t>
  </si>
  <si>
    <t>노인복지과</t>
  </si>
  <si>
    <t>보건정책과</t>
  </si>
  <si>
    <t>건강증진과</t>
  </si>
  <si>
    <t>식품안전과</t>
  </si>
  <si>
    <t>환경정책과</t>
  </si>
  <si>
    <t>기후대기과</t>
  </si>
  <si>
    <t>환경안전관리과</t>
  </si>
  <si>
    <t>자원순환과</t>
  </si>
  <si>
    <t>북부환경관리과</t>
  </si>
  <si>
    <t>공단환경관리사업소</t>
  </si>
  <si>
    <t>보육정책과</t>
  </si>
  <si>
    <t>아동청소년과</t>
  </si>
  <si>
    <t>다문화가족과</t>
  </si>
  <si>
    <t>여성비전센터</t>
  </si>
  <si>
    <t>여성능력개발센터</t>
  </si>
  <si>
    <t>보육청소년담당관</t>
  </si>
  <si>
    <t>보건위생담당관</t>
  </si>
  <si>
    <t>서울사무소</t>
  </si>
  <si>
    <t>균형발전기획실</t>
  </si>
  <si>
    <t>기획예산담당관</t>
  </si>
  <si>
    <t>균형발전담당관</t>
  </si>
  <si>
    <t>행정관리담당관</t>
  </si>
  <si>
    <t>통일기반조성담당관</t>
  </si>
  <si>
    <t>DMZ정책담당관</t>
  </si>
  <si>
    <t>비상기획담당관</t>
  </si>
  <si>
    <t>군관협력담당관</t>
  </si>
  <si>
    <t>경제실</t>
  </si>
  <si>
    <t>경제정책과</t>
  </si>
  <si>
    <t>일자리정책과</t>
  </si>
  <si>
    <t>경기일자리센터</t>
  </si>
  <si>
    <t>기업지원과</t>
  </si>
  <si>
    <t>산업정책과</t>
  </si>
  <si>
    <t>특화산업과</t>
  </si>
  <si>
    <t>과학기술과</t>
  </si>
  <si>
    <t>외교정책과</t>
  </si>
  <si>
    <t>국제통상과</t>
  </si>
  <si>
    <t>투자진흥과</t>
  </si>
  <si>
    <t>기술학교</t>
  </si>
  <si>
    <t>축산정책과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</si>
  <si>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</si>
  <si>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</si>
  <si>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</si>
  <si>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</si>
  <si>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</si>
  <si>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</si>
  <si>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</si>
  <si>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버스정책과</t>
  </si>
  <si>
    <t>굿모닝버스추진단</t>
  </si>
  <si>
    <t>택시정책과</t>
  </si>
  <si>
    <t>교통정보센터</t>
  </si>
  <si>
    <t>건설국</t>
  </si>
  <si>
    <t>건설안전과</t>
  </si>
  <si>
    <t>도로정책과</t>
  </si>
  <si>
    <t>하천과</t>
  </si>
  <si>
    <t>건설기술과</t>
  </si>
  <si>
    <t>농업기술원</t>
  </si>
  <si>
    <t>농업기술원(총무과)</t>
  </si>
  <si>
    <t>인재개발원</t>
  </si>
  <si>
    <t>보건환경연구원</t>
  </si>
  <si>
    <t>보건환경연구원(총무과)</t>
  </si>
  <si>
    <t>수자원본부</t>
  </si>
  <si>
    <t>건설본부</t>
  </si>
  <si>
    <t>위원회명</t>
    <phoneticPr fontId="78" type="noConversion"/>
  </si>
  <si>
    <t>실국명</t>
    <phoneticPr fontId="78" type="noConversion"/>
  </si>
  <si>
    <t>보건복지위원회</t>
  </si>
  <si>
    <t>여성가족교육협력위원회</t>
  </si>
  <si>
    <t>0504</t>
  </si>
  <si>
    <t>0505</t>
  </si>
  <si>
    <t>0506</t>
  </si>
  <si>
    <t>0507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</si>
  <si>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</si>
  <si>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</si>
  <si>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</si>
  <si>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</si>
  <si>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</si>
  <si>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</si>
  <si>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</si>
  <si>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</si>
  <si>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</si>
  <si>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</si>
  <si>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</si>
  <si>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정렬코드</t>
    <phoneticPr fontId="78" type="noConversion"/>
  </si>
  <si>
    <t>실국명 조정</t>
    <phoneticPr fontId="78" type="noConversion"/>
  </si>
  <si>
    <t>위원회명 조정</t>
    <phoneticPr fontId="78" type="noConversion"/>
  </si>
  <si>
    <t>실과명 조정</t>
    <phoneticPr fontId="78" type="noConversion"/>
  </si>
  <si>
    <t>실과명</t>
    <phoneticPr fontId="78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</si>
  <si>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</si>
  <si>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</si>
  <si>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</si>
  <si>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문화체육관광위원회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</si>
  <si>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</si>
  <si>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</si>
  <si>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여성가족교육협력위원회</t>
    <phoneticPr fontId="2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</si>
  <si>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</si>
  <si>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</si>
  <si>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</si>
  <si>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</si>
  <si>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</si>
  <si>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</si>
  <si>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</si>
  <si>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</si>
  <si>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6" type="noConversion"/>
  </si>
  <si>
    <t>2회추경 예비비</t>
    <phoneticPr fontId="2" type="noConversion"/>
  </si>
  <si>
    <t>특교</t>
    <phoneticPr fontId="2" type="noConversion"/>
  </si>
  <si>
    <t>국도비
등
여부</t>
    <phoneticPr fontId="2" type="noConversion"/>
  </si>
  <si>
    <t>위원회명</t>
    <phoneticPr fontId="6" type="noConversion"/>
  </si>
  <si>
    <t>2014년도 제2회 일반회계 및 특별회계 추가경정 세입·세출 예산안</t>
    <phoneticPr fontId="6" type="noConversion"/>
  </si>
  <si>
    <t>2015년도 경기도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</si>
  <si>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</si>
  <si>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'14년도 제2회 추경 일반 및 특별회계 세입·세출 예산안[전체예산총괄]</t>
    <phoneticPr fontId="6" type="noConversion"/>
  </si>
  <si>
    <t>2015년도 경기도 일반 및 특별회계 세입·세출 예산안[전체예산총괄]</t>
    <phoneticPr fontId="6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</si>
  <si>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</si>
  <si>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</si>
  <si>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</si>
  <si>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</si>
  <si>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</si>
  <si>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</si>
  <si>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</si>
  <si>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</si>
  <si>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</si>
  <si>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</si>
  <si>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상임위 예산안
조정액(나)</t>
    <phoneticPr fontId="6" type="noConversion"/>
  </si>
  <si>
    <t>예결위 예산안
조정액(라)</t>
    <phoneticPr fontId="6" type="noConversion"/>
  </si>
  <si>
    <t>기특</t>
    <phoneticPr fontId="6" type="noConversion"/>
  </si>
  <si>
    <t>공특</t>
    <phoneticPr fontId="6" type="noConversion"/>
  </si>
  <si>
    <t>일반</t>
    <phoneticPr fontId="6" type="noConversion"/>
  </si>
  <si>
    <t>실국명</t>
    <phoneticPr fontId="2" type="noConversion"/>
  </si>
  <si>
    <t>안전행정위원회</t>
  </si>
  <si>
    <t>국도비
등
여부</t>
    <phoneticPr fontId="2" type="noConversion"/>
  </si>
  <si>
    <t>국도비</t>
    <phoneticPr fontId="2" type="noConversion"/>
  </si>
  <si>
    <t>도비</t>
    <phoneticPr fontId="2" type="noConversion"/>
  </si>
  <si>
    <t>차액</t>
    <phoneticPr fontId="2" type="noConversion"/>
  </si>
  <si>
    <t>동의여부</t>
    <phoneticPr fontId="2" type="noConversion"/>
  </si>
  <si>
    <t>동의</t>
    <phoneticPr fontId="2" type="noConversion"/>
  </si>
  <si>
    <t>부동의</t>
    <phoneticPr fontId="2" type="noConversion"/>
  </si>
  <si>
    <t>추가
내시 등</t>
    <phoneticPr fontId="2" type="noConversion"/>
  </si>
  <si>
    <t>세입번호</t>
    <phoneticPr fontId="2" type="noConversion"/>
  </si>
  <si>
    <t>실국부서
코드</t>
    <phoneticPr fontId="2" type="noConversion"/>
  </si>
  <si>
    <t>세입
번호</t>
    <phoneticPr fontId="2" type="noConversion"/>
  </si>
  <si>
    <t>동일
세입
건수</t>
    <phoneticPr fontId="2" type="noConversion"/>
  </si>
  <si>
    <t>세입
번호
검증</t>
    <phoneticPr fontId="2" type="noConversion"/>
  </si>
  <si>
    <t>상임위 세입 검증</t>
    <phoneticPr fontId="2" type="noConversion"/>
  </si>
  <si>
    <t>국비 증감액</t>
    <phoneticPr fontId="2" type="noConversion"/>
  </si>
  <si>
    <t>건수</t>
    <phoneticPr fontId="2" type="noConversion"/>
  </si>
  <si>
    <t>예결위 세입 검증</t>
    <phoneticPr fontId="2" type="noConversion"/>
  </si>
  <si>
    <t>검증</t>
    <phoneticPr fontId="2" type="noConversion"/>
  </si>
  <si>
    <t>예산안
페이지</t>
    <phoneticPr fontId="2" type="noConversion"/>
  </si>
  <si>
    <t>사  업
설명서</t>
    <phoneticPr fontId="6" type="noConversion"/>
  </si>
  <si>
    <t>동의
대상</t>
    <phoneticPr fontId="2" type="noConversion"/>
  </si>
  <si>
    <t>□ 총     괄</t>
    <phoneticPr fontId="2" type="noConversion"/>
  </si>
  <si>
    <t>세입예산 증감</t>
    <phoneticPr fontId="2" type="noConversion"/>
  </si>
  <si>
    <t>구  분</t>
    <phoneticPr fontId="2" type="noConversion"/>
  </si>
  <si>
    <t>집행부제출(안)</t>
    <phoneticPr fontId="2" type="noConversion"/>
  </si>
  <si>
    <t>세입예산(안)</t>
    <phoneticPr fontId="2" type="noConversion"/>
  </si>
  <si>
    <t>세출예산(안)</t>
    <phoneticPr fontId="2" type="noConversion"/>
  </si>
  <si>
    <t>수정예산(안)</t>
    <phoneticPr fontId="2" type="noConversion"/>
  </si>
  <si>
    <t>※ 예산안 증감현황</t>
    <phoneticPr fontId="2" type="noConversion"/>
  </si>
  <si>
    <t>감 액</t>
    <phoneticPr fontId="2" type="noConversion"/>
  </si>
  <si>
    <t>증 액</t>
    <phoneticPr fontId="2" type="noConversion"/>
  </si>
  <si>
    <t>예비비</t>
    <phoneticPr fontId="2" type="noConversion"/>
  </si>
  <si>
    <t>비고</t>
    <phoneticPr fontId="2" type="noConversion"/>
  </si>
  <si>
    <t>합  계</t>
    <phoneticPr fontId="2" type="noConversion"/>
  </si>
  <si>
    <t>일반회계</t>
    <phoneticPr fontId="2" type="noConversion"/>
  </si>
  <si>
    <t>특별회계</t>
    <phoneticPr fontId="2" type="noConversion"/>
  </si>
  <si>
    <t>□ 회계별 예산 총 규모</t>
    <phoneticPr fontId="2" type="noConversion"/>
  </si>
  <si>
    <t>특별회계</t>
    <phoneticPr fontId="2" type="noConversion"/>
  </si>
  <si>
    <t>※ 회계별, 위원회별 집행부제출안</t>
    <phoneticPr fontId="2" type="noConversion"/>
  </si>
  <si>
    <t>위원회명</t>
    <phoneticPr fontId="2" type="noConversion"/>
  </si>
  <si>
    <t>합계</t>
    <phoneticPr fontId="2" type="noConversion"/>
  </si>
  <si>
    <t>일반+기타</t>
    <phoneticPr fontId="2" type="noConversion"/>
  </si>
  <si>
    <t>일반회계</t>
    <phoneticPr fontId="2" type="noConversion"/>
  </si>
  <si>
    <t>기타특별회계</t>
    <phoneticPr fontId="2" type="noConversion"/>
  </si>
  <si>
    <t>공기업특별회계</t>
    <phoneticPr fontId="2" type="noConversion"/>
  </si>
  <si>
    <t>의회운영위원회</t>
    <phoneticPr fontId="2" type="noConversion"/>
  </si>
  <si>
    <t>기획재정위원회</t>
    <phoneticPr fontId="2" type="noConversion"/>
  </si>
  <si>
    <t>경제과학기술위원회</t>
    <phoneticPr fontId="2" type="noConversion"/>
  </si>
  <si>
    <t>안전행정위원회</t>
    <phoneticPr fontId="2" type="noConversion"/>
  </si>
  <si>
    <t>문화체육관광위원회</t>
    <phoneticPr fontId="2" type="noConversion"/>
  </si>
  <si>
    <t>농정해양위원회</t>
    <phoneticPr fontId="2" type="noConversion"/>
  </si>
  <si>
    <t>보건복지위원회</t>
    <phoneticPr fontId="2" type="noConversion"/>
  </si>
  <si>
    <t>건설교통위원회</t>
    <phoneticPr fontId="2" type="noConversion"/>
  </si>
  <si>
    <t>도시환경위원회</t>
    <phoneticPr fontId="2" type="noConversion"/>
  </si>
  <si>
    <t>예비비</t>
    <phoneticPr fontId="2" type="noConversion"/>
  </si>
  <si>
    <r>
      <t xml:space="preserve">기정액
</t>
    </r>
    <r>
      <rPr>
        <b/>
        <sz val="8"/>
        <rFont val="돋움"/>
        <family val="3"/>
        <charset val="129"/>
      </rPr>
      <t>(나)</t>
    </r>
    <phoneticPr fontId="2" type="noConversion"/>
  </si>
  <si>
    <r>
      <t xml:space="preserve">상임위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</si>
  <si>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r>
      <t xml:space="preserve">예결위 조정
예산안
</t>
    </r>
    <r>
      <rPr>
        <b/>
        <sz val="8"/>
        <rFont val="돋움"/>
        <family val="3"/>
        <charset val="129"/>
      </rPr>
      <t>(마=가or나+라)</t>
    </r>
    <phoneticPr fontId="6" type="noConversion"/>
  </si>
  <si>
    <t>예산결산특별위원회</t>
    <phoneticPr fontId="2" type="noConversion"/>
  </si>
  <si>
    <t>예결위 예산안 조정 결과</t>
    <phoneticPr fontId="2" type="noConversion"/>
  </si>
  <si>
    <t xml:space="preserve"> - 2016년도 제3회 경기도 추가경정예산안</t>
    <phoneticPr fontId="2" type="noConversion"/>
  </si>
  <si>
    <t>2016년도 제3회 추가경정예산안(총괄)</t>
    <phoneticPr fontId="2" type="noConversion"/>
  </si>
  <si>
    <r>
      <t xml:space="preserve">2016년도 제3회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</si>
  <si>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제3회 추경 경기도 일반회계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</si>
  <si>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(경제과학기술위원회)</t>
    <phoneticPr fontId="2" type="noConversion"/>
  </si>
  <si>
    <t>(안전행정위원회)</t>
    <phoneticPr fontId="2" type="noConversion"/>
  </si>
  <si>
    <t>(문화체육관광위원회)</t>
    <phoneticPr fontId="2" type="noConversion"/>
  </si>
  <si>
    <t>(건설교통위원회)</t>
    <phoneticPr fontId="2" type="noConversion"/>
  </si>
  <si>
    <t>(여성가족교육협력위원회)</t>
    <phoneticPr fontId="2" type="noConversion"/>
  </si>
  <si>
    <t>(의회운영위원회)</t>
    <phoneticPr fontId="2" type="noConversion"/>
  </si>
  <si>
    <t>(기획재정위원회)</t>
    <phoneticPr fontId="2" type="noConversion"/>
  </si>
  <si>
    <t>(도시환경위원회)</t>
    <phoneticPr fontId="2" type="noConversion"/>
  </si>
  <si>
    <t>제3회 추경
예산안
(가)</t>
    <phoneticPr fontId="6" type="noConversion"/>
  </si>
  <si>
    <t>(농정해양위원회)</t>
    <phoneticPr fontId="2" type="noConversion"/>
  </si>
  <si>
    <t>(보건복지위원회)</t>
    <phoneticPr fontId="2" type="noConversion"/>
  </si>
  <si>
    <t>(지역균형발전 기타특별회계)</t>
    <phoneticPr fontId="2" type="noConversion"/>
  </si>
  <si>
    <t>(한류월드조성사업 공기업특별회계)</t>
    <phoneticPr fontId="2" type="noConversion"/>
  </si>
  <si>
    <t>(의료급여기금 기타특별회계)</t>
    <phoneticPr fontId="2" type="noConversion"/>
  </si>
  <si>
    <t>(광역교통시설 기타특별회계)</t>
    <phoneticPr fontId="2" type="noConversion"/>
  </si>
  <si>
    <t>(팔당호관리 기타특별회계)</t>
    <phoneticPr fontId="2" type="noConversion"/>
  </si>
  <si>
    <t>(학교용지부담금 기타특별회계)</t>
    <phoneticPr fontId="2" type="noConversion"/>
  </si>
  <si>
    <t>(경기도 고덕국제화계획지구조성사업 공기업특별회계)</t>
    <phoneticPr fontId="2" type="noConversion"/>
  </si>
  <si>
    <t>(경기도 판교테크노밸리조성사업 공기업특별회계)</t>
    <phoneticPr fontId="2" type="noConversion"/>
  </si>
  <si>
    <t>(지역개발기금 공기업특별회계)</t>
    <phoneticPr fontId="2" type="noConversion"/>
  </si>
  <si>
    <r>
      <t xml:space="preserve">2016년도 제3회 추경경기도 특별회계 </t>
    </r>
    <r>
      <rPr>
        <b/>
        <sz val="22"/>
        <color rgb="FF0000FF"/>
        <rFont val="맑은 고딕"/>
        <family val="3"/>
        <charset val="129"/>
        <scheme val="minor"/>
      </rPr>
      <t>세입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</si>
  <si>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r>
      <t xml:space="preserve">2016년도 제3회 추경 경기도 특별회계 </t>
    </r>
    <r>
      <rPr>
        <b/>
        <sz val="22"/>
        <color rgb="FF0000FF"/>
        <rFont val="맑은 고딕"/>
        <family val="3"/>
        <charset val="129"/>
        <scheme val="minor"/>
      </rPr>
      <t>세출</t>
    </r>
    <r>
      <rPr>
        <b/>
        <sz val="22"/>
        <color theme="1"/>
        <rFont val="맑은 고딕"/>
        <family val="3"/>
        <charset val="129"/>
        <scheme val="minor"/>
      </rPr>
      <t xml:space="preserve"> 예산 조정(안)</t>
    </r>
    <phoneticPr fontId="6" type="noConversion"/>
  </si>
  <si>
    <t>제3회 추경
예산안
(가)</t>
    <phoneticPr fontId="6" type="noConversion"/>
  </si>
  <si>
    <r>
      <t xml:space="preserve">제3회 추경
증감액
</t>
    </r>
    <r>
      <rPr>
        <b/>
        <sz val="8"/>
        <rFont val="돋움"/>
        <family val="3"/>
        <charset val="129"/>
      </rPr>
      <t>(다=가-나)</t>
    </r>
    <phoneticPr fontId="2" type="noConversion"/>
  </si>
  <si>
    <t>2016재원</t>
    <phoneticPr fontId="2" type="noConversion"/>
  </si>
  <si>
    <t>소방안전</t>
    <phoneticPr fontId="2" type="noConversion"/>
  </si>
  <si>
    <t>증감액</t>
    <phoneticPr fontId="2" type="noConversion"/>
  </si>
  <si>
    <t>조정증감액</t>
    <phoneticPr fontId="2" type="noConversion"/>
  </si>
  <si>
    <t>기획재정위원회</t>
    <phoneticPr fontId="2" type="noConversion"/>
  </si>
  <si>
    <t>기획조정실</t>
    <phoneticPr fontId="2" type="noConversion"/>
  </si>
  <si>
    <t>규제개혁추진단</t>
    <phoneticPr fontId="2" type="noConversion"/>
  </si>
  <si>
    <t>3회추경</t>
  </si>
  <si>
    <t>푸드트럭 창업 지원(자체/직접)
- 규제시책 및 푸드트럭 활성화 홍보</t>
    <phoneticPr fontId="2" type="noConversion"/>
  </si>
  <si>
    <t>푸드트럭 창업 지원(자체/직접)
- 푸드트럭 구입비</t>
    <phoneticPr fontId="2" type="noConversion"/>
  </si>
  <si>
    <t>균형발전기획실</t>
    <phoneticPr fontId="2" type="noConversion"/>
  </si>
  <si>
    <t>통일기반조성담당관</t>
    <phoneticPr fontId="2" type="noConversion"/>
  </si>
  <si>
    <t>주한미군공여구역주변지역 지원사업(자체/지원)
- 공여구역 주변지역 지원사업</t>
    <phoneticPr fontId="2" type="noConversion"/>
  </si>
  <si>
    <t>북한이탈주민 문화격차 해소사업(자체/직접)
- 북한이탈주민 문화격차 해소사업</t>
    <phoneticPr fontId="2" type="noConversion"/>
  </si>
  <si>
    <t>감사관</t>
    <phoneticPr fontId="2" type="noConversion"/>
  </si>
  <si>
    <t>조사담당관</t>
    <phoneticPr fontId="2" type="noConversion"/>
  </si>
  <si>
    <t>옴부즈만 지원(자체/지접)
- 옴부즈만 운영수당 등</t>
    <phoneticPr fontId="2" type="noConversion"/>
  </si>
  <si>
    <t>도비</t>
  </si>
  <si>
    <t>국비</t>
  </si>
  <si>
    <t>도시환경위원회</t>
    <phoneticPr fontId="2" type="noConversion"/>
  </si>
  <si>
    <t>수자원본부</t>
    <phoneticPr fontId="2" type="noConversion"/>
  </si>
  <si>
    <t>상하수과</t>
    <phoneticPr fontId="2" type="noConversion"/>
  </si>
  <si>
    <t>시도비반환금수입
 - 수자원본부 도비 사용잔액</t>
    <phoneticPr fontId="2" type="noConversion"/>
  </si>
  <si>
    <t>15년도 반납완료된 용인사사업 집행잔액 조정반영</t>
    <phoneticPr fontId="2" type="noConversion"/>
  </si>
  <si>
    <t>축산산림국</t>
    <phoneticPr fontId="2" type="noConversion"/>
  </si>
  <si>
    <t>공원녹지과</t>
    <phoneticPr fontId="2" type="noConversion"/>
  </si>
  <si>
    <t>신규</t>
  </si>
  <si>
    <t>세계정원 경기가든 조성을 위한 용역비 반영</t>
    <phoneticPr fontId="2" type="noConversion"/>
  </si>
  <si>
    <t>본예산</t>
  </si>
  <si>
    <t>상수도 미보급지역 주민 생활불편 해소 반영</t>
    <phoneticPr fontId="2" type="noConversion"/>
  </si>
  <si>
    <t>안전행정위원회</t>
    <phoneticPr fontId="2" type="noConversion"/>
  </si>
  <si>
    <t>자치행정국</t>
    <phoneticPr fontId="2" type="noConversion"/>
  </si>
  <si>
    <t>자치행정과</t>
    <phoneticPr fontId="2" type="noConversion"/>
  </si>
  <si>
    <t>안전행정위원회</t>
    <phoneticPr fontId="2" type="noConversion"/>
  </si>
  <si>
    <t>안전기획과</t>
    <phoneticPr fontId="2" type="noConversion"/>
  </si>
  <si>
    <t>국도비</t>
  </si>
  <si>
    <t>안전행정위원회</t>
    <phoneticPr fontId="2" type="noConversion"/>
  </si>
  <si>
    <t>소방행정과</t>
    <phoneticPr fontId="2" type="noConversion"/>
  </si>
  <si>
    <t>남양주소방서</t>
    <phoneticPr fontId="2" type="noConversion"/>
  </si>
  <si>
    <t>동두천소방서</t>
    <phoneticPr fontId="2" type="noConversion"/>
  </si>
  <si>
    <t>재난안전본부</t>
    <phoneticPr fontId="2" type="noConversion"/>
  </si>
  <si>
    <t>안전기획과</t>
    <phoneticPr fontId="2" type="noConversion"/>
  </si>
  <si>
    <t>재난안전본부</t>
    <phoneticPr fontId="2" type="noConversion"/>
  </si>
  <si>
    <t>안전교육훈련담당관</t>
    <phoneticPr fontId="2" type="noConversion"/>
  </si>
  <si>
    <t>안전행정위원회</t>
    <phoneticPr fontId="2" type="noConversion"/>
  </si>
  <si>
    <t>문화체육관광위원회</t>
    <phoneticPr fontId="2" type="noConversion"/>
  </si>
  <si>
    <t>문화체육관광국</t>
    <phoneticPr fontId="2" type="noConversion"/>
  </si>
  <si>
    <t>문화정책과</t>
    <phoneticPr fontId="2" type="noConversion"/>
  </si>
  <si>
    <t>송년제야행사(자체/직접)
- 2016년 송년 제야행사 개최</t>
    <phoneticPr fontId="2" type="noConversion"/>
  </si>
  <si>
    <t>문화유산과</t>
    <phoneticPr fontId="2" type="noConversion"/>
  </si>
  <si>
    <t>3회추경</t>
    <phoneticPr fontId="2" type="noConversion"/>
  </si>
  <si>
    <t>문화재긴급보수(기금/직접)
- 문화재긴급보수사업</t>
    <phoneticPr fontId="2" type="noConversion"/>
  </si>
  <si>
    <t>세부사업 변경
- (국비/직접)에서 (기금/직접)으로 변경</t>
    <phoneticPr fontId="2" type="noConversion"/>
  </si>
  <si>
    <t>기금</t>
  </si>
  <si>
    <t>2016 킨텍스 스푼 아트쇼(자체/직접)
- 2016 킨텍스 스푼 아트쇼</t>
    <phoneticPr fontId="2" type="noConversion"/>
  </si>
  <si>
    <t>공기관 등에 대한 경상적 대행사업비</t>
    <phoneticPr fontId="2" type="noConversion"/>
  </si>
  <si>
    <t>도단위 예술단체 문예진흥(자체/직접)
- 도단위 예술단체 문예진흥</t>
    <phoneticPr fontId="2" type="noConversion"/>
  </si>
  <si>
    <t>제2회 경기실버국악제 전국국악경연대회</t>
    <phoneticPr fontId="2" type="noConversion"/>
  </si>
  <si>
    <r>
      <t xml:space="preserve">과목경정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color rgb="FFFF0000"/>
        <rFont val="맑은 고딕"/>
        <family val="3"/>
        <charset val="129"/>
        <scheme val="major"/>
      </rPr>
      <t>(국고보조금에서 기금으로 목 변경)</t>
    </r>
    <phoneticPr fontId="2" type="noConversion"/>
  </si>
  <si>
    <t>건설교통위원회</t>
    <phoneticPr fontId="2" type="noConversion"/>
  </si>
  <si>
    <t>건설본부</t>
    <phoneticPr fontId="2" type="noConversion"/>
  </si>
  <si>
    <t>북부도로과</t>
    <phoneticPr fontId="2" type="noConversion"/>
  </si>
  <si>
    <t>특교</t>
  </si>
  <si>
    <t>교통국</t>
    <phoneticPr fontId="2" type="noConversion"/>
  </si>
  <si>
    <t>굿모닝버스추진단</t>
    <phoneticPr fontId="2" type="noConversion"/>
  </si>
  <si>
    <t>2017년 본예산 편성 필요, 추경 편성 부적절
국비확보, 도비 및 시군비 경감 필요</t>
    <phoneticPr fontId="2" type="noConversion"/>
  </si>
  <si>
    <t>건설국</t>
    <phoneticPr fontId="2" type="noConversion"/>
  </si>
  <si>
    <t>도로정책과</t>
    <phoneticPr fontId="2" type="noConversion"/>
  </si>
  <si>
    <t>건설기술과</t>
    <phoneticPr fontId="2" type="noConversion"/>
  </si>
  <si>
    <t>대금지급확인시스템 도입위해 재검토 필요</t>
    <phoneticPr fontId="2" type="noConversion"/>
  </si>
  <si>
    <t>건설본부</t>
    <phoneticPr fontId="2" type="noConversion"/>
  </si>
  <si>
    <t>북부도로과</t>
    <phoneticPr fontId="2" type="noConversion"/>
  </si>
  <si>
    <t>특별교부세 교부로 비룡대교 긴급복구 필요</t>
    <phoneticPr fontId="2" type="noConversion"/>
  </si>
  <si>
    <t>의회운영위원회</t>
    <phoneticPr fontId="2" type="noConversion"/>
  </si>
  <si>
    <t>의회사무처</t>
    <phoneticPr fontId="2" type="noConversion"/>
  </si>
  <si>
    <t>입법정책담당관</t>
    <phoneticPr fontId="2" type="noConversion"/>
  </si>
  <si>
    <t>의회운영위원회</t>
    <phoneticPr fontId="2" type="noConversion"/>
  </si>
  <si>
    <t>대변인</t>
    <phoneticPr fontId="2" type="noConversion"/>
  </si>
  <si>
    <t>언론협력담당관</t>
    <phoneticPr fontId="2" type="noConversion"/>
  </si>
  <si>
    <t>성매매 집결지 현장기능 강화사업(기금/지원)
- 성매매 집결지 현장기능 강화사업</t>
  </si>
  <si>
    <t>성매매피해자 구조지원(기금/지원)
- 성매매피해자 구조지원사업</t>
  </si>
  <si>
    <t>경력단절여성 고용촉진사업(기금/지원)
- 집단상담프로그램 운영</t>
  </si>
  <si>
    <t>성매매집결지 현장기능 강화 사업(기금/지원)
 - 성매매집결지 현장기능 강화 사업</t>
  </si>
  <si>
    <t>특별지원대상 청소년 지원(기금/지원)
 - 특별지원대상 청소년 지원</t>
  </si>
  <si>
    <t>여성가족교육협력위원회</t>
    <phoneticPr fontId="2" type="noConversion"/>
  </si>
  <si>
    <t>여성가족국</t>
    <phoneticPr fontId="2" type="noConversion"/>
  </si>
  <si>
    <t>여성가족과</t>
    <phoneticPr fontId="2" type="noConversion"/>
  </si>
  <si>
    <t>경기도가족여성연구원운영(자체/직접)
- 경기도가족여성연구원 운영</t>
  </si>
  <si>
    <t>국비 변경내시, 여성가족부 권익지원과-2264(2016.8.23.)</t>
  </si>
  <si>
    <t>국비 변경내시, 고용노동부 여성고용정책과-2919(2016.8.18.)</t>
  </si>
  <si>
    <t>본예산</t>
    <phoneticPr fontId="2" type="noConversion"/>
  </si>
  <si>
    <t>아이돌봄 지원(국비/지원)
- 아이돌봄 지원</t>
    <phoneticPr fontId="2" type="noConversion"/>
  </si>
  <si>
    <t>아이돌봄 사업간 예산액 조정</t>
  </si>
  <si>
    <t>여성가족교육협력위원회</t>
    <phoneticPr fontId="2" type="noConversion"/>
  </si>
  <si>
    <t>복지여성실</t>
    <phoneticPr fontId="2" type="noConversion"/>
  </si>
  <si>
    <t>가족여성담당관</t>
    <phoneticPr fontId="2" type="noConversion"/>
  </si>
  <si>
    <t>보육청소년담당관</t>
    <phoneticPr fontId="2" type="noConversion"/>
  </si>
  <si>
    <t>국비 변경내시, 여성가족부 학교밖청소년지원과-1553(2016.8.17.)</t>
  </si>
  <si>
    <t>교육협력국</t>
    <phoneticPr fontId="2" type="noConversion"/>
  </si>
  <si>
    <t>교육정책과</t>
    <phoneticPr fontId="2" type="noConversion"/>
  </si>
  <si>
    <t>3201-01</t>
    <phoneticPr fontId="2" type="noConversion"/>
  </si>
  <si>
    <t>3201-02</t>
    <phoneticPr fontId="2" type="noConversion"/>
  </si>
  <si>
    <t>국도비</t>
    <phoneticPr fontId="2" type="noConversion"/>
  </si>
  <si>
    <t>국비</t>
    <phoneticPr fontId="2" type="noConversion"/>
  </si>
  <si>
    <t xml:space="preserve"> 아이돌봄 사업간 예산액 조정</t>
  </si>
  <si>
    <t>축산물 HACCP 컨설팅 지원(식품의약품안전처)(국비/지원)
 - 가공장 등 축산물 HACCP컨설팅 지원</t>
  </si>
  <si>
    <t>축산산림국</t>
    <phoneticPr fontId="2" type="noConversion"/>
  </si>
  <si>
    <t>축산정책과</t>
    <phoneticPr fontId="2" type="noConversion"/>
  </si>
  <si>
    <t>농정해양위원회</t>
    <phoneticPr fontId="2" type="noConversion"/>
  </si>
  <si>
    <t>축산산림국</t>
    <phoneticPr fontId="2" type="noConversion"/>
  </si>
  <si>
    <t>축산정책과</t>
    <phoneticPr fontId="2" type="noConversion"/>
  </si>
  <si>
    <t>동물방역위생과</t>
    <phoneticPr fontId="2" type="noConversion"/>
  </si>
  <si>
    <t>산림환경연구소</t>
    <phoneticPr fontId="2" type="noConversion"/>
  </si>
  <si>
    <t>여성가족국</t>
    <phoneticPr fontId="2" type="noConversion"/>
  </si>
  <si>
    <t>여성가족과</t>
    <phoneticPr fontId="2" type="noConversion"/>
  </si>
  <si>
    <t>국비 변경내시, 여성가족부 권익지원과-2264(2016.8.23.)</t>
    <phoneticPr fontId="2" type="noConversion"/>
  </si>
  <si>
    <t>3201-01</t>
    <phoneticPr fontId="2" type="noConversion"/>
  </si>
  <si>
    <t>국비 변경내시, 고용노동부 여성고용정책과-2919(2016.8.18.)</t>
    <phoneticPr fontId="2" type="noConversion"/>
  </si>
  <si>
    <t>3201-02</t>
    <phoneticPr fontId="2" type="noConversion"/>
  </si>
  <si>
    <t>아동청소년과</t>
    <phoneticPr fontId="2" type="noConversion"/>
  </si>
  <si>
    <t>국비 변경내시, 여성가족부 학교밖청소년지원과-1553(2016.8.17.)</t>
    <phoneticPr fontId="2" type="noConversion"/>
  </si>
  <si>
    <t>여성비전센터</t>
    <phoneticPr fontId="2" type="noConversion"/>
  </si>
  <si>
    <t>부기명변경(따복기숙사 에너지성능개선사업 -&gt; 
공공건축물 에너지성능개선 사업)</t>
    <phoneticPr fontId="2" type="noConversion"/>
  </si>
  <si>
    <t>국비</t>
    <phoneticPr fontId="2" type="noConversion"/>
  </si>
  <si>
    <t>재난안전본부</t>
    <phoneticPr fontId="2" type="noConversion"/>
  </si>
  <si>
    <t>복지정책과</t>
  </si>
  <si>
    <t>국비 변경내시
보건복지부 자립지원과-5566(2016.8.23.)호</t>
  </si>
  <si>
    <t>보건복지부 장애인자립기반과-5362호(2016.8.1.)
국 : 1,252,008천원 / 도 : 80,486천원</t>
  </si>
  <si>
    <t>보건복지부 장애인자립기반과-5398호(2016.8.2.)
국 : 2,091,592천원 / 도 : 134,460천원</t>
  </si>
  <si>
    <t>보건복지부 장애인자립기반과-5414호(2016.8.2.)
국 : 1,322,029천원</t>
  </si>
  <si>
    <t>보건복지부 장애인서비스과-4828호(2016.8.18.)) 기요구액 : 26,617천원(국 : 25,010/도 : 1,607)
추가 요구액 : 1,645,991천원(국 : 1,546,567/ 도 : 99,424)</t>
  </si>
  <si>
    <t>세입없음</t>
    <phoneticPr fontId="2" type="noConversion"/>
  </si>
  <si>
    <t>보건복지국</t>
    <phoneticPr fontId="2" type="noConversion"/>
  </si>
  <si>
    <t>사회적일자리과</t>
    <phoneticPr fontId="2" type="noConversion"/>
  </si>
  <si>
    <t>보건복지위원회</t>
    <phoneticPr fontId="2" type="noConversion"/>
  </si>
  <si>
    <t>보건복지국</t>
    <phoneticPr fontId="2" type="noConversion"/>
  </si>
  <si>
    <t>장애인복지과</t>
    <phoneticPr fontId="2" type="noConversion"/>
  </si>
  <si>
    <t>장애인복지과</t>
    <phoneticPr fontId="2" type="noConversion"/>
  </si>
  <si>
    <t>감액</t>
    <phoneticPr fontId="2" type="noConversion"/>
  </si>
  <si>
    <t>상임위 예산안
조정액(라)</t>
    <phoneticPr fontId="6" type="noConversion"/>
  </si>
  <si>
    <r>
      <t xml:space="preserve">상임위 조정
예산안
</t>
    </r>
    <r>
      <rPr>
        <b/>
        <sz val="8"/>
        <rFont val="돋움"/>
        <family val="3"/>
        <charset val="129"/>
      </rPr>
      <t>(마=가+라)</t>
    </r>
    <phoneticPr fontId="6" type="noConversion"/>
  </si>
  <si>
    <t>연정협력관</t>
  </si>
  <si>
    <t>1</t>
  </si>
  <si>
    <t>2</t>
  </si>
  <si>
    <t>0102</t>
  </si>
  <si>
    <t>3</t>
  </si>
  <si>
    <t>0103</t>
  </si>
  <si>
    <t>홍보미디어담당관</t>
  </si>
  <si>
    <t>소통기획관</t>
  </si>
  <si>
    <t>4</t>
  </si>
  <si>
    <t>0104</t>
  </si>
  <si>
    <t>홍보콘텐츠담당관</t>
  </si>
  <si>
    <t>5</t>
  </si>
  <si>
    <t>0105</t>
  </si>
  <si>
    <t>언론협력담당관</t>
  </si>
  <si>
    <t>6</t>
  </si>
  <si>
    <t>0106</t>
  </si>
  <si>
    <t>보도기획담당관</t>
  </si>
  <si>
    <t>7</t>
  </si>
  <si>
    <t>0107</t>
  </si>
  <si>
    <t>공보담당관</t>
  </si>
  <si>
    <t>8</t>
  </si>
  <si>
    <t>0108</t>
  </si>
  <si>
    <t>총무담당관</t>
  </si>
  <si>
    <t>9</t>
  </si>
  <si>
    <t>0109</t>
  </si>
  <si>
    <t>의정담당관</t>
  </si>
  <si>
    <t>10</t>
  </si>
  <si>
    <t>0110</t>
  </si>
  <si>
    <t>입법정책담당관</t>
  </si>
  <si>
    <t>11</t>
  </si>
  <si>
    <t>0111</t>
  </si>
  <si>
    <t>예산정책담당관</t>
  </si>
  <si>
    <t>12</t>
  </si>
  <si>
    <t>0112</t>
  </si>
  <si>
    <t>13</t>
  </si>
  <si>
    <t>14</t>
  </si>
  <si>
    <t>15</t>
  </si>
  <si>
    <t>16</t>
  </si>
  <si>
    <t>0204</t>
  </si>
  <si>
    <t>17</t>
  </si>
  <si>
    <t>0205</t>
  </si>
  <si>
    <t>18</t>
  </si>
  <si>
    <t>0206</t>
  </si>
  <si>
    <t>19</t>
  </si>
  <si>
    <t>0207</t>
  </si>
  <si>
    <t>20</t>
  </si>
  <si>
    <t>0208</t>
  </si>
  <si>
    <t>21</t>
  </si>
  <si>
    <t>0209</t>
  </si>
  <si>
    <t>행정심판담당관</t>
  </si>
  <si>
    <t>22</t>
  </si>
  <si>
    <t>0210</t>
  </si>
  <si>
    <t>23</t>
  </si>
  <si>
    <t>0211</t>
  </si>
  <si>
    <t>24</t>
  </si>
  <si>
    <t>0212</t>
  </si>
  <si>
    <t>25</t>
  </si>
  <si>
    <t>0213</t>
  </si>
  <si>
    <t>26</t>
  </si>
  <si>
    <t>0214</t>
  </si>
  <si>
    <t>28</t>
  </si>
  <si>
    <t>0215</t>
  </si>
  <si>
    <t>29</t>
  </si>
  <si>
    <t>0216</t>
  </si>
  <si>
    <t>30</t>
  </si>
  <si>
    <t>0217</t>
  </si>
  <si>
    <t>31</t>
  </si>
  <si>
    <t>0218</t>
  </si>
  <si>
    <t>32</t>
  </si>
  <si>
    <t>0219</t>
  </si>
  <si>
    <t>27</t>
  </si>
  <si>
    <t>0220</t>
  </si>
  <si>
    <t>33</t>
  </si>
  <si>
    <t>34</t>
  </si>
  <si>
    <t>35</t>
  </si>
  <si>
    <t>0303</t>
  </si>
  <si>
    <t>공정경제과</t>
  </si>
  <si>
    <t>36</t>
  </si>
  <si>
    <t>0304</t>
  </si>
  <si>
    <t>37</t>
  </si>
  <si>
    <t>0305</t>
  </si>
  <si>
    <t>38</t>
  </si>
  <si>
    <t>0306</t>
  </si>
  <si>
    <t>에너지과</t>
  </si>
  <si>
    <t>39</t>
  </si>
  <si>
    <t>0307</t>
  </si>
  <si>
    <t>40</t>
  </si>
  <si>
    <t>0308</t>
  </si>
  <si>
    <t>41</t>
  </si>
  <si>
    <t>0309</t>
  </si>
  <si>
    <t>42</t>
  </si>
  <si>
    <t>0310</t>
  </si>
  <si>
    <t>43</t>
  </si>
  <si>
    <t>0311</t>
  </si>
  <si>
    <t>44</t>
  </si>
  <si>
    <t>0312</t>
  </si>
  <si>
    <t>45</t>
  </si>
  <si>
    <t>0313</t>
  </si>
  <si>
    <t>기획행정과</t>
  </si>
  <si>
    <t>황해경제자유구역청</t>
  </si>
  <si>
    <t>46</t>
  </si>
  <si>
    <t>0314</t>
  </si>
  <si>
    <t>개발과</t>
  </si>
  <si>
    <t>47</t>
  </si>
  <si>
    <t>0315</t>
  </si>
  <si>
    <t>투자유치과</t>
  </si>
  <si>
    <t>48</t>
  </si>
  <si>
    <t>0316</t>
  </si>
  <si>
    <t>49</t>
  </si>
  <si>
    <t>0317</t>
  </si>
  <si>
    <t>50</t>
  </si>
  <si>
    <t>51</t>
  </si>
  <si>
    <t>52</t>
  </si>
  <si>
    <t>53</t>
  </si>
  <si>
    <t>54</t>
  </si>
  <si>
    <t>0405</t>
  </si>
  <si>
    <t>55</t>
  </si>
  <si>
    <t>0406</t>
  </si>
  <si>
    <t>56</t>
  </si>
  <si>
    <t>0407</t>
  </si>
  <si>
    <t>57</t>
  </si>
  <si>
    <t>0408</t>
  </si>
  <si>
    <t>58</t>
  </si>
  <si>
    <t>0409</t>
  </si>
  <si>
    <t>59</t>
  </si>
  <si>
    <t>0410</t>
  </si>
  <si>
    <t>60</t>
  </si>
  <si>
    <t>0411</t>
  </si>
  <si>
    <t>61</t>
  </si>
  <si>
    <t>0412</t>
  </si>
  <si>
    <t>62</t>
  </si>
  <si>
    <t>0413</t>
  </si>
  <si>
    <t>63</t>
  </si>
  <si>
    <t>0414</t>
  </si>
  <si>
    <t>64</t>
  </si>
  <si>
    <t>0415</t>
  </si>
  <si>
    <t>65</t>
  </si>
  <si>
    <t>0416</t>
  </si>
  <si>
    <t>66</t>
  </si>
  <si>
    <t>0417</t>
  </si>
  <si>
    <t>67</t>
  </si>
  <si>
    <t>0418</t>
  </si>
  <si>
    <t>68</t>
  </si>
  <si>
    <t>0419</t>
  </si>
  <si>
    <t>특수대응단(북부)</t>
  </si>
  <si>
    <t>69</t>
  </si>
  <si>
    <t>0420</t>
  </si>
  <si>
    <t>70</t>
  </si>
  <si>
    <t>0421</t>
  </si>
  <si>
    <t>71</t>
  </si>
  <si>
    <t>0422</t>
  </si>
  <si>
    <t>72</t>
  </si>
  <si>
    <t>0423</t>
  </si>
  <si>
    <t>73</t>
  </si>
  <si>
    <t>0424</t>
  </si>
  <si>
    <t>74</t>
  </si>
  <si>
    <t>0425</t>
  </si>
  <si>
    <t>75</t>
  </si>
  <si>
    <t>0426</t>
  </si>
  <si>
    <t>76</t>
  </si>
  <si>
    <t>0427</t>
  </si>
  <si>
    <t>77</t>
  </si>
  <si>
    <t>0428</t>
  </si>
  <si>
    <t>78</t>
  </si>
  <si>
    <t>0429</t>
  </si>
  <si>
    <t>79</t>
  </si>
  <si>
    <t>0430</t>
  </si>
  <si>
    <t>80</t>
  </si>
  <si>
    <t>0431</t>
  </si>
  <si>
    <t>81</t>
  </si>
  <si>
    <t>0432</t>
  </si>
  <si>
    <t>82</t>
  </si>
  <si>
    <t>0433</t>
  </si>
  <si>
    <t>83</t>
  </si>
  <si>
    <t>0434</t>
  </si>
  <si>
    <t>84</t>
  </si>
  <si>
    <t>0435</t>
  </si>
  <si>
    <t>85</t>
  </si>
  <si>
    <t>0436</t>
  </si>
  <si>
    <t>86</t>
  </si>
  <si>
    <t>0437</t>
  </si>
  <si>
    <t>87</t>
  </si>
  <si>
    <t>0438</t>
  </si>
  <si>
    <t>88</t>
  </si>
  <si>
    <t>0439</t>
  </si>
  <si>
    <t>89</t>
  </si>
  <si>
    <t>0440</t>
  </si>
  <si>
    <t>90</t>
  </si>
  <si>
    <t>0441</t>
  </si>
  <si>
    <t>91</t>
  </si>
  <si>
    <t>0442</t>
  </si>
  <si>
    <t>92</t>
  </si>
  <si>
    <t>0443</t>
  </si>
  <si>
    <t>93</t>
  </si>
  <si>
    <t>0444</t>
  </si>
  <si>
    <t>94</t>
  </si>
  <si>
    <t>0445</t>
  </si>
  <si>
    <t>95</t>
  </si>
  <si>
    <t>0446</t>
  </si>
  <si>
    <t>96</t>
  </si>
  <si>
    <t>0447</t>
  </si>
  <si>
    <t>97</t>
  </si>
  <si>
    <t>0448</t>
  </si>
  <si>
    <t>98</t>
  </si>
  <si>
    <t>0449</t>
  </si>
  <si>
    <t>99</t>
  </si>
  <si>
    <t>0450</t>
  </si>
  <si>
    <t>100</t>
  </si>
  <si>
    <t>0451</t>
  </si>
  <si>
    <t>101</t>
  </si>
  <si>
    <t>0452</t>
  </si>
  <si>
    <t>102</t>
  </si>
  <si>
    <t>0453</t>
  </si>
  <si>
    <t>103</t>
  </si>
  <si>
    <t>0454</t>
  </si>
  <si>
    <t>104</t>
  </si>
  <si>
    <t>0455</t>
  </si>
  <si>
    <t>105</t>
  </si>
  <si>
    <t>0456</t>
  </si>
  <si>
    <t>106</t>
  </si>
  <si>
    <t>0457</t>
  </si>
  <si>
    <t>107</t>
  </si>
  <si>
    <t>0458</t>
  </si>
  <si>
    <t>108</t>
  </si>
  <si>
    <t>109</t>
  </si>
  <si>
    <t>110</t>
  </si>
  <si>
    <t>111</t>
  </si>
  <si>
    <t>112</t>
  </si>
  <si>
    <t>113</t>
  </si>
  <si>
    <t>한류월드사업단</t>
  </si>
  <si>
    <t>114</t>
  </si>
  <si>
    <t>115</t>
  </si>
  <si>
    <t>116</t>
  </si>
  <si>
    <t>117</t>
  </si>
  <si>
    <t>118</t>
  </si>
  <si>
    <t>119</t>
  </si>
  <si>
    <t>120</t>
  </si>
  <si>
    <t>0606</t>
  </si>
  <si>
    <t>종자관리소</t>
  </si>
  <si>
    <t>121</t>
  </si>
  <si>
    <t>0607</t>
  </si>
  <si>
    <t>122</t>
  </si>
  <si>
    <t>0608</t>
  </si>
  <si>
    <t>123</t>
  </si>
  <si>
    <t>0609</t>
  </si>
  <si>
    <t>124</t>
  </si>
  <si>
    <t>0610</t>
  </si>
  <si>
    <t>125</t>
  </si>
  <si>
    <t>0611</t>
  </si>
  <si>
    <t>126</t>
  </si>
  <si>
    <t>0612</t>
  </si>
  <si>
    <t>127</t>
  </si>
  <si>
    <t>0613</t>
  </si>
  <si>
    <t>128</t>
  </si>
  <si>
    <t>0614</t>
  </si>
  <si>
    <t>작물연구과</t>
  </si>
  <si>
    <t>129</t>
  </si>
  <si>
    <t>0615</t>
  </si>
  <si>
    <t>원예연구과</t>
  </si>
  <si>
    <t>130</t>
  </si>
  <si>
    <t>0616</t>
  </si>
  <si>
    <t>환경농업연구과</t>
  </si>
  <si>
    <t>131</t>
  </si>
  <si>
    <t>0617</t>
  </si>
  <si>
    <t>지원기획과</t>
  </si>
  <si>
    <t>132</t>
  </si>
  <si>
    <t>0618</t>
  </si>
  <si>
    <t>기술보급과</t>
  </si>
  <si>
    <t>133</t>
  </si>
  <si>
    <t>0619</t>
  </si>
  <si>
    <t>농촌자원과</t>
  </si>
  <si>
    <t>134</t>
  </si>
  <si>
    <t>0620</t>
  </si>
  <si>
    <t>버섯연구소</t>
  </si>
  <si>
    <t>135</t>
  </si>
  <si>
    <t>0621</t>
  </si>
  <si>
    <t>소득자원연구소</t>
  </si>
  <si>
    <t>136</t>
  </si>
  <si>
    <t>0622</t>
  </si>
  <si>
    <t>선인장다육식물연구소</t>
  </si>
  <si>
    <t>137</t>
  </si>
  <si>
    <t>0623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</si>
  <si>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</si>
  <si>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</si>
  <si>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</si>
  <si>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</si>
  <si>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</si>
  <si>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</si>
  <si>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</si>
  <si>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</si>
  <si>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</si>
  <si>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</si>
  <si>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보건연구부</t>
  </si>
  <si>
    <t>148</t>
  </si>
  <si>
    <t>북부지원</t>
  </si>
  <si>
    <t>149</t>
  </si>
  <si>
    <t>수원농수산물검사소</t>
  </si>
  <si>
    <t>150</t>
  </si>
  <si>
    <t>0713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</si>
  <si>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</si>
  <si>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</si>
  <si>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</si>
  <si>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</si>
  <si>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</si>
  <si>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</si>
  <si>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</si>
  <si>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</si>
  <si>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</si>
  <si>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0809</t>
  </si>
  <si>
    <t>160</t>
  </si>
  <si>
    <t>0810</t>
  </si>
  <si>
    <t>161</t>
  </si>
  <si>
    <t>0811</t>
  </si>
  <si>
    <t>162</t>
  </si>
  <si>
    <t>0812</t>
  </si>
  <si>
    <t>관리과</t>
  </si>
  <si>
    <t>163</t>
  </si>
  <si>
    <t>0813</t>
  </si>
  <si>
    <t>도로건설과</t>
  </si>
  <si>
    <t>164</t>
  </si>
  <si>
    <t>0814</t>
  </si>
  <si>
    <t>북부도로과</t>
  </si>
  <si>
    <t>165</t>
  </si>
  <si>
    <t>0815</t>
  </si>
  <si>
    <t>건축시설과</t>
  </si>
  <si>
    <t>166</t>
  </si>
  <si>
    <t>0816</t>
  </si>
  <si>
    <t>경기융합타운추진단</t>
  </si>
  <si>
    <t>167</t>
  </si>
  <si>
    <t>0817</t>
  </si>
  <si>
    <t>168</t>
  </si>
  <si>
    <t>169</t>
  </si>
  <si>
    <t>170</t>
  </si>
  <si>
    <t>171</t>
  </si>
  <si>
    <t>172</t>
  </si>
  <si>
    <t>173</t>
  </si>
  <si>
    <t>174</t>
  </si>
  <si>
    <t>공동주택과</t>
  </si>
  <si>
    <t>175</t>
  </si>
  <si>
    <t>176</t>
  </si>
  <si>
    <t>177</t>
  </si>
  <si>
    <t>178</t>
  </si>
  <si>
    <t>0911</t>
  </si>
  <si>
    <t>179</t>
  </si>
  <si>
    <t>0912</t>
  </si>
  <si>
    <t>180</t>
  </si>
  <si>
    <t>0913</t>
  </si>
  <si>
    <t>181</t>
  </si>
  <si>
    <t>0914</t>
  </si>
  <si>
    <t>182</t>
  </si>
  <si>
    <t>0915</t>
  </si>
  <si>
    <t>183</t>
  </si>
  <si>
    <t>0916</t>
  </si>
  <si>
    <t>184</t>
  </si>
  <si>
    <t>0917</t>
  </si>
  <si>
    <t>대기연구부</t>
  </si>
  <si>
    <t>185</t>
  </si>
  <si>
    <t>0918</t>
  </si>
  <si>
    <t>수질연구부</t>
  </si>
  <si>
    <t>186</t>
  </si>
  <si>
    <t>0919</t>
  </si>
  <si>
    <t>188</t>
  </si>
  <si>
    <t>0920</t>
  </si>
  <si>
    <t>187</t>
  </si>
  <si>
    <t>0921</t>
  </si>
  <si>
    <t>189</t>
  </si>
  <si>
    <t>190</t>
  </si>
  <si>
    <t>191</t>
  </si>
  <si>
    <t>1003</t>
  </si>
  <si>
    <t>192</t>
  </si>
  <si>
    <t>1004</t>
  </si>
  <si>
    <t>193</t>
  </si>
  <si>
    <t>1005</t>
  </si>
  <si>
    <t>194</t>
  </si>
  <si>
    <t>1006</t>
  </si>
  <si>
    <t>195</t>
  </si>
  <si>
    <t>1007</t>
  </si>
  <si>
    <t>196</t>
  </si>
  <si>
    <t>1008</t>
  </si>
  <si>
    <t>197</t>
  </si>
  <si>
    <t>1009</t>
  </si>
  <si>
    <t>198</t>
  </si>
  <si>
    <t>1010</t>
  </si>
  <si>
    <t>199</t>
  </si>
  <si>
    <t>1011</t>
  </si>
  <si>
    <t>200</t>
  </si>
  <si>
    <t>1012</t>
  </si>
  <si>
    <t>신규</t>
    <phoneticPr fontId="2" type="noConversion"/>
  </si>
  <si>
    <t>기금
 - 문화재 긴급보수사업</t>
    <phoneticPr fontId="2" type="noConversion"/>
  </si>
  <si>
    <t>특별교부세
 - 비룡대교 긴급복구</t>
    <phoneticPr fontId="2" type="noConversion"/>
  </si>
  <si>
    <t>국고보조금
 - 아이돌봄 지원사업</t>
    <phoneticPr fontId="2" type="noConversion"/>
  </si>
  <si>
    <t>국고보조금
 - 공공건축물 에너지성능개선 사업</t>
    <phoneticPr fontId="2" type="noConversion"/>
  </si>
  <si>
    <t>국고보조금
 - 근로능력이있는 수급자의 탈수급 지원</t>
    <phoneticPr fontId="2" type="noConversion"/>
  </si>
  <si>
    <t>기금
 - 성매매 피해자 지원사업</t>
    <phoneticPr fontId="2" type="noConversion"/>
  </si>
  <si>
    <t>기금
 - 경력단절여성고용촉진사업</t>
    <phoneticPr fontId="2" type="noConversion"/>
  </si>
  <si>
    <t>기금
 - 청소년 사회안전망 구축</t>
    <phoneticPr fontId="2" type="noConversion"/>
  </si>
  <si>
    <t>시도비반환금수입
 - 안전교육훈련담당관 도비 사용잔액</t>
    <phoneticPr fontId="2" type="noConversion"/>
  </si>
  <si>
    <t>국고보조금
 - 장애수당(기초)</t>
    <phoneticPr fontId="2" type="noConversion"/>
  </si>
  <si>
    <t>국고보조금
 - 장애인연금</t>
    <phoneticPr fontId="2" type="noConversion"/>
  </si>
  <si>
    <t>국고보조금
 - 장애인의료비</t>
    <phoneticPr fontId="2" type="noConversion"/>
  </si>
  <si>
    <t>국고보조금
 - 장애인사회활동지원</t>
    <phoneticPr fontId="2" type="noConversion"/>
  </si>
  <si>
    <t>특별교부세
 - 지자체 안전표지판 설치비</t>
    <phoneticPr fontId="2" type="noConversion"/>
  </si>
  <si>
    <t>특교</t>
    <phoneticPr fontId="2" type="noConversion"/>
  </si>
  <si>
    <t>시도비반황금수입
 - 축산정책과 도비사용잔액</t>
    <phoneticPr fontId="2" type="noConversion"/>
  </si>
  <si>
    <t>국고보조금사용잔액
 - 축산정책과 국비사용잔액</t>
    <phoneticPr fontId="2" type="noConversion"/>
  </si>
  <si>
    <t>목명 및 부기명</t>
    <phoneticPr fontId="2" type="noConversion"/>
  </si>
  <si>
    <t>도비</t>
    <phoneticPr fontId="2" type="noConversion"/>
  </si>
  <si>
    <t>세입없음</t>
    <phoneticPr fontId="2" type="noConversion"/>
  </si>
  <si>
    <t>세부사업 변경
- (국비/직접)에서 (기금/직접)으로 변경</t>
  </si>
  <si>
    <t>공기관 등에 대한 경상적 대행사업비</t>
  </si>
  <si>
    <t>제2회 경기실버국악제 전국국악경연대회</t>
  </si>
  <si>
    <t>의원 입법활동 연구용역(자체/직접)
- 위원회별 정책연구용역</t>
    <phoneticPr fontId="2" type="noConversion"/>
  </si>
  <si>
    <t>신문을 통한 홍보(자체/직접)
- 언론공익광고</t>
    <phoneticPr fontId="2" type="noConversion"/>
  </si>
  <si>
    <t>0416-01</t>
    <phoneticPr fontId="2" type="noConversion"/>
  </si>
  <si>
    <t>소방관서 증축(자체/직접)
- 재난안전본부 별관 증축</t>
    <phoneticPr fontId="2" type="noConversion"/>
  </si>
  <si>
    <t>0504-01</t>
    <phoneticPr fontId="2" type="noConversion"/>
  </si>
  <si>
    <t>0609-01</t>
  </si>
  <si>
    <t>국고보조금
 - 축산물 HACCP컨설팅지원(식품의약품안전처)</t>
    <phoneticPr fontId="2" type="noConversion"/>
  </si>
  <si>
    <t>특별교부세
 - 등산로 위험사면보강</t>
    <phoneticPr fontId="2" type="noConversion"/>
  </si>
  <si>
    <t>0613-01</t>
    <phoneticPr fontId="2" type="noConversion"/>
  </si>
  <si>
    <t>등산로 위험사면보강(교부세/직접)
- 등산로 위험사면보강</t>
    <phoneticPr fontId="2" type="noConversion"/>
  </si>
  <si>
    <t>청사시설관리·유지(자체/직접)
- 국유지 대부료</t>
    <phoneticPr fontId="2" type="noConversion"/>
  </si>
  <si>
    <t>지자체 안전표지판 설치비(교부세/지원)
- 지자체 안전표지판 설치비</t>
    <phoneticPr fontId="2" type="noConversion"/>
  </si>
  <si>
    <t>소방관서 증축(자체/직접)
- 와부센터 증축</t>
    <phoneticPr fontId="2" type="noConversion"/>
  </si>
  <si>
    <t>소규모시설물 개보수(자체/직접)
- 소요센터 토목공사</t>
    <phoneticPr fontId="2" type="noConversion"/>
  </si>
  <si>
    <t>사회복지종사자 및 보훈가족 문화지원(자체/직접)
- 보훈가족 문화지원</t>
    <phoneticPr fontId="2" type="noConversion"/>
  </si>
  <si>
    <t>사회복지종사자 및 보훈가족 문화지원(자체/직접)
- 사회복지종사자 문화지원</t>
    <phoneticPr fontId="2" type="noConversion"/>
  </si>
  <si>
    <t>일하는 청년통장Ⅱ 운영(자체/직접)
- 일하는 청년통장Ⅱ 운영</t>
    <phoneticPr fontId="2" type="noConversion"/>
  </si>
  <si>
    <t>경기도장애인종합지원센터 운영(자체/직접)
- 경기도장애인종합지원센터 운영</t>
    <phoneticPr fontId="2" type="noConversion"/>
  </si>
  <si>
    <t>치매어르신 안전기반구축 지원사업(자체/직접)
- 치매어르신 안전기반구축 지원사업</t>
    <phoneticPr fontId="2" type="noConversion"/>
  </si>
  <si>
    <t>희망키움통장Ⅰ(국비/지원)
- 희망키움통장Ⅰ</t>
    <phoneticPr fontId="2" type="noConversion"/>
  </si>
  <si>
    <t>0702-01</t>
  </si>
  <si>
    <t>국비 변경내시 / 보건복지부 자립지원과-5566(2016.8.23.)호</t>
    <phoneticPr fontId="2" type="noConversion"/>
  </si>
  <si>
    <t>희망키움통장Ⅱ(국비/직접)
- 희망키움통장Ⅱ</t>
    <phoneticPr fontId="2" type="noConversion"/>
  </si>
  <si>
    <t>내일키움통장(국비/지원)
- 내일키움통장</t>
    <phoneticPr fontId="2" type="noConversion"/>
  </si>
  <si>
    <t>장애수당(기초)(국비/지원)
- 장애수당(기초)</t>
    <phoneticPr fontId="2" type="noConversion"/>
  </si>
  <si>
    <t>장애인연금(국비/지원)
- 장애인연금</t>
    <phoneticPr fontId="2" type="noConversion"/>
  </si>
  <si>
    <t>장애인의료비(국비/지원)
- 장애인의료비</t>
    <phoneticPr fontId="2" type="noConversion"/>
  </si>
  <si>
    <t>본예산</t>
    <phoneticPr fontId="2" type="noConversion"/>
  </si>
  <si>
    <t>0704-01</t>
  </si>
  <si>
    <t>0704-02</t>
  </si>
  <si>
    <t>0704-03</t>
  </si>
  <si>
    <t>0704-04</t>
  </si>
  <si>
    <t>대용량버스(2층버스) 도입 지원(자체/지원)
- 대용량버스(2층버스) 도입 확대</t>
    <phoneticPr fontId="2" type="noConversion"/>
  </si>
  <si>
    <t>시비 확보되어 조기완공 위해 도비 증액필요(도비 10억 증액)</t>
    <phoneticPr fontId="2" type="noConversion"/>
  </si>
  <si>
    <t>국도비</t>
    <phoneticPr fontId="2" type="noConversion"/>
  </si>
  <si>
    <t>지특</t>
    <phoneticPr fontId="2" type="noConversion"/>
  </si>
  <si>
    <t>의정부 상도교-호장교 광역도로건설(지특/지원)
- 의정부 상도교-호장교 도로확포장</t>
    <phoneticPr fontId="2" type="noConversion"/>
  </si>
  <si>
    <t>도비증액</t>
    <phoneticPr fontId="2" type="noConversion"/>
  </si>
  <si>
    <t>대금지급확인 시스템 도입(자체/직접)
- 대금지급확인 시스템 도입</t>
    <phoneticPr fontId="2" type="noConversion"/>
  </si>
  <si>
    <t>0815-01</t>
    <phoneticPr fontId="2" type="noConversion"/>
  </si>
  <si>
    <t>가칭 세계정원 경기가든 조성(자체/직접)
- 세계정원 경기가든 조성 기본계획 용역 수행비</t>
    <phoneticPr fontId="2" type="noConversion"/>
  </si>
  <si>
    <t>상수도 시설 확충(자체/지원)
- 급수취약지역 상수도 보급</t>
    <phoneticPr fontId="2" type="noConversion"/>
  </si>
  <si>
    <t>일본군위안부 피해자 기록물 유네스코 세계기록유산 등재 특별전시회(자체/직접)
일본군위안부 피해자 기록물 유네스코 세계기록유산 등재 특별전시회</t>
    <phoneticPr fontId="2" type="noConversion"/>
  </si>
  <si>
    <t>공정한 선거관리를 위한 경비지원(자체/직접)
- 경기도의회 의원 보궐선거 선거관리경비 지원</t>
    <phoneticPr fontId="2" type="noConversion"/>
  </si>
  <si>
    <t>도립 청소년 수련시설 개선 및 보강사업(자체/직접)
- 경기도 청소년수련원 시설 기능보강</t>
    <phoneticPr fontId="2" type="noConversion"/>
  </si>
  <si>
    <t>성매매피해자 지원시설 및 상담소 운영(기금/지원)
- 성매매피해자 지원시설 운영지원</t>
    <phoneticPr fontId="2" type="noConversion"/>
  </si>
  <si>
    <t>경기영어마을 시설유지보수(자체/직접)
- 경기영어마을 시설유지보수</t>
    <phoneticPr fontId="2" type="noConversion"/>
  </si>
  <si>
    <t>부기명(통계목) 변경
(공기관등에대한자본적대행사업비 -&gt; 공기관등에대한경상적대행사업비)</t>
    <phoneticPr fontId="2" type="noConversion"/>
  </si>
  <si>
    <t>1008-01</t>
    <phoneticPr fontId="2" type="noConversion"/>
  </si>
  <si>
    <t>1006-01</t>
    <phoneticPr fontId="2" type="noConversion"/>
  </si>
  <si>
    <t>경로당 소독비 지원(자체/지원)
- 경로당 소독비 지원</t>
    <phoneticPr fontId="2" type="noConversion"/>
  </si>
  <si>
    <t>대한노인회 경기도연합회 지원(자체/직접)
- 경로당 환경개선 지원</t>
    <phoneticPr fontId="2" type="noConversion"/>
  </si>
  <si>
    <t>선감학원 사건 진상조사 및 지원방안 연구용역 사업비 감액(경비가 과다)</t>
  </si>
  <si>
    <t>2015년 예산 수준(20억원)에서 광고단가 인상분(1억원), 연정협력사업·지역주간지수요(2억5천만원)반영</t>
  </si>
  <si>
    <t>수련원 등산로 공사</t>
    <phoneticPr fontId="2" type="noConversion"/>
  </si>
  <si>
    <t>수련원 등산로 공사 조성을 위해 증액</t>
    <phoneticPr fontId="2" type="noConversion"/>
  </si>
  <si>
    <t>국비사용잔액 절상에 의한 금액수정</t>
  </si>
  <si>
    <t>국비 추가 변경내시
*식품의약품안전처 축산물위생
안전과-5883(2016.7.19)</t>
  </si>
  <si>
    <t>무기계약근로자 신규채용('16.10월부터 근무예정)</t>
  </si>
  <si>
    <t>재난안전특별교부세 교부결정 통보
*국민안전처 예방총괄과-4631(2016.8.10)</t>
  </si>
  <si>
    <t>2016년 내 국유지 매입시에는
대부료 불필요</t>
  </si>
  <si>
    <t>재난안전특별교부세 교부결정
국민안전처 안전개선과-4114(2016.8.17.)</t>
  </si>
  <si>
    <t>남양주 와부119센터 증축공사비</t>
  </si>
  <si>
    <t>동두천 소요119센터 토목공사비</t>
  </si>
  <si>
    <t>2017년 본예산 편성 적절(긴급성 없는 예산으로 추경 편성 부적절)
국비확보하여 도비 및 시군비 경감 필요</t>
  </si>
  <si>
    <t>시비가 확보되었으므로 조기완공 위해 도비 증액필요(도비 10억 증액)</t>
  </si>
  <si>
    <t>의회자율편성예산으로 대금지급확인시스템 도입위해 관계기관 협의 및 재검토 필요</t>
  </si>
  <si>
    <t>국민안전처 특별교부세 교부에 따른 비룡대교 긴급복구 필요</t>
  </si>
  <si>
    <t>사업량 증가(121개소-&gt;127개소)</t>
  </si>
  <si>
    <t>사업량 축소(2,000명-&gt;500명)</t>
  </si>
  <si>
    <t>방수공사비 등 절감운영</t>
  </si>
  <si>
    <t>치매파트너물품구입비 삭감</t>
  </si>
  <si>
    <t>질병에 취약한 어르신들이 주로 생활하는 경로당에 대한 소독 필요
※ 경기도 경로당 운영 및 활성화 사업 지원에 관한 조례 제6조
-연 2회 이상 살균소독 지원(2015.11.4신설)</t>
  </si>
  <si>
    <t>경로당의 노후화된 시설 및 집기 등에 
대하여 리모델링 및 교체 필요</t>
  </si>
  <si>
    <t>당초 예산과 같게 추진</t>
  </si>
  <si>
    <t>일부 시군비 부담</t>
  </si>
  <si>
    <t>건당 심사수당을 추가로 지급하는 것으로 적절치 않음</t>
  </si>
  <si>
    <t>도의원 보궐선거 경비지원
道선관위 관리과-5283(16.08.17)호
선거경비 494,843천원 납부요구</t>
    <phoneticPr fontId="2" type="noConversion"/>
  </si>
  <si>
    <t>상임위(부대의견)</t>
    <phoneticPr fontId="6" type="noConversion"/>
  </si>
  <si>
    <t>행사성예산은 추경예산이 아닌 본예산에 편성되어야 함</t>
    <phoneticPr fontId="2" type="noConversion"/>
  </si>
  <si>
    <t>반환금기타
- 국비반납액</t>
    <phoneticPr fontId="2" type="noConversion"/>
  </si>
  <si>
    <t>인건비(자체/직접)
- 기본급
(1호봉)2,005,640원* 3월*1명
(4호봉)2,025,430원*12월*2명</t>
    <phoneticPr fontId="2" type="noConversion"/>
  </si>
  <si>
    <t>인건비(자체/직접)
- 연가보상비
(1호봉)76,771원* 3일*1명
(4호봉)77,528원*15일*2명</t>
    <phoneticPr fontId="2" type="noConversion"/>
  </si>
  <si>
    <t>인건비(자체/직접)
- 급식비
(기존인력)130,000원* 3월*1명
(신규인력)130,000원*12월*2명</t>
    <phoneticPr fontId="2" type="noConversion"/>
  </si>
  <si>
    <t>인건비(자체/직접)
- 피복비 200,000원*3명</t>
    <phoneticPr fontId="2" type="noConversion"/>
  </si>
  <si>
    <t>인건비(자체/직접)
- 여비</t>
    <phoneticPr fontId="2" type="noConversion"/>
  </si>
  <si>
    <t>인건비(자체/직접)
- 시간외근무
(1호봉)14,427원*38시간* 3월*1명
(4호봉)14,594원*38시간*12월*2명</t>
    <phoneticPr fontId="2" type="noConversion"/>
  </si>
  <si>
    <t>경로당의 노후화된 시설 및 집기 등에 
대하여 리모델링 및 교체 필요</t>
    <phoneticPr fontId="2" type="noConversion"/>
  </si>
  <si>
    <t>상임위 변경사유</t>
    <phoneticPr fontId="2" type="noConversion"/>
  </si>
  <si>
    <t>상임위 변경사유</t>
    <phoneticPr fontId="6" type="noConversion"/>
  </si>
  <si>
    <t>상임위(부대의견)</t>
    <phoneticPr fontId="6" type="noConversion"/>
  </si>
  <si>
    <t>총무담당관</t>
    <phoneticPr fontId="2" type="noConversion"/>
  </si>
  <si>
    <t>의정지원 기준경비(자체/직접)
- 국내여비(의정업무수행)</t>
    <phoneticPr fontId="2" type="noConversion"/>
  </si>
  <si>
    <t>도비</t>
    <phoneticPr fontId="2" type="noConversion"/>
  </si>
  <si>
    <t>1회성 (행사성) 예산으로 추경에 적절치 않음</t>
    <phoneticPr fontId="2" type="noConversion"/>
  </si>
  <si>
    <t>경제실</t>
    <phoneticPr fontId="2" type="noConversion"/>
  </si>
  <si>
    <t>경제정책과</t>
    <phoneticPr fontId="2" type="noConversion"/>
  </si>
  <si>
    <t>경제회생 및 민생경제안정대책 홍보(자체/직접)
- 경제회생 및 민생경제안정대책 홍보</t>
    <phoneticPr fontId="2" type="noConversion"/>
  </si>
  <si>
    <t>국제통상과</t>
    <phoneticPr fontId="2" type="noConversion"/>
  </si>
  <si>
    <t>해외 경기통상사무소(자체/직접)
- 해외 경기통상사무소(GBC) 운영</t>
    <phoneticPr fontId="2" type="noConversion"/>
  </si>
  <si>
    <t>기업지원과</t>
    <phoneticPr fontId="2" type="noConversion"/>
  </si>
  <si>
    <t>경기도주식회사 설립(자체/직접)
- 경기도주식회사 설립</t>
    <phoneticPr fontId="2" type="noConversion"/>
  </si>
  <si>
    <t>경기도 공동브랜드 우수상품 판로지원(자체/직접)
-경기도 공동브랜드 우수상품 판로지원</t>
    <phoneticPr fontId="2" type="noConversion"/>
  </si>
  <si>
    <t>3회추경</t>
    <phoneticPr fontId="2" type="noConversion"/>
  </si>
  <si>
    <t>예산담당관</t>
    <phoneticPr fontId="2" type="noConversion"/>
  </si>
  <si>
    <t>신규</t>
    <phoneticPr fontId="2" type="noConversion"/>
  </si>
  <si>
    <t>기타이자수입
 - 축산정책과 민간이전사업 이자수입</t>
    <phoneticPr fontId="2" type="noConversion"/>
  </si>
  <si>
    <t>재난대응과</t>
    <phoneticPr fontId="2" type="noConversion"/>
  </si>
  <si>
    <t>잣향기푸른숲 운영(자체/직접)
- 매표소 증축(시설비, 시설부대비)</t>
    <phoneticPr fontId="2" type="noConversion"/>
  </si>
  <si>
    <t>비룡대교 긴급복구(교부세/직접)
- 비룡대교 긴급복구</t>
    <phoneticPr fontId="2" type="noConversion"/>
  </si>
  <si>
    <t>여주-가남 도로확포장공사(자체/직접)
- 여주-가남 도로확포장</t>
    <phoneticPr fontId="2" type="noConversion"/>
  </si>
  <si>
    <t>행복한 다문화 가족 구현(자체/직접)
- 다가센터 문화지원 사업</t>
    <phoneticPr fontId="2" type="noConversion"/>
  </si>
  <si>
    <t>다문화가족과</t>
    <phoneticPr fontId="2" type="noConversion"/>
  </si>
  <si>
    <t>따복기숙사 건립(자체/직접)
-따복기숙사 물품 등 구입</t>
    <phoneticPr fontId="2" type="noConversion"/>
  </si>
  <si>
    <t>교육협력과</t>
    <phoneticPr fontId="2" type="noConversion"/>
  </si>
  <si>
    <t>국고보조금
 - 숲가꾸기</t>
  </si>
  <si>
    <t>국고보조금
 - 산림병해충방제</t>
  </si>
  <si>
    <t>국가추경</t>
    <phoneticPr fontId="2" type="noConversion"/>
  </si>
  <si>
    <t>국비</t>
    <phoneticPr fontId="2" type="noConversion"/>
  </si>
  <si>
    <t>숲가꾸기(국비/지원)
- 숲가꾸기(자치단체자본보조금)</t>
  </si>
  <si>
    <t>숲가꾸기(국비/직접)
- 숲가꾸기(시설비)</t>
  </si>
  <si>
    <t>숲가꾸기(국비/직접)
- 숲가꾸기(감리비)</t>
  </si>
  <si>
    <t>숲가꾸기(국비/직접)
- 숲가꾸기(시설부대비)</t>
  </si>
  <si>
    <t>산림병해충방제(국비/지원)
- 산림병해충방제(자치단체경상보조금)</t>
  </si>
  <si>
    <t>산림병해충방제(국비/직접)
- 소나무재선충병방제사업(시설비)</t>
  </si>
  <si>
    <t>국가추경 /  산림청-기획재정담당관실-2519(2016.8.17.)호
(국비 7,640,170천원 / 도비 2,269,068천원)</t>
    <phoneticPr fontId="2" type="noConversion"/>
  </si>
  <si>
    <t>국가추경 / 산림청-기획재정담당관실-2519(2016.8.17.)호
(국비 432,780천원 도비 432,779천원)</t>
    <phoneticPr fontId="2" type="noConversion"/>
  </si>
  <si>
    <t>국가추경 / 산림청-기획재정담당관실-2519(2016.8.18.)호
(국비 7,918천원, 도비 7,918천원)</t>
    <phoneticPr fontId="2" type="noConversion"/>
  </si>
  <si>
    <t>국가추경 / 산림청-기획재정담당관실-2519(2016.8.19.)호
(국비 2,920천원, 도비 2,920천원)</t>
    <phoneticPr fontId="2" type="noConversion"/>
  </si>
  <si>
    <t>국가추경 / 산림청-기획재정담당관실-2519(2016.8.17.)호
(국비 9,304,592천원 /도비 2,294,861천원)</t>
    <phoneticPr fontId="2" type="noConversion"/>
  </si>
  <si>
    <t>국가추경 / 산림청-기획재정담당관실-2519(2016.8.17.)호
(국비 59,000천원 / 도비 59,000천원)</t>
    <phoneticPr fontId="2" type="noConversion"/>
  </si>
  <si>
    <t>국도비</t>
    <phoneticPr fontId="2" type="noConversion"/>
  </si>
  <si>
    <t>도비</t>
    <phoneticPr fontId="2" type="noConversion"/>
  </si>
  <si>
    <t>전기자동차 보급 및 충전인프라 구축(국비/지원)
- 전기자동차 보급 및 충전인프라 구축(자치단체자본보조)</t>
  </si>
  <si>
    <t>국가추경 / 환경부 교통환경과-2735(2016.08.17)호</t>
    <phoneticPr fontId="2" type="noConversion"/>
  </si>
  <si>
    <t>0610-01</t>
  </si>
  <si>
    <t>0610-02</t>
    <phoneticPr fontId="2" type="noConversion"/>
  </si>
  <si>
    <t>0912-01</t>
    <phoneticPr fontId="2" type="noConversion"/>
  </si>
  <si>
    <t>아동청소년과</t>
    <phoneticPr fontId="2" type="noConversion"/>
  </si>
  <si>
    <t>의용소방대 활성화(자체/직접)
 - 의용소방대원 문화체험</t>
    <phoneticPr fontId="2" type="noConversion"/>
  </si>
  <si>
    <t>아이돌봄 사업간 예산액 조정</t>
    <phoneticPr fontId="2" type="noConversion"/>
  </si>
  <si>
    <t>균형발전담당관</t>
    <phoneticPr fontId="2" type="noConversion"/>
  </si>
  <si>
    <t>그외수입
 - 축산정책과 국도비 민간이전 사용잔액</t>
    <phoneticPr fontId="2" type="noConversion"/>
  </si>
  <si>
    <t>농정해양국</t>
    <phoneticPr fontId="2" type="noConversion"/>
  </si>
  <si>
    <t>해앙항만정책과</t>
    <phoneticPr fontId="2" type="noConversion"/>
  </si>
  <si>
    <t>본예산</t>
    <phoneticPr fontId="2" type="noConversion"/>
  </si>
  <si>
    <t>신규</t>
    <phoneticPr fontId="2" type="noConversion"/>
  </si>
  <si>
    <t>평택항 활성화 방안 연구(자체/직접)
- 평택항 활성화 방안 연구</t>
    <phoneticPr fontId="2" type="noConversion"/>
  </si>
  <si>
    <t>환경정책과</t>
    <phoneticPr fontId="2" type="noConversion"/>
  </si>
  <si>
    <t>기후대기과</t>
    <phoneticPr fontId="2" type="noConversion"/>
  </si>
  <si>
    <t>적정기술을 이용한 미세먼지 저감방안(연구용역비)</t>
    <phoneticPr fontId="2" type="noConversion"/>
  </si>
  <si>
    <t>미세먼지 저감을 위한 적정기술 한마당 개최행사(행사운영비)</t>
    <phoneticPr fontId="2" type="noConversion"/>
  </si>
  <si>
    <t>경기도형 친환경 적정기술 개발과 보급방안 연구용역(자체/직접)
- 경기도형 친환경 적정기술 개발과 보급방안 연구용역</t>
    <phoneticPr fontId="2" type="noConversion"/>
  </si>
  <si>
    <t>3회추경</t>
    <phoneticPr fontId="2" type="noConversion"/>
  </si>
  <si>
    <t>청사시설 유지관리(자체/직접)
- 지하주차장 진단 및 설계용역</t>
    <phoneticPr fontId="2" type="noConversion"/>
  </si>
  <si>
    <t>부기명 변경(지하주차장 진단용역 → 지하주차장 진단 및 설계용역)</t>
    <phoneticPr fontId="2" type="noConversion"/>
  </si>
  <si>
    <t>통계목 분리(시설비 715,160천원 → 시설비 708,260천원, 감리비 6,900천원)</t>
    <phoneticPr fontId="2" type="noConversion"/>
  </si>
  <si>
    <t>도비</t>
    <phoneticPr fontId="2" type="noConversion"/>
  </si>
  <si>
    <t>세입없음</t>
    <phoneticPr fontId="2" type="noConversion"/>
  </si>
  <si>
    <t>국고보조금
 - 정신요양시설 운영</t>
  </si>
  <si>
    <t>국고보조금
 - 자활사업</t>
  </si>
  <si>
    <t>국고보조금
 - 노인돌봄서비스</t>
  </si>
  <si>
    <t>국고보조금
 - 노인사회활동지원</t>
  </si>
  <si>
    <t>기금
 - 영유아사전예방적건강관리</t>
  </si>
  <si>
    <t>기금
 - 모자보건사업</t>
  </si>
  <si>
    <t>국고보조금
 - 장애인사회활동지원</t>
  </si>
  <si>
    <t>국고보조금
 - 마약중독자 치료보호비</t>
  </si>
  <si>
    <t>국고보조금
 - 생계급여</t>
  </si>
  <si>
    <t>국고보조금
 - 해산장제급여</t>
  </si>
  <si>
    <t>국고보조금
 - 읍면동 복지허브화 선도지역 방문용차량 지원(성립전)</t>
  </si>
  <si>
    <t>국고보조금
 - 장애아동가족지원</t>
  </si>
  <si>
    <t>기금
 - 조사료 생산기반 확충</t>
    <phoneticPr fontId="2" type="noConversion"/>
  </si>
  <si>
    <t>기금</t>
    <phoneticPr fontId="2" type="noConversion"/>
  </si>
  <si>
    <t xml:space="preserve">국고보조금
 - 전기자동차 보급 및 충전인프라 구축 </t>
    <phoneticPr fontId="2" type="noConversion"/>
  </si>
  <si>
    <t>국고보조금
 - 아동통합서비스지원 운영</t>
    <phoneticPr fontId="2" type="noConversion"/>
  </si>
  <si>
    <t>국비</t>
    <phoneticPr fontId="2" type="noConversion"/>
  </si>
  <si>
    <t>기금
 - 성폭력 피해자 지원사업</t>
    <phoneticPr fontId="2" type="noConversion"/>
  </si>
  <si>
    <t>국고보조금
 - 영유아보육료 지원</t>
    <phoneticPr fontId="2" type="noConversion"/>
  </si>
  <si>
    <t>국가추경 / 농림축산식품부 친환경축산팀-3514(2016.08.22)호</t>
    <phoneticPr fontId="2" type="noConversion"/>
  </si>
  <si>
    <t>조사료생산기반확충(기금/지원)
- 조사료 생산기반 확충(자치단체자본보조)</t>
    <phoneticPr fontId="2" type="noConversion"/>
  </si>
  <si>
    <t>국도비</t>
    <phoneticPr fontId="2" type="noConversion"/>
  </si>
  <si>
    <t>0608-05</t>
  </si>
  <si>
    <t>국가추경 / 보건복지부 아동권리과-5346(2016.9.1)</t>
    <phoneticPr fontId="2" type="noConversion"/>
  </si>
  <si>
    <t>국가추경 / 여성가족부 권익정책과-2861(2016.9.2)</t>
    <phoneticPr fontId="2" type="noConversion"/>
  </si>
  <si>
    <t>국가추경 / 보건복지부 보육사업기획과-7417(2016.9.3.)</t>
    <phoneticPr fontId="2" type="noConversion"/>
  </si>
  <si>
    <t>드림스타트 사업 지원(국비/지원)
- 드림스타트사업지원(자치단체경상보조금)</t>
    <phoneticPr fontId="2" type="noConversion"/>
  </si>
  <si>
    <t>성폭력방지 및 피해자 지원(기금/지원)
- 성폭력피해자 의료비 지원(자치단체경상보조금)</t>
    <phoneticPr fontId="2" type="noConversion"/>
  </si>
  <si>
    <t>1006-02</t>
  </si>
  <si>
    <t>1004-03</t>
  </si>
  <si>
    <t>1005-01</t>
  </si>
  <si>
    <t>정신요양시설 운영(국비/지원)
-정신요양시설 운영(자치단체경상보조금)</t>
  </si>
  <si>
    <t xml:space="preserve">독거노인 중증장애인 응급안전서비스(기금/지원)
-독거노인 응급안전서비스 설치(자치단체경상보조금)
</t>
  </si>
  <si>
    <t>독거노인 중증장애인 응급안전서비스(기금/지원)
-독거노인 응급안전서비스 설치(자치단체경상보조금)</t>
  </si>
  <si>
    <t>자활지원(국비/지원)
- 자활사례관리(자치단체경상보조금)</t>
  </si>
  <si>
    <t>노인돌봄서비스(국비/지원)
-노인돌봄종합서비스(자치단체경상보조금)</t>
  </si>
  <si>
    <t>의료급여 도비부담
-의료급여 도비부담금)기타회계전출금)</t>
  </si>
  <si>
    <t>노인사회활동 지원(국비/지원)
-노인사회활동 지원(자치단체경상보조금)</t>
  </si>
  <si>
    <t>난임부부 지원(기금/지원)
-난임부부 지원(자치단체경상보조금)</t>
  </si>
  <si>
    <t>영유아 사전예방적 건강관리(기금/지원)
-미숙아 및 선천성 이상아 의료비 지원(자치단체경상보조금)</t>
  </si>
  <si>
    <t>영유아 사전예방적 건강관리(기금/지원)
-선천성대사이상검사 및 환아관리(자치단체경상보조금)</t>
  </si>
  <si>
    <t>영유아 사전예방적 건강관리(기금/지원)
-신생아청각선별검사(자치단체경상보조금)</t>
  </si>
  <si>
    <t>장애인활동지원(국비/지원)
- 장애인활동지원(자치단체경상보조금)</t>
  </si>
  <si>
    <t>장애인활동지원(국비/지원)
 - 장애인활동지원(자치단체경상보조금)</t>
  </si>
  <si>
    <t>마약류중독자 치료보호(국비/직접)
- 마약류중독자 치료보호비 지원(의료및구료비)</t>
  </si>
  <si>
    <t>생계급여(국비/지원)
-생계급여, 자치단체경상보조금</t>
  </si>
  <si>
    <t>해산장제급여(국비/지원)
-해산장제급여, 자치단체경상보조금</t>
  </si>
  <si>
    <t>읍면동 복지허브화 선도지역 방문용차량 지원(국비/지원)
- 읍면동 복지허브화 선도지역 방문용차량 지원(성립전) / 자치단체등자본이전</t>
  </si>
  <si>
    <t>장애아동가족지원(국비/지원)
-장애아동 재활치료바우처(자치단체경상보조금)</t>
  </si>
  <si>
    <t>장애아동가족지원(국비/지원)
-언어발달지원 바우처(자치단체경상보조금)</t>
  </si>
  <si>
    <t xml:space="preserve">국가추경 / 보건복지부 정신건강정책과-5565(2016.8.29.)호 </t>
    <phoneticPr fontId="2" type="noConversion"/>
  </si>
  <si>
    <t>국가추경 / 보건복지부 노인정책과-6394(2016.08.29.), -독거노인응급안전알림서비스 자본보조 지원기준 확정 통보에 따른 남북부 사업량 조정
(총사업비 순 증감은 없음)</t>
    <phoneticPr fontId="2" type="noConversion"/>
  </si>
  <si>
    <t>국가추경 / 국비 변경내시 보건복지부 자립지원과-5740(2016.08.30)</t>
    <phoneticPr fontId="2" type="noConversion"/>
  </si>
  <si>
    <t>국가추경 / 보건복지부 노인정책과-6616(2016.09.03) 노인돌봄서비스변경내시(국비 328,020천원, 도비 21,087천원 증액요청)*복지부 국회 추가예산확보사업량, 시도간 비율배분</t>
    <phoneticPr fontId="2" type="noConversion"/>
  </si>
  <si>
    <t>국가추경 / 보건복지부 노인정책과-6616(2016.09.03) 노인돌봄서비스변경내시(국비 140,580천원, 도비 9,037천원 증액 요청)</t>
    <phoneticPr fontId="2" type="noConversion"/>
  </si>
  <si>
    <t>국가추경 / 일반회계에서 의료급여특별회계로 전출 / 보건복지부 기초의료보장과-7611(2016.9.5.)호</t>
    <phoneticPr fontId="2" type="noConversion"/>
  </si>
  <si>
    <t>국가추경 / 보건복지부 노인지원과-5077(2016.9.3.)호</t>
    <phoneticPr fontId="2" type="noConversion"/>
  </si>
  <si>
    <t>국가추경 / 국비 변경내시
보건복지부 출산정책과-5090(2016.09.02.)호</t>
    <phoneticPr fontId="2" type="noConversion"/>
  </si>
  <si>
    <t>국가추경 / 국비 변경내시 보건복지부 출산정책과-5090(2016.09.02.)호</t>
    <phoneticPr fontId="2" type="noConversion"/>
  </si>
  <si>
    <t>국가추경 / 보건복지부 출산정책과-5093(2016.09.02.)호</t>
    <phoneticPr fontId="2" type="noConversion"/>
  </si>
  <si>
    <t>국가추경 / 보건복지부 장애인서비스과-5024(2016.09.03.)호에 따른 예산 변경</t>
    <phoneticPr fontId="2" type="noConversion"/>
  </si>
  <si>
    <t>국가추경 / 보건복지부 정신건강정책과-5787(2016.9.2.)호</t>
    <phoneticPr fontId="2" type="noConversion"/>
  </si>
  <si>
    <t>국가추경 / 보건복지부 기초생활보장과-5904(2016.9.3.)호(3추반영)</t>
    <phoneticPr fontId="2" type="noConversion"/>
  </si>
  <si>
    <t>국가추경 / 보건복지부 기초생활보장과-5904(2016.9.3.)호</t>
    <phoneticPr fontId="2" type="noConversion"/>
  </si>
  <si>
    <t>국가추경 / 보건복지부 기초생활보장과-5904(2016.93.)호</t>
    <phoneticPr fontId="2" type="noConversion"/>
  </si>
  <si>
    <t>국가추경 / 보건복지부 지역복지과-4708(2016.9.5.)호</t>
    <phoneticPr fontId="2" type="noConversion"/>
  </si>
  <si>
    <t>국가추경 / 보건복지부 장애인서비스과-5203(2016.09.03.)호</t>
    <phoneticPr fontId="2" type="noConversion"/>
  </si>
  <si>
    <t>국가추경 / 보건복지부 장애인서비스과-4077(2016.7.19)호 및 보건복지부 장애인서비스과-5203(2016.09.03.)호에 따른 부기사업간 조정(증액)</t>
    <phoneticPr fontId="2" type="noConversion"/>
  </si>
  <si>
    <t xml:space="preserve">국가추경 / 보건복지부 장애인서비스과-5204(2016.09.03) 2016년도 장애인활동지원 국고보조금 추경에 따른 예산 변경내시 통보 반영 * 3추 최초 증감액 35,729천원 (국비 25,010/도비1,607/ 시군비 9,112)
** 3추 예결위 증감액(변경내시) 6,945,246천원 (국비 4,861,673/ 도비 312,536/ 시군비 1,771,037) </t>
    <phoneticPr fontId="2" type="noConversion"/>
  </si>
  <si>
    <t>0706-01</t>
  </si>
  <si>
    <t>남북부 조정</t>
  </si>
  <si>
    <t>0703-01</t>
  </si>
  <si>
    <t>0702-02</t>
  </si>
  <si>
    <t>0706-03</t>
  </si>
  <si>
    <t>0706-02</t>
  </si>
  <si>
    <t>0704-05</t>
  </si>
  <si>
    <t>0705-01</t>
  </si>
  <si>
    <t>0701-01</t>
  </si>
  <si>
    <t>0701-02</t>
  </si>
  <si>
    <t>0701-03</t>
  </si>
  <si>
    <t>0704-06</t>
  </si>
  <si>
    <t>국고보조금
 - 의료급여 경상보조</t>
  </si>
  <si>
    <t>기타회계전입금
 - 의료급여 도비부담금</t>
  </si>
  <si>
    <t xml:space="preserve">자치단체간부담금
 - 의료급여 시군부담금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</si>
  <si>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국가추경
보건복지부 기초의료보장과-7611(2016.9.5.)호</t>
    <phoneticPr fontId="2" type="noConversion"/>
  </si>
  <si>
    <t>의료급여(국비/직접)
- 의료급여관련 위탁수수료(공공운영비)</t>
  </si>
  <si>
    <t>의료급여(국비/직접)
- 의료급여수급권자 진료비 및 건강생활비(공기관등에대한자본적대행사업비)</t>
  </si>
  <si>
    <t>의료급여(국비/지원)
- 시군 의료급여사업 지원(자치단체경상보조금)</t>
  </si>
  <si>
    <t>인건비(국비/직접)
-의료급여관리사 인건비(국비/직접)</t>
  </si>
  <si>
    <t>국가지원
보건복지부 기초의료보장과-7611(2016.9.5.)호</t>
    <phoneticPr fontId="2" type="noConversion"/>
  </si>
  <si>
    <t>법정 부담금(자체/직접)
-교육재정부담금</t>
    <phoneticPr fontId="2" type="noConversion"/>
  </si>
  <si>
    <t>경기문화재단 운영(자체/직접)
- 경기문화재단 운영</t>
    <phoneticPr fontId="2" type="noConversion"/>
  </si>
  <si>
    <t>평택항 개항 30주년 기념사업(자체/직접)
- 평택항 개항 30주년 기념사업</t>
    <phoneticPr fontId="2" type="noConversion"/>
  </si>
  <si>
    <t>신규</t>
    <phoneticPr fontId="2" type="noConversion"/>
  </si>
  <si>
    <t>예비비(자체/직접)
- 내부유보금</t>
    <phoneticPr fontId="2" type="noConversion"/>
  </si>
  <si>
    <t>농정해양국</t>
    <phoneticPr fontId="2" type="noConversion"/>
  </si>
  <si>
    <t>친환경농업과</t>
    <phoneticPr fontId="2" type="noConversion"/>
  </si>
  <si>
    <t>3회추경</t>
    <phoneticPr fontId="2" type="noConversion"/>
  </si>
  <si>
    <t>국고보조금
 - 한발대비용수개발</t>
    <phoneticPr fontId="2" type="noConversion"/>
  </si>
  <si>
    <t>국비</t>
    <phoneticPr fontId="2" type="noConversion"/>
  </si>
  <si>
    <t>농정해양위원회</t>
    <phoneticPr fontId="2" type="noConversion"/>
  </si>
  <si>
    <t>한발대비용수개발(국비/지원)
- 한발대비용수개발(자치단체자본보조)</t>
    <phoneticPr fontId="2" type="noConversion"/>
  </si>
  <si>
    <t>국도비</t>
    <phoneticPr fontId="2" type="noConversion"/>
  </si>
  <si>
    <t>0604-01</t>
    <phoneticPr fontId="2" type="noConversion"/>
  </si>
  <si>
    <t>기획재정위원회</t>
    <phoneticPr fontId="2" type="noConversion"/>
  </si>
  <si>
    <t>기획조정실</t>
    <phoneticPr fontId="2" type="noConversion"/>
  </si>
  <si>
    <t>예산담당관</t>
    <phoneticPr fontId="2" type="noConversion"/>
  </si>
  <si>
    <t>보통교부세
 - 보통교부세</t>
    <phoneticPr fontId="2" type="noConversion"/>
  </si>
  <si>
    <t>국가추경 / 행정자치부 교부세-1704(2016.9.5)</t>
    <phoneticPr fontId="2" type="noConversion"/>
  </si>
  <si>
    <t>도비</t>
    <phoneticPr fontId="2" type="noConversion"/>
  </si>
  <si>
    <t>공정경제과</t>
    <phoneticPr fontId="2" type="noConversion"/>
  </si>
  <si>
    <t>과학기술과</t>
    <phoneticPr fontId="2" type="noConversion"/>
  </si>
  <si>
    <t>본예산</t>
    <phoneticPr fontId="2" type="noConversion"/>
  </si>
  <si>
    <t>세입없음</t>
    <phoneticPr fontId="2" type="noConversion"/>
  </si>
  <si>
    <t>소상공인지원자금 이차보전금
- 소상공인지원자금 이차보전금</t>
    <phoneticPr fontId="2" type="noConversion"/>
  </si>
  <si>
    <t>지식재산권 육성 지원(자체/직접)
- 특허 브랜드 디자인 융합 개발 지원</t>
    <phoneticPr fontId="2" type="noConversion"/>
  </si>
  <si>
    <t>예비비(자체/직접)
- 예비비</t>
  </si>
  <si>
    <t>45대 6,750백만원</t>
    <phoneticPr fontId="2" type="noConversion"/>
  </si>
  <si>
    <t>자치행정과</t>
    <phoneticPr fontId="2" type="noConversion"/>
  </si>
  <si>
    <t>미술품거래소 운영(자체/직접)
- 미술품거래소 운영</t>
    <phoneticPr fontId="2" type="noConversion"/>
  </si>
  <si>
    <t>대한적십자사 경기지사 지원(자체/직접)
- 경기도 적십자 봉사원 대회 지원</t>
    <phoneticPr fontId="2" type="noConversion"/>
  </si>
  <si>
    <t>총무과</t>
    <phoneticPr fontId="2" type="noConversion"/>
  </si>
  <si>
    <t>교육협력국</t>
    <phoneticPr fontId="2" type="noConversion"/>
  </si>
  <si>
    <t>도민참여 프로그램 운영(자체/직접)
- 도민참여 프로그램 운영</t>
    <phoneticPr fontId="2" type="noConversion"/>
  </si>
  <si>
    <t>도비</t>
    <phoneticPr fontId="2" type="noConversion"/>
  </si>
  <si>
    <t>교육비특별회계 전출금(교육재정부담금) 감액분</t>
    <phoneticPr fontId="2" type="noConversion"/>
  </si>
  <si>
    <t>비고(부대의견)</t>
    <phoneticPr fontId="2" type="noConversion"/>
  </si>
  <si>
    <t>비고(부대의견)</t>
    <phoneticPr fontId="6" type="noConversion"/>
  </si>
  <si>
    <t>(부대의견)특정단체에 예산이 편중되지 않도록 집행할 것</t>
    <phoneticPr fontId="2" type="noConversion"/>
  </si>
  <si>
    <r>
      <t xml:space="preserve">과목경정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color theme="1"/>
        <rFont val="맑은 고딕"/>
        <family val="3"/>
        <charset val="129"/>
        <scheme val="major"/>
      </rPr>
      <t>(국고보조금에서 기금으로 목 변경)</t>
    </r>
    <phoneticPr fontId="2" type="noConversion"/>
  </si>
  <si>
    <t>2016년도 제3회 일반회계 및 특별회계 추가경정 세입·세출 예산안</t>
    <phoneticPr fontId="6" type="noConversion"/>
  </si>
  <si>
    <t>경기도형 마이크로크레딧 운영(자체/직접)
- 마이크로크레딧 운영지원</t>
    <phoneticPr fontId="2" type="noConversion"/>
  </si>
  <si>
    <t>농림축산식품부 농업기반과-3824(2016.9.2)호</t>
    <phoneticPr fontId="2" type="noConversion"/>
  </si>
  <si>
    <t>시군 읍면동 복지허브화 확산 지원(자체/지원)
- 시군 읍면동 복지허브화 확산 지원</t>
    <phoneticPr fontId="2" type="noConversion"/>
  </si>
  <si>
    <t>장애인 활동지원(국비/지원)
- 장애인활동지원</t>
    <phoneticPr fontId="2" type="noConversion"/>
  </si>
  <si>
    <t>장애인활동지원(국비/지원)
- 장애인활동지원</t>
    <phoneticPr fontId="2" type="noConversion"/>
  </si>
  <si>
    <t>본예산</t>
    <phoneticPr fontId="2" type="noConversion"/>
  </si>
  <si>
    <t>3회추경</t>
    <phoneticPr fontId="2" type="noConversion"/>
  </si>
  <si>
    <t>여성비전센터</t>
    <phoneticPr fontId="2" type="noConversion"/>
  </si>
  <si>
    <t>영유아보육료 (국비/지원)
- 영육아보육료 지원(자치단체경상보조)</t>
    <phoneticPr fontId="2" type="noConversion"/>
  </si>
  <si>
    <t>영유아보육료 지원(국비/지원)
- 영육아보육료(자치단체경상보조)</t>
    <phoneticPr fontId="2" type="noConversion"/>
  </si>
  <si>
    <t>오탈자 수정
-&gt; "지원" 삭제</t>
    <phoneticPr fontId="2" type="noConversion"/>
  </si>
  <si>
    <t>오탈자수정
-&gt; 부서명 변경</t>
    <phoneticPr fontId="2" type="noConversion"/>
  </si>
  <si>
    <t>오탈자 수정
-&gt; 통계목 삭제</t>
    <phoneticPr fontId="2" type="noConversion"/>
  </si>
  <si>
    <t>오탈자 수정)
-&gt; 부기명 세부사업명과 동일하게 기재</t>
    <phoneticPr fontId="2" type="noConversion"/>
  </si>
  <si>
    <t>국비내시</t>
    <phoneticPr fontId="2" type="noConversion"/>
  </si>
  <si>
    <t>국민안전처 특별교부세 교부결정  국민안전처 예방총괄과-4631(2016.8.10.)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</si>
</sst>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&quot;건&quot;;[Red]&quot;△&quot;#,##0&quot;건&quot;"/>
    <numFmt numFmtId="184" formatCode="#,##0;[Red]\▲#,##0"/>
  </numFmts>
  <fonts count="1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sz val="10"/>
      <color theme="0"/>
      <name val="맑은 고딕"/>
      <family val="2"/>
      <charset val="129"/>
      <scheme val="minor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rgb="FF0000CC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8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22"/>
      <color rgb="FF0000FF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sz val="10"/>
      <color theme="0"/>
      <name val="맑은 고딕"/>
      <family val="3"/>
      <charset val="129"/>
      <scheme val="minor"/>
    </font>
    <font>
      <b/>
      <sz val="12"/>
      <color indexed="8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0000CC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6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7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50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1" borderId="1" applyNumberForma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0" fillId="22" borderId="2" applyNumberFormat="0" applyFon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4" borderId="3" applyNumberFormat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8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21" borderId="9" applyNumberFormat="0" applyAlignment="0" applyProtection="0">
      <alignment vertical="center"/>
    </xf>
    <xf numFmtId="0" fontId="35" fillId="0" borderId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36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0" fontId="37" fillId="0" borderId="0" applyFont="0" applyFill="0" applyBorder="0" applyAlignment="0" applyProtection="0"/>
    <xf numFmtId="181" fontId="10" fillId="0" borderId="0" applyFont="0" applyFill="0" applyBorder="0" applyAlignment="0" applyProtection="0"/>
    <xf numFmtId="38" fontId="38" fillId="21" borderId="0" applyNumberFormat="0" applyBorder="0" applyAlignment="0" applyProtection="0"/>
    <xf numFmtId="0" fontId="39" fillId="0" borderId="17" applyNumberFormat="0" applyAlignment="0" applyProtection="0">
      <alignment horizontal="left" vertical="center"/>
    </xf>
    <xf numFmtId="0" fontId="39" fillId="0" borderId="16">
      <alignment horizontal="left" vertical="center"/>
    </xf>
    <xf numFmtId="10" fontId="38" fillId="22" borderId="10" applyNumberFormat="0" applyBorder="0" applyAlignment="0" applyProtection="0"/>
    <xf numFmtId="181" fontId="10" fillId="0" borderId="0"/>
    <xf numFmtId="0" fontId="40" fillId="0" borderId="0"/>
    <xf numFmtId="10" fontId="40" fillId="0" borderId="0" applyFont="0" applyFill="0" applyBorder="0" applyAlignment="0" applyProtection="0"/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9" fontId="57" fillId="0" borderId="0" applyFont="0" applyFill="0" applyAlignment="0" applyProtection="0"/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18" fillId="49" borderId="3" applyNumberFormat="0" applyAlignment="0" applyProtection="0">
      <alignment vertical="center"/>
    </xf>
    <xf numFmtId="182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27" fillId="46" borderId="9" applyNumberFormat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/>
    <xf numFmtId="181" fontId="10" fillId="0" borderId="0"/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1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43" borderId="0" applyNumberFormat="0" applyBorder="0" applyAlignment="0" applyProtection="0">
      <alignment vertical="center"/>
    </xf>
    <xf numFmtId="0" fontId="12" fillId="44" borderId="0" applyNumberFormat="0" applyBorder="0" applyAlignment="0" applyProtection="0">
      <alignment vertical="center"/>
    </xf>
    <xf numFmtId="0" fontId="12" fillId="39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45" borderId="0" applyNumberFormat="0" applyBorder="0" applyAlignment="0" applyProtection="0">
      <alignment vertical="center"/>
    </xf>
    <xf numFmtId="0" fontId="14" fillId="46" borderId="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0" fillId="47" borderId="2" applyNumberFormat="0" applyFont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8" fillId="49" borderId="3" applyNumberFormat="0" applyAlignment="0" applyProtection="0">
      <alignment vertical="center"/>
    </xf>
    <xf numFmtId="0" fontId="21" fillId="33" borderId="1" applyNumberFormat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46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40" fillId="0" borderId="0" applyNumberFormat="0" applyFont="0" applyFill="0" applyBorder="0" applyAlignment="0" applyProtection="0"/>
    <xf numFmtId="0" fontId="79" fillId="0" borderId="0">
      <alignment vertical="center"/>
    </xf>
    <xf numFmtId="0" fontId="40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631">
    <xf numFmtId="0" fontId="0" fillId="0" borderId="0" xfId="0">
      <alignment vertical="center"/>
    </xf>
    <xf numFmtId="0" fontId="10" fillId="0" borderId="0" xfId="2"/>
    <xf numFmtId="0" fontId="28" fillId="0" borderId="0" xfId="2" applyNumberFormat="1" applyFont="1" applyAlignment="1">
      <alignment horizontal="centerContinuous"/>
    </xf>
    <xf numFmtId="0" fontId="29" fillId="0" borderId="0" xfId="2" applyNumberFormat="1" applyFont="1" applyAlignment="1">
      <alignment horizontal="centerContinuous"/>
    </xf>
    <xf numFmtId="0" fontId="30" fillId="0" borderId="0" xfId="2" applyFont="1" applyAlignment="1">
      <alignment horizontal="centerContinuous"/>
    </xf>
    <xf numFmtId="0" fontId="29" fillId="0" borderId="0" xfId="2" applyFont="1" applyAlignment="1">
      <alignment horizontal="centerContinuous"/>
    </xf>
    <xf numFmtId="0" fontId="28" fillId="0" borderId="0" xfId="2" applyFont="1" applyAlignment="1">
      <alignment horizontal="left"/>
    </xf>
    <xf numFmtId="0" fontId="31" fillId="0" borderId="0" xfId="2" applyNumberFormat="1" applyFont="1" applyAlignment="1">
      <alignment horizontal="centerContinuous"/>
    </xf>
    <xf numFmtId="0" fontId="10" fillId="0" borderId="0" xfId="2" applyNumberFormat="1" applyAlignment="1">
      <alignment horizontal="centerContinuous"/>
    </xf>
    <xf numFmtId="0" fontId="32" fillId="0" borderId="0" xfId="2" applyNumberFormat="1" applyFont="1" applyAlignment="1">
      <alignment horizontal="centerContinuous"/>
    </xf>
    <xf numFmtId="0" fontId="34" fillId="0" borderId="0" xfId="2" applyFont="1"/>
    <xf numFmtId="176" fontId="3" fillId="0" borderId="0" xfId="0" applyNumberFormat="1" applyFont="1" applyAlignment="1">
      <alignment horizontal="center" vertical="center"/>
    </xf>
    <xf numFmtId="176" fontId="48" fillId="0" borderId="0" xfId="45" applyNumberFormat="1" applyFont="1" applyFill="1" applyBorder="1" applyAlignment="1">
      <alignment horizontal="right" vertical="center" shrinkToFit="1"/>
    </xf>
    <xf numFmtId="176" fontId="48" fillId="0" borderId="0" xfId="45" applyNumberFormat="1" applyFont="1" applyFill="1" applyBorder="1" applyAlignment="1">
      <alignment horizontal="center" vertical="center" shrinkToFit="1"/>
    </xf>
    <xf numFmtId="176" fontId="29" fillId="0" borderId="0" xfId="2" applyNumberFormat="1" applyFont="1" applyAlignment="1">
      <alignment vertical="center"/>
    </xf>
    <xf numFmtId="176" fontId="56" fillId="0" borderId="0" xfId="2" applyNumberFormat="1" applyFont="1" applyAlignment="1">
      <alignment vertical="center"/>
    </xf>
    <xf numFmtId="176" fontId="48" fillId="0" borderId="10" xfId="45" applyNumberFormat="1" applyFont="1" applyFill="1" applyBorder="1" applyAlignment="1">
      <alignment horizontal="right" vertical="center" shrinkToFit="1"/>
    </xf>
    <xf numFmtId="176" fontId="48" fillId="0" borderId="37" xfId="45" applyNumberFormat="1" applyFont="1" applyFill="1" applyBorder="1" applyAlignment="1">
      <alignment horizontal="right" vertical="center" shrinkToFit="1"/>
    </xf>
    <xf numFmtId="176" fontId="65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67" fillId="0" borderId="0" xfId="0" applyNumberFormat="1" applyFont="1" applyAlignment="1">
      <alignment horizontal="center" vertical="center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0" fillId="0" borderId="0" xfId="0" applyNumberFormat="1">
      <alignment vertical="center"/>
    </xf>
    <xf numFmtId="176" fontId="66" fillId="51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176" fontId="66" fillId="52" borderId="10" xfId="0" applyNumberFormat="1" applyFont="1" applyFill="1" applyBorder="1" applyAlignment="1">
      <alignment horizontal="center" vertical="center"/>
    </xf>
    <xf numFmtId="176" fontId="3" fillId="0" borderId="0" xfId="0" applyNumberFormat="1" applyFont="1">
      <alignment vertical="center"/>
    </xf>
    <xf numFmtId="176" fontId="66" fillId="51" borderId="10" xfId="1" applyNumberFormat="1" applyFont="1" applyFill="1" applyBorder="1" applyAlignment="1">
      <alignment horizontal="right" vertical="center"/>
    </xf>
    <xf numFmtId="176" fontId="66" fillId="52" borderId="10" xfId="1" applyNumberFormat="1" applyFont="1" applyFill="1" applyBorder="1" applyAlignment="1">
      <alignment horizontal="right" vertical="center"/>
    </xf>
    <xf numFmtId="176" fontId="73" fillId="0" borderId="10" xfId="0" applyNumberFormat="1" applyFont="1" applyBorder="1" applyAlignment="1">
      <alignment horizontal="center" vertical="center"/>
    </xf>
    <xf numFmtId="176" fontId="73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74" fillId="0" borderId="0" xfId="0" applyNumberFormat="1" applyFont="1">
      <alignment vertical="center"/>
    </xf>
    <xf numFmtId="176" fontId="74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75" fillId="0" borderId="0" xfId="0" applyNumberFormat="1" applyFont="1">
      <alignment vertical="center"/>
    </xf>
    <xf numFmtId="176" fontId="66" fillId="0" borderId="10" xfId="0" applyNumberFormat="1" applyFont="1" applyFill="1" applyBorder="1" applyAlignment="1">
      <alignment horizontal="center" vertical="center"/>
    </xf>
    <xf numFmtId="176" fontId="66" fillId="0" borderId="10" xfId="1" applyNumberFormat="1" applyFont="1" applyFill="1" applyBorder="1" applyAlignment="1">
      <alignment horizontal="right" vertical="center"/>
    </xf>
    <xf numFmtId="176" fontId="65" fillId="0" borderId="0" xfId="0" applyNumberFormat="1" applyFont="1" applyFill="1">
      <alignment vertical="center"/>
    </xf>
    <xf numFmtId="176" fontId="68" fillId="0" borderId="0" xfId="0" applyNumberFormat="1" applyFont="1" applyAlignment="1">
      <alignment vertical="center"/>
    </xf>
    <xf numFmtId="176" fontId="76" fillId="0" borderId="0" xfId="2" applyNumberFormat="1" applyFont="1"/>
    <xf numFmtId="176" fontId="45" fillId="0" borderId="10" xfId="2" applyNumberFormat="1" applyFont="1" applyBorder="1" applyAlignment="1">
      <alignment horizontal="center" vertical="center"/>
    </xf>
    <xf numFmtId="176" fontId="45" fillId="0" borderId="25" xfId="2" applyNumberFormat="1" applyFont="1" applyBorder="1" applyAlignment="1">
      <alignment horizontal="center" vertical="center"/>
    </xf>
    <xf numFmtId="176" fontId="45" fillId="0" borderId="0" xfId="2" applyNumberFormat="1" applyFont="1"/>
    <xf numFmtId="176" fontId="7" fillId="0" borderId="0" xfId="0" applyNumberFormat="1" applyFont="1" applyAlignment="1">
      <alignment horizontal="right" vertical="center"/>
    </xf>
    <xf numFmtId="183" fontId="67" fillId="0" borderId="18" xfId="0" applyNumberFormat="1" applyFont="1" applyBorder="1" applyAlignment="1">
      <alignment horizontal="center" vertical="center"/>
    </xf>
    <xf numFmtId="176" fontId="67" fillId="53" borderId="10" xfId="0" applyNumberFormat="1" applyFont="1" applyFill="1" applyBorder="1" applyAlignment="1">
      <alignment horizontal="center" vertical="center"/>
    </xf>
    <xf numFmtId="176" fontId="44" fillId="0" borderId="0" xfId="2" applyNumberFormat="1" applyFont="1"/>
    <xf numFmtId="176" fontId="43" fillId="0" borderId="0" xfId="2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6" fillId="0" borderId="0" xfId="2" applyNumberFormat="1" applyFont="1" applyAlignment="1">
      <alignment vertical="center"/>
    </xf>
    <xf numFmtId="176" fontId="46" fillId="0" borderId="0" xfId="2" applyNumberFormat="1" applyFont="1" applyAlignment="1"/>
    <xf numFmtId="176" fontId="47" fillId="0" borderId="0" xfId="2" applyNumberFormat="1" applyFont="1" applyAlignment="1">
      <alignment vertical="center"/>
    </xf>
    <xf numFmtId="176" fontId="45" fillId="0" borderId="0" xfId="2" applyNumberFormat="1" applyFont="1" applyAlignment="1">
      <alignment vertical="center"/>
    </xf>
    <xf numFmtId="176" fontId="45" fillId="0" borderId="0" xfId="2" applyNumberFormat="1" applyFont="1" applyAlignment="1">
      <alignment horizontal="right" vertical="center"/>
    </xf>
    <xf numFmtId="176" fontId="44" fillId="0" borderId="0" xfId="2" applyNumberFormat="1" applyFont="1" applyAlignment="1">
      <alignment vertical="center"/>
    </xf>
    <xf numFmtId="176" fontId="44" fillId="0" borderId="18" xfId="2" applyNumberFormat="1" applyFont="1" applyBorder="1" applyAlignment="1">
      <alignment vertical="center"/>
    </xf>
    <xf numFmtId="176" fontId="45" fillId="27" borderId="10" xfId="2" applyNumberFormat="1" applyFont="1" applyFill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14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 wrapText="1"/>
    </xf>
    <xf numFmtId="176" fontId="44" fillId="0" borderId="10" xfId="2" applyNumberFormat="1" applyFont="1" applyBorder="1" applyAlignment="1">
      <alignment horizontal="center" vertical="center" wrapText="1"/>
    </xf>
    <xf numFmtId="176" fontId="44" fillId="0" borderId="34" xfId="2" applyNumberFormat="1" applyFont="1" applyBorder="1" applyAlignment="1">
      <alignment horizontal="center" vertical="center"/>
    </xf>
    <xf numFmtId="176" fontId="44" fillId="0" borderId="10" xfId="45" applyNumberFormat="1" applyFont="1" applyBorder="1" applyAlignment="1">
      <alignment horizontal="right" vertical="center"/>
    </xf>
    <xf numFmtId="176" fontId="44" fillId="0" borderId="35" xfId="45" applyNumberFormat="1" applyFont="1" applyBorder="1" applyAlignment="1">
      <alignment horizontal="right" vertical="center"/>
    </xf>
    <xf numFmtId="176" fontId="49" fillId="27" borderId="15" xfId="2" applyNumberFormat="1" applyFont="1" applyFill="1" applyBorder="1" applyAlignment="1">
      <alignment horizontal="right" vertical="center"/>
    </xf>
    <xf numFmtId="176" fontId="44" fillId="0" borderId="14" xfId="2" applyNumberFormat="1" applyFont="1" applyBorder="1" applyAlignment="1">
      <alignment horizontal="right" vertical="center"/>
    </xf>
    <xf numFmtId="176" fontId="50" fillId="0" borderId="27" xfId="2" applyNumberFormat="1" applyFont="1" applyBorder="1" applyAlignment="1">
      <alignment vertical="center"/>
    </xf>
    <xf numFmtId="176" fontId="51" fillId="12" borderId="28" xfId="2" applyNumberFormat="1" applyFont="1" applyFill="1" applyBorder="1" applyAlignment="1">
      <alignment vertical="center" wrapText="1"/>
    </xf>
    <xf numFmtId="176" fontId="49" fillId="0" borderId="15" xfId="45" applyNumberFormat="1" applyFont="1" applyBorder="1" applyAlignment="1">
      <alignment vertical="center"/>
    </xf>
    <xf numFmtId="176" fontId="44" fillId="0" borderId="10" xfId="45" applyNumberFormat="1" applyFont="1" applyBorder="1" applyAlignment="1">
      <alignment vertical="center"/>
    </xf>
    <xf numFmtId="176" fontId="44" fillId="0" borderId="10" xfId="2" applyNumberFormat="1" applyFont="1" applyBorder="1" applyAlignment="1">
      <alignment vertical="center"/>
    </xf>
    <xf numFmtId="176" fontId="44" fillId="0" borderId="34" xfId="2" applyNumberFormat="1" applyFont="1" applyBorder="1" applyAlignment="1">
      <alignment horizontal="center" vertical="center" wrapText="1"/>
    </xf>
    <xf numFmtId="176" fontId="49" fillId="27" borderId="16" xfId="2" applyNumberFormat="1" applyFont="1" applyFill="1" applyBorder="1" applyAlignment="1">
      <alignment vertical="center"/>
    </xf>
    <xf numFmtId="176" fontId="44" fillId="0" borderId="16" xfId="2" applyNumberFormat="1" applyFont="1" applyBorder="1" applyAlignment="1">
      <alignment horizontal="center" vertical="center"/>
    </xf>
    <xf numFmtId="176" fontId="50" fillId="0" borderId="0" xfId="2" applyNumberFormat="1" applyFont="1" applyBorder="1" applyAlignment="1">
      <alignment vertical="center"/>
    </xf>
    <xf numFmtId="176" fontId="51" fillId="12" borderId="0" xfId="2" applyNumberFormat="1" applyFont="1" applyFill="1" applyBorder="1" applyAlignment="1">
      <alignment vertical="center" wrapText="1"/>
    </xf>
    <xf numFmtId="176" fontId="49" fillId="0" borderId="0" xfId="45" applyNumberFormat="1" applyFont="1" applyBorder="1" applyAlignment="1">
      <alignment vertical="center"/>
    </xf>
    <xf numFmtId="176" fontId="44" fillId="0" borderId="0" xfId="45" applyNumberFormat="1" applyFont="1" applyBorder="1" applyAlignment="1">
      <alignment vertical="center"/>
    </xf>
    <xf numFmtId="176" fontId="44" fillId="0" borderId="0" xfId="2" applyNumberFormat="1" applyFont="1" applyBorder="1" applyAlignment="1">
      <alignment vertical="center"/>
    </xf>
    <xf numFmtId="176" fontId="44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Border="1" applyAlignment="1">
      <alignment horizontal="right" vertical="center"/>
    </xf>
    <xf numFmtId="176" fontId="44" fillId="0" borderId="36" xfId="2" applyNumberFormat="1" applyFont="1" applyBorder="1" applyAlignment="1">
      <alignment horizontal="center" vertical="center"/>
    </xf>
    <xf numFmtId="176" fontId="53" fillId="0" borderId="15" xfId="2" applyNumberFormat="1" applyFont="1" applyBorder="1" applyAlignment="1">
      <alignment horizontal="right" vertical="center" wrapText="1"/>
    </xf>
    <xf numFmtId="176" fontId="53" fillId="0" borderId="10" xfId="2" applyNumberFormat="1" applyFont="1" applyBorder="1" applyAlignment="1">
      <alignment horizontal="right" vertical="center" wrapText="1"/>
    </xf>
    <xf numFmtId="176" fontId="52" fillId="8" borderId="29" xfId="2" applyNumberFormat="1" applyFont="1" applyFill="1" applyBorder="1" applyAlignment="1">
      <alignment vertical="center"/>
    </xf>
    <xf numFmtId="176" fontId="44" fillId="0" borderId="0" xfId="2" applyNumberFormat="1" applyFont="1" applyAlignment="1">
      <alignment horizontal="center" wrapText="1"/>
    </xf>
    <xf numFmtId="176" fontId="44" fillId="0" borderId="0" xfId="2" applyNumberFormat="1" applyFont="1" applyAlignment="1">
      <alignment wrapText="1"/>
    </xf>
    <xf numFmtId="176" fontId="60" fillId="0" borderId="0" xfId="2" applyNumberFormat="1" applyFont="1"/>
    <xf numFmtId="176" fontId="50" fillId="0" borderId="0" xfId="2" applyNumberFormat="1" applyFont="1" applyAlignment="1">
      <alignment wrapText="1"/>
    </xf>
    <xf numFmtId="176" fontId="44" fillId="0" borderId="10" xfId="45" applyNumberFormat="1" applyFont="1" applyFill="1" applyBorder="1" applyAlignment="1">
      <alignment horizontal="right" vertical="center"/>
    </xf>
    <xf numFmtId="176" fontId="44" fillId="0" borderId="0" xfId="2" applyNumberFormat="1" applyFont="1" applyFill="1"/>
    <xf numFmtId="176" fontId="45" fillId="0" borderId="0" xfId="2" applyNumberFormat="1" applyFont="1" applyFill="1"/>
    <xf numFmtId="176" fontId="52" fillId="0" borderId="34" xfId="2" applyNumberFormat="1" applyFont="1" applyFill="1" applyBorder="1" applyAlignment="1">
      <alignment horizontal="center" vertical="center"/>
    </xf>
    <xf numFmtId="176" fontId="52" fillId="0" borderId="10" xfId="45" applyNumberFormat="1" applyFont="1" applyFill="1" applyBorder="1" applyAlignment="1">
      <alignment horizontal="right" vertical="center"/>
    </xf>
    <xf numFmtId="176" fontId="52" fillId="0" borderId="0" xfId="2" applyNumberFormat="1" applyFont="1" applyFill="1"/>
    <xf numFmtId="176" fontId="54" fillId="0" borderId="0" xfId="2" applyNumberFormat="1" applyFont="1" applyFill="1"/>
    <xf numFmtId="176" fontId="44" fillId="0" borderId="27" xfId="2" applyNumberFormat="1" applyFont="1" applyFill="1" applyBorder="1" applyAlignment="1">
      <alignment horizontal="center" vertical="center"/>
    </xf>
    <xf numFmtId="176" fontId="44" fillId="0" borderId="37" xfId="45" applyNumberFormat="1" applyFont="1" applyFill="1" applyBorder="1" applyAlignment="1">
      <alignment horizontal="right" vertical="center"/>
    </xf>
    <xf numFmtId="176" fontId="44" fillId="0" borderId="28" xfId="45" applyNumberFormat="1" applyFont="1" applyBorder="1" applyAlignment="1">
      <alignment horizontal="right" vertical="center"/>
    </xf>
    <xf numFmtId="176" fontId="46" fillId="0" borderId="0" xfId="2" applyNumberFormat="1" applyFont="1" applyAlignment="1">
      <alignment horizontal="left" vertical="center"/>
    </xf>
    <xf numFmtId="176" fontId="46" fillId="0" borderId="0" xfId="2" applyNumberFormat="1" applyFont="1" applyAlignment="1">
      <alignment horizontal="right" vertical="center"/>
    </xf>
    <xf numFmtId="176" fontId="44" fillId="0" borderId="27" xfId="2" applyNumberFormat="1" applyFont="1" applyBorder="1" applyAlignment="1">
      <alignment horizontal="center" vertical="center"/>
    </xf>
    <xf numFmtId="176" fontId="44" fillId="0" borderId="37" xfId="45" applyNumberFormat="1" applyFont="1" applyBorder="1" applyAlignment="1">
      <alignment horizontal="right" vertical="center"/>
    </xf>
    <xf numFmtId="176" fontId="55" fillId="0" borderId="30" xfId="2" applyNumberFormat="1" applyFont="1" applyFill="1" applyBorder="1" applyAlignment="1"/>
    <xf numFmtId="176" fontId="45" fillId="0" borderId="10" xfId="2" applyNumberFormat="1" applyFont="1" applyBorder="1" applyAlignment="1">
      <alignment horizontal="center"/>
    </xf>
    <xf numFmtId="176" fontId="5" fillId="0" borderId="10" xfId="2" applyNumberFormat="1" applyFont="1" applyFill="1" applyBorder="1" applyAlignment="1">
      <alignment horizontal="center"/>
    </xf>
    <xf numFmtId="176" fontId="55" fillId="0" borderId="13" xfId="2" applyNumberFormat="1" applyFont="1" applyFill="1" applyBorder="1" applyAlignment="1"/>
    <xf numFmtId="176" fontId="61" fillId="53" borderId="10" xfId="2" applyNumberFormat="1" applyFont="1" applyFill="1" applyBorder="1" applyAlignment="1"/>
    <xf numFmtId="176" fontId="61" fillId="0" borderId="10" xfId="2" applyNumberFormat="1" applyFont="1" applyFill="1" applyBorder="1" applyAlignment="1"/>
    <xf numFmtId="176" fontId="5" fillId="0" borderId="13" xfId="2" applyNumberFormat="1" applyFont="1" applyFill="1" applyBorder="1" applyAlignment="1"/>
    <xf numFmtId="176" fontId="44" fillId="26" borderId="0" xfId="2" applyNumberFormat="1" applyFont="1" applyFill="1"/>
    <xf numFmtId="176" fontId="46" fillId="0" borderId="0" xfId="2" applyNumberFormat="1" applyFont="1"/>
    <xf numFmtId="184" fontId="80" fillId="53" borderId="10" xfId="195" applyNumberFormat="1" applyFont="1" applyFill="1" applyBorder="1" applyAlignment="1">
      <alignment horizontal="center" vertical="center" wrapText="1"/>
    </xf>
    <xf numFmtId="0" fontId="81" fillId="0" borderId="0" xfId="0" applyFont="1">
      <alignment vertical="center"/>
    </xf>
    <xf numFmtId="184" fontId="80" fillId="55" borderId="10" xfId="195" applyNumberFormat="1" applyFont="1" applyFill="1" applyBorder="1" applyAlignment="1">
      <alignment horizontal="center" vertical="center" wrapText="1"/>
    </xf>
    <xf numFmtId="49" fontId="80" fillId="55" borderId="10" xfId="195" applyNumberFormat="1" applyFont="1" applyFill="1" applyBorder="1" applyAlignment="1">
      <alignment horizontal="center" vertical="center" wrapText="1"/>
    </xf>
    <xf numFmtId="49" fontId="81" fillId="0" borderId="0" xfId="0" applyNumberFormat="1" applyFont="1" applyAlignment="1">
      <alignment horizontal="center" vertical="center"/>
    </xf>
    <xf numFmtId="0" fontId="81" fillId="0" borderId="0" xfId="0" applyFont="1" applyAlignment="1">
      <alignment horizontal="center" vertical="center"/>
    </xf>
    <xf numFmtId="176" fontId="4" fillId="0" borderId="43" xfId="1" applyNumberFormat="1" applyFont="1" applyBorder="1" applyAlignment="1" applyProtection="1">
      <alignment horizontal="right" vertical="center" shrinkToFit="1"/>
      <protection locked="0"/>
    </xf>
    <xf numFmtId="176" fontId="67" fillId="54" borderId="10" xfId="0" applyNumberFormat="1" applyFont="1" applyFill="1" applyBorder="1" applyAlignment="1">
      <alignment vertical="center"/>
    </xf>
    <xf numFmtId="176" fontId="84" fillId="0" borderId="10" xfId="2" applyNumberFormat="1" applyFont="1" applyFill="1" applyBorder="1" applyAlignment="1"/>
    <xf numFmtId="176" fontId="10" fillId="0" borderId="10" xfId="2" applyNumberFormat="1" applyFont="1" applyFill="1" applyBorder="1" applyAlignment="1"/>
    <xf numFmtId="176" fontId="84" fillId="0" borderId="10" xfId="2" applyNumberFormat="1" applyFont="1" applyFill="1" applyBorder="1" applyAlignment="1">
      <alignment horizontal="center" vertical="center"/>
    </xf>
    <xf numFmtId="176" fontId="10" fillId="53" borderId="10" xfId="2" applyNumberFormat="1" applyFont="1" applyFill="1" applyBorder="1" applyAlignment="1"/>
    <xf numFmtId="176" fontId="10" fillId="53" borderId="10" xfId="2" applyNumberFormat="1" applyFont="1" applyFill="1" applyBorder="1"/>
    <xf numFmtId="176" fontId="85" fillId="0" borderId="10" xfId="2" applyNumberFormat="1" applyFont="1" applyFill="1" applyBorder="1" applyAlignment="1">
      <alignment horizontal="center" vertical="center"/>
    </xf>
    <xf numFmtId="176" fontId="10" fillId="0" borderId="10" xfId="2" applyNumberFormat="1" applyFont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vertical="center"/>
    </xf>
    <xf numFmtId="176" fontId="10" fillId="53" borderId="10" xfId="2" applyNumberFormat="1" applyFont="1" applyFill="1" applyBorder="1" applyAlignment="1">
      <alignment vertical="center"/>
    </xf>
    <xf numFmtId="0" fontId="81" fillId="0" borderId="0" xfId="0" applyFont="1" applyAlignment="1">
      <alignment vertical="center" wrapText="1"/>
    </xf>
    <xf numFmtId="176" fontId="66" fillId="52" borderId="10" xfId="0" applyNumberFormat="1" applyFont="1" applyFill="1" applyBorder="1" applyAlignment="1">
      <alignment horizontal="right" vertical="center"/>
    </xf>
    <xf numFmtId="176" fontId="66" fillId="51" borderId="10" xfId="0" applyNumberFormat="1" applyFont="1" applyFill="1" applyBorder="1" applyAlignment="1">
      <alignment horizontal="right" vertical="center"/>
    </xf>
    <xf numFmtId="176" fontId="66" fillId="0" borderId="10" xfId="0" applyNumberFormat="1" applyFont="1" applyFill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6" fontId="3" fillId="0" borderId="0" xfId="0" applyNumberFormat="1" applyFont="1" applyAlignment="1">
      <alignment horizontal="center" vertical="center"/>
    </xf>
    <xf numFmtId="176" fontId="67" fillId="0" borderId="10" xfId="0" applyNumberFormat="1" applyFont="1" applyBorder="1" applyAlignment="1">
      <alignment horizontal="center" vertical="center" shrinkToFit="1"/>
    </xf>
    <xf numFmtId="176" fontId="59" fillId="0" borderId="0" xfId="0" applyNumberFormat="1" applyFont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6" fontId="7" fillId="0" borderId="43" xfId="0" applyNumberFormat="1" applyFont="1" applyBorder="1" applyAlignment="1">
      <alignment horizontal="center" vertical="center" shrinkToFit="1"/>
    </xf>
    <xf numFmtId="176" fontId="3" fillId="0" borderId="43" xfId="0" applyNumberFormat="1" applyFont="1" applyBorder="1" applyAlignment="1">
      <alignment vertical="center" wrapText="1"/>
    </xf>
    <xf numFmtId="176" fontId="3" fillId="56" borderId="43" xfId="0" applyNumberFormat="1" applyFont="1" applyFill="1" applyBorder="1" applyAlignment="1" applyProtection="1">
      <alignment horizontal="center" vertical="center" wrapText="1"/>
      <protection locked="0"/>
    </xf>
    <xf numFmtId="176" fontId="3" fillId="56" borderId="43" xfId="0" applyNumberFormat="1" applyFont="1" applyFill="1" applyBorder="1" applyAlignment="1" applyProtection="1">
      <alignment vertical="center" wrapText="1"/>
      <protection locked="0"/>
    </xf>
    <xf numFmtId="176" fontId="3" fillId="0" borderId="43" xfId="0" applyNumberFormat="1" applyFont="1" applyBorder="1" applyAlignment="1" applyProtection="1">
      <alignment horizontal="center" vertical="center"/>
      <protection locked="0"/>
    </xf>
    <xf numFmtId="49" fontId="91" fillId="0" borderId="0" xfId="0" applyNumberFormat="1" applyFont="1" applyAlignment="1">
      <alignment horizontal="center" vertical="center"/>
    </xf>
    <xf numFmtId="176" fontId="4" fillId="25" borderId="43" xfId="1" applyNumberFormat="1" applyFont="1" applyFill="1" applyBorder="1" applyAlignment="1" applyProtection="1">
      <alignment horizontal="right" vertical="center" shrinkToFit="1"/>
      <protection locked="0"/>
    </xf>
    <xf numFmtId="0" fontId="0" fillId="0" borderId="0" xfId="0" applyAlignment="1">
      <alignment horizontal="centerContinuous" vertical="center"/>
    </xf>
    <xf numFmtId="0" fontId="94" fillId="0" borderId="0" xfId="0" applyFont="1" applyAlignment="1">
      <alignment horizontal="centerContinuous" vertical="center"/>
    </xf>
    <xf numFmtId="0" fontId="95" fillId="0" borderId="0" xfId="0" applyFont="1" applyAlignment="1">
      <alignment horizontal="centerContinuous" vertical="center"/>
    </xf>
    <xf numFmtId="0" fontId="95" fillId="0" borderId="0" xfId="0" applyFont="1">
      <alignment vertical="center"/>
    </xf>
    <xf numFmtId="0" fontId="96" fillId="0" borderId="0" xfId="0" applyFont="1" applyAlignment="1">
      <alignment horizontal="left" vertical="center"/>
    </xf>
    <xf numFmtId="0" fontId="96" fillId="0" borderId="0" xfId="0" applyFont="1" applyAlignment="1">
      <alignment horizontal="centerContinuous" vertical="center"/>
    </xf>
    <xf numFmtId="0" fontId="97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176" fontId="7" fillId="58" borderId="43" xfId="0" applyNumberFormat="1" applyFont="1" applyFill="1" applyBorder="1" applyAlignment="1">
      <alignment horizontal="right" vertical="center" shrinkToFit="1"/>
    </xf>
    <xf numFmtId="176" fontId="7" fillId="58" borderId="43" xfId="0" applyNumberFormat="1" applyFont="1" applyFill="1" applyBorder="1" applyAlignment="1">
      <alignment horizontal="center" vertical="center" shrinkToFit="1"/>
    </xf>
    <xf numFmtId="176" fontId="7" fillId="58" borderId="43" xfId="0" applyNumberFormat="1" applyFont="1" applyFill="1" applyBorder="1" applyAlignment="1">
      <alignment horizontal="left" vertical="center" wrapText="1"/>
    </xf>
    <xf numFmtId="176" fontId="3" fillId="0" borderId="43" xfId="0" applyNumberFormat="1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center" vertical="center"/>
    </xf>
    <xf numFmtId="176" fontId="63" fillId="0" borderId="43" xfId="0" applyNumberFormat="1" applyFont="1" applyBorder="1" applyAlignment="1">
      <alignment horizontal="center" vertical="center" wrapText="1" shrinkToFit="1"/>
    </xf>
    <xf numFmtId="176" fontId="63" fillId="0" borderId="43" xfId="0" applyNumberFormat="1" applyFont="1" applyFill="1" applyBorder="1" applyAlignment="1">
      <alignment horizontal="center" vertical="center" shrinkToFit="1"/>
    </xf>
    <xf numFmtId="49" fontId="91" fillId="0" borderId="43" xfId="0" applyNumberFormat="1" applyFont="1" applyBorder="1" applyAlignment="1">
      <alignment horizontal="center" vertical="center"/>
    </xf>
    <xf numFmtId="49" fontId="91" fillId="0" borderId="50" xfId="0" applyNumberFormat="1" applyFont="1" applyBorder="1" applyAlignment="1">
      <alignment horizontal="center" vertical="center"/>
    </xf>
    <xf numFmtId="176" fontId="4" fillId="60" borderId="43" xfId="1" applyNumberFormat="1" applyFont="1" applyFill="1" applyBorder="1" applyAlignment="1" applyProtection="1">
      <alignment horizontal="right" vertical="center" shrinkToFit="1"/>
      <protection locked="0"/>
    </xf>
    <xf numFmtId="176" fontId="7" fillId="60" borderId="43" xfId="0" applyNumberFormat="1" applyFont="1" applyFill="1" applyBorder="1" applyAlignment="1">
      <alignment horizontal="center" vertical="center" shrinkToFit="1"/>
    </xf>
    <xf numFmtId="176" fontId="4" fillId="0" borderId="0" xfId="0" applyNumberFormat="1" applyFont="1">
      <alignment vertical="center"/>
    </xf>
    <xf numFmtId="176" fontId="4" fillId="0" borderId="43" xfId="0" applyNumberFormat="1" applyFont="1" applyBorder="1" applyAlignment="1" applyProtection="1">
      <alignment horizontal="center" vertical="center"/>
      <protection locked="0"/>
    </xf>
    <xf numFmtId="176" fontId="4" fillId="0" borderId="10" xfId="0" applyNumberFormat="1" applyFont="1" applyBorder="1" applyAlignment="1">
      <alignment horizontal="center" vertical="center"/>
    </xf>
    <xf numFmtId="176" fontId="3" fillId="0" borderId="50" xfId="0" applyNumberFormat="1" applyFont="1" applyBorder="1" applyAlignment="1">
      <alignment vertical="center" wrapText="1"/>
    </xf>
    <xf numFmtId="176" fontId="4" fillId="56" borderId="50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50" xfId="1" applyNumberFormat="1" applyFont="1" applyBorder="1" applyAlignment="1" applyProtection="1">
      <alignment horizontal="right" vertical="center" shrinkToFit="1"/>
      <protection locked="0"/>
    </xf>
    <xf numFmtId="176" fontId="89" fillId="0" borderId="0" xfId="0" applyNumberFormat="1" applyFont="1" applyAlignment="1">
      <alignment vertical="center"/>
    </xf>
    <xf numFmtId="0" fontId="3" fillId="0" borderId="55" xfId="0" applyFont="1" applyBorder="1">
      <alignment vertical="center"/>
    </xf>
    <xf numFmtId="0" fontId="3" fillId="61" borderId="55" xfId="0" applyFont="1" applyFill="1" applyBorder="1">
      <alignment vertical="center"/>
    </xf>
    <xf numFmtId="0" fontId="3" fillId="62" borderId="55" xfId="0" applyFont="1" applyFill="1" applyBorder="1">
      <alignment vertical="center"/>
    </xf>
    <xf numFmtId="0" fontId="3" fillId="0" borderId="55" xfId="0" applyFont="1" applyFill="1" applyBorder="1">
      <alignment vertical="center"/>
    </xf>
    <xf numFmtId="176" fontId="7" fillId="0" borderId="41" xfId="0" applyNumberFormat="1" applyFont="1" applyBorder="1" applyAlignment="1">
      <alignment horizontal="right" vertical="center" shrinkToFit="1"/>
    </xf>
    <xf numFmtId="176" fontId="7" fillId="0" borderId="41" xfId="0" applyNumberFormat="1" applyFont="1" applyBorder="1" applyAlignment="1">
      <alignment horizontal="center" vertical="center" shrinkToFit="1"/>
    </xf>
    <xf numFmtId="176" fontId="4" fillId="25" borderId="50" xfId="1" applyNumberFormat="1" applyFont="1" applyFill="1" applyBorder="1" applyAlignment="1" applyProtection="1">
      <alignment horizontal="right" vertical="center" shrinkToFit="1"/>
      <protection locked="0"/>
    </xf>
    <xf numFmtId="176" fontId="8" fillId="52" borderId="11" xfId="0" applyNumberFormat="1" applyFont="1" applyFill="1" applyBorder="1" applyAlignment="1">
      <alignment horizontal="center" vertical="center"/>
    </xf>
    <xf numFmtId="176" fontId="8" fillId="55" borderId="11" xfId="0" applyNumberFormat="1" applyFont="1" applyFill="1" applyBorder="1" applyAlignment="1">
      <alignment horizontal="center" vertical="center"/>
    </xf>
    <xf numFmtId="176" fontId="7" fillId="0" borderId="53" xfId="0" applyNumberFormat="1" applyFont="1" applyBorder="1" applyAlignment="1">
      <alignment horizontal="left" vertical="center" wrapText="1"/>
    </xf>
    <xf numFmtId="176" fontId="3" fillId="0" borderId="41" xfId="0" applyNumberFormat="1" applyFont="1" applyBorder="1" applyAlignment="1">
      <alignment horizontal="center" vertical="center"/>
    </xf>
    <xf numFmtId="176" fontId="63" fillId="0" borderId="41" xfId="0" applyNumberFormat="1" applyFont="1" applyBorder="1" applyAlignment="1">
      <alignment horizontal="center" vertical="center" wrapText="1" shrinkToFit="1"/>
    </xf>
    <xf numFmtId="176" fontId="63" fillId="0" borderId="41" xfId="0" applyNumberFormat="1" applyFont="1" applyFill="1" applyBorder="1" applyAlignment="1">
      <alignment horizontal="center" vertical="center" shrinkToFit="1"/>
    </xf>
    <xf numFmtId="49" fontId="91" fillId="0" borderId="41" xfId="0" applyNumberFormat="1" applyFont="1" applyBorder="1" applyAlignment="1">
      <alignment horizontal="center" vertical="center"/>
    </xf>
    <xf numFmtId="176" fontId="7" fillId="0" borderId="43" xfId="0" applyNumberFormat="1" applyFont="1" applyBorder="1" applyAlignment="1">
      <alignment horizontal="center" vertical="center" wrapText="1" shrinkToFit="1"/>
    </xf>
    <xf numFmtId="49" fontId="7" fillId="0" borderId="43" xfId="0" applyNumberFormat="1" applyFont="1" applyBorder="1" applyAlignment="1">
      <alignment horizontal="center" vertical="center"/>
    </xf>
    <xf numFmtId="3" fontId="103" fillId="0" borderId="44" xfId="0" applyNumberFormat="1" applyFont="1" applyBorder="1" applyAlignment="1">
      <alignment horizontal="right" vertical="center"/>
    </xf>
    <xf numFmtId="176" fontId="63" fillId="60" borderId="43" xfId="0" applyNumberFormat="1" applyFont="1" applyFill="1" applyBorder="1" applyAlignment="1">
      <alignment horizontal="center" vertical="center" wrapText="1" shrinkToFit="1"/>
    </xf>
    <xf numFmtId="176" fontId="4" fillId="0" borderId="50" xfId="0" applyNumberFormat="1" applyFont="1" applyBorder="1" applyAlignment="1">
      <alignment vertical="center" wrapText="1"/>
    </xf>
    <xf numFmtId="176" fontId="4" fillId="56" borderId="50" xfId="0" applyNumberFormat="1" applyFont="1" applyFill="1" applyBorder="1" applyAlignment="1" applyProtection="1">
      <alignment vertical="center" wrapText="1"/>
      <protection locked="0"/>
    </xf>
    <xf numFmtId="49" fontId="4" fillId="0" borderId="57" xfId="0" applyNumberFormat="1" applyFont="1" applyBorder="1" applyAlignment="1">
      <alignment vertical="center" wrapText="1"/>
    </xf>
    <xf numFmtId="176" fontId="63" fillId="0" borderId="50" xfId="0" applyNumberFormat="1" applyFont="1" applyBorder="1" applyAlignment="1">
      <alignment horizontal="center" vertical="center" wrapText="1" shrinkToFit="1"/>
    </xf>
    <xf numFmtId="176" fontId="7" fillId="0" borderId="50" xfId="0" applyNumberFormat="1" applyFont="1" applyBorder="1" applyAlignment="1">
      <alignment horizontal="center" vertical="center" shrinkToFit="1"/>
    </xf>
    <xf numFmtId="176" fontId="3" fillId="0" borderId="46" xfId="0" applyNumberFormat="1" applyFont="1" applyBorder="1">
      <alignment vertical="center"/>
    </xf>
    <xf numFmtId="176" fontId="4" fillId="0" borderId="46" xfId="0" applyNumberFormat="1" applyFont="1" applyBorder="1">
      <alignment vertical="center"/>
    </xf>
    <xf numFmtId="176" fontId="3" fillId="58" borderId="43" xfId="0" applyNumberFormat="1" applyFont="1" applyFill="1" applyBorder="1" applyAlignment="1">
      <alignment horizontal="center" vertical="center"/>
    </xf>
    <xf numFmtId="176" fontId="3" fillId="58" borderId="43" xfId="0" applyNumberFormat="1" applyFont="1" applyFill="1" applyBorder="1" applyAlignment="1" applyProtection="1">
      <alignment horizontal="center" vertical="center"/>
      <protection locked="0"/>
    </xf>
    <xf numFmtId="176" fontId="63" fillId="58" borderId="43" xfId="0" applyNumberFormat="1" applyFont="1" applyFill="1" applyBorder="1" applyAlignment="1">
      <alignment horizontal="center" vertical="center" wrapText="1" shrinkToFit="1"/>
    </xf>
    <xf numFmtId="49" fontId="91" fillId="58" borderId="43" xfId="0" applyNumberFormat="1" applyFont="1" applyFill="1" applyBorder="1" applyAlignment="1">
      <alignment horizontal="center" vertical="center"/>
    </xf>
    <xf numFmtId="49" fontId="104" fillId="0" borderId="43" xfId="0" applyNumberFormat="1" applyFont="1" applyBorder="1" applyAlignment="1">
      <alignment horizontal="center" vertical="center"/>
    </xf>
    <xf numFmtId="49" fontId="63" fillId="0" borderId="43" xfId="0" applyNumberFormat="1" applyFont="1" applyBorder="1" applyAlignment="1">
      <alignment horizontal="center" vertical="center"/>
    </xf>
    <xf numFmtId="176" fontId="64" fillId="0" borderId="43" xfId="1" applyNumberFormat="1" applyFont="1" applyFill="1" applyBorder="1" applyAlignment="1">
      <alignment horizontal="left" vertical="center" wrapText="1" shrinkToFit="1"/>
    </xf>
    <xf numFmtId="176" fontId="64" fillId="0" borderId="43" xfId="1" applyNumberFormat="1" applyFont="1" applyFill="1" applyBorder="1" applyAlignment="1">
      <alignment horizontal="left" vertical="center" wrapText="1"/>
    </xf>
    <xf numFmtId="176" fontId="4" fillId="0" borderId="43" xfId="1" applyNumberFormat="1" applyFont="1" applyFill="1" applyBorder="1" applyAlignment="1">
      <alignment horizontal="left" vertical="center" wrapText="1" shrinkToFit="1"/>
    </xf>
    <xf numFmtId="176" fontId="4" fillId="0" borderId="43" xfId="1" applyNumberFormat="1" applyFont="1" applyFill="1" applyBorder="1" applyAlignment="1">
      <alignment horizontal="left" vertical="center" wrapText="1"/>
    </xf>
    <xf numFmtId="49" fontId="4" fillId="0" borderId="43" xfId="0" applyNumberFormat="1" applyFont="1" applyBorder="1" applyAlignment="1">
      <alignment vertical="center" wrapText="1"/>
    </xf>
    <xf numFmtId="176" fontId="4" fillId="0" borderId="58" xfId="440" applyNumberFormat="1" applyFont="1" applyFill="1" applyBorder="1" applyAlignment="1">
      <alignment horizontal="left" vertical="center" wrapText="1" shrinkToFit="1"/>
    </xf>
    <xf numFmtId="176" fontId="7" fillId="0" borderId="41" xfId="0" applyNumberFormat="1" applyFont="1" applyBorder="1" applyAlignment="1">
      <alignment horizontal="left" vertical="center" wrapText="1" shrinkToFit="1"/>
    </xf>
    <xf numFmtId="176" fontId="7" fillId="58" borderId="43" xfId="0" applyNumberFormat="1" applyFont="1" applyFill="1" applyBorder="1" applyAlignment="1">
      <alignment horizontal="left" vertical="center" wrapText="1" shrinkToFit="1"/>
    </xf>
    <xf numFmtId="49" fontId="4" fillId="0" borderId="43" xfId="0" applyNumberFormat="1" applyFont="1" applyBorder="1" applyAlignment="1">
      <alignment horizontal="left" vertical="center" wrapText="1"/>
    </xf>
    <xf numFmtId="49" fontId="4" fillId="60" borderId="43" xfId="0" applyNumberFormat="1" applyFont="1" applyFill="1" applyBorder="1" applyAlignment="1">
      <alignment horizontal="left" vertical="center" wrapText="1"/>
    </xf>
    <xf numFmtId="176" fontId="3" fillId="0" borderId="0" xfId="0" applyNumberFormat="1" applyFont="1">
      <alignment vertical="center"/>
    </xf>
    <xf numFmtId="3" fontId="87" fillId="0" borderId="43" xfId="0" applyNumberFormat="1" applyFont="1" applyFill="1" applyBorder="1" applyAlignment="1" applyProtection="1">
      <alignment horizontal="left" vertical="center" wrapText="1"/>
      <protection locked="0"/>
    </xf>
    <xf numFmtId="176" fontId="4" fillId="0" borderId="43" xfId="0" applyNumberFormat="1" applyFont="1" applyFill="1" applyBorder="1" applyAlignment="1" applyProtection="1">
      <alignment horizontal="left" vertical="center" wrapText="1"/>
      <protection locked="0"/>
    </xf>
    <xf numFmtId="3" fontId="87" fillId="0" borderId="50" xfId="0" applyNumberFormat="1" applyFont="1" applyFill="1" applyBorder="1" applyAlignment="1" applyProtection="1">
      <alignment horizontal="left" vertical="center" wrapText="1"/>
      <protection locked="0"/>
    </xf>
    <xf numFmtId="3" fontId="87" fillId="0" borderId="54" xfId="0" applyNumberFormat="1" applyFont="1" applyFill="1" applyBorder="1" applyAlignment="1" applyProtection="1">
      <alignment horizontal="left" vertical="center" wrapText="1"/>
      <protection locked="0"/>
    </xf>
    <xf numFmtId="176" fontId="7" fillId="58" borderId="54" xfId="0" applyNumberFormat="1" applyFont="1" applyFill="1" applyBorder="1" applyAlignment="1">
      <alignment horizontal="left" vertical="center" wrapText="1"/>
    </xf>
    <xf numFmtId="176" fontId="4" fillId="0" borderId="54" xfId="0" applyNumberFormat="1" applyFont="1" applyFill="1" applyBorder="1" applyAlignment="1" applyProtection="1">
      <alignment horizontal="left" vertical="center" wrapText="1"/>
      <protection locked="0"/>
    </xf>
    <xf numFmtId="49" fontId="7" fillId="0" borderId="54" xfId="0" applyNumberFormat="1" applyFont="1" applyBorder="1" applyAlignment="1">
      <alignment vertical="center" wrapText="1"/>
    </xf>
    <xf numFmtId="49" fontId="4" fillId="0" borderId="54" xfId="0" applyNumberFormat="1" applyFont="1" applyBorder="1" applyAlignment="1">
      <alignment vertical="center" wrapText="1"/>
    </xf>
    <xf numFmtId="49" fontId="4" fillId="60" borderId="54" xfId="0" applyNumberFormat="1" applyFont="1" applyFill="1" applyBorder="1" applyAlignment="1">
      <alignment vertical="center" wrapText="1"/>
    </xf>
    <xf numFmtId="176" fontId="4" fillId="25" borderId="52" xfId="1" applyNumberFormat="1" applyFont="1" applyFill="1" applyBorder="1" applyAlignment="1">
      <alignment horizontal="right" vertical="center" shrinkToFit="1"/>
    </xf>
    <xf numFmtId="176" fontId="4" fillId="25" borderId="56" xfId="1" applyNumberFormat="1" applyFont="1" applyFill="1" applyBorder="1" applyAlignment="1">
      <alignment horizontal="right" vertical="center" shrinkToFit="1"/>
    </xf>
    <xf numFmtId="176" fontId="7" fillId="0" borderId="60" xfId="0" applyNumberFormat="1" applyFont="1" applyBorder="1" applyAlignment="1">
      <alignment horizontal="center" vertical="center" shrinkToFit="1"/>
    </xf>
    <xf numFmtId="176" fontId="7" fillId="58" borderId="44" xfId="0" applyNumberFormat="1" applyFont="1" applyFill="1" applyBorder="1" applyAlignment="1">
      <alignment horizontal="center" vertical="center" shrinkToFit="1"/>
    </xf>
    <xf numFmtId="176" fontId="7" fillId="58" borderId="44" xfId="0" applyNumberFormat="1" applyFont="1" applyFill="1" applyBorder="1" applyAlignment="1">
      <alignment horizontal="right" vertical="center" shrinkToFit="1"/>
    </xf>
    <xf numFmtId="176" fontId="4" fillId="0" borderId="44" xfId="1" applyNumberFormat="1" applyFont="1" applyFill="1" applyBorder="1" applyAlignment="1">
      <alignment horizontal="center" vertical="center" shrinkToFit="1"/>
    </xf>
    <xf numFmtId="176" fontId="7" fillId="58" borderId="44" xfId="0" applyNumberFormat="1" applyFont="1" applyFill="1" applyBorder="1" applyAlignment="1">
      <alignment horizontal="left" vertical="center" wrapText="1"/>
    </xf>
    <xf numFmtId="176" fontId="4" fillId="0" borderId="65" xfId="1" applyNumberFormat="1" applyFont="1" applyBorder="1" applyAlignment="1" applyProtection="1">
      <alignment horizontal="right" vertical="center" shrinkToFit="1"/>
      <protection locked="0"/>
    </xf>
    <xf numFmtId="176" fontId="4" fillId="25" borderId="66" xfId="1" applyNumberFormat="1" applyFont="1" applyFill="1" applyBorder="1" applyAlignment="1">
      <alignment horizontal="right" vertical="center" shrinkToFit="1"/>
    </xf>
    <xf numFmtId="176" fontId="4" fillId="0" borderId="67" xfId="1" applyNumberFormat="1" applyFont="1" applyBorder="1" applyAlignment="1" applyProtection="1">
      <alignment horizontal="right" vertical="center" shrinkToFit="1"/>
      <protection locked="0"/>
    </xf>
    <xf numFmtId="176" fontId="4" fillId="0" borderId="68" xfId="1" applyNumberFormat="1" applyFont="1" applyBorder="1" applyAlignment="1" applyProtection="1">
      <alignment horizontal="right" vertical="center" shrinkToFit="1"/>
      <protection locked="0"/>
    </xf>
    <xf numFmtId="176" fontId="4" fillId="25" borderId="69" xfId="1" applyNumberFormat="1" applyFont="1" applyFill="1" applyBorder="1" applyAlignment="1">
      <alignment horizontal="right" vertical="center" shrinkToFit="1"/>
    </xf>
    <xf numFmtId="176" fontId="3" fillId="56" borderId="52" xfId="0" applyNumberFormat="1" applyFont="1" applyFill="1" applyBorder="1" applyAlignment="1" applyProtection="1">
      <alignment vertical="center" wrapText="1"/>
      <protection locked="0"/>
    </xf>
    <xf numFmtId="176" fontId="4" fillId="56" borderId="56" xfId="0" applyNumberFormat="1" applyFont="1" applyFill="1" applyBorder="1" applyAlignment="1" applyProtection="1">
      <alignment vertical="center" wrapText="1"/>
      <protection locked="0"/>
    </xf>
    <xf numFmtId="176" fontId="4" fillId="25" borderId="54" xfId="1" applyNumberFormat="1" applyFont="1" applyFill="1" applyBorder="1" applyAlignment="1" applyProtection="1">
      <alignment horizontal="right" vertical="center" shrinkToFit="1"/>
      <protection locked="0"/>
    </xf>
    <xf numFmtId="176" fontId="4" fillId="25" borderId="57" xfId="1" applyNumberFormat="1" applyFont="1" applyFill="1" applyBorder="1" applyAlignment="1" applyProtection="1">
      <alignment horizontal="right" vertical="center" shrinkToFit="1"/>
      <protection locked="0"/>
    </xf>
    <xf numFmtId="176" fontId="4" fillId="25" borderId="70" xfId="1" applyNumberFormat="1" applyFont="1" applyFill="1" applyBorder="1" applyAlignment="1" applyProtection="1">
      <alignment horizontal="right" vertical="center" shrinkToFit="1"/>
      <protection locked="0"/>
    </xf>
    <xf numFmtId="176" fontId="4" fillId="25" borderId="71" xfId="1" applyNumberFormat="1" applyFont="1" applyFill="1" applyBorder="1" applyAlignment="1" applyProtection="1">
      <alignment horizontal="right" vertical="center" shrinkToFit="1"/>
      <protection locked="0"/>
    </xf>
    <xf numFmtId="176" fontId="4" fillId="0" borderId="43" xfId="0" quotePrefix="1" applyNumberFormat="1" applyFont="1" applyBorder="1" applyAlignment="1">
      <alignment vertical="center" wrapText="1"/>
    </xf>
    <xf numFmtId="176" fontId="4" fillId="0" borderId="54" xfId="0" quotePrefix="1" applyNumberFormat="1" applyFont="1" applyBorder="1" applyAlignment="1">
      <alignment vertical="center" wrapText="1"/>
    </xf>
    <xf numFmtId="3" fontId="87" fillId="0" borderId="44" xfId="0" applyNumberFormat="1" applyFont="1" applyFill="1" applyBorder="1" applyAlignment="1" applyProtection="1">
      <alignment horizontal="center" vertical="center" wrapText="1"/>
      <protection locked="0"/>
    </xf>
    <xf numFmtId="3" fontId="87" fillId="0" borderId="61" xfId="0" applyNumberFormat="1" applyFont="1" applyFill="1" applyBorder="1" applyAlignment="1" applyProtection="1">
      <alignment horizontal="center" vertical="center" wrapText="1"/>
      <protection locked="0"/>
    </xf>
    <xf numFmtId="176" fontId="7" fillId="0" borderId="43" xfId="0" applyNumberFormat="1" applyFont="1" applyBorder="1" applyAlignment="1" applyProtection="1">
      <alignment horizontal="center" vertical="center"/>
      <protection locked="0"/>
    </xf>
    <xf numFmtId="0" fontId="98" fillId="0" borderId="0" xfId="0" applyFont="1" applyAlignment="1" applyProtection="1">
      <alignment horizontal="centerContinuous" vertical="center"/>
      <protection hidden="1"/>
    </xf>
    <xf numFmtId="0" fontId="0" fillId="0" borderId="0" xfId="0" applyAlignment="1" applyProtection="1">
      <alignment horizontal="centerContinuous" vertical="center"/>
      <protection hidden="1"/>
    </xf>
    <xf numFmtId="0" fontId="0" fillId="0" borderId="0" xfId="0" applyFill="1" applyAlignment="1" applyProtection="1">
      <alignment horizontal="centerContinuous" vertical="center"/>
      <protection hidden="1"/>
    </xf>
    <xf numFmtId="0" fontId="0" fillId="0" borderId="0" xfId="0" applyProtection="1">
      <alignment vertical="center"/>
      <protection hidden="1"/>
    </xf>
    <xf numFmtId="0" fontId="0" fillId="0" borderId="0" xfId="0" applyFill="1" applyProtection="1">
      <alignment vertical="center"/>
      <protection hidden="1"/>
    </xf>
    <xf numFmtId="0" fontId="99" fillId="0" borderId="0" xfId="0" applyFont="1" applyProtection="1">
      <alignment vertical="center"/>
      <protection hidden="1"/>
    </xf>
    <xf numFmtId="0" fontId="7" fillId="25" borderId="10" xfId="0" applyFont="1" applyFill="1" applyBorder="1" applyAlignment="1" applyProtection="1">
      <alignment horizontal="center" vertical="center"/>
      <protection hidden="1"/>
    </xf>
    <xf numFmtId="176" fontId="4" fillId="0" borderId="10" xfId="0" applyNumberFormat="1" applyFont="1" applyBorder="1" applyProtection="1">
      <alignment vertical="center"/>
      <protection hidden="1"/>
    </xf>
    <xf numFmtId="176" fontId="4" fillId="0" borderId="0" xfId="0" applyNumberFormat="1" applyFont="1" applyBorder="1" applyProtection="1">
      <alignment vertical="center"/>
      <protection hidden="1"/>
    </xf>
    <xf numFmtId="0" fontId="4" fillId="0" borderId="0" xfId="0" applyFont="1" applyProtection="1">
      <alignment vertical="center"/>
      <protection hidden="1"/>
    </xf>
    <xf numFmtId="0" fontId="86" fillId="0" borderId="0" xfId="0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right" vertical="center"/>
      <protection hidden="1"/>
    </xf>
    <xf numFmtId="0" fontId="3" fillId="0" borderId="0" xfId="0" applyFont="1" applyFill="1" applyAlignment="1" applyProtection="1">
      <alignment horizontal="right" vertical="center"/>
      <protection hidden="1"/>
    </xf>
    <xf numFmtId="0" fontId="66" fillId="0" borderId="0" xfId="0" applyFont="1" applyFill="1" applyBorder="1" applyAlignment="1" applyProtection="1">
      <alignment horizontal="center" vertical="center"/>
      <protection hidden="1"/>
    </xf>
    <xf numFmtId="0" fontId="93" fillId="0" borderId="0" xfId="0" applyFont="1" applyFill="1" applyBorder="1" applyAlignment="1" applyProtection="1">
      <alignment horizontal="left" vertical="center"/>
      <protection hidden="1"/>
    </xf>
    <xf numFmtId="0" fontId="4" fillId="0" borderId="0" xfId="0" applyFont="1" applyBorder="1" applyProtection="1">
      <alignment vertical="center"/>
      <protection hidden="1"/>
    </xf>
    <xf numFmtId="0" fontId="66" fillId="57" borderId="10" xfId="0" applyFont="1" applyFill="1" applyBorder="1" applyAlignment="1" applyProtection="1">
      <alignment horizontal="center" vertical="center"/>
      <protection hidden="1"/>
    </xf>
    <xf numFmtId="0" fontId="7" fillId="57" borderId="10" xfId="0" applyFont="1" applyFill="1" applyBorder="1" applyAlignment="1" applyProtection="1">
      <alignment horizontal="center" vertical="center"/>
      <protection hidden="1"/>
    </xf>
    <xf numFmtId="0" fontId="7" fillId="59" borderId="34" xfId="0" applyFont="1" applyFill="1" applyBorder="1" applyAlignment="1" applyProtection="1">
      <alignment horizontal="center" vertical="center"/>
      <protection hidden="1"/>
    </xf>
    <xf numFmtId="176" fontId="7" fillId="59" borderId="10" xfId="0" applyNumberFormat="1" applyFont="1" applyFill="1" applyBorder="1" applyProtection="1">
      <alignment vertical="center"/>
      <protection hidden="1"/>
    </xf>
    <xf numFmtId="176" fontId="7" fillId="59" borderId="14" xfId="0" applyNumberFormat="1" applyFont="1" applyFill="1" applyBorder="1" applyProtection="1">
      <alignment vertical="center"/>
      <protection hidden="1"/>
    </xf>
    <xf numFmtId="176" fontId="7" fillId="59" borderId="35" xfId="0" applyNumberFormat="1" applyFont="1" applyFill="1" applyBorder="1" applyProtection="1">
      <alignment vertical="center"/>
      <protection hidden="1"/>
    </xf>
    <xf numFmtId="176" fontId="7" fillId="0" borderId="0" xfId="0" applyNumberFormat="1" applyFont="1" applyFill="1" applyBorder="1" applyProtection="1">
      <alignment vertical="center"/>
      <protection hidden="1"/>
    </xf>
    <xf numFmtId="0" fontId="7" fillId="59" borderId="10" xfId="0" applyFont="1" applyFill="1" applyBorder="1" applyAlignment="1" applyProtection="1">
      <alignment horizontal="center" vertical="center"/>
      <protection hidden="1"/>
    </xf>
    <xf numFmtId="176" fontId="4" fillId="59" borderId="10" xfId="0" applyNumberFormat="1" applyFont="1" applyFill="1" applyBorder="1" applyProtection="1">
      <alignment vertical="center"/>
      <protection hidden="1"/>
    </xf>
    <xf numFmtId="0" fontId="4" fillId="59" borderId="10" xfId="0" applyFont="1" applyFill="1" applyBorder="1" applyProtection="1">
      <alignment vertical="center"/>
      <protection hidden="1"/>
    </xf>
    <xf numFmtId="0" fontId="7" fillId="0" borderId="34" xfId="0" applyFont="1" applyBorder="1" applyAlignment="1" applyProtection="1">
      <alignment horizontal="center" vertical="center"/>
      <protection hidden="1"/>
    </xf>
    <xf numFmtId="176" fontId="63" fillId="0" borderId="10" xfId="0" applyNumberFormat="1" applyFont="1" applyBorder="1" applyProtection="1">
      <alignment vertical="center"/>
      <protection hidden="1"/>
    </xf>
    <xf numFmtId="176" fontId="7" fillId="0" borderId="10" xfId="0" applyNumberFormat="1" applyFont="1" applyBorder="1" applyProtection="1">
      <alignment vertical="center"/>
      <protection hidden="1"/>
    </xf>
    <xf numFmtId="176" fontId="7" fillId="0" borderId="14" xfId="0" applyNumberFormat="1" applyFont="1" applyBorder="1" applyProtection="1">
      <alignment vertical="center"/>
      <protection hidden="1"/>
    </xf>
    <xf numFmtId="176" fontId="7" fillId="0" borderId="35" xfId="0" applyNumberFormat="1" applyFont="1" applyBorder="1" applyProtection="1">
      <alignment vertical="center"/>
      <protection hidden="1"/>
    </xf>
    <xf numFmtId="0" fontId="7" fillId="0" borderId="10" xfId="0" applyFont="1" applyBorder="1" applyAlignment="1" applyProtection="1">
      <alignment horizontal="center" vertical="center"/>
      <protection hidden="1"/>
    </xf>
    <xf numFmtId="0" fontId="3" fillId="0" borderId="0" xfId="0" applyFont="1" applyProtection="1">
      <alignment vertical="center"/>
      <protection hidden="1"/>
    </xf>
    <xf numFmtId="176" fontId="7" fillId="0" borderId="10" xfId="0" applyNumberFormat="1" applyFont="1" applyBorder="1" applyAlignment="1" applyProtection="1">
      <alignment horizontal="center" vertical="center"/>
      <protection hidden="1"/>
    </xf>
    <xf numFmtId="41" fontId="77" fillId="0" borderId="0" xfId="1" applyFont="1" applyBorder="1" applyAlignment="1" applyProtection="1">
      <alignment horizontal="center" vertical="center"/>
      <protection hidden="1"/>
    </xf>
    <xf numFmtId="41" fontId="100" fillId="0" borderId="0" xfId="1" applyFont="1" applyBorder="1" applyProtection="1">
      <alignment vertical="center"/>
      <protection hidden="1"/>
    </xf>
    <xf numFmtId="0" fontId="7" fillId="0" borderId="47" xfId="0" applyFont="1" applyBorder="1" applyAlignment="1" applyProtection="1">
      <alignment horizontal="center" vertical="center"/>
      <protection hidden="1"/>
    </xf>
    <xf numFmtId="41" fontId="0" fillId="0" borderId="0" xfId="1" applyFont="1" applyProtection="1">
      <alignment vertical="center"/>
      <protection hidden="1"/>
    </xf>
    <xf numFmtId="41" fontId="66" fillId="0" borderId="0" xfId="1" applyFont="1" applyProtection="1">
      <alignment vertical="center"/>
      <protection hidden="1"/>
    </xf>
    <xf numFmtId="0" fontId="7" fillId="0" borderId="27" xfId="0" applyFont="1" applyBorder="1" applyAlignment="1" applyProtection="1">
      <alignment horizontal="center" vertical="center"/>
      <protection hidden="1"/>
    </xf>
    <xf numFmtId="176" fontId="7" fillId="0" borderId="37" xfId="0" applyNumberFormat="1" applyFont="1" applyBorder="1" applyProtection="1">
      <alignment vertical="center"/>
      <protection hidden="1"/>
    </xf>
    <xf numFmtId="176" fontId="7" fillId="0" borderId="48" xfId="0" applyNumberFormat="1" applyFont="1" applyBorder="1" applyProtection="1">
      <alignment vertical="center"/>
      <protection hidden="1"/>
    </xf>
    <xf numFmtId="176" fontId="7" fillId="0" borderId="28" xfId="0" applyNumberFormat="1" applyFont="1" applyBorder="1" applyProtection="1">
      <alignment vertical="center"/>
      <protection hidden="1"/>
    </xf>
    <xf numFmtId="41" fontId="73" fillId="0" borderId="0" xfId="1" applyFont="1" applyProtection="1">
      <alignment vertical="center"/>
      <protection hidden="1"/>
    </xf>
    <xf numFmtId="0" fontId="73" fillId="0" borderId="0" xfId="0" applyFont="1" applyProtection="1">
      <alignment vertical="center"/>
      <protection hidden="1"/>
    </xf>
    <xf numFmtId="41" fontId="4" fillId="0" borderId="0" xfId="1" applyFont="1" applyAlignment="1" applyProtection="1">
      <alignment horizontal="center" vertical="center"/>
      <protection hidden="1"/>
    </xf>
    <xf numFmtId="41" fontId="4" fillId="0" borderId="0" xfId="1" applyFont="1" applyProtection="1">
      <alignment vertical="center"/>
      <protection hidden="1"/>
    </xf>
    <xf numFmtId="41" fontId="4" fillId="0" borderId="0" xfId="1" applyFont="1" applyFill="1" applyBorder="1" applyAlignment="1" applyProtection="1">
      <alignment horizontal="center" vertical="center"/>
      <protection hidden="1"/>
    </xf>
    <xf numFmtId="176" fontId="0" fillId="0" borderId="0" xfId="0" applyNumberFormat="1" applyProtection="1">
      <alignment vertical="center"/>
      <protection hidden="1"/>
    </xf>
    <xf numFmtId="0" fontId="7" fillId="0" borderId="0" xfId="0" applyFont="1" applyFill="1" applyBorder="1" applyAlignment="1" applyProtection="1">
      <alignment horizontal="center" vertical="center"/>
      <protection hidden="1"/>
    </xf>
    <xf numFmtId="41" fontId="7" fillId="0" borderId="0" xfId="1" applyFont="1" applyFill="1" applyBorder="1" applyAlignment="1" applyProtection="1">
      <alignment horizontal="center" vertical="center"/>
      <protection hidden="1"/>
    </xf>
    <xf numFmtId="41" fontId="7" fillId="0" borderId="0" xfId="1" applyFont="1" applyFill="1" applyBorder="1" applyProtection="1">
      <alignment vertical="center"/>
      <protection hidden="1"/>
    </xf>
    <xf numFmtId="0" fontId="4" fillId="0" borderId="10" xfId="0" applyFont="1" applyBorder="1" applyAlignment="1" applyProtection="1">
      <alignment horizontal="center" vertical="center"/>
      <protection hidden="1"/>
    </xf>
    <xf numFmtId="176" fontId="4" fillId="0" borderId="10" xfId="0" applyNumberFormat="1" applyFont="1" applyFill="1" applyBorder="1" applyProtection="1">
      <alignment vertical="center"/>
      <protection hidden="1"/>
    </xf>
    <xf numFmtId="176" fontId="4" fillId="0" borderId="0" xfId="0" applyNumberFormat="1" applyFont="1" applyFill="1" applyBorder="1" applyProtection="1">
      <alignment vertical="center"/>
      <protection hidden="1"/>
    </xf>
    <xf numFmtId="41" fontId="4" fillId="0" borderId="0" xfId="1" applyFont="1" applyBorder="1" applyAlignment="1" applyProtection="1">
      <alignment horizontal="center" vertical="center"/>
      <protection hidden="1"/>
    </xf>
    <xf numFmtId="41" fontId="4" fillId="0" borderId="0" xfId="1" applyFont="1" applyBorder="1" applyProtection="1">
      <alignment vertical="center"/>
      <protection hidden="1"/>
    </xf>
    <xf numFmtId="0" fontId="4" fillId="0" borderId="10" xfId="0" applyFont="1" applyFill="1" applyBorder="1" applyAlignment="1" applyProtection="1">
      <alignment horizontal="center" vertical="center"/>
      <protection hidden="1"/>
    </xf>
    <xf numFmtId="176" fontId="3" fillId="0" borderId="0" xfId="0" applyNumberFormat="1" applyFont="1" applyProtection="1">
      <alignment vertical="center"/>
      <protection hidden="1"/>
    </xf>
    <xf numFmtId="176" fontId="65" fillId="0" borderId="0" xfId="0" applyNumberFormat="1" applyFont="1" applyProtection="1">
      <alignment vertical="center"/>
      <protection hidden="1"/>
    </xf>
    <xf numFmtId="176" fontId="3" fillId="0" borderId="0" xfId="0" applyNumberFormat="1" applyFont="1" applyAlignment="1" applyProtection="1">
      <alignment horizontal="center" vertical="center"/>
      <protection hidden="1"/>
    </xf>
    <xf numFmtId="49" fontId="65" fillId="0" borderId="0" xfId="0" applyNumberFormat="1" applyFont="1" applyFill="1" applyProtection="1">
      <alignment vertical="center"/>
      <protection hidden="1"/>
    </xf>
    <xf numFmtId="49" fontId="91" fillId="0" borderId="0" xfId="0" applyNumberFormat="1" applyFont="1" applyAlignment="1" applyProtection="1">
      <alignment horizontal="center" vertical="center"/>
      <protection hidden="1"/>
    </xf>
    <xf numFmtId="176" fontId="91" fillId="0" borderId="0" xfId="0" applyNumberFormat="1" applyFont="1" applyProtection="1">
      <alignment vertical="center"/>
      <protection hidden="1"/>
    </xf>
    <xf numFmtId="176" fontId="91" fillId="0" borderId="0" xfId="0" applyNumberFormat="1" applyFont="1" applyAlignment="1" applyProtection="1">
      <alignment horizontal="center" vertical="center"/>
      <protection hidden="1"/>
    </xf>
    <xf numFmtId="176" fontId="9" fillId="0" borderId="0" xfId="0" applyNumberFormat="1" applyFont="1" applyAlignment="1" applyProtection="1">
      <alignment vertical="center"/>
      <protection hidden="1"/>
    </xf>
    <xf numFmtId="176" fontId="9" fillId="0" borderId="0" xfId="0" applyNumberFormat="1" applyFont="1" applyAlignment="1" applyProtection="1">
      <alignment horizontal="center" vertical="center"/>
      <protection hidden="1"/>
    </xf>
    <xf numFmtId="176" fontId="7" fillId="0" borderId="0" xfId="0" applyNumberFormat="1" applyFont="1" applyAlignment="1" applyProtection="1">
      <alignment horizontal="center" vertical="center"/>
      <protection hidden="1"/>
    </xf>
    <xf numFmtId="176" fontId="67" fillId="0" borderId="0" xfId="0" applyNumberFormat="1" applyFont="1" applyAlignment="1" applyProtection="1">
      <alignment horizontal="center" vertical="center"/>
      <protection hidden="1"/>
    </xf>
    <xf numFmtId="183" fontId="63" fillId="0" borderId="0" xfId="0" applyNumberFormat="1" applyFont="1" applyFill="1" applyAlignment="1" applyProtection="1">
      <alignment horizontal="center" vertical="center"/>
      <protection hidden="1"/>
    </xf>
    <xf numFmtId="176" fontId="77" fillId="0" borderId="0" xfId="0" applyNumberFormat="1" applyFont="1" applyProtection="1">
      <alignment vertical="center"/>
      <protection hidden="1"/>
    </xf>
    <xf numFmtId="176" fontId="59" fillId="0" borderId="0" xfId="0" applyNumberFormat="1" applyFont="1" applyAlignment="1" applyProtection="1">
      <alignment horizontal="center" vertical="center"/>
      <protection hidden="1"/>
    </xf>
    <xf numFmtId="176" fontId="7" fillId="0" borderId="0" xfId="0" applyNumberFormat="1" applyFont="1" applyAlignment="1" applyProtection="1">
      <alignment horizontal="right" vertical="center"/>
      <protection hidden="1"/>
    </xf>
    <xf numFmtId="183" fontId="67" fillId="0" borderId="18" xfId="0" applyNumberFormat="1" applyFont="1" applyBorder="1" applyAlignment="1" applyProtection="1">
      <alignment horizontal="center" vertical="center"/>
      <protection hidden="1"/>
    </xf>
    <xf numFmtId="176" fontId="8" fillId="52" borderId="10" xfId="0" applyNumberFormat="1" applyFont="1" applyFill="1" applyBorder="1" applyAlignment="1" applyProtection="1">
      <alignment horizontal="center" vertical="center"/>
      <protection hidden="1"/>
    </xf>
    <xf numFmtId="176" fontId="8" fillId="55" borderId="10" xfId="0" applyNumberFormat="1" applyFont="1" applyFill="1" applyBorder="1" applyAlignment="1" applyProtection="1">
      <alignment horizontal="center" vertical="center"/>
      <protection hidden="1"/>
    </xf>
    <xf numFmtId="176" fontId="8" fillId="52" borderId="10" xfId="0" applyNumberFormat="1" applyFont="1" applyFill="1" applyBorder="1" applyAlignment="1" applyProtection="1">
      <alignment horizontal="center" vertical="center" wrapText="1"/>
      <protection hidden="1"/>
    </xf>
    <xf numFmtId="176" fontId="8" fillId="55" borderId="10" xfId="0" applyNumberFormat="1" applyFont="1" applyFill="1" applyBorder="1" applyAlignment="1" applyProtection="1">
      <alignment horizontal="center" vertical="center" wrapText="1"/>
      <protection hidden="1"/>
    </xf>
    <xf numFmtId="176" fontId="7" fillId="0" borderId="41" xfId="0" applyNumberFormat="1" applyFont="1" applyBorder="1" applyAlignment="1" applyProtection="1">
      <alignment horizontal="center" vertical="center" wrapText="1"/>
      <protection hidden="1"/>
    </xf>
    <xf numFmtId="176" fontId="7" fillId="0" borderId="41" xfId="0" applyNumberFormat="1" applyFont="1" applyBorder="1" applyProtection="1">
      <alignment vertical="center"/>
      <protection hidden="1"/>
    </xf>
    <xf numFmtId="176" fontId="7" fillId="0" borderId="41" xfId="0" applyNumberFormat="1" applyFont="1" applyBorder="1" applyAlignment="1" applyProtection="1">
      <alignment horizontal="center" vertical="center"/>
      <protection hidden="1"/>
    </xf>
    <xf numFmtId="176" fontId="7" fillId="0" borderId="41" xfId="0" applyNumberFormat="1" applyFont="1" applyBorder="1" applyAlignment="1" applyProtection="1">
      <alignment horizontal="right" vertical="center" shrinkToFit="1"/>
      <protection hidden="1"/>
    </xf>
    <xf numFmtId="176" fontId="7" fillId="0" borderId="41" xfId="0" applyNumberFormat="1" applyFont="1" applyBorder="1" applyAlignment="1" applyProtection="1">
      <alignment horizontal="center" vertical="center" shrinkToFit="1"/>
      <protection hidden="1"/>
    </xf>
    <xf numFmtId="176" fontId="7" fillId="0" borderId="41" xfId="0" applyNumberFormat="1" applyFont="1" applyBorder="1" applyAlignment="1" applyProtection="1">
      <alignment horizontal="left" vertical="center" wrapText="1"/>
      <protection hidden="1"/>
    </xf>
    <xf numFmtId="176" fontId="63" fillId="0" borderId="10" xfId="0" applyNumberFormat="1" applyFont="1" applyBorder="1" applyAlignment="1" applyProtection="1">
      <alignment horizontal="center" vertical="center" shrinkToFit="1"/>
      <protection hidden="1"/>
    </xf>
    <xf numFmtId="176" fontId="7" fillId="0" borderId="10" xfId="0" applyNumberFormat="1" applyFont="1" applyBorder="1" applyAlignment="1" applyProtection="1">
      <alignment horizontal="right" vertical="center" shrinkToFit="1"/>
      <protection hidden="1"/>
    </xf>
    <xf numFmtId="176" fontId="67" fillId="0" borderId="10" xfId="0" applyNumberFormat="1" applyFont="1" applyBorder="1" applyAlignment="1" applyProtection="1">
      <alignment horizontal="center" vertical="center" shrinkToFit="1"/>
      <protection hidden="1"/>
    </xf>
    <xf numFmtId="49" fontId="63" fillId="0" borderId="10" xfId="0" applyNumberFormat="1" applyFont="1" applyFill="1" applyBorder="1" applyAlignment="1" applyProtection="1">
      <alignment horizontal="center" vertical="center" shrinkToFit="1"/>
      <protection hidden="1"/>
    </xf>
    <xf numFmtId="49" fontId="91" fillId="0" borderId="10" xfId="0" applyNumberFormat="1" applyFont="1" applyBorder="1" applyAlignment="1" applyProtection="1">
      <alignment horizontal="center" vertical="center"/>
      <protection hidden="1"/>
    </xf>
    <xf numFmtId="176" fontId="7" fillId="0" borderId="10" xfId="0" applyNumberFormat="1" applyFont="1" applyBorder="1" applyAlignment="1" applyProtection="1">
      <alignment horizontal="center" vertical="center" shrinkToFit="1"/>
      <protection hidden="1"/>
    </xf>
    <xf numFmtId="176" fontId="3" fillId="0" borderId="10" xfId="0" applyNumberFormat="1" applyFont="1" applyBorder="1" applyAlignment="1" applyProtection="1">
      <alignment horizontal="center" vertical="center"/>
      <protection hidden="1"/>
    </xf>
    <xf numFmtId="176" fontId="92" fillId="0" borderId="10" xfId="0" applyNumberFormat="1" applyFont="1" applyBorder="1" applyAlignment="1" applyProtection="1">
      <alignment horizontal="center" vertical="center"/>
      <protection hidden="1"/>
    </xf>
    <xf numFmtId="176" fontId="3" fillId="0" borderId="43" xfId="0" applyNumberFormat="1" applyFont="1" applyBorder="1" applyAlignment="1" applyProtection="1">
      <alignment vertical="center" wrapText="1"/>
      <protection hidden="1"/>
    </xf>
    <xf numFmtId="176" fontId="4" fillId="0" borderId="43" xfId="0" applyNumberFormat="1" applyFont="1" applyBorder="1" applyAlignment="1" applyProtection="1">
      <alignment horizontal="left" vertical="center" wrapText="1"/>
      <protection hidden="1"/>
    </xf>
    <xf numFmtId="176" fontId="4" fillId="56" borderId="43" xfId="0" applyNumberFormat="1" applyFont="1" applyFill="1" applyBorder="1" applyAlignment="1" applyProtection="1">
      <alignment horizontal="left" vertical="center" wrapText="1"/>
      <protection hidden="1"/>
    </xf>
    <xf numFmtId="176" fontId="4" fillId="56" borderId="43" xfId="0" applyNumberFormat="1" applyFont="1" applyFill="1" applyBorder="1" applyAlignment="1" applyProtection="1">
      <alignment horizontal="center" vertical="center" wrapText="1"/>
      <protection hidden="1"/>
    </xf>
    <xf numFmtId="176" fontId="4" fillId="56" borderId="43" xfId="0" applyNumberFormat="1" applyFont="1" applyFill="1" applyBorder="1" applyAlignment="1" applyProtection="1">
      <alignment vertical="center" wrapText="1"/>
      <protection hidden="1"/>
    </xf>
    <xf numFmtId="176" fontId="4" fillId="25" borderId="43" xfId="1" applyNumberFormat="1" applyFont="1" applyFill="1" applyBorder="1" applyAlignment="1" applyProtection="1">
      <alignment horizontal="right" vertical="center" shrinkToFit="1"/>
      <protection hidden="1"/>
    </xf>
    <xf numFmtId="176" fontId="4" fillId="0" borderId="43" xfId="1" applyNumberFormat="1" applyFont="1" applyBorder="1" applyAlignment="1" applyProtection="1">
      <alignment horizontal="right" vertical="center" shrinkToFit="1"/>
      <protection hidden="1"/>
    </xf>
    <xf numFmtId="176" fontId="4" fillId="0" borderId="43" xfId="1" applyNumberFormat="1" applyFont="1" applyFill="1" applyBorder="1" applyAlignment="1" applyProtection="1">
      <alignment horizontal="right" vertical="center" shrinkToFit="1"/>
      <protection hidden="1"/>
    </xf>
    <xf numFmtId="3" fontId="87" fillId="0" borderId="43" xfId="0" applyNumberFormat="1" applyFont="1" applyFill="1" applyBorder="1" applyAlignment="1" applyProtection="1">
      <alignment horizontal="left" vertical="center" wrapText="1"/>
      <protection hidden="1"/>
    </xf>
    <xf numFmtId="176" fontId="3" fillId="0" borderId="44" xfId="0" applyNumberFormat="1" applyFont="1" applyBorder="1" applyProtection="1">
      <alignment vertical="center"/>
      <protection hidden="1"/>
    </xf>
    <xf numFmtId="176" fontId="64" fillId="0" borderId="43" xfId="0" applyNumberFormat="1" applyFont="1" applyBorder="1" applyAlignment="1" applyProtection="1">
      <alignment horizontal="center" vertical="center" shrinkToFit="1"/>
      <protection hidden="1"/>
    </xf>
    <xf numFmtId="176" fontId="7" fillId="0" borderId="43" xfId="0" applyNumberFormat="1" applyFont="1" applyBorder="1" applyAlignment="1" applyProtection="1">
      <alignment horizontal="center" vertical="center" shrinkToFit="1"/>
      <protection hidden="1"/>
    </xf>
    <xf numFmtId="49" fontId="4" fillId="0" borderId="43" xfId="0" applyNumberFormat="1" applyFont="1" applyFill="1" applyBorder="1" applyAlignment="1" applyProtection="1">
      <alignment horizontal="center" vertical="center" shrinkToFit="1"/>
      <protection hidden="1"/>
    </xf>
    <xf numFmtId="49" fontId="104" fillId="0" borderId="45" xfId="0" applyNumberFormat="1" applyFont="1" applyBorder="1" applyAlignment="1" applyProtection="1">
      <alignment horizontal="center" vertical="center"/>
      <protection hidden="1"/>
    </xf>
    <xf numFmtId="176" fontId="7" fillId="0" borderId="43" xfId="1" applyNumberFormat="1" applyFont="1" applyBorder="1" applyAlignment="1" applyProtection="1">
      <alignment horizontal="center" vertical="center" shrinkToFit="1"/>
      <protection hidden="1"/>
    </xf>
    <xf numFmtId="176" fontId="3" fillId="0" borderId="43" xfId="0" applyNumberFormat="1" applyFont="1" applyBorder="1" applyAlignment="1" applyProtection="1">
      <alignment horizontal="center" vertical="center"/>
      <protection hidden="1"/>
    </xf>
    <xf numFmtId="176" fontId="3" fillId="0" borderId="43" xfId="0" applyNumberFormat="1" applyFont="1" applyBorder="1" applyAlignment="1" applyProtection="1">
      <alignment horizontal="right" vertical="center"/>
      <protection hidden="1"/>
    </xf>
    <xf numFmtId="176" fontId="91" fillId="0" borderId="43" xfId="0" applyNumberFormat="1" applyFont="1" applyBorder="1" applyAlignment="1" applyProtection="1">
      <alignment horizontal="center" vertical="center"/>
      <protection hidden="1"/>
    </xf>
    <xf numFmtId="176" fontId="3" fillId="56" borderId="43" xfId="0" applyNumberFormat="1" applyFont="1" applyFill="1" applyBorder="1" applyAlignment="1" applyProtection="1">
      <alignment horizontal="left" vertical="center" wrapText="1"/>
      <protection hidden="1"/>
    </xf>
    <xf numFmtId="176" fontId="3" fillId="56" borderId="43" xfId="0" applyNumberFormat="1" applyFont="1" applyFill="1" applyBorder="1" applyAlignment="1" applyProtection="1">
      <alignment horizontal="center" vertical="center" wrapText="1"/>
      <protection hidden="1"/>
    </xf>
    <xf numFmtId="176" fontId="3" fillId="56" borderId="43" xfId="0" applyNumberFormat="1" applyFont="1" applyFill="1" applyBorder="1" applyAlignment="1" applyProtection="1">
      <alignment vertical="center" wrapText="1"/>
      <protection hidden="1"/>
    </xf>
    <xf numFmtId="176" fontId="4" fillId="0" borderId="43" xfId="1" applyNumberFormat="1" applyFont="1" applyFill="1" applyBorder="1" applyAlignment="1" applyProtection="1">
      <alignment horizontal="center" vertical="center" shrinkToFit="1"/>
      <protection hidden="1"/>
    </xf>
    <xf numFmtId="176" fontId="3" fillId="0" borderId="43" xfId="0" applyNumberFormat="1" applyFont="1" applyBorder="1" applyProtection="1">
      <alignment vertical="center"/>
      <protection hidden="1"/>
    </xf>
    <xf numFmtId="176" fontId="3" fillId="0" borderId="43" xfId="0" applyNumberFormat="1" applyFont="1" applyBorder="1" applyAlignment="1" applyProtection="1">
      <alignment horizontal="left" vertical="center" wrapText="1"/>
      <protection hidden="1"/>
    </xf>
    <xf numFmtId="49" fontId="63" fillId="0" borderId="45" xfId="0" applyNumberFormat="1" applyFont="1" applyBorder="1" applyAlignment="1" applyProtection="1">
      <alignment horizontal="center" vertical="center"/>
      <protection hidden="1"/>
    </xf>
    <xf numFmtId="3" fontId="88" fillId="0" borderId="43" xfId="0" applyNumberFormat="1" applyFont="1" applyFill="1" applyBorder="1" applyAlignment="1" applyProtection="1">
      <alignment horizontal="left" vertical="center" wrapText="1"/>
      <protection hidden="1"/>
    </xf>
    <xf numFmtId="176" fontId="3" fillId="0" borderId="43" xfId="0" applyNumberFormat="1" applyFont="1" applyBorder="1" applyAlignment="1" applyProtection="1">
      <alignment horizontal="center" vertical="center" wrapText="1"/>
      <protection hidden="1"/>
    </xf>
    <xf numFmtId="176" fontId="73" fillId="60" borderId="43" xfId="0" applyNumberFormat="1" applyFont="1" applyFill="1" applyBorder="1" applyAlignment="1" applyProtection="1">
      <alignment horizontal="left" vertical="center" wrapText="1"/>
      <protection hidden="1"/>
    </xf>
    <xf numFmtId="176" fontId="73" fillId="56" borderId="43" xfId="0" applyNumberFormat="1" applyFont="1" applyFill="1" applyBorder="1" applyAlignment="1" applyProtection="1">
      <alignment horizontal="left" vertical="center" shrinkToFit="1"/>
      <protection hidden="1"/>
    </xf>
    <xf numFmtId="176" fontId="73" fillId="56" borderId="43" xfId="0" applyNumberFormat="1" applyFont="1" applyFill="1" applyBorder="1" applyAlignment="1" applyProtection="1">
      <alignment horizontal="center" vertical="center" wrapText="1"/>
      <protection hidden="1"/>
    </xf>
    <xf numFmtId="176" fontId="73" fillId="56" borderId="43" xfId="0" applyNumberFormat="1" applyFont="1" applyFill="1" applyBorder="1" applyAlignment="1" applyProtection="1">
      <alignment vertical="center" wrapText="1"/>
      <protection hidden="1"/>
    </xf>
    <xf numFmtId="176" fontId="73" fillId="25" borderId="43" xfId="1" applyNumberFormat="1" applyFont="1" applyFill="1" applyBorder="1" applyAlignment="1" applyProtection="1">
      <alignment horizontal="right" vertical="center" shrinkToFit="1"/>
      <protection hidden="1"/>
    </xf>
    <xf numFmtId="176" fontId="73" fillId="0" borderId="43" xfId="1" applyNumberFormat="1" applyFont="1" applyBorder="1" applyAlignment="1" applyProtection="1">
      <alignment horizontal="right" vertical="center" shrinkToFit="1"/>
      <protection hidden="1"/>
    </xf>
    <xf numFmtId="176" fontId="0" fillId="56" borderId="43" xfId="0" applyNumberFormat="1" applyFont="1" applyFill="1" applyBorder="1" applyAlignment="1" applyProtection="1">
      <alignment horizontal="center" vertical="center" wrapText="1"/>
      <protection hidden="1"/>
    </xf>
    <xf numFmtId="176" fontId="0" fillId="56" borderId="43" xfId="0" applyNumberFormat="1" applyFont="1" applyFill="1" applyBorder="1" applyAlignment="1" applyProtection="1">
      <alignment vertical="center" wrapText="1"/>
      <protection hidden="1"/>
    </xf>
    <xf numFmtId="176" fontId="105" fillId="56" borderId="43" xfId="0" applyNumberFormat="1" applyFont="1" applyFill="1" applyBorder="1" applyAlignment="1" applyProtection="1">
      <alignment vertical="center" wrapText="1"/>
      <protection hidden="1"/>
    </xf>
    <xf numFmtId="176" fontId="106" fillId="56" borderId="43" xfId="0" applyNumberFormat="1" applyFont="1" applyFill="1" applyBorder="1" applyAlignment="1" applyProtection="1">
      <alignment vertical="center" wrapText="1"/>
      <protection hidden="1"/>
    </xf>
    <xf numFmtId="176" fontId="3" fillId="0" borderId="50" xfId="0" applyNumberFormat="1" applyFont="1" applyBorder="1" applyAlignment="1" applyProtection="1">
      <alignment vertical="center" wrapText="1"/>
      <protection hidden="1"/>
    </xf>
    <xf numFmtId="176" fontId="3" fillId="0" borderId="50" xfId="0" applyNumberFormat="1" applyFont="1" applyBorder="1" applyAlignment="1" applyProtection="1">
      <alignment horizontal="left" vertical="center" wrapText="1"/>
      <protection hidden="1"/>
    </xf>
    <xf numFmtId="176" fontId="3" fillId="56" borderId="50" xfId="0" applyNumberFormat="1" applyFont="1" applyFill="1" applyBorder="1" applyAlignment="1" applyProtection="1">
      <alignment horizontal="left" vertical="center" wrapText="1"/>
      <protection hidden="1"/>
    </xf>
    <xf numFmtId="176" fontId="3" fillId="56" borderId="50" xfId="0" applyNumberFormat="1" applyFont="1" applyFill="1" applyBorder="1" applyAlignment="1" applyProtection="1">
      <alignment horizontal="center" vertical="center" wrapText="1"/>
      <protection hidden="1"/>
    </xf>
    <xf numFmtId="176" fontId="3" fillId="56" borderId="50" xfId="0" applyNumberFormat="1" applyFont="1" applyFill="1" applyBorder="1" applyAlignment="1" applyProtection="1">
      <alignment vertical="center" wrapText="1"/>
      <protection hidden="1"/>
    </xf>
    <xf numFmtId="176" fontId="4" fillId="25" borderId="50" xfId="1" applyNumberFormat="1" applyFont="1" applyFill="1" applyBorder="1" applyAlignment="1" applyProtection="1">
      <alignment horizontal="right" vertical="center" shrinkToFit="1"/>
      <protection hidden="1"/>
    </xf>
    <xf numFmtId="176" fontId="4" fillId="0" borderId="50" xfId="1" applyNumberFormat="1" applyFont="1" applyBorder="1" applyAlignment="1" applyProtection="1">
      <alignment horizontal="right" vertical="center" shrinkToFit="1"/>
      <protection hidden="1"/>
    </xf>
    <xf numFmtId="176" fontId="4" fillId="0" borderId="50" xfId="1" applyNumberFormat="1" applyFont="1" applyFill="1" applyBorder="1" applyAlignment="1" applyProtection="1">
      <alignment horizontal="center" vertical="center" shrinkToFit="1"/>
      <protection hidden="1"/>
    </xf>
    <xf numFmtId="3" fontId="87" fillId="0" borderId="50" xfId="0" applyNumberFormat="1" applyFont="1" applyFill="1" applyBorder="1" applyAlignment="1" applyProtection="1">
      <alignment horizontal="left" vertical="center" wrapText="1"/>
      <protection hidden="1"/>
    </xf>
    <xf numFmtId="3" fontId="108" fillId="0" borderId="43" xfId="0" applyNumberFormat="1" applyFont="1" applyFill="1" applyBorder="1" applyAlignment="1" applyProtection="1">
      <alignment horizontal="left" vertical="center" wrapText="1"/>
      <protection hidden="1"/>
    </xf>
    <xf numFmtId="176" fontId="89" fillId="0" borderId="0" xfId="0" applyNumberFormat="1" applyFont="1" applyAlignment="1" applyProtection="1">
      <alignment vertical="center"/>
      <protection hidden="1"/>
    </xf>
    <xf numFmtId="176" fontId="64" fillId="0" borderId="0" xfId="0" applyNumberFormat="1" applyFont="1" applyProtection="1">
      <alignment vertical="center"/>
      <protection hidden="1"/>
    </xf>
    <xf numFmtId="176" fontId="8" fillId="52" borderId="11" xfId="0" applyNumberFormat="1" applyFont="1" applyFill="1" applyBorder="1" applyAlignment="1" applyProtection="1">
      <alignment horizontal="center" vertical="center"/>
      <protection hidden="1"/>
    </xf>
    <xf numFmtId="176" fontId="8" fillId="55" borderId="47" xfId="0" applyNumberFormat="1" applyFont="1" applyFill="1" applyBorder="1" applyAlignment="1" applyProtection="1">
      <alignment horizontal="center" vertical="center"/>
      <protection hidden="1"/>
    </xf>
    <xf numFmtId="176" fontId="8" fillId="55" borderId="11" xfId="0" applyNumberFormat="1" applyFont="1" applyFill="1" applyBorder="1" applyAlignment="1" applyProtection="1">
      <alignment horizontal="center" vertical="center"/>
      <protection hidden="1"/>
    </xf>
    <xf numFmtId="176" fontId="7" fillId="0" borderId="51" xfId="0" applyNumberFormat="1" applyFont="1" applyBorder="1" applyAlignment="1" applyProtection="1">
      <alignment horizontal="center" vertical="center" wrapText="1"/>
      <protection hidden="1"/>
    </xf>
    <xf numFmtId="176" fontId="7" fillId="0" borderId="70" xfId="0" applyNumberFormat="1" applyFont="1" applyBorder="1" applyAlignment="1" applyProtection="1">
      <alignment horizontal="right" vertical="center" shrinkToFit="1"/>
      <protection hidden="1"/>
    </xf>
    <xf numFmtId="176" fontId="7" fillId="0" borderId="53" xfId="0" applyNumberFormat="1" applyFont="1" applyBorder="1" applyAlignment="1" applyProtection="1">
      <alignment horizontal="right" vertical="center" shrinkToFit="1"/>
      <protection hidden="1"/>
    </xf>
    <xf numFmtId="176" fontId="7" fillId="0" borderId="51" xfId="0" applyNumberFormat="1" applyFont="1" applyBorder="1" applyAlignment="1" applyProtection="1">
      <alignment horizontal="right" vertical="center" shrinkToFit="1"/>
      <protection hidden="1"/>
    </xf>
    <xf numFmtId="176" fontId="7" fillId="0" borderId="63" xfId="0" applyNumberFormat="1" applyFont="1" applyBorder="1" applyAlignment="1" applyProtection="1">
      <alignment horizontal="right" vertical="center" shrinkToFit="1"/>
      <protection hidden="1"/>
    </xf>
    <xf numFmtId="176" fontId="7" fillId="0" borderId="64" xfId="0" applyNumberFormat="1" applyFont="1" applyBorder="1" applyAlignment="1" applyProtection="1">
      <alignment horizontal="right" vertical="center" shrinkToFit="1"/>
      <protection hidden="1"/>
    </xf>
    <xf numFmtId="0" fontId="72" fillId="58" borderId="43" xfId="0" applyFont="1" applyFill="1" applyBorder="1" applyAlignment="1" applyProtection="1">
      <alignment horizontal="centerContinuous" vertical="center"/>
      <protection hidden="1"/>
    </xf>
    <xf numFmtId="176" fontId="72" fillId="58" borderId="43" xfId="0" applyNumberFormat="1" applyFont="1" applyFill="1" applyBorder="1" applyAlignment="1" applyProtection="1">
      <alignment horizontal="centerContinuous" vertical="center" wrapText="1"/>
      <protection hidden="1"/>
    </xf>
    <xf numFmtId="176" fontId="72" fillId="58" borderId="52" xfId="0" applyNumberFormat="1" applyFont="1" applyFill="1" applyBorder="1" applyAlignment="1" applyProtection="1">
      <alignment horizontal="centerContinuous" vertical="center" wrapText="1"/>
      <protection hidden="1"/>
    </xf>
    <xf numFmtId="176" fontId="7" fillId="58" borderId="70" xfId="0" applyNumberFormat="1" applyFont="1" applyFill="1" applyBorder="1" applyAlignment="1" applyProtection="1">
      <alignment horizontal="right" vertical="center" shrinkToFit="1"/>
      <protection hidden="1"/>
    </xf>
    <xf numFmtId="176" fontId="7" fillId="58" borderId="54" xfId="0" applyNumberFormat="1" applyFont="1" applyFill="1" applyBorder="1" applyAlignment="1" applyProtection="1">
      <alignment horizontal="right" vertical="center" shrinkToFit="1"/>
      <protection hidden="1"/>
    </xf>
    <xf numFmtId="176" fontId="7" fillId="58" borderId="43" xfId="0" applyNumberFormat="1" applyFont="1" applyFill="1" applyBorder="1" applyAlignment="1" applyProtection="1">
      <alignment horizontal="right" vertical="center" shrinkToFit="1"/>
      <protection hidden="1"/>
    </xf>
    <xf numFmtId="176" fontId="7" fillId="58" borderId="52" xfId="0" applyNumberFormat="1" applyFont="1" applyFill="1" applyBorder="1" applyAlignment="1" applyProtection="1">
      <alignment horizontal="right" vertical="center" shrinkToFit="1"/>
      <protection hidden="1"/>
    </xf>
    <xf numFmtId="176" fontId="7" fillId="58" borderId="65" xfId="0" applyNumberFormat="1" applyFont="1" applyFill="1" applyBorder="1" applyAlignment="1" applyProtection="1">
      <alignment horizontal="right" vertical="center" shrinkToFit="1"/>
      <protection hidden="1"/>
    </xf>
    <xf numFmtId="176" fontId="7" fillId="58" borderId="66" xfId="0" applyNumberFormat="1" applyFont="1" applyFill="1" applyBorder="1" applyAlignment="1" applyProtection="1">
      <alignment horizontal="right" vertical="center" shrinkToFit="1"/>
      <protection hidden="1"/>
    </xf>
    <xf numFmtId="176" fontId="3" fillId="56" borderId="52" xfId="0" applyNumberFormat="1" applyFont="1" applyFill="1" applyBorder="1" applyAlignment="1" applyProtection="1">
      <alignment vertical="center" wrapText="1"/>
      <protection hidden="1"/>
    </xf>
    <xf numFmtId="176" fontId="4" fillId="25" borderId="70" xfId="1" applyNumberFormat="1" applyFont="1" applyFill="1" applyBorder="1" applyAlignment="1" applyProtection="1">
      <alignment horizontal="right" vertical="center" shrinkToFit="1"/>
      <protection hidden="1"/>
    </xf>
    <xf numFmtId="176" fontId="4" fillId="25" borderId="54" xfId="1" applyNumberFormat="1" applyFont="1" applyFill="1" applyBorder="1" applyAlignment="1" applyProtection="1">
      <alignment horizontal="right" vertical="center" shrinkToFit="1"/>
      <protection hidden="1"/>
    </xf>
    <xf numFmtId="176" fontId="4" fillId="25" borderId="52" xfId="1" applyNumberFormat="1" applyFont="1" applyFill="1" applyBorder="1" applyAlignment="1" applyProtection="1">
      <alignment horizontal="right" vertical="center" shrinkToFit="1"/>
      <protection hidden="1"/>
    </xf>
    <xf numFmtId="176" fontId="4" fillId="0" borderId="65" xfId="1" applyNumberFormat="1" applyFont="1" applyBorder="1" applyAlignment="1" applyProtection="1">
      <alignment horizontal="right" vertical="center" shrinkToFit="1"/>
      <protection hidden="1"/>
    </xf>
    <xf numFmtId="176" fontId="4" fillId="25" borderId="66" xfId="1" applyNumberFormat="1" applyFont="1" applyFill="1" applyBorder="1" applyAlignment="1" applyProtection="1">
      <alignment horizontal="right" vertical="center" shrinkToFit="1"/>
      <protection hidden="1"/>
    </xf>
    <xf numFmtId="176" fontId="3" fillId="0" borderId="43" xfId="0" applyNumberFormat="1" applyFont="1" applyFill="1" applyBorder="1" applyAlignment="1" applyProtection="1">
      <alignment vertical="center" wrapText="1"/>
      <protection hidden="1"/>
    </xf>
    <xf numFmtId="176" fontId="7" fillId="0" borderId="53" xfId="0" applyNumberFormat="1" applyFont="1" applyBorder="1" applyAlignment="1" applyProtection="1">
      <alignment horizontal="left" vertical="center" wrapText="1"/>
      <protection hidden="1"/>
    </xf>
    <xf numFmtId="176" fontId="7" fillId="58" borderId="54" xfId="0" applyNumberFormat="1" applyFont="1" applyFill="1" applyBorder="1" applyAlignment="1" applyProtection="1">
      <alignment horizontal="left" vertical="center" wrapText="1"/>
      <protection hidden="1"/>
    </xf>
    <xf numFmtId="176" fontId="4" fillId="0" borderId="43" xfId="1" applyNumberFormat="1" applyFont="1" applyFill="1" applyBorder="1" applyAlignment="1" applyProtection="1">
      <alignment horizontal="left" vertical="center" wrapText="1" shrinkToFit="1"/>
      <protection hidden="1"/>
    </xf>
    <xf numFmtId="3" fontId="87" fillId="0" borderId="54" xfId="0" applyNumberFormat="1" applyFont="1" applyFill="1" applyBorder="1" applyAlignment="1" applyProtection="1">
      <alignment horizontal="left" vertical="center" wrapText="1"/>
      <protection hidden="1"/>
    </xf>
    <xf numFmtId="176" fontId="3" fillId="0" borderId="43" xfId="0" applyNumberFormat="1" applyFont="1" applyBorder="1" applyAlignment="1" applyProtection="1">
      <alignment vertical="center" shrinkToFit="1"/>
      <protection hidden="1"/>
    </xf>
    <xf numFmtId="176" fontId="107" fillId="56" borderId="43" xfId="0" applyNumberFormat="1" applyFont="1" applyFill="1" applyBorder="1" applyAlignment="1" applyProtection="1">
      <alignment vertical="center" wrapText="1"/>
      <protection hidden="1"/>
    </xf>
    <xf numFmtId="176" fontId="4" fillId="56" borderId="52" xfId="0" applyNumberFormat="1" applyFont="1" applyFill="1" applyBorder="1" applyAlignment="1" applyProtection="1">
      <alignment vertical="center" wrapText="1"/>
      <protection hidden="1"/>
    </xf>
    <xf numFmtId="176" fontId="65" fillId="56" borderId="52" xfId="0" applyNumberFormat="1" applyFont="1" applyFill="1" applyBorder="1" applyAlignment="1" applyProtection="1">
      <alignment vertical="center" wrapText="1"/>
      <protection hidden="1"/>
    </xf>
    <xf numFmtId="176" fontId="4" fillId="0" borderId="58" xfId="440" applyNumberFormat="1" applyFont="1" applyFill="1" applyBorder="1" applyAlignment="1" applyProtection="1">
      <alignment horizontal="left" vertical="center" wrapText="1" shrinkToFit="1"/>
      <protection hidden="1"/>
    </xf>
    <xf numFmtId="0" fontId="72" fillId="58" borderId="43" xfId="0" applyNumberFormat="1" applyFont="1" applyFill="1" applyBorder="1" applyAlignment="1" applyProtection="1">
      <alignment horizontal="centerContinuous" vertical="center" wrapText="1"/>
      <protection hidden="1"/>
    </xf>
    <xf numFmtId="176" fontId="72" fillId="58" borderId="43" xfId="0" applyNumberFormat="1" applyFont="1" applyFill="1" applyBorder="1" applyAlignment="1" applyProtection="1">
      <alignment horizontal="centerContinuous" vertical="center"/>
      <protection hidden="1"/>
    </xf>
    <xf numFmtId="176" fontId="4" fillId="0" borderId="54" xfId="0" applyNumberFormat="1" applyFont="1" applyFill="1" applyBorder="1" applyAlignment="1" applyProtection="1">
      <alignment horizontal="left" vertical="center" wrapText="1"/>
      <protection hidden="1"/>
    </xf>
    <xf numFmtId="176" fontId="4" fillId="0" borderId="43" xfId="0" applyNumberFormat="1" applyFont="1" applyBorder="1" applyAlignment="1" applyProtection="1">
      <alignment vertical="center" wrapText="1"/>
      <protection hidden="1"/>
    </xf>
    <xf numFmtId="176" fontId="64" fillId="56" borderId="52" xfId="0" applyNumberFormat="1" applyFont="1" applyFill="1" applyBorder="1" applyAlignment="1" applyProtection="1">
      <alignment vertical="center" wrapText="1"/>
      <protection hidden="1"/>
    </xf>
    <xf numFmtId="176" fontId="3" fillId="0" borderId="43" xfId="0" applyNumberFormat="1" applyFont="1" applyBorder="1" applyAlignment="1" applyProtection="1">
      <alignment vertical="center" wrapText="1" shrinkToFit="1"/>
      <protection hidden="1"/>
    </xf>
    <xf numFmtId="176" fontId="4" fillId="0" borderId="43" xfId="0" applyNumberFormat="1" applyFont="1" applyBorder="1" applyAlignment="1" applyProtection="1">
      <alignment vertical="center" shrinkToFit="1"/>
      <protection hidden="1"/>
    </xf>
    <xf numFmtId="176" fontId="3" fillId="0" borderId="43" xfId="0" applyNumberFormat="1" applyFont="1" applyFill="1" applyBorder="1" applyAlignment="1" applyProtection="1">
      <alignment vertical="center" wrapText="1" shrinkToFit="1"/>
      <protection hidden="1"/>
    </xf>
    <xf numFmtId="176" fontId="4" fillId="0" borderId="0" xfId="0" applyNumberFormat="1" applyFont="1" applyProtection="1">
      <alignment vertical="center"/>
      <protection hidden="1"/>
    </xf>
    <xf numFmtId="176" fontId="4" fillId="0" borderId="43" xfId="0" applyNumberFormat="1" applyFont="1" applyFill="1" applyBorder="1" applyAlignment="1" applyProtection="1">
      <alignment horizontal="left" vertical="center" wrapText="1"/>
      <protection hidden="1"/>
    </xf>
    <xf numFmtId="176" fontId="64" fillId="0" borderId="43" xfId="1" applyNumberFormat="1" applyFont="1" applyFill="1" applyBorder="1" applyAlignment="1" applyProtection="1">
      <alignment horizontal="left" vertical="center" wrapText="1" shrinkToFit="1"/>
      <protection hidden="1"/>
    </xf>
    <xf numFmtId="176" fontId="64" fillId="0" borderId="43" xfId="1" applyNumberFormat="1" applyFont="1" applyFill="1" applyBorder="1" applyAlignment="1" applyProtection="1">
      <alignment horizontal="left" vertical="center" wrapText="1"/>
      <protection hidden="1"/>
    </xf>
    <xf numFmtId="176" fontId="4" fillId="60" borderId="43" xfId="1" applyNumberFormat="1" applyFont="1" applyFill="1" applyBorder="1" applyAlignment="1" applyProtection="1">
      <alignment horizontal="right" vertical="center" shrinkToFit="1"/>
      <protection hidden="1"/>
    </xf>
    <xf numFmtId="176" fontId="4" fillId="60" borderId="65" xfId="1" applyNumberFormat="1" applyFont="1" applyFill="1" applyBorder="1" applyAlignment="1" applyProtection="1">
      <alignment horizontal="right" vertical="center" shrinkToFit="1"/>
      <protection hidden="1"/>
    </xf>
    <xf numFmtId="176" fontId="4" fillId="56" borderId="50" xfId="0" applyNumberFormat="1" applyFont="1" applyFill="1" applyBorder="1" applyAlignment="1" applyProtection="1">
      <alignment horizontal="center" vertical="center" wrapText="1"/>
      <protection hidden="1"/>
    </xf>
    <xf numFmtId="176" fontId="4" fillId="56" borderId="56" xfId="0" applyNumberFormat="1" applyFont="1" applyFill="1" applyBorder="1" applyAlignment="1" applyProtection="1">
      <alignment vertical="center" wrapText="1"/>
      <protection hidden="1"/>
    </xf>
    <xf numFmtId="176" fontId="4" fillId="25" borderId="57" xfId="1" applyNumberFormat="1" applyFont="1" applyFill="1" applyBorder="1" applyAlignment="1" applyProtection="1">
      <alignment horizontal="right" vertical="center" shrinkToFit="1"/>
      <protection hidden="1"/>
    </xf>
    <xf numFmtId="176" fontId="4" fillId="25" borderId="56" xfId="1" applyNumberFormat="1" applyFont="1" applyFill="1" applyBorder="1" applyAlignment="1" applyProtection="1">
      <alignment horizontal="right" vertical="center" shrinkToFit="1"/>
      <protection hidden="1"/>
    </xf>
    <xf numFmtId="49" fontId="4" fillId="0" borderId="43" xfId="0" applyNumberFormat="1" applyFont="1" applyBorder="1" applyAlignment="1" applyProtection="1">
      <alignment horizontal="left" vertical="center" wrapText="1"/>
      <protection hidden="1"/>
    </xf>
    <xf numFmtId="49" fontId="7" fillId="0" borderId="54" xfId="0" applyNumberFormat="1" applyFont="1" applyBorder="1" applyAlignment="1" applyProtection="1">
      <alignment vertical="center" wrapText="1"/>
      <protection hidden="1"/>
    </xf>
    <xf numFmtId="176" fontId="4" fillId="0" borderId="54" xfId="0" quotePrefix="1" applyNumberFormat="1" applyFont="1" applyBorder="1" applyAlignment="1" applyProtection="1">
      <alignment vertical="center" wrapText="1"/>
      <protection hidden="1"/>
    </xf>
    <xf numFmtId="49" fontId="4" fillId="0" borderId="54" xfId="0" applyNumberFormat="1" applyFont="1" applyBorder="1" applyAlignment="1" applyProtection="1">
      <alignment vertical="center" wrapText="1"/>
      <protection hidden="1"/>
    </xf>
    <xf numFmtId="49" fontId="4" fillId="60" borderId="54" xfId="0" applyNumberFormat="1" applyFont="1" applyFill="1" applyBorder="1" applyAlignment="1" applyProtection="1">
      <alignment vertical="center" wrapText="1"/>
      <protection hidden="1"/>
    </xf>
    <xf numFmtId="49" fontId="4" fillId="0" borderId="57" xfId="0" applyNumberFormat="1" applyFont="1" applyBorder="1" applyAlignment="1" applyProtection="1">
      <alignment vertical="center" wrapText="1"/>
      <protection hidden="1"/>
    </xf>
    <xf numFmtId="176" fontId="8" fillId="52" borderId="43" xfId="0" applyNumberFormat="1" applyFont="1" applyFill="1" applyBorder="1" applyAlignment="1" applyProtection="1">
      <alignment horizontal="center" vertical="center"/>
      <protection hidden="1"/>
    </xf>
    <xf numFmtId="176" fontId="8" fillId="55" borderId="43" xfId="0" applyNumberFormat="1" applyFont="1" applyFill="1" applyBorder="1" applyAlignment="1" applyProtection="1">
      <alignment horizontal="center" vertical="center"/>
      <protection hidden="1"/>
    </xf>
    <xf numFmtId="176" fontId="7" fillId="0" borderId="10" xfId="0" applyNumberFormat="1" applyFont="1" applyBorder="1" applyAlignment="1" applyProtection="1">
      <alignment vertical="center" wrapText="1"/>
      <protection hidden="1"/>
    </xf>
    <xf numFmtId="176" fontId="7" fillId="0" borderId="10" xfId="0" applyNumberFormat="1" applyFont="1" applyBorder="1" applyAlignment="1" applyProtection="1">
      <alignment horizontal="center" vertical="center" wrapText="1"/>
      <protection hidden="1"/>
    </xf>
    <xf numFmtId="176" fontId="7" fillId="0" borderId="10" xfId="0" applyNumberFormat="1" applyFont="1" applyBorder="1" applyAlignment="1" applyProtection="1">
      <alignment horizontal="left" vertical="center" wrapText="1"/>
      <protection hidden="1"/>
    </xf>
    <xf numFmtId="176" fontId="63" fillId="0" borderId="43" xfId="0" applyNumberFormat="1" applyFont="1" applyBorder="1" applyAlignment="1" applyProtection="1">
      <alignment horizontal="center" vertical="center" shrinkToFit="1"/>
      <protection hidden="1"/>
    </xf>
    <xf numFmtId="176" fontId="7" fillId="0" borderId="43" xfId="0" applyNumberFormat="1" applyFont="1" applyBorder="1" applyAlignment="1" applyProtection="1">
      <alignment horizontal="right" vertical="center" shrinkToFit="1"/>
      <protection hidden="1"/>
    </xf>
    <xf numFmtId="176" fontId="67" fillId="0" borderId="43" xfId="0" applyNumberFormat="1" applyFont="1" applyBorder="1" applyAlignment="1" applyProtection="1">
      <alignment horizontal="center" vertical="center" shrinkToFit="1"/>
      <protection hidden="1"/>
    </xf>
    <xf numFmtId="49" fontId="63" fillId="0" borderId="43" xfId="0" applyNumberFormat="1" applyFont="1" applyFill="1" applyBorder="1" applyAlignment="1" applyProtection="1">
      <alignment horizontal="center" vertical="center" shrinkToFit="1"/>
      <protection hidden="1"/>
    </xf>
    <xf numFmtId="49" fontId="91" fillId="0" borderId="43" xfId="0" applyNumberFormat="1" applyFont="1" applyBorder="1" applyAlignment="1" applyProtection="1">
      <alignment horizontal="center" vertical="center"/>
      <protection hidden="1"/>
    </xf>
    <xf numFmtId="0" fontId="72" fillId="58" borderId="41" xfId="0" applyNumberFormat="1" applyFont="1" applyFill="1" applyBorder="1" applyAlignment="1" applyProtection="1">
      <alignment vertical="center"/>
      <protection hidden="1"/>
    </xf>
    <xf numFmtId="176" fontId="72" fillId="58" borderId="41" xfId="0" applyNumberFormat="1" applyFont="1" applyFill="1" applyBorder="1" applyAlignment="1" applyProtection="1">
      <alignment horizontal="centerContinuous" vertical="center" wrapText="1"/>
      <protection hidden="1"/>
    </xf>
    <xf numFmtId="176" fontId="72" fillId="58" borderId="41" xfId="0" applyNumberFormat="1" applyFont="1" applyFill="1" applyBorder="1" applyAlignment="1" applyProtection="1">
      <alignment horizontal="centerContinuous" vertical="center"/>
      <protection hidden="1"/>
    </xf>
    <xf numFmtId="176" fontId="7" fillId="58" borderId="41" xfId="0" applyNumberFormat="1" applyFont="1" applyFill="1" applyBorder="1" applyAlignment="1" applyProtection="1">
      <alignment horizontal="right" vertical="center" shrinkToFit="1"/>
      <protection hidden="1"/>
    </xf>
    <xf numFmtId="176" fontId="7" fillId="58" borderId="41" xfId="0" applyNumberFormat="1" applyFont="1" applyFill="1" applyBorder="1" applyAlignment="1" applyProtection="1">
      <alignment horizontal="center" vertical="center" shrinkToFit="1"/>
      <protection hidden="1"/>
    </xf>
    <xf numFmtId="176" fontId="7" fillId="58" borderId="41" xfId="0" applyNumberFormat="1" applyFont="1" applyFill="1" applyBorder="1" applyAlignment="1" applyProtection="1">
      <alignment horizontal="left" vertical="center" wrapText="1"/>
      <protection hidden="1"/>
    </xf>
    <xf numFmtId="176" fontId="65" fillId="0" borderId="43" xfId="0" applyNumberFormat="1" applyFont="1" applyBorder="1" applyProtection="1">
      <alignment vertical="center"/>
      <protection hidden="1"/>
    </xf>
    <xf numFmtId="176" fontId="65" fillId="0" borderId="43" xfId="0" applyNumberFormat="1" applyFont="1" applyFill="1" applyBorder="1" applyProtection="1">
      <alignment vertical="center"/>
      <protection hidden="1"/>
    </xf>
    <xf numFmtId="0" fontId="91" fillId="0" borderId="43" xfId="0" applyNumberFormat="1" applyFont="1" applyBorder="1" applyAlignment="1" applyProtection="1">
      <alignment horizontal="center" vertical="center"/>
      <protection hidden="1"/>
    </xf>
    <xf numFmtId="176" fontId="91" fillId="0" borderId="43" xfId="0" applyNumberFormat="1" applyFont="1" applyBorder="1" applyProtection="1">
      <alignment vertical="center"/>
      <protection hidden="1"/>
    </xf>
    <xf numFmtId="0" fontId="72" fillId="58" borderId="43" xfId="0" applyNumberFormat="1" applyFont="1" applyFill="1" applyBorder="1" applyAlignment="1" applyProtection="1">
      <alignment vertical="center"/>
      <protection hidden="1"/>
    </xf>
    <xf numFmtId="176" fontId="7" fillId="58" borderId="43" xfId="0" applyNumberFormat="1" applyFont="1" applyFill="1" applyBorder="1" applyAlignment="1" applyProtection="1">
      <alignment horizontal="center" vertical="center" shrinkToFit="1"/>
      <protection hidden="1"/>
    </xf>
    <xf numFmtId="176" fontId="7" fillId="58" borderId="43" xfId="0" applyNumberFormat="1" applyFont="1" applyFill="1" applyBorder="1" applyAlignment="1" applyProtection="1">
      <alignment horizontal="left" vertical="center" wrapText="1"/>
      <protection hidden="1"/>
    </xf>
    <xf numFmtId="176" fontId="3" fillId="0" borderId="43" xfId="0" applyNumberFormat="1" applyFont="1" applyBorder="1" applyAlignment="1" applyProtection="1">
      <alignment vertical="center"/>
      <protection hidden="1"/>
    </xf>
    <xf numFmtId="41" fontId="4" fillId="25" borderId="43" xfId="1" applyFont="1" applyFill="1" applyBorder="1" applyAlignment="1" applyProtection="1">
      <alignment horizontal="right" vertical="center" shrinkToFit="1"/>
      <protection hidden="1"/>
    </xf>
    <xf numFmtId="176" fontId="65" fillId="0" borderId="50" xfId="0" applyNumberFormat="1" applyFont="1" applyBorder="1" applyProtection="1">
      <alignment vertical="center"/>
      <protection hidden="1"/>
    </xf>
    <xf numFmtId="176" fontId="3" fillId="0" borderId="50" xfId="0" applyNumberFormat="1" applyFont="1" applyBorder="1" applyProtection="1">
      <alignment vertical="center"/>
      <protection hidden="1"/>
    </xf>
    <xf numFmtId="176" fontId="3" fillId="0" borderId="50" xfId="0" applyNumberFormat="1" applyFont="1" applyBorder="1" applyAlignment="1" applyProtection="1">
      <alignment horizontal="center" vertical="center"/>
      <protection hidden="1"/>
    </xf>
    <xf numFmtId="176" fontId="65" fillId="0" borderId="50" xfId="0" applyNumberFormat="1" applyFont="1" applyFill="1" applyBorder="1" applyProtection="1">
      <alignment vertical="center"/>
      <protection hidden="1"/>
    </xf>
    <xf numFmtId="0" fontId="91" fillId="0" borderId="50" xfId="0" applyNumberFormat="1" applyFont="1" applyBorder="1" applyAlignment="1" applyProtection="1">
      <alignment horizontal="center" vertical="center"/>
      <protection hidden="1"/>
    </xf>
    <xf numFmtId="176" fontId="91" fillId="0" borderId="50" xfId="0" applyNumberFormat="1" applyFont="1" applyBorder="1" applyProtection="1">
      <alignment vertical="center"/>
      <protection hidden="1"/>
    </xf>
    <xf numFmtId="176" fontId="3" fillId="0" borderId="0" xfId="0" applyNumberFormat="1" applyFont="1" applyAlignment="1" applyProtection="1">
      <alignment vertical="center"/>
      <protection hidden="1"/>
    </xf>
    <xf numFmtId="176" fontId="65" fillId="0" borderId="0" xfId="0" applyNumberFormat="1" applyFont="1" applyFill="1" applyProtection="1">
      <alignment vertical="center"/>
      <protection hidden="1"/>
    </xf>
    <xf numFmtId="176" fontId="63" fillId="0" borderId="43" xfId="0" applyNumberFormat="1" applyFont="1" applyBorder="1" applyAlignment="1" applyProtection="1">
      <alignment horizontal="center" vertical="center" wrapText="1" shrinkToFit="1"/>
      <protection hidden="1"/>
    </xf>
    <xf numFmtId="176" fontId="63" fillId="0" borderId="43" xfId="0" applyNumberFormat="1" applyFont="1" applyFill="1" applyBorder="1" applyAlignment="1" applyProtection="1">
      <alignment horizontal="center" vertical="center" shrinkToFit="1"/>
      <protection hidden="1"/>
    </xf>
    <xf numFmtId="176" fontId="3" fillId="0" borderId="42" xfId="0" applyNumberFormat="1" applyFont="1" applyBorder="1" applyProtection="1">
      <alignment vertical="center"/>
      <protection hidden="1"/>
    </xf>
    <xf numFmtId="176" fontId="4" fillId="0" borderId="43" xfId="0" applyNumberFormat="1" applyFont="1" applyFill="1" applyBorder="1" applyAlignment="1" applyProtection="1">
      <alignment horizontal="center" vertical="center" shrinkToFit="1"/>
      <protection hidden="1"/>
    </xf>
    <xf numFmtId="176" fontId="3" fillId="0" borderId="42" xfId="0" applyNumberFormat="1" applyFont="1" applyBorder="1" applyAlignment="1" applyProtection="1">
      <alignment horizontal="center" vertical="center"/>
      <protection hidden="1"/>
    </xf>
    <xf numFmtId="176" fontId="4" fillId="0" borderId="43" xfId="1" applyNumberFormat="1" applyFont="1" applyBorder="1" applyAlignment="1" applyProtection="1">
      <alignment horizontal="center" vertical="center" shrinkToFit="1"/>
      <protection hidden="1"/>
    </xf>
    <xf numFmtId="176" fontId="3" fillId="0" borderId="44" xfId="0" applyNumberFormat="1" applyFont="1" applyBorder="1" applyAlignment="1" applyProtection="1">
      <alignment horizontal="center" vertical="center"/>
      <protection hidden="1"/>
    </xf>
    <xf numFmtId="176" fontId="65" fillId="0" borderId="43" xfId="0" applyNumberFormat="1" applyFont="1" applyBorder="1" applyAlignment="1" applyProtection="1">
      <alignment horizontal="center" vertical="center"/>
      <protection hidden="1"/>
    </xf>
    <xf numFmtId="176" fontId="65" fillId="0" borderId="43" xfId="0" applyNumberFormat="1" applyFont="1" applyFill="1" applyBorder="1" applyAlignment="1" applyProtection="1">
      <alignment horizontal="center" vertical="center"/>
      <protection hidden="1"/>
    </xf>
    <xf numFmtId="176" fontId="4" fillId="55" borderId="43" xfId="1" applyNumberFormat="1" applyFont="1" applyFill="1" applyBorder="1" applyAlignment="1" applyProtection="1">
      <alignment horizontal="right" vertical="center" shrinkToFit="1"/>
      <protection hidden="1"/>
    </xf>
    <xf numFmtId="176" fontId="65" fillId="0" borderId="50" xfId="0" applyNumberFormat="1" applyFont="1" applyBorder="1" applyAlignment="1" applyProtection="1">
      <alignment horizontal="center" vertical="center"/>
      <protection hidden="1"/>
    </xf>
    <xf numFmtId="176" fontId="65" fillId="0" borderId="50" xfId="0" applyNumberFormat="1" applyFont="1" applyFill="1" applyBorder="1" applyAlignment="1" applyProtection="1">
      <alignment horizontal="center" vertical="center"/>
      <protection hidden="1"/>
    </xf>
    <xf numFmtId="49" fontId="91" fillId="0" borderId="50" xfId="0" applyNumberFormat="1" applyFont="1" applyBorder="1" applyAlignment="1" applyProtection="1">
      <alignment horizontal="center" vertical="center"/>
      <protection hidden="1"/>
    </xf>
    <xf numFmtId="176" fontId="3" fillId="0" borderId="0" xfId="0" applyNumberFormat="1" applyFont="1" applyAlignment="1" applyProtection="1">
      <alignment vertical="center" wrapText="1"/>
      <protection hidden="1"/>
    </xf>
    <xf numFmtId="176" fontId="67" fillId="53" borderId="10" xfId="1" applyNumberFormat="1" applyFont="1" applyFill="1" applyBorder="1" applyAlignment="1">
      <alignment horizontal="center" vertical="center"/>
    </xf>
    <xf numFmtId="176" fontId="67" fillId="54" borderId="10" xfId="1" applyNumberFormat="1" applyFont="1" applyFill="1" applyBorder="1" applyAlignment="1">
      <alignment horizontal="center" vertical="center"/>
    </xf>
    <xf numFmtId="176" fontId="72" fillId="0" borderId="10" xfId="0" applyNumberFormat="1" applyFont="1" applyBorder="1" applyAlignment="1">
      <alignment horizontal="center" vertical="center"/>
    </xf>
    <xf numFmtId="176" fontId="68" fillId="0" borderId="0" xfId="0" applyNumberFormat="1" applyFont="1" applyAlignment="1">
      <alignment horizontal="center" vertical="center"/>
    </xf>
    <xf numFmtId="176" fontId="72" fillId="50" borderId="10" xfId="0" applyNumberFormat="1" applyFont="1" applyFill="1" applyBorder="1" applyAlignment="1">
      <alignment horizontal="center" vertical="center"/>
    </xf>
    <xf numFmtId="176" fontId="66" fillId="50" borderId="11" xfId="0" applyNumberFormat="1" applyFont="1" applyFill="1" applyBorder="1" applyAlignment="1">
      <alignment horizontal="center" vertical="center"/>
    </xf>
    <xf numFmtId="176" fontId="66" fillId="50" borderId="12" xfId="0" applyNumberFormat="1" applyFont="1" applyFill="1" applyBorder="1" applyAlignment="1">
      <alignment horizontal="center" vertical="center"/>
    </xf>
    <xf numFmtId="176" fontId="82" fillId="50" borderId="10" xfId="0" applyNumberFormat="1" applyFont="1" applyFill="1" applyBorder="1" applyAlignment="1">
      <alignment horizontal="center" vertical="center"/>
    </xf>
    <xf numFmtId="176" fontId="66" fillId="50" borderId="10" xfId="0" applyNumberFormat="1" applyFont="1" applyFill="1" applyBorder="1" applyAlignment="1">
      <alignment horizontal="center" vertical="center"/>
    </xf>
    <xf numFmtId="0" fontId="33" fillId="0" borderId="0" xfId="2" applyNumberFormat="1" applyFont="1" applyAlignment="1">
      <alignment horizontal="center"/>
    </xf>
    <xf numFmtId="0" fontId="31" fillId="0" borderId="0" xfId="2" applyNumberFormat="1" applyFont="1" applyAlignment="1">
      <alignment horizontal="center"/>
    </xf>
    <xf numFmtId="176" fontId="43" fillId="0" borderId="0" xfId="2" quotePrefix="1" applyNumberFormat="1" applyFont="1" applyAlignment="1">
      <alignment horizontal="center" vertical="center" wrapText="1"/>
    </xf>
    <xf numFmtId="176" fontId="43" fillId="0" borderId="0" xfId="2" applyNumberFormat="1" applyFont="1" applyAlignment="1">
      <alignment horizontal="center" vertical="center"/>
    </xf>
    <xf numFmtId="176" fontId="45" fillId="27" borderId="31" xfId="2" applyNumberFormat="1" applyFont="1" applyFill="1" applyBorder="1" applyAlignment="1">
      <alignment horizontal="center" vertical="center"/>
    </xf>
    <xf numFmtId="176" fontId="45" fillId="27" borderId="34" xfId="2" applyNumberFormat="1" applyFont="1" applyFill="1" applyBorder="1" applyAlignment="1">
      <alignment horizontal="center" vertical="center"/>
    </xf>
    <xf numFmtId="176" fontId="45" fillId="27" borderId="32" xfId="2" applyNumberFormat="1" applyFont="1" applyFill="1" applyBorder="1" applyAlignment="1">
      <alignment horizontal="center" vertical="center" shrinkToFit="1"/>
    </xf>
    <xf numFmtId="176" fontId="45" fillId="27" borderId="10" xfId="2" applyNumberFormat="1" applyFont="1" applyFill="1" applyBorder="1" applyAlignment="1">
      <alignment horizontal="center" vertical="center" shrinkToFit="1"/>
    </xf>
    <xf numFmtId="176" fontId="45" fillId="27" borderId="32" xfId="2" applyNumberFormat="1" applyFont="1" applyFill="1" applyBorder="1" applyAlignment="1">
      <alignment horizontal="center" vertical="center"/>
    </xf>
    <xf numFmtId="176" fontId="45" fillId="27" borderId="33" xfId="2" applyNumberFormat="1" applyFont="1" applyFill="1" applyBorder="1" applyAlignment="1">
      <alignment horizontal="center" vertical="center"/>
    </xf>
    <xf numFmtId="176" fontId="45" fillId="27" borderId="35" xfId="2" applyNumberFormat="1" applyFont="1" applyFill="1" applyBorder="1" applyAlignment="1">
      <alignment horizontal="center" vertical="center"/>
    </xf>
    <xf numFmtId="176" fontId="44" fillId="0" borderId="19" xfId="2" applyNumberFormat="1" applyFont="1" applyBorder="1" applyAlignment="1">
      <alignment horizontal="center" vertical="center"/>
    </xf>
    <xf numFmtId="176" fontId="44" fillId="0" borderId="23" xfId="2" applyNumberFormat="1" applyFont="1" applyBorder="1" applyAlignment="1">
      <alignment horizontal="center" vertical="center"/>
    </xf>
    <xf numFmtId="176" fontId="44" fillId="0" borderId="20" xfId="2" applyNumberFormat="1" applyFont="1" applyBorder="1" applyAlignment="1">
      <alignment horizontal="center" vertical="center"/>
    </xf>
    <xf numFmtId="176" fontId="44" fillId="0" borderId="24" xfId="2" applyNumberFormat="1" applyFont="1" applyBorder="1" applyAlignment="1">
      <alignment horizontal="center" vertical="center"/>
    </xf>
    <xf numFmtId="176" fontId="44" fillId="0" borderId="16" xfId="2" applyNumberFormat="1" applyFont="1" applyBorder="1" applyAlignment="1">
      <alignment horizontal="center" vertical="center"/>
    </xf>
    <xf numFmtId="176" fontId="44" fillId="0" borderId="15" xfId="2" applyNumberFormat="1" applyFont="1" applyBorder="1" applyAlignment="1">
      <alignment horizontal="center" vertical="center"/>
    </xf>
    <xf numFmtId="176" fontId="44" fillId="0" borderId="21" xfId="2" applyNumberFormat="1" applyFont="1" applyBorder="1" applyAlignment="1">
      <alignment horizontal="center" vertical="center"/>
    </xf>
    <xf numFmtId="176" fontId="44" fillId="0" borderId="22" xfId="2" applyNumberFormat="1" applyFont="1" applyBorder="1" applyAlignment="1">
      <alignment horizontal="center" vertical="center"/>
    </xf>
    <xf numFmtId="176" fontId="44" fillId="0" borderId="25" xfId="2" applyNumberFormat="1" applyFont="1" applyBorder="1" applyAlignment="1">
      <alignment horizontal="center" vertical="center"/>
    </xf>
    <xf numFmtId="176" fontId="44" fillId="0" borderId="26" xfId="2" applyNumberFormat="1" applyFont="1" applyBorder="1" applyAlignment="1">
      <alignment horizontal="center" vertical="center"/>
    </xf>
    <xf numFmtId="176" fontId="45" fillId="27" borderId="19" xfId="2" applyNumberFormat="1" applyFont="1" applyFill="1" applyBorder="1" applyAlignment="1">
      <alignment horizontal="center" vertical="center"/>
    </xf>
    <xf numFmtId="176" fontId="45" fillId="27" borderId="23" xfId="2" applyNumberFormat="1" applyFont="1" applyFill="1" applyBorder="1" applyAlignment="1">
      <alignment horizontal="center" vertical="center"/>
    </xf>
    <xf numFmtId="176" fontId="45" fillId="27" borderId="38" xfId="2" applyNumberFormat="1" applyFont="1" applyFill="1" applyBorder="1" applyAlignment="1">
      <alignment horizontal="center" vertical="center" wrapText="1" shrinkToFit="1"/>
    </xf>
    <xf numFmtId="176" fontId="45" fillId="27" borderId="12" xfId="2" applyNumberFormat="1" applyFont="1" applyFill="1" applyBorder="1" applyAlignment="1">
      <alignment horizontal="center" vertical="center" wrapText="1" shrinkToFit="1"/>
    </xf>
    <xf numFmtId="176" fontId="45" fillId="27" borderId="39" xfId="2" applyNumberFormat="1" applyFont="1" applyFill="1" applyBorder="1" applyAlignment="1">
      <alignment horizontal="center" vertical="center"/>
    </xf>
    <xf numFmtId="176" fontId="45" fillId="27" borderId="40" xfId="2" applyNumberFormat="1" applyFont="1" applyFill="1" applyBorder="1" applyAlignment="1">
      <alignment horizontal="center" vertical="center"/>
    </xf>
    <xf numFmtId="176" fontId="45" fillId="27" borderId="20" xfId="2" applyNumberFormat="1" applyFont="1" applyFill="1" applyBorder="1" applyAlignment="1">
      <alignment horizontal="center" vertical="center"/>
    </xf>
    <xf numFmtId="176" fontId="45" fillId="27" borderId="24" xfId="2" applyNumberFormat="1" applyFont="1" applyFill="1" applyBorder="1" applyAlignment="1">
      <alignment horizontal="center" vertical="center"/>
    </xf>
    <xf numFmtId="176" fontId="52" fillId="0" borderId="16" xfId="2" applyNumberFormat="1" applyFont="1" applyBorder="1" applyAlignment="1">
      <alignment horizontal="center" vertical="center" wrapText="1"/>
    </xf>
    <xf numFmtId="176" fontId="52" fillId="0" borderId="15" xfId="2" applyNumberFormat="1" applyFont="1" applyBorder="1" applyAlignment="1">
      <alignment horizontal="center" vertical="center" wrapText="1"/>
    </xf>
    <xf numFmtId="176" fontId="84" fillId="0" borderId="11" xfId="2" applyNumberFormat="1" applyFont="1" applyFill="1" applyBorder="1" applyAlignment="1">
      <alignment horizontal="center" vertical="center"/>
    </xf>
    <xf numFmtId="176" fontId="84" fillId="0" borderId="12" xfId="2" applyNumberFormat="1" applyFont="1" applyFill="1" applyBorder="1" applyAlignment="1">
      <alignment horizontal="center" vertical="center"/>
    </xf>
    <xf numFmtId="176" fontId="10" fillId="0" borderId="11" xfId="2" applyNumberFormat="1" applyFont="1" applyBorder="1" applyAlignment="1">
      <alignment horizontal="center" vertical="center"/>
    </xf>
    <xf numFmtId="176" fontId="10" fillId="0" borderId="12" xfId="2" applyNumberFormat="1" applyFont="1" applyBorder="1" applyAlignment="1">
      <alignment horizontal="center" vertical="center"/>
    </xf>
    <xf numFmtId="0" fontId="4" fillId="0" borderId="11" xfId="0" applyFont="1" applyBorder="1" applyAlignment="1" applyProtection="1">
      <alignment horizontal="left" vertical="center" wrapText="1"/>
      <protection hidden="1"/>
    </xf>
    <xf numFmtId="0" fontId="4" fillId="0" borderId="12" xfId="0" applyFont="1" applyBorder="1" applyAlignment="1" applyProtection="1">
      <alignment horizontal="left" vertical="center" wrapText="1"/>
      <protection hidden="1"/>
    </xf>
    <xf numFmtId="0" fontId="66" fillId="57" borderId="31" xfId="0" applyFont="1" applyFill="1" applyBorder="1" applyAlignment="1" applyProtection="1">
      <alignment horizontal="center" vertical="center"/>
      <protection hidden="1"/>
    </xf>
    <xf numFmtId="0" fontId="66" fillId="57" borderId="34" xfId="0" applyFont="1" applyFill="1" applyBorder="1" applyAlignment="1" applyProtection="1">
      <alignment horizontal="center" vertical="center"/>
      <protection hidden="1"/>
    </xf>
    <xf numFmtId="0" fontId="66" fillId="57" borderId="32" xfId="0" applyFont="1" applyFill="1" applyBorder="1" applyAlignment="1" applyProtection="1">
      <alignment horizontal="center" vertical="center"/>
      <protection hidden="1"/>
    </xf>
    <xf numFmtId="0" fontId="66" fillId="57" borderId="10" xfId="0" applyFont="1" applyFill="1" applyBorder="1" applyAlignment="1" applyProtection="1">
      <alignment horizontal="center" vertical="center"/>
      <protection hidden="1"/>
    </xf>
    <xf numFmtId="0" fontId="66" fillId="57" borderId="33" xfId="0" applyFont="1" applyFill="1" applyBorder="1" applyAlignment="1" applyProtection="1">
      <alignment horizontal="center" vertical="center"/>
      <protection hidden="1"/>
    </xf>
    <xf numFmtId="0" fontId="66" fillId="57" borderId="35" xfId="0" applyFont="1" applyFill="1" applyBorder="1" applyAlignment="1" applyProtection="1">
      <alignment horizontal="center" vertical="center"/>
      <protection hidden="1"/>
    </xf>
    <xf numFmtId="0" fontId="66" fillId="57" borderId="39" xfId="0" applyFont="1" applyFill="1" applyBorder="1" applyAlignment="1" applyProtection="1">
      <alignment horizontal="center" vertical="center"/>
      <protection hidden="1"/>
    </xf>
    <xf numFmtId="0" fontId="66" fillId="57" borderId="49" xfId="0" applyFont="1" applyFill="1" applyBorder="1" applyAlignment="1" applyProtection="1">
      <alignment horizontal="center" vertical="center"/>
      <protection hidden="1"/>
    </xf>
    <xf numFmtId="0" fontId="66" fillId="57" borderId="40" xfId="0" applyFont="1" applyFill="1" applyBorder="1" applyAlignment="1" applyProtection="1">
      <alignment horizontal="center" vertical="center"/>
      <protection hidden="1"/>
    </xf>
    <xf numFmtId="0" fontId="66" fillId="57" borderId="38" xfId="0" applyFont="1" applyFill="1" applyBorder="1" applyAlignment="1" applyProtection="1">
      <alignment horizontal="center" vertical="center"/>
      <protection hidden="1"/>
    </xf>
    <xf numFmtId="0" fontId="66" fillId="57" borderId="12" xfId="0" applyFont="1" applyFill="1" applyBorder="1" applyAlignment="1" applyProtection="1">
      <alignment horizontal="center" vertical="center"/>
      <protection hidden="1"/>
    </xf>
    <xf numFmtId="176" fontId="5" fillId="2" borderId="1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176" fontId="89" fillId="0" borderId="0" xfId="0" applyNumberFormat="1" applyFont="1" applyAlignment="1" applyProtection="1">
      <alignment horizontal="center" vertical="center"/>
      <protection hidden="1"/>
    </xf>
    <xf numFmtId="176" fontId="5" fillId="2" borderId="11" xfId="0" applyNumberFormat="1" applyFont="1" applyFill="1" applyBorder="1" applyAlignment="1" applyProtection="1">
      <alignment horizontal="center" vertical="center"/>
      <protection hidden="1"/>
    </xf>
    <xf numFmtId="176" fontId="5" fillId="2" borderId="12" xfId="0" applyNumberFormat="1" applyFont="1" applyFill="1" applyBorder="1" applyAlignment="1" applyProtection="1">
      <alignment horizontal="center" vertical="center"/>
      <protection hidden="1"/>
    </xf>
    <xf numFmtId="176" fontId="5" fillId="2" borderId="12" xfId="0" applyNumberFormat="1" applyFont="1" applyFill="1" applyBorder="1" applyAlignment="1" applyProtection="1">
      <alignment horizontal="center" vertical="center" wrapText="1"/>
      <protection hidden="1"/>
    </xf>
    <xf numFmtId="176" fontId="5" fillId="2" borderId="10" xfId="0" applyNumberFormat="1" applyFont="1" applyFill="1" applyBorder="1" applyAlignment="1" applyProtection="1">
      <alignment horizontal="center" vertical="center" wrapText="1"/>
      <protection hidden="1"/>
    </xf>
    <xf numFmtId="176" fontId="5" fillId="2" borderId="10" xfId="0" applyNumberFormat="1" applyFont="1" applyFill="1" applyBorder="1" applyAlignment="1" applyProtection="1">
      <alignment horizontal="center" vertical="center"/>
      <protection hidden="1"/>
    </xf>
    <xf numFmtId="176" fontId="70" fillId="52" borderId="10" xfId="0" applyNumberFormat="1" applyFont="1" applyFill="1" applyBorder="1" applyAlignment="1" applyProtection="1">
      <alignment horizontal="center" vertical="center" wrapText="1"/>
      <protection hidden="1"/>
    </xf>
    <xf numFmtId="176" fontId="8" fillId="52" borderId="10" xfId="0" applyNumberFormat="1" applyFont="1" applyFill="1" applyBorder="1" applyAlignment="1" applyProtection="1">
      <alignment horizontal="center" vertical="center"/>
      <protection hidden="1"/>
    </xf>
    <xf numFmtId="176" fontId="5" fillId="52" borderId="10" xfId="0" applyNumberFormat="1" applyFont="1" applyFill="1" applyBorder="1" applyAlignment="1" applyProtection="1">
      <alignment horizontal="center" vertical="center" wrapText="1"/>
      <protection hidden="1"/>
    </xf>
    <xf numFmtId="176" fontId="5" fillId="52" borderId="10" xfId="0" applyNumberFormat="1" applyFont="1" applyFill="1" applyBorder="1" applyAlignment="1" applyProtection="1">
      <alignment horizontal="center" vertical="center"/>
      <protection hidden="1"/>
    </xf>
    <xf numFmtId="176" fontId="69" fillId="55" borderId="10" xfId="0" applyNumberFormat="1" applyFont="1" applyFill="1" applyBorder="1" applyAlignment="1" applyProtection="1">
      <alignment horizontal="center" vertical="center" wrapText="1"/>
      <protection hidden="1"/>
    </xf>
    <xf numFmtId="176" fontId="69" fillId="55" borderId="10" xfId="0" applyNumberFormat="1" applyFont="1" applyFill="1" applyBorder="1" applyAlignment="1" applyProtection="1">
      <alignment horizontal="center" vertical="center"/>
      <protection hidden="1"/>
    </xf>
    <xf numFmtId="176" fontId="5" fillId="55" borderId="10" xfId="0" applyNumberFormat="1" applyFont="1" applyFill="1" applyBorder="1" applyAlignment="1" applyProtection="1">
      <alignment horizontal="center" vertical="center" wrapText="1"/>
      <protection hidden="1"/>
    </xf>
    <xf numFmtId="176" fontId="5" fillId="55" borderId="10" xfId="0" applyNumberFormat="1" applyFont="1" applyFill="1" applyBorder="1" applyAlignment="1" applyProtection="1">
      <alignment horizontal="center" vertical="center"/>
      <protection hidden="1"/>
    </xf>
    <xf numFmtId="176" fontId="70" fillId="2" borderId="10" xfId="0" applyNumberFormat="1" applyFont="1" applyFill="1" applyBorder="1" applyAlignment="1" applyProtection="1">
      <alignment horizontal="center" vertical="center" wrapText="1"/>
      <protection hidden="1"/>
    </xf>
    <xf numFmtId="176" fontId="8" fillId="52" borderId="10" xfId="0" applyNumberFormat="1" applyFont="1" applyFill="1" applyBorder="1" applyAlignment="1" applyProtection="1">
      <alignment horizontal="center" vertical="center" wrapText="1"/>
      <protection hidden="1"/>
    </xf>
    <xf numFmtId="176" fontId="8" fillId="55" borderId="10" xfId="0" applyNumberFormat="1" applyFont="1" applyFill="1" applyBorder="1" applyAlignment="1" applyProtection="1">
      <alignment horizontal="center" vertical="center" wrapText="1"/>
      <protection hidden="1"/>
    </xf>
    <xf numFmtId="49" fontId="8" fillId="2" borderId="11" xfId="0" applyNumberFormat="1" applyFont="1" applyFill="1" applyBorder="1" applyAlignment="1" applyProtection="1">
      <alignment horizontal="center" vertical="center" wrapText="1"/>
      <protection hidden="1"/>
    </xf>
    <xf numFmtId="49" fontId="8" fillId="2" borderId="12" xfId="0" applyNumberFormat="1" applyFont="1" applyFill="1" applyBorder="1" applyAlignment="1" applyProtection="1">
      <alignment horizontal="center" vertical="center" wrapText="1"/>
      <protection hidden="1"/>
    </xf>
    <xf numFmtId="176" fontId="5" fillId="52" borderId="11" xfId="0" applyNumberFormat="1" applyFont="1" applyFill="1" applyBorder="1" applyAlignment="1" applyProtection="1">
      <alignment horizontal="center" vertical="center"/>
      <protection hidden="1"/>
    </xf>
    <xf numFmtId="176" fontId="5" fillId="52" borderId="12" xfId="0" applyNumberFormat="1" applyFont="1" applyFill="1" applyBorder="1" applyAlignment="1" applyProtection="1">
      <alignment horizontal="center" vertical="center"/>
      <protection hidden="1"/>
    </xf>
    <xf numFmtId="176" fontId="70" fillId="52" borderId="10" xfId="0" applyNumberFormat="1" applyFont="1" applyFill="1" applyBorder="1" applyAlignment="1" applyProtection="1">
      <alignment horizontal="center" vertical="center"/>
      <protection hidden="1"/>
    </xf>
    <xf numFmtId="49" fontId="5" fillId="55" borderId="11" xfId="0" applyNumberFormat="1" applyFont="1" applyFill="1" applyBorder="1" applyAlignment="1" applyProtection="1">
      <alignment horizontal="center" vertical="center"/>
      <protection hidden="1"/>
    </xf>
    <xf numFmtId="49" fontId="5" fillId="55" borderId="12" xfId="0" applyNumberFormat="1" applyFont="1" applyFill="1" applyBorder="1" applyAlignment="1" applyProtection="1">
      <alignment horizontal="center" vertical="center"/>
      <protection hidden="1"/>
    </xf>
    <xf numFmtId="176" fontId="8" fillId="2" borderId="11" xfId="0" applyNumberFormat="1" applyFont="1" applyFill="1" applyBorder="1" applyAlignment="1" applyProtection="1">
      <alignment horizontal="center" vertical="center" wrapText="1"/>
      <protection hidden="1"/>
    </xf>
    <xf numFmtId="176" fontId="8" fillId="2" borderId="12" xfId="0" applyNumberFormat="1" applyFont="1" applyFill="1" applyBorder="1" applyAlignment="1" applyProtection="1">
      <alignment horizontal="center" vertical="center" wrapText="1"/>
      <protection hidden="1"/>
    </xf>
    <xf numFmtId="176" fontId="5" fillId="2" borderId="46" xfId="0" applyNumberFormat="1" applyFont="1" applyFill="1" applyBorder="1" applyAlignment="1" applyProtection="1">
      <alignment horizontal="center" vertical="center" wrapText="1"/>
      <protection hidden="1"/>
    </xf>
    <xf numFmtId="176" fontId="5" fillId="2" borderId="15" xfId="0" applyNumberFormat="1" applyFont="1" applyFill="1" applyBorder="1" applyAlignment="1" applyProtection="1">
      <alignment horizontal="center" vertical="center"/>
      <protection hidden="1"/>
    </xf>
    <xf numFmtId="176" fontId="5" fillId="2" borderId="22" xfId="0" applyNumberFormat="1" applyFont="1" applyFill="1" applyBorder="1" applyAlignment="1" applyProtection="1">
      <alignment horizontal="center" vertical="center"/>
      <protection hidden="1"/>
    </xf>
    <xf numFmtId="176" fontId="5" fillId="2" borderId="22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26" xfId="0" applyBorder="1" applyAlignment="1" applyProtection="1">
      <alignment horizontal="center" vertical="center"/>
      <protection hidden="1"/>
    </xf>
    <xf numFmtId="0" fontId="0" fillId="0" borderId="46" xfId="0" applyBorder="1" applyAlignment="1" applyProtection="1">
      <alignment horizontal="center" vertical="center"/>
      <protection hidden="1"/>
    </xf>
    <xf numFmtId="176" fontId="70" fillId="54" borderId="11" xfId="0" applyNumberFormat="1" applyFont="1" applyFill="1" applyBorder="1" applyAlignment="1">
      <alignment horizontal="center" vertical="center" wrapText="1"/>
    </xf>
    <xf numFmtId="176" fontId="70" fillId="54" borderId="46" xfId="0" applyNumberFormat="1" applyFont="1" applyFill="1" applyBorder="1" applyAlignment="1">
      <alignment horizontal="center" vertical="center" wrapText="1"/>
    </xf>
    <xf numFmtId="176" fontId="5" fillId="2" borderId="46" xfId="0" applyNumberFormat="1" applyFont="1" applyFill="1" applyBorder="1" applyAlignment="1" applyProtection="1">
      <alignment horizontal="center" vertical="center"/>
      <protection hidden="1"/>
    </xf>
    <xf numFmtId="176" fontId="5" fillId="2" borderId="21" xfId="0" applyNumberFormat="1" applyFont="1" applyFill="1" applyBorder="1" applyAlignment="1" applyProtection="1">
      <alignment horizontal="center" vertical="center"/>
      <protection hidden="1"/>
    </xf>
    <xf numFmtId="176" fontId="5" fillId="2" borderId="25" xfId="0" applyNumberFormat="1" applyFont="1" applyFill="1" applyBorder="1" applyAlignment="1" applyProtection="1">
      <alignment horizontal="center" vertical="center"/>
      <protection hidden="1"/>
    </xf>
    <xf numFmtId="176" fontId="5" fillId="2" borderId="72" xfId="0" applyNumberFormat="1" applyFont="1" applyFill="1" applyBorder="1" applyAlignment="1" applyProtection="1">
      <alignment horizontal="center" vertical="center" wrapText="1"/>
      <protection hidden="1"/>
    </xf>
    <xf numFmtId="176" fontId="5" fillId="2" borderId="70" xfId="0" applyNumberFormat="1" applyFont="1" applyFill="1" applyBorder="1" applyAlignment="1" applyProtection="1">
      <alignment horizontal="center" vertical="center"/>
      <protection hidden="1"/>
    </xf>
    <xf numFmtId="176" fontId="5" fillId="52" borderId="14" xfId="0" applyNumberFormat="1" applyFont="1" applyFill="1" applyBorder="1" applyAlignment="1" applyProtection="1">
      <alignment horizontal="center" vertical="center" wrapText="1"/>
      <protection hidden="1"/>
    </xf>
    <xf numFmtId="176" fontId="5" fillId="52" borderId="21" xfId="0" applyNumberFormat="1" applyFont="1" applyFill="1" applyBorder="1" applyAlignment="1" applyProtection="1">
      <alignment horizontal="center" vertical="center"/>
      <protection hidden="1"/>
    </xf>
    <xf numFmtId="176" fontId="69" fillId="55" borderId="31" xfId="0" applyNumberFormat="1" applyFont="1" applyFill="1" applyBorder="1" applyAlignment="1" applyProtection="1">
      <alignment horizontal="center" vertical="center" wrapText="1"/>
      <protection hidden="1"/>
    </xf>
    <xf numFmtId="176" fontId="69" fillId="55" borderId="32" xfId="0" applyNumberFormat="1" applyFont="1" applyFill="1" applyBorder="1" applyAlignment="1" applyProtection="1">
      <alignment horizontal="center" vertical="center"/>
      <protection hidden="1"/>
    </xf>
    <xf numFmtId="176" fontId="5" fillId="55" borderId="33" xfId="0" applyNumberFormat="1" applyFont="1" applyFill="1" applyBorder="1" applyAlignment="1" applyProtection="1">
      <alignment horizontal="center" vertical="center" wrapText="1"/>
      <protection hidden="1"/>
    </xf>
    <xf numFmtId="176" fontId="5" fillId="55" borderId="62" xfId="0" applyNumberFormat="1" applyFont="1" applyFill="1" applyBorder="1" applyAlignment="1" applyProtection="1">
      <alignment horizontal="center" vertical="center"/>
      <protection hidden="1"/>
    </xf>
    <xf numFmtId="176" fontId="70" fillId="2" borderId="16" xfId="0" applyNumberFormat="1" applyFont="1" applyFill="1" applyBorder="1" applyAlignment="1">
      <alignment horizontal="center" vertical="center" wrapText="1"/>
    </xf>
    <xf numFmtId="176" fontId="70" fillId="2" borderId="59" xfId="0" applyNumberFormat="1" applyFont="1" applyFill="1" applyBorder="1" applyAlignment="1">
      <alignment horizontal="center" vertical="center" wrapText="1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176" fontId="69" fillId="55" borderId="10" xfId="0" applyNumberFormat="1" applyFont="1" applyFill="1" applyBorder="1" applyAlignment="1">
      <alignment horizontal="center" vertical="center"/>
    </xf>
    <xf numFmtId="176" fontId="8" fillId="2" borderId="46" xfId="0" applyNumberFormat="1" applyFont="1" applyFill="1" applyBorder="1" applyAlignment="1">
      <alignment horizontal="center" vertical="center" wrapText="1"/>
    </xf>
    <xf numFmtId="176" fontId="5" fillId="52" borderId="11" xfId="0" applyNumberFormat="1" applyFont="1" applyFill="1" applyBorder="1" applyAlignment="1">
      <alignment horizontal="center" vertical="center"/>
    </xf>
    <xf numFmtId="176" fontId="5" fillId="52" borderId="46" xfId="0" applyNumberFormat="1" applyFont="1" applyFill="1" applyBorder="1" applyAlignment="1">
      <alignment horizontal="center" vertical="center"/>
    </xf>
    <xf numFmtId="176" fontId="70" fillId="52" borderId="10" xfId="0" applyNumberFormat="1" applyFont="1" applyFill="1" applyBorder="1" applyAlignment="1">
      <alignment horizontal="center" vertical="center"/>
    </xf>
    <xf numFmtId="176" fontId="8" fillId="52" borderId="10" xfId="0" applyNumberFormat="1" applyFont="1" applyFill="1" applyBorder="1" applyAlignment="1">
      <alignment horizontal="center" vertical="center"/>
    </xf>
    <xf numFmtId="176" fontId="5" fillId="55" borderId="11" xfId="0" applyNumberFormat="1" applyFont="1" applyFill="1" applyBorder="1" applyAlignment="1">
      <alignment horizontal="center" vertical="center"/>
    </xf>
    <xf numFmtId="176" fontId="5" fillId="55" borderId="46" xfId="0" applyNumberFormat="1" applyFont="1" applyFill="1" applyBorder="1" applyAlignment="1">
      <alignment horizontal="center" vertical="center"/>
    </xf>
    <xf numFmtId="49" fontId="8" fillId="2" borderId="11" xfId="0" applyNumberFormat="1" applyFont="1" applyFill="1" applyBorder="1" applyAlignment="1">
      <alignment horizontal="center" vertical="center" wrapText="1"/>
    </xf>
    <xf numFmtId="49" fontId="8" fillId="2" borderId="46" xfId="0" applyNumberFormat="1" applyFont="1" applyFill="1" applyBorder="1" applyAlignment="1">
      <alignment horizontal="center" vertical="center" wrapText="1"/>
    </xf>
    <xf numFmtId="176" fontId="5" fillId="2" borderId="15" xfId="0" applyNumberFormat="1" applyFont="1" applyFill="1" applyBorder="1" applyAlignment="1">
      <alignment horizontal="center" vertical="center"/>
    </xf>
    <xf numFmtId="176" fontId="5" fillId="2" borderId="22" xfId="0" applyNumberFormat="1" applyFont="1" applyFill="1" applyBorder="1" applyAlignment="1">
      <alignment horizontal="center" vertical="center"/>
    </xf>
    <xf numFmtId="49" fontId="5" fillId="55" borderId="41" xfId="0" applyNumberFormat="1" applyFont="1" applyFill="1" applyBorder="1" applyAlignment="1" applyProtection="1">
      <alignment horizontal="center" vertical="center"/>
      <protection hidden="1"/>
    </xf>
    <xf numFmtId="49" fontId="5" fillId="55" borderId="43" xfId="0" applyNumberFormat="1" applyFont="1" applyFill="1" applyBorder="1" applyAlignment="1" applyProtection="1">
      <alignment horizontal="center" vertical="center"/>
      <protection hidden="1"/>
    </xf>
    <xf numFmtId="176" fontId="69" fillId="55" borderId="41" xfId="0" applyNumberFormat="1" applyFont="1" applyFill="1" applyBorder="1" applyAlignment="1" applyProtection="1">
      <alignment horizontal="center" vertical="center"/>
      <protection hidden="1"/>
    </xf>
    <xf numFmtId="49" fontId="8" fillId="2" borderId="41" xfId="0" applyNumberFormat="1" applyFont="1" applyFill="1" applyBorder="1" applyAlignment="1" applyProtection="1">
      <alignment horizontal="center" vertical="center" wrapText="1"/>
      <protection hidden="1"/>
    </xf>
    <xf numFmtId="49" fontId="8" fillId="2" borderId="43" xfId="0" applyNumberFormat="1" applyFont="1" applyFill="1" applyBorder="1" applyAlignment="1" applyProtection="1">
      <alignment horizontal="center" vertical="center" wrapText="1"/>
      <protection hidden="1"/>
    </xf>
    <xf numFmtId="176" fontId="8" fillId="2" borderId="41" xfId="0" applyNumberFormat="1" applyFont="1" applyFill="1" applyBorder="1" applyAlignment="1" applyProtection="1">
      <alignment horizontal="center" vertical="center" wrapText="1"/>
      <protection hidden="1"/>
    </xf>
    <xf numFmtId="176" fontId="8" fillId="2" borderId="43" xfId="0" applyNumberFormat="1" applyFont="1" applyFill="1" applyBorder="1" applyAlignment="1" applyProtection="1">
      <alignment horizontal="center" vertical="center" wrapText="1"/>
      <protection hidden="1"/>
    </xf>
    <xf numFmtId="176" fontId="5" fillId="52" borderId="41" xfId="0" applyNumberFormat="1" applyFont="1" applyFill="1" applyBorder="1" applyAlignment="1" applyProtection="1">
      <alignment horizontal="center" vertical="center"/>
      <protection hidden="1"/>
    </xf>
    <xf numFmtId="176" fontId="5" fillId="52" borderId="43" xfId="0" applyNumberFormat="1" applyFont="1" applyFill="1" applyBorder="1" applyAlignment="1" applyProtection="1">
      <alignment horizontal="center" vertical="center"/>
      <protection hidden="1"/>
    </xf>
    <xf numFmtId="176" fontId="70" fillId="52" borderId="41" xfId="0" applyNumberFormat="1" applyFont="1" applyFill="1" applyBorder="1" applyAlignment="1" applyProtection="1">
      <alignment horizontal="center" vertical="center"/>
      <protection hidden="1"/>
    </xf>
    <xf numFmtId="176" fontId="8" fillId="52" borderId="41" xfId="0" applyNumberFormat="1" applyFont="1" applyFill="1" applyBorder="1" applyAlignment="1" applyProtection="1">
      <alignment horizontal="center" vertical="center"/>
      <protection hidden="1"/>
    </xf>
    <xf numFmtId="176" fontId="5" fillId="55" borderId="41" xfId="0" applyNumberFormat="1" applyFont="1" applyFill="1" applyBorder="1" applyAlignment="1" applyProtection="1">
      <alignment horizontal="center" vertical="center"/>
      <protection hidden="1"/>
    </xf>
    <xf numFmtId="176" fontId="5" fillId="55" borderId="43" xfId="0" applyNumberFormat="1" applyFont="1" applyFill="1" applyBorder="1" applyAlignment="1" applyProtection="1">
      <alignment horizontal="center" vertical="center"/>
      <protection hidden="1"/>
    </xf>
  </cellXfs>
  <cellStyles count="500">
    <cellStyle name="20% - 강조색1 2" xfId="3"/>
    <cellStyle name="20% - 강조색1 2 2" xfId="147"/>
    <cellStyle name="20% - 강조색1 3" xfId="60"/>
    <cellStyle name="20% - 강조색1 4" xfId="61"/>
    <cellStyle name="20% - 강조색2 2" xfId="4"/>
    <cellStyle name="20% - 강조색2 2 2" xfId="148"/>
    <cellStyle name="20% - 강조색2 3" xfId="62"/>
    <cellStyle name="20% - 강조색2 4" xfId="63"/>
    <cellStyle name="20% - 강조색3 2" xfId="5"/>
    <cellStyle name="20% - 강조색3 2 2" xfId="149"/>
    <cellStyle name="20% - 강조색3 3" xfId="64"/>
    <cellStyle name="20% - 강조색3 4" xfId="65"/>
    <cellStyle name="20% - 강조색4 2" xfId="6"/>
    <cellStyle name="20% - 강조색4 2 2" xfId="150"/>
    <cellStyle name="20% - 강조색4 3" xfId="66"/>
    <cellStyle name="20% - 강조색4 4" xfId="67"/>
    <cellStyle name="20% - 강조색5 2" xfId="7"/>
    <cellStyle name="20% - 강조색5 2 2" xfId="151"/>
    <cellStyle name="20% - 강조색5 3" xfId="68"/>
    <cellStyle name="20% - 강조색5 4" xfId="69"/>
    <cellStyle name="20% - 강조색6 2" xfId="8"/>
    <cellStyle name="20% - 강조색6 2 2" xfId="152"/>
    <cellStyle name="20% - 강조색6 3" xfId="70"/>
    <cellStyle name="20% - 강조색6 4" xfId="71"/>
    <cellStyle name="40% - 강조색1 2" xfId="9"/>
    <cellStyle name="40% - 강조색1 2 2" xfId="153"/>
    <cellStyle name="40% - 강조색1 3" xfId="72"/>
    <cellStyle name="40% - 강조색1 4" xfId="73"/>
    <cellStyle name="40% - 강조색2 2" xfId="10"/>
    <cellStyle name="40% - 강조색2 2 2" xfId="154"/>
    <cellStyle name="40% - 강조색2 3" xfId="74"/>
    <cellStyle name="40% - 강조색2 4" xfId="75"/>
    <cellStyle name="40% - 강조색3 2" xfId="11"/>
    <cellStyle name="40% - 강조색3 2 2" xfId="155"/>
    <cellStyle name="40% - 강조색3 3" xfId="76"/>
    <cellStyle name="40% - 강조색3 4" xfId="77"/>
    <cellStyle name="40% - 강조색4 2" xfId="12"/>
    <cellStyle name="40% - 강조색4 2 2" xfId="156"/>
    <cellStyle name="40% - 강조색4 3" xfId="78"/>
    <cellStyle name="40% - 강조색4 4" xfId="79"/>
    <cellStyle name="40% - 강조색5 2" xfId="13"/>
    <cellStyle name="40% - 강조색5 2 2" xfId="157"/>
    <cellStyle name="40% - 강조색5 3" xfId="80"/>
    <cellStyle name="40% - 강조색5 4" xfId="81"/>
    <cellStyle name="40% - 강조색6 2" xfId="14"/>
    <cellStyle name="40% - 강조색6 2 2" xfId="158"/>
    <cellStyle name="40% - 강조색6 3" xfId="82"/>
    <cellStyle name="40% - 강조색6 4" xfId="83"/>
    <cellStyle name="60% - 강조색1 2" xfId="15"/>
    <cellStyle name="60% - 강조색1 2 2" xfId="159"/>
    <cellStyle name="60% - 강조색1 3" xfId="84"/>
    <cellStyle name="60% - 강조색1 4" xfId="85"/>
    <cellStyle name="60% - 강조색2 2" xfId="16"/>
    <cellStyle name="60% - 강조색2 2 2" xfId="160"/>
    <cellStyle name="60% - 강조색2 3" xfId="86"/>
    <cellStyle name="60% - 강조색2 4" xfId="87"/>
    <cellStyle name="60% - 강조색3 2" xfId="17"/>
    <cellStyle name="60% - 강조색3 2 2" xfId="161"/>
    <cellStyle name="60% - 강조색3 3" xfId="88"/>
    <cellStyle name="60% - 강조색3 4" xfId="89"/>
    <cellStyle name="60% - 강조색4 2" xfId="18"/>
    <cellStyle name="60% - 강조색4 2 2" xfId="162"/>
    <cellStyle name="60% - 강조색4 3" xfId="90"/>
    <cellStyle name="60% - 강조색4 4" xfId="91"/>
    <cellStyle name="60% - 강조색5 2" xfId="19"/>
    <cellStyle name="60% - 강조색5 2 2" xfId="163"/>
    <cellStyle name="60% - 강조색5 3" xfId="92"/>
    <cellStyle name="60% - 강조색5 4" xfId="93"/>
    <cellStyle name="60% - 강조색6 2" xfId="20"/>
    <cellStyle name="60% - 강조색6 2 2" xfId="164"/>
    <cellStyle name="60% - 강조색6 3" xfId="94"/>
    <cellStyle name="60% - 강조색6 4" xfId="95"/>
    <cellStyle name="AeE­ [0]_INQUIRY ¿μ¾÷AßAø " xfId="141"/>
    <cellStyle name="AeE­_INQUIRY ¿μ¾÷AßAø " xfId="142"/>
    <cellStyle name="AÞ¸¶ [0]_INQUIRY ¿μ¾÷AßAø " xfId="143"/>
    <cellStyle name="AÞ¸¶_INQUIRY ¿μ¾÷AßAø " xfId="144"/>
    <cellStyle name="C￥AØ_¿μ¾÷CoE² " xfId="145"/>
    <cellStyle name="Comma [0]_ SG&amp;A Bridge " xfId="49"/>
    <cellStyle name="Comma_ SG&amp;A Bridge " xfId="50"/>
    <cellStyle name="Currency [0]_ SG&amp;A Bridge " xfId="51"/>
    <cellStyle name="Currency_ SG&amp;A Bridge " xfId="52"/>
    <cellStyle name="Grey" xfId="53"/>
    <cellStyle name="Header1" xfId="54"/>
    <cellStyle name="Header2" xfId="55"/>
    <cellStyle name="Input [yellow]" xfId="56"/>
    <cellStyle name="Normal - Style1" xfId="57"/>
    <cellStyle name="Normal - Style1 2" xfId="146"/>
    <cellStyle name="Normal_ SG&amp;A Bridge " xfId="58"/>
    <cellStyle name="Percent [2]" xfId="59"/>
    <cellStyle name="강조색1 2" xfId="21"/>
    <cellStyle name="강조색1 2 2" xfId="165"/>
    <cellStyle name="강조색1 3" xfId="96"/>
    <cellStyle name="강조색1 4" xfId="97"/>
    <cellStyle name="강조색2 2" xfId="22"/>
    <cellStyle name="강조색2 2 2" xfId="166"/>
    <cellStyle name="강조색2 3" xfId="98"/>
    <cellStyle name="강조색2 4" xfId="99"/>
    <cellStyle name="강조색3 2" xfId="23"/>
    <cellStyle name="강조색3 2 2" xfId="167"/>
    <cellStyle name="강조색3 3" xfId="100"/>
    <cellStyle name="강조색3 4" xfId="101"/>
    <cellStyle name="강조색4 2" xfId="24"/>
    <cellStyle name="강조색4 2 2" xfId="168"/>
    <cellStyle name="강조색4 3" xfId="102"/>
    <cellStyle name="강조색4 4" xfId="103"/>
    <cellStyle name="강조색5 2" xfId="25"/>
    <cellStyle name="강조색5 2 2" xfId="169"/>
    <cellStyle name="강조색5 3" xfId="104"/>
    <cellStyle name="강조색5 4" xfId="105"/>
    <cellStyle name="강조색6 2" xfId="26"/>
    <cellStyle name="강조색6 2 2" xfId="170"/>
    <cellStyle name="강조색6 3" xfId="106"/>
    <cellStyle name="강조색6 4" xfId="107"/>
    <cellStyle name="경고문 2" xfId="27"/>
    <cellStyle name="경고문 3" xfId="108"/>
    <cellStyle name="계산 2" xfId="28"/>
    <cellStyle name="계산 2 2" xfId="171"/>
    <cellStyle name="계산 3" xfId="109"/>
    <cellStyle name="계산 4" xfId="110"/>
    <cellStyle name="나쁨 2" xfId="29"/>
    <cellStyle name="나쁨 2 2" xfId="172"/>
    <cellStyle name="나쁨 3" xfId="111"/>
    <cellStyle name="나쁨 4" xfId="112"/>
    <cellStyle name="메모 2" xfId="30"/>
    <cellStyle name="메모 2 2" xfId="173"/>
    <cellStyle name="메모 3" xfId="113"/>
    <cellStyle name="메모 4" xfId="114"/>
    <cellStyle name="백분율 2" xfId="115"/>
    <cellStyle name="보통 2" xfId="31"/>
    <cellStyle name="보통 2 2" xfId="174"/>
    <cellStyle name="보통 3" xfId="116"/>
    <cellStyle name="보통 4" xfId="117"/>
    <cellStyle name="뷭?_BOOKSHIP" xfId="44"/>
    <cellStyle name="설명 텍스트 2" xfId="32"/>
    <cellStyle name="설명 텍스트 3" xfId="118"/>
    <cellStyle name="셀 확인 2" xfId="33"/>
    <cellStyle name="셀 확인 2 2" xfId="175"/>
    <cellStyle name="셀 확인 3" xfId="119"/>
    <cellStyle name="셀 확인 4" xfId="120"/>
    <cellStyle name="쉼표 [0]" xfId="1" builtinId="6"/>
    <cellStyle name="쉼표 [0] 10" xfId="280"/>
    <cellStyle name="쉼표 [0] 10 2" xfId="440"/>
    <cellStyle name="쉼표 [0] 11" xfId="300"/>
    <cellStyle name="쉼표 [0] 11 2" xfId="460"/>
    <cellStyle name="쉼표 [0] 12" xfId="340"/>
    <cellStyle name="쉼표 [0] 2" xfId="45"/>
    <cellStyle name="쉼표 [0] 2 10" xfId="261"/>
    <cellStyle name="쉼표 [0] 2 10 2" xfId="421"/>
    <cellStyle name="쉼표 [0] 2 11" xfId="281"/>
    <cellStyle name="쉼표 [0] 2 11 2" xfId="441"/>
    <cellStyle name="쉼표 [0] 2 12" xfId="301"/>
    <cellStyle name="쉼표 [0] 2 12 2" xfId="461"/>
    <cellStyle name="쉼표 [0] 2 13" xfId="341"/>
    <cellStyle name="쉼표 [0] 2 2" xfId="46"/>
    <cellStyle name="쉼표 [0] 2 3" xfId="121"/>
    <cellStyle name="쉼표 [0] 2 4" xfId="122"/>
    <cellStyle name="쉼표 [0] 2 4 2" xfId="182"/>
    <cellStyle name="쉼표 [0] 2 4 2 2" xfId="192"/>
    <cellStyle name="쉼표 [0] 2 4 2 2 2" xfId="215"/>
    <cellStyle name="쉼표 [0] 2 4 2 2 2 2" xfId="257"/>
    <cellStyle name="쉼표 [0] 2 4 2 2 2 2 2" xfId="417"/>
    <cellStyle name="쉼표 [0] 2 4 2 2 2 3" xfId="337"/>
    <cellStyle name="쉼표 [0] 2 4 2 2 2 3 2" xfId="497"/>
    <cellStyle name="쉼표 [0] 2 4 2 2 2 4" xfId="377"/>
    <cellStyle name="쉼표 [0] 2 4 2 2 3" xfId="237"/>
    <cellStyle name="쉼표 [0] 2 4 2 2 3 2" xfId="397"/>
    <cellStyle name="쉼표 [0] 2 4 2 2 4" xfId="277"/>
    <cellStyle name="쉼표 [0] 2 4 2 2 4 2" xfId="437"/>
    <cellStyle name="쉼표 [0] 2 4 2 2 5" xfId="297"/>
    <cellStyle name="쉼표 [0] 2 4 2 2 5 2" xfId="457"/>
    <cellStyle name="쉼표 [0] 2 4 2 2 6" xfId="317"/>
    <cellStyle name="쉼표 [0] 2 4 2 2 6 2" xfId="477"/>
    <cellStyle name="쉼표 [0] 2 4 2 2 7" xfId="357"/>
    <cellStyle name="쉼표 [0] 2 4 2 3" xfId="205"/>
    <cellStyle name="쉼표 [0] 2 4 2 3 2" xfId="247"/>
    <cellStyle name="쉼표 [0] 2 4 2 3 2 2" xfId="407"/>
    <cellStyle name="쉼표 [0] 2 4 2 3 3" xfId="327"/>
    <cellStyle name="쉼표 [0] 2 4 2 3 3 2" xfId="487"/>
    <cellStyle name="쉼표 [0] 2 4 2 3 4" xfId="367"/>
    <cellStyle name="쉼표 [0] 2 4 2 4" xfId="227"/>
    <cellStyle name="쉼표 [0] 2 4 2 4 2" xfId="387"/>
    <cellStyle name="쉼표 [0] 2 4 2 5" xfId="267"/>
    <cellStyle name="쉼표 [0] 2 4 2 5 2" xfId="427"/>
    <cellStyle name="쉼표 [0] 2 4 2 6" xfId="287"/>
    <cellStyle name="쉼표 [0] 2 4 2 6 2" xfId="447"/>
    <cellStyle name="쉼표 [0] 2 4 2 7" xfId="307"/>
    <cellStyle name="쉼표 [0] 2 4 2 7 2" xfId="467"/>
    <cellStyle name="쉼표 [0] 2 4 2 8" xfId="347"/>
    <cellStyle name="쉼표 [0] 2 4 3" xfId="187"/>
    <cellStyle name="쉼표 [0] 2 4 3 2" xfId="210"/>
    <cellStyle name="쉼표 [0] 2 4 3 2 2" xfId="252"/>
    <cellStyle name="쉼표 [0] 2 4 3 2 2 2" xfId="412"/>
    <cellStyle name="쉼표 [0] 2 4 3 2 3" xfId="332"/>
    <cellStyle name="쉼표 [0] 2 4 3 2 3 2" xfId="492"/>
    <cellStyle name="쉼표 [0] 2 4 3 2 4" xfId="372"/>
    <cellStyle name="쉼표 [0] 2 4 3 3" xfId="232"/>
    <cellStyle name="쉼표 [0] 2 4 3 3 2" xfId="392"/>
    <cellStyle name="쉼표 [0] 2 4 3 4" xfId="272"/>
    <cellStyle name="쉼표 [0] 2 4 3 4 2" xfId="432"/>
    <cellStyle name="쉼표 [0] 2 4 3 5" xfId="292"/>
    <cellStyle name="쉼표 [0] 2 4 3 5 2" xfId="452"/>
    <cellStyle name="쉼표 [0] 2 4 3 6" xfId="312"/>
    <cellStyle name="쉼표 [0] 2 4 3 6 2" xfId="472"/>
    <cellStyle name="쉼표 [0] 2 4 3 7" xfId="352"/>
    <cellStyle name="쉼표 [0] 2 4 4" xfId="200"/>
    <cellStyle name="쉼표 [0] 2 4 4 2" xfId="242"/>
    <cellStyle name="쉼표 [0] 2 4 4 2 2" xfId="402"/>
    <cellStyle name="쉼표 [0] 2 4 4 3" xfId="322"/>
    <cellStyle name="쉼표 [0] 2 4 4 3 2" xfId="482"/>
    <cellStyle name="쉼표 [0] 2 4 4 4" xfId="362"/>
    <cellStyle name="쉼표 [0] 2 4 5" xfId="222"/>
    <cellStyle name="쉼표 [0] 2 4 5 2" xfId="382"/>
    <cellStyle name="쉼표 [0] 2 4 6" xfId="262"/>
    <cellStyle name="쉼표 [0] 2 4 6 2" xfId="422"/>
    <cellStyle name="쉼표 [0] 2 4 7" xfId="282"/>
    <cellStyle name="쉼표 [0] 2 4 7 2" xfId="442"/>
    <cellStyle name="쉼표 [0] 2 4 8" xfId="302"/>
    <cellStyle name="쉼표 [0] 2 4 8 2" xfId="462"/>
    <cellStyle name="쉼표 [0] 2 4 9" xfId="342"/>
    <cellStyle name="쉼표 [0] 2 5" xfId="123"/>
    <cellStyle name="쉼표 [0] 2 6" xfId="181"/>
    <cellStyle name="쉼표 [0] 2 6 2" xfId="191"/>
    <cellStyle name="쉼표 [0] 2 6 2 2" xfId="214"/>
    <cellStyle name="쉼표 [0] 2 6 2 2 2" xfId="256"/>
    <cellStyle name="쉼표 [0] 2 6 2 2 2 2" xfId="416"/>
    <cellStyle name="쉼표 [0] 2 6 2 2 3" xfId="336"/>
    <cellStyle name="쉼표 [0] 2 6 2 2 3 2" xfId="496"/>
    <cellStyle name="쉼표 [0] 2 6 2 2 4" xfId="376"/>
    <cellStyle name="쉼표 [0] 2 6 2 3" xfId="236"/>
    <cellStyle name="쉼표 [0] 2 6 2 3 2" xfId="396"/>
    <cellStyle name="쉼표 [0] 2 6 2 4" xfId="276"/>
    <cellStyle name="쉼표 [0] 2 6 2 4 2" xfId="436"/>
    <cellStyle name="쉼표 [0] 2 6 2 5" xfId="296"/>
    <cellStyle name="쉼표 [0] 2 6 2 5 2" xfId="456"/>
    <cellStyle name="쉼표 [0] 2 6 2 6" xfId="316"/>
    <cellStyle name="쉼표 [0] 2 6 2 6 2" xfId="476"/>
    <cellStyle name="쉼표 [0] 2 6 2 7" xfId="356"/>
    <cellStyle name="쉼표 [0] 2 6 3" xfId="204"/>
    <cellStyle name="쉼표 [0] 2 6 3 2" xfId="246"/>
    <cellStyle name="쉼표 [0] 2 6 3 2 2" xfId="406"/>
    <cellStyle name="쉼표 [0] 2 6 3 3" xfId="326"/>
    <cellStyle name="쉼표 [0] 2 6 3 3 2" xfId="486"/>
    <cellStyle name="쉼표 [0] 2 6 3 4" xfId="366"/>
    <cellStyle name="쉼표 [0] 2 6 4" xfId="226"/>
    <cellStyle name="쉼표 [0] 2 6 4 2" xfId="386"/>
    <cellStyle name="쉼표 [0] 2 6 5" xfId="266"/>
    <cellStyle name="쉼표 [0] 2 6 5 2" xfId="426"/>
    <cellStyle name="쉼표 [0] 2 6 6" xfId="286"/>
    <cellStyle name="쉼표 [0] 2 6 6 2" xfId="446"/>
    <cellStyle name="쉼표 [0] 2 6 7" xfId="306"/>
    <cellStyle name="쉼표 [0] 2 6 7 2" xfId="466"/>
    <cellStyle name="쉼표 [0] 2 6 8" xfId="346"/>
    <cellStyle name="쉼표 [0] 2 7" xfId="186"/>
    <cellStyle name="쉼표 [0] 2 7 2" xfId="209"/>
    <cellStyle name="쉼표 [0] 2 7 2 2" xfId="251"/>
    <cellStyle name="쉼표 [0] 2 7 2 2 2" xfId="411"/>
    <cellStyle name="쉼표 [0] 2 7 2 3" xfId="331"/>
    <cellStyle name="쉼표 [0] 2 7 2 3 2" xfId="491"/>
    <cellStyle name="쉼표 [0] 2 7 2 4" xfId="371"/>
    <cellStyle name="쉼표 [0] 2 7 3" xfId="231"/>
    <cellStyle name="쉼표 [0] 2 7 3 2" xfId="391"/>
    <cellStyle name="쉼표 [0] 2 7 4" xfId="271"/>
    <cellStyle name="쉼표 [0] 2 7 4 2" xfId="431"/>
    <cellStyle name="쉼표 [0] 2 7 5" xfId="291"/>
    <cellStyle name="쉼표 [0] 2 7 5 2" xfId="451"/>
    <cellStyle name="쉼표 [0] 2 7 6" xfId="311"/>
    <cellStyle name="쉼표 [0] 2 7 6 2" xfId="471"/>
    <cellStyle name="쉼표 [0] 2 7 7" xfId="351"/>
    <cellStyle name="쉼표 [0] 2 8" xfId="199"/>
    <cellStyle name="쉼표 [0] 2 8 2" xfId="241"/>
    <cellStyle name="쉼표 [0] 2 8 2 2" xfId="401"/>
    <cellStyle name="쉼표 [0] 2 8 3" xfId="321"/>
    <cellStyle name="쉼표 [0] 2 8 3 2" xfId="481"/>
    <cellStyle name="쉼표 [0] 2 8 4" xfId="361"/>
    <cellStyle name="쉼표 [0] 2 9" xfId="221"/>
    <cellStyle name="쉼표 [0] 2 9 2" xfId="381"/>
    <cellStyle name="쉼표 [0] 3" xfId="124"/>
    <cellStyle name="쉼표 [0] 3 10" xfId="343"/>
    <cellStyle name="쉼표 [0] 3 2" xfId="183"/>
    <cellStyle name="쉼표 [0] 3 2 2" xfId="193"/>
    <cellStyle name="쉼표 [0] 3 2 2 2" xfId="216"/>
    <cellStyle name="쉼표 [0] 3 2 2 2 2" xfId="258"/>
    <cellStyle name="쉼표 [0] 3 2 2 2 2 2" xfId="418"/>
    <cellStyle name="쉼표 [0] 3 2 2 2 3" xfId="338"/>
    <cellStyle name="쉼표 [0] 3 2 2 2 3 2" xfId="498"/>
    <cellStyle name="쉼표 [0] 3 2 2 2 4" xfId="378"/>
    <cellStyle name="쉼표 [0] 3 2 2 3" xfId="238"/>
    <cellStyle name="쉼표 [0] 3 2 2 3 2" xfId="398"/>
    <cellStyle name="쉼표 [0] 3 2 2 4" xfId="278"/>
    <cellStyle name="쉼표 [0] 3 2 2 4 2" xfId="438"/>
    <cellStyle name="쉼표 [0] 3 2 2 5" xfId="298"/>
    <cellStyle name="쉼표 [0] 3 2 2 5 2" xfId="458"/>
    <cellStyle name="쉼표 [0] 3 2 2 6" xfId="318"/>
    <cellStyle name="쉼표 [0] 3 2 2 6 2" xfId="478"/>
    <cellStyle name="쉼표 [0] 3 2 2 7" xfId="358"/>
    <cellStyle name="쉼표 [0] 3 2 3" xfId="206"/>
    <cellStyle name="쉼표 [0] 3 2 3 2" xfId="248"/>
    <cellStyle name="쉼표 [0] 3 2 3 2 2" xfId="408"/>
    <cellStyle name="쉼표 [0] 3 2 3 3" xfId="328"/>
    <cellStyle name="쉼표 [0] 3 2 3 3 2" xfId="488"/>
    <cellStyle name="쉼표 [0] 3 2 3 4" xfId="368"/>
    <cellStyle name="쉼표 [0] 3 2 4" xfId="228"/>
    <cellStyle name="쉼표 [0] 3 2 4 2" xfId="388"/>
    <cellStyle name="쉼표 [0] 3 2 5" xfId="268"/>
    <cellStyle name="쉼표 [0] 3 2 5 2" xfId="428"/>
    <cellStyle name="쉼표 [0] 3 2 6" xfId="288"/>
    <cellStyle name="쉼표 [0] 3 2 6 2" xfId="448"/>
    <cellStyle name="쉼표 [0] 3 2 7" xfId="308"/>
    <cellStyle name="쉼표 [0] 3 2 7 2" xfId="468"/>
    <cellStyle name="쉼표 [0] 3 2 8" xfId="348"/>
    <cellStyle name="쉼표 [0] 3 3" xfId="188"/>
    <cellStyle name="쉼표 [0] 3 3 2" xfId="211"/>
    <cellStyle name="쉼표 [0] 3 3 2 2" xfId="253"/>
    <cellStyle name="쉼표 [0] 3 3 2 2 2" xfId="413"/>
    <cellStyle name="쉼표 [0] 3 3 2 3" xfId="333"/>
    <cellStyle name="쉼표 [0] 3 3 2 3 2" xfId="493"/>
    <cellStyle name="쉼표 [0] 3 3 2 4" xfId="373"/>
    <cellStyle name="쉼표 [0] 3 3 3" xfId="233"/>
    <cellStyle name="쉼표 [0] 3 3 3 2" xfId="393"/>
    <cellStyle name="쉼표 [0] 3 3 4" xfId="273"/>
    <cellStyle name="쉼표 [0] 3 3 4 2" xfId="433"/>
    <cellStyle name="쉼표 [0] 3 3 5" xfId="293"/>
    <cellStyle name="쉼표 [0] 3 3 5 2" xfId="453"/>
    <cellStyle name="쉼표 [0] 3 3 6" xfId="313"/>
    <cellStyle name="쉼표 [0] 3 3 6 2" xfId="473"/>
    <cellStyle name="쉼표 [0] 3 3 7" xfId="353"/>
    <cellStyle name="쉼표 [0] 3 4" xfId="201"/>
    <cellStyle name="쉼표 [0] 3 4 2" xfId="243"/>
    <cellStyle name="쉼표 [0] 3 4 2 2" xfId="403"/>
    <cellStyle name="쉼표 [0] 3 4 3" xfId="323"/>
    <cellStyle name="쉼표 [0] 3 4 3 2" xfId="483"/>
    <cellStyle name="쉼표 [0] 3 4 4" xfId="363"/>
    <cellStyle name="쉼표 [0] 3 5" xfId="219"/>
    <cellStyle name="쉼표 [0] 3 6" xfId="223"/>
    <cellStyle name="쉼표 [0] 3 6 2" xfId="383"/>
    <cellStyle name="쉼표 [0] 3 7" xfId="263"/>
    <cellStyle name="쉼표 [0] 3 7 2" xfId="423"/>
    <cellStyle name="쉼표 [0] 3 8" xfId="283"/>
    <cellStyle name="쉼표 [0] 3 8 2" xfId="443"/>
    <cellStyle name="쉼표 [0] 3 9" xfId="303"/>
    <cellStyle name="쉼표 [0] 3 9 2" xfId="463"/>
    <cellStyle name="쉼표 [0] 4" xfId="179"/>
    <cellStyle name="쉼표 [0] 4 2" xfId="184"/>
    <cellStyle name="쉼표 [0] 4 2 2" xfId="194"/>
    <cellStyle name="쉼표 [0] 4 2 2 2" xfId="217"/>
    <cellStyle name="쉼표 [0] 4 2 2 2 2" xfId="259"/>
    <cellStyle name="쉼표 [0] 4 2 2 2 2 2" xfId="419"/>
    <cellStyle name="쉼표 [0] 4 2 2 2 3" xfId="339"/>
    <cellStyle name="쉼표 [0] 4 2 2 2 3 2" xfId="499"/>
    <cellStyle name="쉼표 [0] 4 2 2 2 4" xfId="379"/>
    <cellStyle name="쉼표 [0] 4 2 2 3" xfId="239"/>
    <cellStyle name="쉼표 [0] 4 2 2 3 2" xfId="399"/>
    <cellStyle name="쉼표 [0] 4 2 2 4" xfId="279"/>
    <cellStyle name="쉼표 [0] 4 2 2 4 2" xfId="439"/>
    <cellStyle name="쉼표 [0] 4 2 2 5" xfId="299"/>
    <cellStyle name="쉼표 [0] 4 2 2 5 2" xfId="459"/>
    <cellStyle name="쉼표 [0] 4 2 2 6" xfId="319"/>
    <cellStyle name="쉼표 [0] 4 2 2 6 2" xfId="479"/>
    <cellStyle name="쉼표 [0] 4 2 2 7" xfId="359"/>
    <cellStyle name="쉼표 [0] 4 2 3" xfId="207"/>
    <cellStyle name="쉼표 [0] 4 2 3 2" xfId="249"/>
    <cellStyle name="쉼표 [0] 4 2 3 2 2" xfId="409"/>
    <cellStyle name="쉼표 [0] 4 2 3 3" xfId="329"/>
    <cellStyle name="쉼표 [0] 4 2 3 3 2" xfId="489"/>
    <cellStyle name="쉼표 [0] 4 2 3 4" xfId="369"/>
    <cellStyle name="쉼표 [0] 4 2 4" xfId="229"/>
    <cellStyle name="쉼표 [0] 4 2 4 2" xfId="389"/>
    <cellStyle name="쉼표 [0] 4 2 5" xfId="269"/>
    <cellStyle name="쉼표 [0] 4 2 5 2" xfId="429"/>
    <cellStyle name="쉼표 [0] 4 2 6" xfId="289"/>
    <cellStyle name="쉼표 [0] 4 2 6 2" xfId="449"/>
    <cellStyle name="쉼표 [0] 4 2 7" xfId="309"/>
    <cellStyle name="쉼표 [0] 4 2 7 2" xfId="469"/>
    <cellStyle name="쉼표 [0] 4 2 8" xfId="349"/>
    <cellStyle name="쉼표 [0] 4 3" xfId="189"/>
    <cellStyle name="쉼표 [0] 4 3 2" xfId="212"/>
    <cellStyle name="쉼표 [0] 4 3 2 2" xfId="254"/>
    <cellStyle name="쉼표 [0] 4 3 2 2 2" xfId="414"/>
    <cellStyle name="쉼표 [0] 4 3 2 3" xfId="334"/>
    <cellStyle name="쉼표 [0] 4 3 2 3 2" xfId="494"/>
    <cellStyle name="쉼표 [0] 4 3 2 4" xfId="374"/>
    <cellStyle name="쉼표 [0] 4 3 3" xfId="234"/>
    <cellStyle name="쉼표 [0] 4 3 3 2" xfId="394"/>
    <cellStyle name="쉼표 [0] 4 3 4" xfId="274"/>
    <cellStyle name="쉼표 [0] 4 3 4 2" xfId="434"/>
    <cellStyle name="쉼표 [0] 4 3 5" xfId="294"/>
    <cellStyle name="쉼표 [0] 4 3 5 2" xfId="454"/>
    <cellStyle name="쉼표 [0] 4 3 6" xfId="314"/>
    <cellStyle name="쉼표 [0] 4 3 6 2" xfId="474"/>
    <cellStyle name="쉼표 [0] 4 3 7" xfId="354"/>
    <cellStyle name="쉼표 [0] 4 4" xfId="202"/>
    <cellStyle name="쉼표 [0] 4 4 2" xfId="244"/>
    <cellStyle name="쉼표 [0] 4 4 2 2" xfId="404"/>
    <cellStyle name="쉼표 [0] 4 4 3" xfId="324"/>
    <cellStyle name="쉼표 [0] 4 4 3 2" xfId="484"/>
    <cellStyle name="쉼표 [0] 4 4 4" xfId="364"/>
    <cellStyle name="쉼표 [0] 4 5" xfId="224"/>
    <cellStyle name="쉼표 [0] 4 5 2" xfId="384"/>
    <cellStyle name="쉼표 [0] 4 6" xfId="264"/>
    <cellStyle name="쉼표 [0] 4 6 2" xfId="424"/>
    <cellStyle name="쉼표 [0] 4 7" xfId="284"/>
    <cellStyle name="쉼표 [0] 4 7 2" xfId="444"/>
    <cellStyle name="쉼표 [0] 4 8" xfId="304"/>
    <cellStyle name="쉼표 [0] 4 8 2" xfId="464"/>
    <cellStyle name="쉼표 [0] 4 9" xfId="344"/>
    <cellStyle name="쉼표 [0] 5" xfId="180"/>
    <cellStyle name="쉼표 [0] 5 2" xfId="190"/>
    <cellStyle name="쉼표 [0] 5 2 2" xfId="213"/>
    <cellStyle name="쉼표 [0] 5 2 2 2" xfId="255"/>
    <cellStyle name="쉼표 [0] 5 2 2 2 2" xfId="415"/>
    <cellStyle name="쉼표 [0] 5 2 2 3" xfId="335"/>
    <cellStyle name="쉼표 [0] 5 2 2 3 2" xfId="495"/>
    <cellStyle name="쉼표 [0] 5 2 2 4" xfId="375"/>
    <cellStyle name="쉼표 [0] 5 2 3" xfId="235"/>
    <cellStyle name="쉼표 [0] 5 2 3 2" xfId="395"/>
    <cellStyle name="쉼표 [0] 5 2 4" xfId="275"/>
    <cellStyle name="쉼표 [0] 5 2 4 2" xfId="435"/>
    <cellStyle name="쉼표 [0] 5 2 5" xfId="295"/>
    <cellStyle name="쉼표 [0] 5 2 5 2" xfId="455"/>
    <cellStyle name="쉼표 [0] 5 2 6" xfId="315"/>
    <cellStyle name="쉼표 [0] 5 2 6 2" xfId="475"/>
    <cellStyle name="쉼표 [0] 5 2 7" xfId="355"/>
    <cellStyle name="쉼표 [0] 5 3" xfId="203"/>
    <cellStyle name="쉼표 [0] 5 3 2" xfId="245"/>
    <cellStyle name="쉼표 [0] 5 3 2 2" xfId="405"/>
    <cellStyle name="쉼표 [0] 5 3 3" xfId="325"/>
    <cellStyle name="쉼표 [0] 5 3 3 2" xfId="485"/>
    <cellStyle name="쉼표 [0] 5 3 4" xfId="365"/>
    <cellStyle name="쉼표 [0] 5 4" xfId="225"/>
    <cellStyle name="쉼표 [0] 5 4 2" xfId="385"/>
    <cellStyle name="쉼표 [0] 5 5" xfId="265"/>
    <cellStyle name="쉼표 [0] 5 5 2" xfId="425"/>
    <cellStyle name="쉼표 [0] 5 6" xfId="285"/>
    <cellStyle name="쉼표 [0] 5 6 2" xfId="445"/>
    <cellStyle name="쉼표 [0] 5 7" xfId="305"/>
    <cellStyle name="쉼표 [0] 5 7 2" xfId="465"/>
    <cellStyle name="쉼표 [0] 5 8" xfId="345"/>
    <cellStyle name="쉼표 [0] 6" xfId="185"/>
    <cellStyle name="쉼표 [0] 6 2" xfId="208"/>
    <cellStyle name="쉼표 [0] 6 2 2" xfId="250"/>
    <cellStyle name="쉼표 [0] 6 2 2 2" xfId="410"/>
    <cellStyle name="쉼표 [0] 6 2 3" xfId="330"/>
    <cellStyle name="쉼표 [0] 6 2 3 2" xfId="490"/>
    <cellStyle name="쉼표 [0] 6 2 4" xfId="370"/>
    <cellStyle name="쉼표 [0] 6 3" xfId="218"/>
    <cellStyle name="쉼표 [0] 6 4" xfId="230"/>
    <cellStyle name="쉼표 [0] 6 4 2" xfId="390"/>
    <cellStyle name="쉼표 [0] 6 5" xfId="270"/>
    <cellStyle name="쉼표 [0] 6 5 2" xfId="430"/>
    <cellStyle name="쉼표 [0] 6 6" xfId="290"/>
    <cellStyle name="쉼표 [0] 6 6 2" xfId="450"/>
    <cellStyle name="쉼표 [0] 6 7" xfId="310"/>
    <cellStyle name="쉼표 [0] 6 7 2" xfId="470"/>
    <cellStyle name="쉼표 [0] 6 8" xfId="350"/>
    <cellStyle name="쉼표 [0] 7" xfId="198"/>
    <cellStyle name="쉼표 [0] 7 2" xfId="240"/>
    <cellStyle name="쉼표 [0] 7 2 2" xfId="400"/>
    <cellStyle name="쉼표 [0] 7 3" xfId="320"/>
    <cellStyle name="쉼표 [0] 7 3 2" xfId="480"/>
    <cellStyle name="쉼표 [0] 7 4" xfId="360"/>
    <cellStyle name="쉼표 [0] 8" xfId="220"/>
    <cellStyle name="쉼표 [0] 8 2" xfId="380"/>
    <cellStyle name="쉼표 [0] 9" xfId="260"/>
    <cellStyle name="쉼표 [0] 9 2" xfId="420"/>
    <cellStyle name="연결된 셀 2" xfId="34"/>
    <cellStyle name="연결된 셀 3" xfId="125"/>
    <cellStyle name="요약 2" xfId="35"/>
    <cellStyle name="요약 3" xfId="126"/>
    <cellStyle name="입력 2" xfId="36"/>
    <cellStyle name="입력 2 2" xfId="176"/>
    <cellStyle name="입력 3" xfId="127"/>
    <cellStyle name="입력 4" xfId="128"/>
    <cellStyle name="제목 1 2" xfId="37"/>
    <cellStyle name="제목 1 3" xfId="129"/>
    <cellStyle name="제목 2 2" xfId="38"/>
    <cellStyle name="제목 2 3" xfId="130"/>
    <cellStyle name="제목 3 2" xfId="39"/>
    <cellStyle name="제목 3 3" xfId="131"/>
    <cellStyle name="제목 4 2" xfId="40"/>
    <cellStyle name="제목 4 3" xfId="132"/>
    <cellStyle name="제목 5" xfId="41"/>
    <cellStyle name="제목 6" xfId="133"/>
    <cellStyle name="좋음 2" xfId="42"/>
    <cellStyle name="좋음 2 2" xfId="177"/>
    <cellStyle name="좋음 3" xfId="134"/>
    <cellStyle name="좋음 4" xfId="135"/>
    <cellStyle name="출력 2" xfId="43"/>
    <cellStyle name="출력 2 2" xfId="178"/>
    <cellStyle name="출력 3" xfId="136"/>
    <cellStyle name="출력 4" xfId="137"/>
    <cellStyle name="콤마 [0]_1202" xfId="47"/>
    <cellStyle name="콤마_1202" xfId="48"/>
    <cellStyle name="표준" xfId="0" builtinId="0"/>
    <cellStyle name="표준 2" xfId="2"/>
    <cellStyle name="표준 3" xfId="138"/>
    <cellStyle name="표준 3 8" xfId="195"/>
    <cellStyle name="표준 4 8" xfId="196"/>
    <cellStyle name="표준 5" xfId="139"/>
    <cellStyle name="표준 5 2 2" xfId="197"/>
    <cellStyle name="표준 6" xfId="140"/>
  </cellStyles>
  <dxfs count="405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CC"/>
      <color rgb="FFFFFFCC"/>
      <color rgb="FF99FF33"/>
      <color rgb="FF0000FF"/>
      <color rgb="FFCCFFFF"/>
      <color rgb="FFCCECFF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3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7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6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5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8177;&#54788;&#48120;/AppData/Local/Microsoft/Windows/Temporary%20Internet%20Files/Content.IE5/A9A1MPGN/2016&#45380;&#46020;%20&#51228;3&#54924;%20&#44221;&#44592;&#46020;%20&#52628;&#44032;&#44221;&#51221;%20&#50696;&#49328;&#50504;(&#46020;&#49884;&#50948;0829-&#50696;&#44208;&#50948;%20&#51228;&#52636;&#50857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8177;&#54788;&#48120;/AppData/Local/Microsoft/Windows/Temporary%20Internet%20Files/Content.IE5/NCHM5TZX/2016&#45380;&#46020;%20&#51228;3&#54924;%20&#44221;&#44592;&#46020;%20&#52628;&#44032;&#44221;&#51221;%20&#50696;&#49328;&#50504;%20&#49688;&#51221;&#50504;(&#50504;&#51204;&#54665;&#51221;&#50948;&#50896;&#54924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8177;&#54788;&#48120;/AppData/Local/Microsoft/Windows/Temporary%20Internet%20Files/Content.IE5/L3M30RC0/160829%202016&#45380;&#46020;%20&#51228;3&#54924;%20&#44221;&#44592;&#46020;%20&#52628;&#44032;&#44221;&#51221;%20&#50696;&#49328;&#50504;%20&#44228;&#49688;&#51312;&#51221;(&#47928;&#44305;&#50948;)-&#49688;&#51221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8177;&#54788;&#48120;/AppData/Local/Microsoft/Windows/Temporary%20Internet%20Files/Content.IE5/MCSTXD2C/2016&#45380;&#46020;%20&#51228;3&#54924;%20&#44221;&#44592;&#46020;%20&#52628;&#44032;&#44221;&#51221;%20&#50696;&#49328;&#50504;%20&#49688;&#51221;&#50504;vol2(&#44148;&#49444;&#44368;&#53685;&#50948;&#50896;&#54924;)(&#44228;&#49688;&#51312;&#51221;)(&#52572;&#51333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68;&#44032;&#44368;/&#54924;&#44592;&#50868;&#50689;/2016&#45380;/3&#54924;&#52628;&#44221;/4.%20&#44228;&#49688;&#51312;&#51221;(&#49345;&#51076;&#50948;.%20&#50696;&#44208;&#50948;)/2016/2-1%20&#44228;&#49688;&#51312;&#51221;%20&#45236;&#50669;(&#50696;&#44208;&#50948;%20&#49436;&#49885;-&#44228;&#49688;&#51312;&#51221;&#46412;%20&#52628;&#44032;&#47196;%20&#45347;&#50612;&#50556;&#54624;%20&#52628;&#44032;&#50696;&#49328;&#47564;.%20&#49892;&#44397;%20&#49324;&#51204;%20&#51089;&#49457;)%20&#50948;&#50896;&#50640;&#44172;&#45716;%20&#52628;&#44032;&#48324;&#51648;&#47196;%20&#48152;&#50689;&#46104;&#50556;&#54620;&#45796;&#47728;%20&#48372;&#50668;&#51452;&#44592;&#47564;/&#49892;&#44397;&#51088;&#47308;/1.%20&#50668;&#49457;&#44032;&#51313;&#44397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8177;&#54788;&#48120;/AppData/Local/Microsoft/Windows/Temporary%20Internet%20Files/Content.IE5/A9A1MPGN/2016&#45380;&#46020;%20&#51228;3&#54924;%20&#44221;&#44592;&#46020;%20&#52628;&#44032;&#44221;&#51221;%20&#50696;&#49328;&#50504;%20&#49688;&#51221;&#50504;vol2(&#45453;&#51221;&#50948;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8177;&#54788;&#48120;/AppData/Local/Microsoft/Windows/Temporary%20Internet%20Files/Content.IE5/A9A1MPGN/2016&#45380;&#46020;%20&#51228;3&#54924;%20&#44221;&#44592;&#46020;%20&#52628;&#44032;&#44221;&#51221;%20&#50696;&#49328;&#50504;%20&#49688;&#51221;&#50504;vol2(&#50668;&#44032;&#44368;&#50948;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8177;&#54788;&#48120;/AppData/Local/Microsoft/Windows/Temporary%20Internet%20Files/Content.IE5/51LU5TID/2016&#45380;&#46020;%20&#51228;3&#54924;%20&#44221;&#44592;&#46020;%20&#52628;&#44032;&#44221;&#51221;%20&#50696;&#49328;&#50504;%20&#49688;&#51221;&#50504;vol2(&#48372;&#44148;&#48373;&#51648;&#50948;&#50896;&#5492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예산안 표지"/>
      <sheetName val="16년 3추총괄표"/>
      <sheetName val="16년3추 일입"/>
      <sheetName val="16년 3추일출"/>
      <sheetName val="2추총괄표"/>
      <sheetName val="2추총괄표(실국별)"/>
    </sheetNames>
    <sheetDataSet>
      <sheetData sheetId="0">
        <row r="2">
          <cell r="A2" t="str">
            <v>의회사무처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1">
          <cell r="A11">
            <v>0</v>
          </cell>
        </row>
      </sheetData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예산안 표지"/>
      <sheetName val="16년 3추총괄표"/>
      <sheetName val="16년3추 일입"/>
      <sheetName val="16년 3추일출"/>
      <sheetName val="2추총괄표"/>
      <sheetName val="2추총괄표(실국별)"/>
    </sheetNames>
    <sheetDataSet>
      <sheetData sheetId="0">
        <row r="2">
          <cell r="A2" t="str">
            <v>의회사무처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9">
          <cell r="A9">
            <v>0</v>
          </cell>
        </row>
      </sheetData>
      <sheetData sheetId="12">
        <row r="12">
          <cell r="W12">
            <v>0</v>
          </cell>
        </row>
      </sheetData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예산안 표지"/>
      <sheetName val="16년 3추총괄표"/>
      <sheetName val="16년3추 일입"/>
      <sheetName val="16년 3추일출"/>
      <sheetName val="2추총괄표"/>
      <sheetName val="2추총괄표(실국별)"/>
      <sheetName val="16년 3추특입"/>
      <sheetName val="16년 3추특출"/>
    </sheetNames>
    <sheetDataSet>
      <sheetData sheetId="0">
        <row r="2">
          <cell r="A2" t="str">
            <v>의회사무처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2">
          <cell r="AD12" t="str">
            <v/>
          </cell>
        </row>
      </sheetData>
      <sheetData sheetId="12">
        <row r="12">
          <cell r="W12">
            <v>0</v>
          </cell>
        </row>
      </sheetData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예산안 표지"/>
      <sheetName val="16년 3추총괄표"/>
      <sheetName val="16년3추 일입"/>
      <sheetName val="16년 3추일출"/>
      <sheetName val="2추총괄표"/>
      <sheetName val="2추총괄표(실국별)"/>
      <sheetName val="16년 3추특입"/>
      <sheetName val="16년 3추특출"/>
    </sheetNames>
    <sheetDataSet>
      <sheetData sheetId="0">
        <row r="2">
          <cell r="A2" t="str">
            <v>의회사무처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>
        <row r="12">
          <cell r="W12">
            <v>0</v>
          </cell>
        </row>
      </sheetData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예산안 표지"/>
      <sheetName val="16년 3추총괄표"/>
      <sheetName val="16년3추 일입"/>
      <sheetName val="16년 3추일출"/>
      <sheetName val="2추총괄표"/>
      <sheetName val="2추총괄표(실국별)"/>
      <sheetName val="16년 3추특입"/>
      <sheetName val="16년 3추특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예산안 표지"/>
      <sheetName val="16년 3추총괄표"/>
      <sheetName val="16년3추 일입"/>
      <sheetName val="16년 3추일출"/>
      <sheetName val="2추총괄표"/>
      <sheetName val="2추총괄표(실국별)"/>
    </sheetNames>
    <sheetDataSet>
      <sheetData sheetId="0">
        <row r="2">
          <cell r="A2" t="str">
            <v>의회사무처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예산안 표지"/>
      <sheetName val="16년 3추총괄표"/>
      <sheetName val="16년3추 일입"/>
      <sheetName val="16년 3추일출"/>
      <sheetName val="2추총괄표"/>
      <sheetName val="2추총괄표(실국별)"/>
      <sheetName val="16년 3추특입"/>
      <sheetName val="16년 3추특출"/>
      <sheetName val="Sheet1"/>
    </sheetNames>
    <sheetDataSet>
      <sheetData sheetId="0">
        <row r="2">
          <cell r="A2" t="str">
            <v>의회사무처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5">
          <cell r="AD15" t="str">
            <v/>
          </cell>
        </row>
      </sheetData>
      <sheetData sheetId="12">
        <row r="12">
          <cell r="W12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15년검증"/>
      <sheetName val="2추검증"/>
      <sheetName val="상임 표지"/>
      <sheetName val="표지"/>
      <sheetName val="예결 표지"/>
      <sheetName val="예결 표지(가로)"/>
      <sheetName val="15년총괄표"/>
      <sheetName val="15년총괄표(실국별)"/>
      <sheetName val="예산안 표지"/>
      <sheetName val="16년 3추총괄표"/>
      <sheetName val="16년3추 일입"/>
      <sheetName val="16년 3추일출"/>
      <sheetName val="2추총괄표"/>
      <sheetName val="2추총괄표(실국별)"/>
      <sheetName val="16년 3추특입"/>
      <sheetName val="16년 3추특출"/>
    </sheetNames>
    <sheetDataSet>
      <sheetData sheetId="0">
        <row r="2">
          <cell r="A2" t="str">
            <v>의회사무처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>
        <row r="12">
          <cell r="W12">
            <v>0</v>
          </cell>
        </row>
      </sheetData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</sheetPr>
  <dimension ref="A1:S201"/>
  <sheetViews>
    <sheetView topLeftCell="A91" workbookViewId="0">
      <selection activeCell="E191" sqref="E191:F191"/>
    </sheetView>
  </sheetViews>
  <sheetFormatPr defaultRowHeight="10.5"/>
  <cols>
    <col min="1" max="1" width="29" style="118" bestFit="1" customWidth="1"/>
    <col min="2" max="2" width="20.375" style="118" bestFit="1" customWidth="1"/>
    <col min="3" max="3" width="18.625" style="118" bestFit="1" customWidth="1"/>
    <col min="4" max="4" width="2.375" style="118" customWidth="1"/>
    <col min="5" max="5" width="18.625" style="118" bestFit="1" customWidth="1"/>
    <col min="6" max="6" width="29" style="118" bestFit="1" customWidth="1"/>
    <col min="7" max="7" width="20.375" style="118" bestFit="1" customWidth="1"/>
    <col min="8" max="8" width="8.5" style="121" bestFit="1" customWidth="1"/>
    <col min="9" max="9" width="8.5" style="122" bestFit="1" customWidth="1"/>
    <col min="10" max="16384" width="9" style="118"/>
  </cols>
  <sheetData>
    <row r="1" spans="1:19" ht="35.25" customHeight="1">
      <c r="A1" s="117" t="s">
        <v>341</v>
      </c>
      <c r="B1" s="117" t="s">
        <v>340</v>
      </c>
      <c r="C1" s="117" t="s">
        <v>339</v>
      </c>
      <c r="E1" s="119" t="s">
        <v>320</v>
      </c>
      <c r="F1" s="119" t="s">
        <v>342</v>
      </c>
      <c r="G1" s="119" t="s">
        <v>319</v>
      </c>
      <c r="H1" s="120" t="s">
        <v>119</v>
      </c>
      <c r="I1" s="119" t="s">
        <v>338</v>
      </c>
      <c r="K1" s="118" t="s">
        <v>353</v>
      </c>
      <c r="L1" s="118" t="s">
        <v>354</v>
      </c>
      <c r="M1" s="118" t="s">
        <v>473</v>
      </c>
      <c r="N1" s="118" t="s">
        <v>369</v>
      </c>
      <c r="O1" s="118" t="s">
        <v>370</v>
      </c>
      <c r="Q1" s="134" t="s">
        <v>385</v>
      </c>
      <c r="S1" s="118" t="s">
        <v>389</v>
      </c>
    </row>
    <row r="2" spans="1:19" ht="13.5">
      <c r="A2" s="178" t="s">
        <v>614</v>
      </c>
      <c r="B2" s="178" t="s">
        <v>17</v>
      </c>
      <c r="C2" s="178" t="s">
        <v>614</v>
      </c>
      <c r="D2" s="159"/>
      <c r="E2" s="178" t="s">
        <v>614</v>
      </c>
      <c r="F2" s="178" t="s">
        <v>614</v>
      </c>
      <c r="G2" s="178" t="s">
        <v>17</v>
      </c>
      <c r="H2" s="178" t="s">
        <v>615</v>
      </c>
      <c r="I2" s="178" t="s">
        <v>121</v>
      </c>
      <c r="K2" s="118" t="s">
        <v>357</v>
      </c>
      <c r="L2" s="118" t="s">
        <v>357</v>
      </c>
      <c r="M2" s="118" t="s">
        <v>357</v>
      </c>
      <c r="N2" s="118" t="s">
        <v>369</v>
      </c>
      <c r="O2" s="118" t="s">
        <v>370</v>
      </c>
      <c r="Q2" s="134" t="s">
        <v>386</v>
      </c>
      <c r="S2" s="118" t="s">
        <v>390</v>
      </c>
    </row>
    <row r="3" spans="1:19" ht="13.5">
      <c r="A3" s="178" t="s">
        <v>109</v>
      </c>
      <c r="B3" s="178" t="s">
        <v>17</v>
      </c>
      <c r="C3" s="178" t="s">
        <v>109</v>
      </c>
      <c r="D3" s="159"/>
      <c r="E3" s="178" t="s">
        <v>109</v>
      </c>
      <c r="F3" s="178" t="s">
        <v>109</v>
      </c>
      <c r="G3" s="178" t="s">
        <v>17</v>
      </c>
      <c r="H3" s="178" t="s">
        <v>616</v>
      </c>
      <c r="I3" s="178" t="s">
        <v>617</v>
      </c>
      <c r="K3" s="118" t="s">
        <v>59</v>
      </c>
      <c r="L3" s="118" t="s">
        <v>59</v>
      </c>
      <c r="M3" s="118" t="s">
        <v>59</v>
      </c>
      <c r="N3" s="118" t="s">
        <v>368</v>
      </c>
      <c r="O3" s="118" t="s">
        <v>371</v>
      </c>
      <c r="Q3" s="118" t="s">
        <v>387</v>
      </c>
      <c r="S3" s="118" t="s">
        <v>391</v>
      </c>
    </row>
    <row r="4" spans="1:19" ht="13.5">
      <c r="A4" s="178" t="s">
        <v>274</v>
      </c>
      <c r="B4" s="178" t="s">
        <v>17</v>
      </c>
      <c r="C4" s="178" t="s">
        <v>109</v>
      </c>
      <c r="D4" s="159"/>
      <c r="E4" s="178" t="s">
        <v>109</v>
      </c>
      <c r="F4" s="178" t="s">
        <v>274</v>
      </c>
      <c r="G4" s="178" t="s">
        <v>17</v>
      </c>
      <c r="H4" s="178" t="s">
        <v>618</v>
      </c>
      <c r="I4" s="178" t="s">
        <v>619</v>
      </c>
      <c r="K4" s="118" t="s">
        <v>350</v>
      </c>
      <c r="L4" s="118" t="s">
        <v>355</v>
      </c>
      <c r="M4" s="118" t="s">
        <v>355</v>
      </c>
      <c r="O4" s="118" t="s">
        <v>369</v>
      </c>
    </row>
    <row r="5" spans="1:19" ht="13.5">
      <c r="A5" s="178" t="s">
        <v>620</v>
      </c>
      <c r="B5" s="178" t="s">
        <v>17</v>
      </c>
      <c r="C5" s="178" t="s">
        <v>621</v>
      </c>
      <c r="D5" s="159"/>
      <c r="E5" s="178" t="s">
        <v>621</v>
      </c>
      <c r="F5" s="178" t="s">
        <v>620</v>
      </c>
      <c r="G5" s="178" t="s">
        <v>17</v>
      </c>
      <c r="H5" s="178" t="s">
        <v>622</v>
      </c>
      <c r="I5" s="178" t="s">
        <v>623</v>
      </c>
      <c r="K5" s="118" t="s">
        <v>351</v>
      </c>
      <c r="L5" s="118" t="s">
        <v>351</v>
      </c>
      <c r="M5" s="118" t="s">
        <v>72</v>
      </c>
      <c r="O5" s="118" t="s">
        <v>368</v>
      </c>
    </row>
    <row r="6" spans="1:19" ht="13.5">
      <c r="A6" s="178" t="s">
        <v>624</v>
      </c>
      <c r="B6" s="178" t="s">
        <v>17</v>
      </c>
      <c r="C6" s="178" t="s">
        <v>621</v>
      </c>
      <c r="D6" s="159"/>
      <c r="E6" s="178" t="s">
        <v>621</v>
      </c>
      <c r="F6" s="178" t="s">
        <v>624</v>
      </c>
      <c r="G6" s="178" t="s">
        <v>17</v>
      </c>
      <c r="H6" s="178" t="s">
        <v>625</v>
      </c>
      <c r="I6" s="178" t="s">
        <v>626</v>
      </c>
      <c r="K6" s="118" t="s">
        <v>356</v>
      </c>
      <c r="L6" s="118" t="s">
        <v>352</v>
      </c>
      <c r="M6" s="118" t="s">
        <v>352</v>
      </c>
    </row>
    <row r="7" spans="1:19" ht="13.5">
      <c r="A7" s="178" t="s">
        <v>627</v>
      </c>
      <c r="B7" s="178" t="s">
        <v>17</v>
      </c>
      <c r="C7" s="178" t="s">
        <v>111</v>
      </c>
      <c r="D7" s="159"/>
      <c r="E7" s="178" t="s">
        <v>111</v>
      </c>
      <c r="F7" s="178" t="s">
        <v>627</v>
      </c>
      <c r="G7" s="178" t="s">
        <v>17</v>
      </c>
      <c r="H7" s="178" t="s">
        <v>628</v>
      </c>
      <c r="I7" s="178" t="s">
        <v>629</v>
      </c>
      <c r="K7" s="118" t="s">
        <v>352</v>
      </c>
      <c r="M7" s="118" t="s">
        <v>474</v>
      </c>
    </row>
    <row r="8" spans="1:19" ht="13.5">
      <c r="A8" s="178" t="s">
        <v>630</v>
      </c>
      <c r="B8" s="178" t="s">
        <v>17</v>
      </c>
      <c r="C8" s="178" t="s">
        <v>111</v>
      </c>
      <c r="D8" s="159"/>
      <c r="E8" s="178" t="s">
        <v>111</v>
      </c>
      <c r="F8" s="178" t="s">
        <v>630</v>
      </c>
      <c r="G8" s="178" t="s">
        <v>17</v>
      </c>
      <c r="H8" s="178" t="s">
        <v>631</v>
      </c>
      <c r="I8" s="178" t="s">
        <v>632</v>
      </c>
    </row>
    <row r="9" spans="1:19" ht="13.5">
      <c r="A9" s="178" t="s">
        <v>633</v>
      </c>
      <c r="B9" s="178" t="s">
        <v>17</v>
      </c>
      <c r="C9" s="178" t="s">
        <v>61</v>
      </c>
      <c r="D9" s="159"/>
      <c r="E9" s="178" t="s">
        <v>61</v>
      </c>
      <c r="F9" s="178" t="s">
        <v>633</v>
      </c>
      <c r="G9" s="178" t="s">
        <v>17</v>
      </c>
      <c r="H9" s="178" t="s">
        <v>634</v>
      </c>
      <c r="I9" s="178" t="s">
        <v>635</v>
      </c>
    </row>
    <row r="10" spans="1:19" ht="13.5">
      <c r="A10" s="178" t="s">
        <v>636</v>
      </c>
      <c r="B10" s="178" t="s">
        <v>17</v>
      </c>
      <c r="C10" s="178" t="s">
        <v>61</v>
      </c>
      <c r="D10" s="159"/>
      <c r="E10" s="178" t="s">
        <v>61</v>
      </c>
      <c r="F10" s="178" t="s">
        <v>636</v>
      </c>
      <c r="G10" s="178" t="s">
        <v>17</v>
      </c>
      <c r="H10" s="178" t="s">
        <v>637</v>
      </c>
      <c r="I10" s="178" t="s">
        <v>638</v>
      </c>
    </row>
    <row r="11" spans="1:19" ht="13.5">
      <c r="A11" s="178" t="s">
        <v>639</v>
      </c>
      <c r="B11" s="178" t="s">
        <v>17</v>
      </c>
      <c r="C11" s="178" t="s">
        <v>61</v>
      </c>
      <c r="D11" s="159"/>
      <c r="E11" s="178" t="s">
        <v>61</v>
      </c>
      <c r="F11" s="178" t="s">
        <v>639</v>
      </c>
      <c r="G11" s="178" t="s">
        <v>17</v>
      </c>
      <c r="H11" s="178" t="s">
        <v>640</v>
      </c>
      <c r="I11" s="178" t="s">
        <v>641</v>
      </c>
    </row>
    <row r="12" spans="1:19" ht="13.5">
      <c r="A12" s="178" t="s">
        <v>642</v>
      </c>
      <c r="B12" s="178" t="s">
        <v>17</v>
      </c>
      <c r="C12" s="178" t="s">
        <v>61</v>
      </c>
      <c r="D12" s="159"/>
      <c r="E12" s="178" t="s">
        <v>61</v>
      </c>
      <c r="F12" s="178" t="s">
        <v>642</v>
      </c>
      <c r="G12" s="178" t="s">
        <v>17</v>
      </c>
      <c r="H12" s="178" t="s">
        <v>643</v>
      </c>
      <c r="I12" s="178" t="s">
        <v>644</v>
      </c>
    </row>
    <row r="13" spans="1:19" ht="13.5">
      <c r="A13" s="178" t="s">
        <v>645</v>
      </c>
      <c r="B13" s="178" t="s">
        <v>17</v>
      </c>
      <c r="C13" s="178" t="s">
        <v>61</v>
      </c>
      <c r="D13" s="159"/>
      <c r="E13" s="178" t="s">
        <v>61</v>
      </c>
      <c r="F13" s="178" t="s">
        <v>645</v>
      </c>
      <c r="G13" s="178" t="s">
        <v>17</v>
      </c>
      <c r="H13" s="178" t="s">
        <v>646</v>
      </c>
      <c r="I13" s="178" t="s">
        <v>647</v>
      </c>
    </row>
    <row r="14" spans="1:19" ht="13.5">
      <c r="A14" s="178" t="s">
        <v>120</v>
      </c>
      <c r="B14" s="178" t="s">
        <v>18</v>
      </c>
      <c r="C14" s="178" t="s">
        <v>110</v>
      </c>
      <c r="D14" s="159"/>
      <c r="E14" s="178" t="s">
        <v>110</v>
      </c>
      <c r="F14" s="178" t="s">
        <v>120</v>
      </c>
      <c r="G14" s="178" t="s">
        <v>18</v>
      </c>
      <c r="H14" s="178" t="s">
        <v>648</v>
      </c>
      <c r="I14" s="178" t="s">
        <v>126</v>
      </c>
    </row>
    <row r="15" spans="1:19" ht="13.5">
      <c r="A15" s="178" t="s">
        <v>122</v>
      </c>
      <c r="B15" s="178" t="s">
        <v>18</v>
      </c>
      <c r="C15" s="178" t="s">
        <v>110</v>
      </c>
      <c r="D15" s="159"/>
      <c r="E15" s="178" t="s">
        <v>110</v>
      </c>
      <c r="F15" s="178" t="s">
        <v>122</v>
      </c>
      <c r="G15" s="178" t="s">
        <v>18</v>
      </c>
      <c r="H15" s="178" t="s">
        <v>649</v>
      </c>
      <c r="I15" s="178" t="s">
        <v>128</v>
      </c>
    </row>
    <row r="16" spans="1:19" ht="13.5">
      <c r="A16" s="178" t="s">
        <v>123</v>
      </c>
      <c r="B16" s="178" t="s">
        <v>18</v>
      </c>
      <c r="C16" s="178" t="s">
        <v>110</v>
      </c>
      <c r="D16" s="159"/>
      <c r="E16" s="178" t="s">
        <v>110</v>
      </c>
      <c r="F16" s="178" t="s">
        <v>123</v>
      </c>
      <c r="G16" s="178" t="s">
        <v>18</v>
      </c>
      <c r="H16" s="178" t="s">
        <v>650</v>
      </c>
      <c r="I16" s="178" t="s">
        <v>130</v>
      </c>
    </row>
    <row r="17" spans="1:9" ht="13.5">
      <c r="A17" s="178" t="s">
        <v>124</v>
      </c>
      <c r="B17" s="178" t="s">
        <v>18</v>
      </c>
      <c r="C17" s="178" t="s">
        <v>110</v>
      </c>
      <c r="D17" s="159"/>
      <c r="E17" s="178" t="s">
        <v>110</v>
      </c>
      <c r="F17" s="178" t="s">
        <v>124</v>
      </c>
      <c r="G17" s="178" t="s">
        <v>18</v>
      </c>
      <c r="H17" s="178" t="s">
        <v>651</v>
      </c>
      <c r="I17" s="178" t="s">
        <v>652</v>
      </c>
    </row>
    <row r="18" spans="1:9" ht="13.5">
      <c r="A18" s="178" t="s">
        <v>125</v>
      </c>
      <c r="B18" s="178" t="s">
        <v>18</v>
      </c>
      <c r="C18" s="178" t="s">
        <v>102</v>
      </c>
      <c r="D18" s="159"/>
      <c r="E18" s="178" t="s">
        <v>102</v>
      </c>
      <c r="F18" s="178" t="s">
        <v>125</v>
      </c>
      <c r="G18" s="178" t="s">
        <v>18</v>
      </c>
      <c r="H18" s="178" t="s">
        <v>653</v>
      </c>
      <c r="I18" s="178" t="s">
        <v>654</v>
      </c>
    </row>
    <row r="19" spans="1:9" ht="13.5">
      <c r="A19" s="178" t="s">
        <v>127</v>
      </c>
      <c r="B19" s="178" t="s">
        <v>18</v>
      </c>
      <c r="C19" s="178" t="s">
        <v>102</v>
      </c>
      <c r="D19" s="159"/>
      <c r="E19" s="178" t="s">
        <v>102</v>
      </c>
      <c r="F19" s="178" t="s">
        <v>127</v>
      </c>
      <c r="G19" s="178" t="s">
        <v>18</v>
      </c>
      <c r="H19" s="178" t="s">
        <v>655</v>
      </c>
      <c r="I19" s="178" t="s">
        <v>656</v>
      </c>
    </row>
    <row r="20" spans="1:9" ht="13.5">
      <c r="A20" s="178" t="s">
        <v>129</v>
      </c>
      <c r="B20" s="178" t="s">
        <v>18</v>
      </c>
      <c r="C20" s="178" t="s">
        <v>102</v>
      </c>
      <c r="D20" s="159"/>
      <c r="E20" s="178" t="s">
        <v>102</v>
      </c>
      <c r="F20" s="178" t="s">
        <v>129</v>
      </c>
      <c r="G20" s="178" t="s">
        <v>18</v>
      </c>
      <c r="H20" s="178" t="s">
        <v>657</v>
      </c>
      <c r="I20" s="178" t="s">
        <v>658</v>
      </c>
    </row>
    <row r="21" spans="1:9" ht="13.5">
      <c r="A21" s="178" t="s">
        <v>131</v>
      </c>
      <c r="B21" s="178" t="s">
        <v>18</v>
      </c>
      <c r="C21" s="178" t="s">
        <v>102</v>
      </c>
      <c r="D21" s="159"/>
      <c r="E21" s="178" t="s">
        <v>102</v>
      </c>
      <c r="F21" s="178" t="s">
        <v>131</v>
      </c>
      <c r="G21" s="178" t="s">
        <v>18</v>
      </c>
      <c r="H21" s="178" t="s">
        <v>659</v>
      </c>
      <c r="I21" s="178" t="s">
        <v>660</v>
      </c>
    </row>
    <row r="22" spans="1:9" ht="13.5">
      <c r="A22" s="178" t="s">
        <v>132</v>
      </c>
      <c r="B22" s="178" t="s">
        <v>18</v>
      </c>
      <c r="C22" s="178" t="s">
        <v>102</v>
      </c>
      <c r="D22" s="159"/>
      <c r="E22" s="178" t="s">
        <v>102</v>
      </c>
      <c r="F22" s="178" t="s">
        <v>132</v>
      </c>
      <c r="G22" s="178" t="s">
        <v>18</v>
      </c>
      <c r="H22" s="178" t="s">
        <v>661</v>
      </c>
      <c r="I22" s="178" t="s">
        <v>662</v>
      </c>
    </row>
    <row r="23" spans="1:9" ht="13.5">
      <c r="A23" s="178" t="s">
        <v>663</v>
      </c>
      <c r="B23" s="178" t="s">
        <v>18</v>
      </c>
      <c r="C23" s="178" t="s">
        <v>102</v>
      </c>
      <c r="D23" s="159"/>
      <c r="E23" s="178" t="s">
        <v>102</v>
      </c>
      <c r="F23" s="178" t="s">
        <v>663</v>
      </c>
      <c r="G23" s="178" t="s">
        <v>18</v>
      </c>
      <c r="H23" s="178" t="s">
        <v>664</v>
      </c>
      <c r="I23" s="178" t="s">
        <v>665</v>
      </c>
    </row>
    <row r="24" spans="1:9" ht="13.5">
      <c r="A24" s="178" t="s">
        <v>133</v>
      </c>
      <c r="B24" s="178" t="s">
        <v>18</v>
      </c>
      <c r="C24" s="178" t="s">
        <v>102</v>
      </c>
      <c r="D24" s="159"/>
      <c r="E24" s="178" t="s">
        <v>102</v>
      </c>
      <c r="F24" s="178" t="s">
        <v>133</v>
      </c>
      <c r="G24" s="178" t="s">
        <v>18</v>
      </c>
      <c r="H24" s="178" t="s">
        <v>666</v>
      </c>
      <c r="I24" s="178" t="s">
        <v>667</v>
      </c>
    </row>
    <row r="25" spans="1:9" ht="13.5">
      <c r="A25" s="178" t="s">
        <v>135</v>
      </c>
      <c r="B25" s="178" t="s">
        <v>18</v>
      </c>
      <c r="C25" s="178" t="s">
        <v>102</v>
      </c>
      <c r="D25" s="159"/>
      <c r="E25" s="178" t="s">
        <v>102</v>
      </c>
      <c r="F25" s="178" t="s">
        <v>135</v>
      </c>
      <c r="G25" s="178" t="s">
        <v>18</v>
      </c>
      <c r="H25" s="178" t="s">
        <v>668</v>
      </c>
      <c r="I25" s="178" t="s">
        <v>669</v>
      </c>
    </row>
    <row r="26" spans="1:9" ht="13.5">
      <c r="A26" s="178" t="s">
        <v>136</v>
      </c>
      <c r="B26" s="178" t="s">
        <v>18</v>
      </c>
      <c r="C26" s="178" t="s">
        <v>102</v>
      </c>
      <c r="D26" s="159"/>
      <c r="E26" s="178" t="s">
        <v>102</v>
      </c>
      <c r="F26" s="178" t="s">
        <v>136</v>
      </c>
      <c r="G26" s="178" t="s">
        <v>18</v>
      </c>
      <c r="H26" s="178" t="s">
        <v>670</v>
      </c>
      <c r="I26" s="178" t="s">
        <v>671</v>
      </c>
    </row>
    <row r="27" spans="1:9" ht="13.5">
      <c r="A27" s="178" t="s">
        <v>137</v>
      </c>
      <c r="B27" s="178" t="s">
        <v>18</v>
      </c>
      <c r="C27" s="178" t="s">
        <v>102</v>
      </c>
      <c r="D27" s="159"/>
      <c r="E27" s="178" t="s">
        <v>102</v>
      </c>
      <c r="F27" s="178" t="s">
        <v>137</v>
      </c>
      <c r="G27" s="178" t="s">
        <v>18</v>
      </c>
      <c r="H27" s="178" t="s">
        <v>672</v>
      </c>
      <c r="I27" s="178" t="s">
        <v>673</v>
      </c>
    </row>
    <row r="28" spans="1:9" ht="13.5">
      <c r="A28" s="178" t="s">
        <v>276</v>
      </c>
      <c r="B28" s="178" t="s">
        <v>18</v>
      </c>
      <c r="C28" s="178" t="s">
        <v>275</v>
      </c>
      <c r="D28" s="159"/>
      <c r="E28" s="178" t="s">
        <v>275</v>
      </c>
      <c r="F28" s="178" t="s">
        <v>276</v>
      </c>
      <c r="G28" s="178" t="s">
        <v>18</v>
      </c>
      <c r="H28" s="178" t="s">
        <v>674</v>
      </c>
      <c r="I28" s="178" t="s">
        <v>675</v>
      </c>
    </row>
    <row r="29" spans="1:9" ht="13.5">
      <c r="A29" s="178" t="s">
        <v>277</v>
      </c>
      <c r="B29" s="178" t="s">
        <v>18</v>
      </c>
      <c r="C29" s="178" t="s">
        <v>275</v>
      </c>
      <c r="D29" s="159"/>
      <c r="E29" s="178" t="s">
        <v>275</v>
      </c>
      <c r="F29" s="178" t="s">
        <v>277</v>
      </c>
      <c r="G29" s="178" t="s">
        <v>18</v>
      </c>
      <c r="H29" s="178" t="s">
        <v>676</v>
      </c>
      <c r="I29" s="178" t="s">
        <v>677</v>
      </c>
    </row>
    <row r="30" spans="1:9" ht="13.5">
      <c r="A30" s="178" t="s">
        <v>279</v>
      </c>
      <c r="B30" s="178" t="s">
        <v>18</v>
      </c>
      <c r="C30" s="178" t="s">
        <v>275</v>
      </c>
      <c r="D30" s="159"/>
      <c r="E30" s="178" t="s">
        <v>275</v>
      </c>
      <c r="F30" s="178" t="s">
        <v>279</v>
      </c>
      <c r="G30" s="178" t="s">
        <v>18</v>
      </c>
      <c r="H30" s="178" t="s">
        <v>678</v>
      </c>
      <c r="I30" s="178" t="s">
        <v>679</v>
      </c>
    </row>
    <row r="31" spans="1:9" ht="13.5">
      <c r="A31" s="178" t="s">
        <v>280</v>
      </c>
      <c r="B31" s="178" t="s">
        <v>18</v>
      </c>
      <c r="C31" s="178" t="s">
        <v>275</v>
      </c>
      <c r="D31" s="159"/>
      <c r="E31" s="178" t="s">
        <v>275</v>
      </c>
      <c r="F31" s="178" t="s">
        <v>280</v>
      </c>
      <c r="G31" s="178" t="s">
        <v>18</v>
      </c>
      <c r="H31" s="178" t="s">
        <v>680</v>
      </c>
      <c r="I31" s="178" t="s">
        <v>681</v>
      </c>
    </row>
    <row r="32" spans="1:9" ht="13.5">
      <c r="A32" s="179" t="s">
        <v>282</v>
      </c>
      <c r="B32" s="179" t="s">
        <v>18</v>
      </c>
      <c r="C32" s="179" t="s">
        <v>275</v>
      </c>
      <c r="D32" s="159"/>
      <c r="E32" s="179" t="s">
        <v>275</v>
      </c>
      <c r="F32" s="179" t="s">
        <v>282</v>
      </c>
      <c r="G32" s="179" t="s">
        <v>18</v>
      </c>
      <c r="H32" s="179" t="s">
        <v>682</v>
      </c>
      <c r="I32" s="179" t="s">
        <v>683</v>
      </c>
    </row>
    <row r="33" spans="1:9" ht="13.5">
      <c r="A33" s="178" t="s">
        <v>134</v>
      </c>
      <c r="B33" s="178" t="s">
        <v>18</v>
      </c>
      <c r="C33" s="178" t="s">
        <v>134</v>
      </c>
      <c r="D33" s="159"/>
      <c r="E33" s="178" t="s">
        <v>134</v>
      </c>
      <c r="F33" s="178" t="s">
        <v>134</v>
      </c>
      <c r="G33" s="178" t="s">
        <v>18</v>
      </c>
      <c r="H33" s="178" t="s">
        <v>684</v>
      </c>
      <c r="I33" s="178" t="s">
        <v>685</v>
      </c>
    </row>
    <row r="34" spans="1:9" ht="13.5">
      <c r="A34" s="178" t="s">
        <v>284</v>
      </c>
      <c r="B34" s="178" t="s">
        <v>9</v>
      </c>
      <c r="C34" s="178" t="s">
        <v>283</v>
      </c>
      <c r="D34" s="159"/>
      <c r="E34" s="178" t="s">
        <v>283</v>
      </c>
      <c r="F34" s="178" t="s">
        <v>284</v>
      </c>
      <c r="G34" s="178" t="s">
        <v>9</v>
      </c>
      <c r="H34" s="178" t="s">
        <v>686</v>
      </c>
      <c r="I34" s="178" t="s">
        <v>139</v>
      </c>
    </row>
    <row r="35" spans="1:9" ht="13.5">
      <c r="A35" s="178" t="s">
        <v>285</v>
      </c>
      <c r="B35" s="178" t="s">
        <v>9</v>
      </c>
      <c r="C35" s="178" t="s">
        <v>283</v>
      </c>
      <c r="D35" s="159"/>
      <c r="E35" s="178" t="s">
        <v>283</v>
      </c>
      <c r="F35" s="178" t="s">
        <v>285</v>
      </c>
      <c r="G35" s="178" t="s">
        <v>9</v>
      </c>
      <c r="H35" s="178" t="s">
        <v>687</v>
      </c>
      <c r="I35" s="178" t="s">
        <v>141</v>
      </c>
    </row>
    <row r="36" spans="1:9" ht="13.5">
      <c r="A36" s="178" t="s">
        <v>286</v>
      </c>
      <c r="B36" s="178" t="s">
        <v>9</v>
      </c>
      <c r="C36" s="178" t="s">
        <v>283</v>
      </c>
      <c r="D36" s="159"/>
      <c r="E36" s="178" t="s">
        <v>283</v>
      </c>
      <c r="F36" s="178" t="s">
        <v>286</v>
      </c>
      <c r="G36" s="178" t="s">
        <v>9</v>
      </c>
      <c r="H36" s="178" t="s">
        <v>688</v>
      </c>
      <c r="I36" s="178" t="s">
        <v>689</v>
      </c>
    </row>
    <row r="37" spans="1:9" ht="13.5">
      <c r="A37" s="178" t="s">
        <v>690</v>
      </c>
      <c r="B37" s="178" t="s">
        <v>9</v>
      </c>
      <c r="C37" s="178" t="s">
        <v>283</v>
      </c>
      <c r="D37" s="159"/>
      <c r="E37" s="178" t="s">
        <v>283</v>
      </c>
      <c r="F37" s="178" t="s">
        <v>690</v>
      </c>
      <c r="G37" s="178" t="s">
        <v>9</v>
      </c>
      <c r="H37" s="178" t="s">
        <v>691</v>
      </c>
      <c r="I37" s="178" t="s">
        <v>692</v>
      </c>
    </row>
    <row r="38" spans="1:9" ht="13.5">
      <c r="A38" s="178" t="s">
        <v>287</v>
      </c>
      <c r="B38" s="178" t="s">
        <v>9</v>
      </c>
      <c r="C38" s="178" t="s">
        <v>283</v>
      </c>
      <c r="D38" s="159"/>
      <c r="E38" s="178" t="s">
        <v>283</v>
      </c>
      <c r="F38" s="178" t="s">
        <v>287</v>
      </c>
      <c r="G38" s="178" t="s">
        <v>9</v>
      </c>
      <c r="H38" s="178" t="s">
        <v>693</v>
      </c>
      <c r="I38" s="178" t="s">
        <v>694</v>
      </c>
    </row>
    <row r="39" spans="1:9" ht="13.5">
      <c r="A39" s="178" t="s">
        <v>288</v>
      </c>
      <c r="B39" s="178" t="s">
        <v>9</v>
      </c>
      <c r="C39" s="178" t="s">
        <v>283</v>
      </c>
      <c r="D39" s="159"/>
      <c r="E39" s="178" t="s">
        <v>283</v>
      </c>
      <c r="F39" s="178" t="s">
        <v>288</v>
      </c>
      <c r="G39" s="178" t="s">
        <v>9</v>
      </c>
      <c r="H39" s="178" t="s">
        <v>695</v>
      </c>
      <c r="I39" s="178" t="s">
        <v>696</v>
      </c>
    </row>
    <row r="40" spans="1:9" ht="13.5">
      <c r="A40" s="178" t="s">
        <v>697</v>
      </c>
      <c r="B40" s="178" t="s">
        <v>9</v>
      </c>
      <c r="C40" s="178" t="s">
        <v>283</v>
      </c>
      <c r="D40" s="159"/>
      <c r="E40" s="178" t="s">
        <v>283</v>
      </c>
      <c r="F40" s="178" t="s">
        <v>697</v>
      </c>
      <c r="G40" s="178" t="s">
        <v>9</v>
      </c>
      <c r="H40" s="178" t="s">
        <v>698</v>
      </c>
      <c r="I40" s="178" t="s">
        <v>699</v>
      </c>
    </row>
    <row r="41" spans="1:9" ht="13.5">
      <c r="A41" s="178" t="s">
        <v>289</v>
      </c>
      <c r="B41" s="178" t="s">
        <v>9</v>
      </c>
      <c r="C41" s="178" t="s">
        <v>283</v>
      </c>
      <c r="D41" s="159"/>
      <c r="E41" s="178" t="s">
        <v>283</v>
      </c>
      <c r="F41" s="178" t="s">
        <v>289</v>
      </c>
      <c r="G41" s="178" t="s">
        <v>9</v>
      </c>
      <c r="H41" s="178" t="s">
        <v>700</v>
      </c>
      <c r="I41" s="178" t="s">
        <v>701</v>
      </c>
    </row>
    <row r="42" spans="1:9" ht="13.5">
      <c r="A42" s="178" t="s">
        <v>290</v>
      </c>
      <c r="B42" s="178" t="s">
        <v>9</v>
      </c>
      <c r="C42" s="178" t="s">
        <v>283</v>
      </c>
      <c r="D42" s="159"/>
      <c r="E42" s="178" t="s">
        <v>283</v>
      </c>
      <c r="F42" s="178" t="s">
        <v>290</v>
      </c>
      <c r="G42" s="178" t="s">
        <v>9</v>
      </c>
      <c r="H42" s="178" t="s">
        <v>702</v>
      </c>
      <c r="I42" s="178" t="s">
        <v>703</v>
      </c>
    </row>
    <row r="43" spans="1:9" ht="13.5">
      <c r="A43" s="178" t="s">
        <v>291</v>
      </c>
      <c r="B43" s="178" t="s">
        <v>9</v>
      </c>
      <c r="C43" s="178" t="s">
        <v>283</v>
      </c>
      <c r="D43" s="159"/>
      <c r="E43" s="178" t="s">
        <v>283</v>
      </c>
      <c r="F43" s="178" t="s">
        <v>291</v>
      </c>
      <c r="G43" s="178" t="s">
        <v>9</v>
      </c>
      <c r="H43" s="178" t="s">
        <v>704</v>
      </c>
      <c r="I43" s="178" t="s">
        <v>705</v>
      </c>
    </row>
    <row r="44" spans="1:9" ht="13.5">
      <c r="A44" s="178" t="s">
        <v>292</v>
      </c>
      <c r="B44" s="178" t="s">
        <v>9</v>
      </c>
      <c r="C44" s="178" t="s">
        <v>283</v>
      </c>
      <c r="D44" s="159"/>
      <c r="E44" s="178" t="s">
        <v>283</v>
      </c>
      <c r="F44" s="178" t="s">
        <v>292</v>
      </c>
      <c r="G44" s="178" t="s">
        <v>9</v>
      </c>
      <c r="H44" s="178" t="s">
        <v>706</v>
      </c>
      <c r="I44" s="178" t="s">
        <v>707</v>
      </c>
    </row>
    <row r="45" spans="1:9" ht="13.5">
      <c r="A45" s="178" t="s">
        <v>293</v>
      </c>
      <c r="B45" s="178" t="s">
        <v>9</v>
      </c>
      <c r="C45" s="178" t="s">
        <v>283</v>
      </c>
      <c r="D45" s="159"/>
      <c r="E45" s="178" t="s">
        <v>283</v>
      </c>
      <c r="F45" s="178" t="s">
        <v>293</v>
      </c>
      <c r="G45" s="178" t="s">
        <v>9</v>
      </c>
      <c r="H45" s="178" t="s">
        <v>708</v>
      </c>
      <c r="I45" s="178" t="s">
        <v>709</v>
      </c>
    </row>
    <row r="46" spans="1:9" ht="13.5">
      <c r="A46" s="178" t="s">
        <v>294</v>
      </c>
      <c r="B46" s="178" t="s">
        <v>9</v>
      </c>
      <c r="C46" s="178" t="s">
        <v>283</v>
      </c>
      <c r="D46" s="159"/>
      <c r="E46" s="178" t="s">
        <v>283</v>
      </c>
      <c r="F46" s="178" t="s">
        <v>294</v>
      </c>
      <c r="G46" s="178" t="s">
        <v>9</v>
      </c>
      <c r="H46" s="178" t="s">
        <v>710</v>
      </c>
      <c r="I46" s="178" t="s">
        <v>711</v>
      </c>
    </row>
    <row r="47" spans="1:9" ht="13.5">
      <c r="A47" s="178" t="s">
        <v>712</v>
      </c>
      <c r="B47" s="178" t="s">
        <v>9</v>
      </c>
      <c r="C47" s="178" t="s">
        <v>713</v>
      </c>
      <c r="D47" s="159"/>
      <c r="E47" s="178" t="s">
        <v>713</v>
      </c>
      <c r="F47" s="178" t="s">
        <v>712</v>
      </c>
      <c r="G47" s="178" t="s">
        <v>9</v>
      </c>
      <c r="H47" s="178" t="s">
        <v>714</v>
      </c>
      <c r="I47" s="178" t="s">
        <v>715</v>
      </c>
    </row>
    <row r="48" spans="1:9" ht="13.5">
      <c r="A48" s="178" t="s">
        <v>716</v>
      </c>
      <c r="B48" s="178" t="s">
        <v>9</v>
      </c>
      <c r="C48" s="178" t="s">
        <v>713</v>
      </c>
      <c r="D48" s="159"/>
      <c r="E48" s="178" t="s">
        <v>713</v>
      </c>
      <c r="F48" s="178" t="s">
        <v>716</v>
      </c>
      <c r="G48" s="178" t="s">
        <v>9</v>
      </c>
      <c r="H48" s="178" t="s">
        <v>717</v>
      </c>
      <c r="I48" s="178" t="s">
        <v>718</v>
      </c>
    </row>
    <row r="49" spans="1:9" ht="13.5">
      <c r="A49" s="178" t="s">
        <v>719</v>
      </c>
      <c r="B49" s="178" t="s">
        <v>9</v>
      </c>
      <c r="C49" s="178" t="s">
        <v>713</v>
      </c>
      <c r="D49" s="159"/>
      <c r="E49" s="178" t="s">
        <v>713</v>
      </c>
      <c r="F49" s="178" t="s">
        <v>719</v>
      </c>
      <c r="G49" s="178" t="s">
        <v>9</v>
      </c>
      <c r="H49" s="178" t="s">
        <v>720</v>
      </c>
      <c r="I49" s="178" t="s">
        <v>721</v>
      </c>
    </row>
    <row r="50" spans="1:9" ht="13.5">
      <c r="A50" s="179" t="s">
        <v>134</v>
      </c>
      <c r="B50" s="179" t="s">
        <v>9</v>
      </c>
      <c r="C50" s="179" t="s">
        <v>134</v>
      </c>
      <c r="D50" s="159"/>
      <c r="E50" s="179" t="s">
        <v>134</v>
      </c>
      <c r="F50" s="179" t="s">
        <v>134</v>
      </c>
      <c r="G50" s="179" t="s">
        <v>9</v>
      </c>
      <c r="H50" s="179" t="s">
        <v>722</v>
      </c>
      <c r="I50" s="179" t="s">
        <v>723</v>
      </c>
    </row>
    <row r="51" spans="1:9" ht="13.5">
      <c r="A51" s="178" t="s">
        <v>149</v>
      </c>
      <c r="B51" s="178" t="s">
        <v>384</v>
      </c>
      <c r="C51" s="178" t="s">
        <v>104</v>
      </c>
      <c r="D51" s="159"/>
      <c r="E51" s="178" t="s">
        <v>104</v>
      </c>
      <c r="F51" s="178" t="s">
        <v>149</v>
      </c>
      <c r="G51" s="178" t="s">
        <v>384</v>
      </c>
      <c r="H51" s="178" t="s">
        <v>724</v>
      </c>
      <c r="I51" s="178" t="s">
        <v>150</v>
      </c>
    </row>
    <row r="52" spans="1:9" ht="13.5">
      <c r="A52" s="178" t="s">
        <v>151</v>
      </c>
      <c r="B52" s="178" t="s">
        <v>384</v>
      </c>
      <c r="C52" s="178" t="s">
        <v>104</v>
      </c>
      <c r="D52" s="159"/>
      <c r="E52" s="178" t="s">
        <v>104</v>
      </c>
      <c r="F52" s="178" t="s">
        <v>151</v>
      </c>
      <c r="G52" s="178" t="s">
        <v>384</v>
      </c>
      <c r="H52" s="178" t="s">
        <v>725</v>
      </c>
      <c r="I52" s="178" t="s">
        <v>152</v>
      </c>
    </row>
    <row r="53" spans="1:9" ht="13.5">
      <c r="A53" s="178" t="s">
        <v>153</v>
      </c>
      <c r="B53" s="178" t="s">
        <v>384</v>
      </c>
      <c r="C53" s="178" t="s">
        <v>104</v>
      </c>
      <c r="D53" s="159"/>
      <c r="E53" s="178" t="s">
        <v>104</v>
      </c>
      <c r="F53" s="178" t="s">
        <v>153</v>
      </c>
      <c r="G53" s="178" t="s">
        <v>384</v>
      </c>
      <c r="H53" s="178" t="s">
        <v>726</v>
      </c>
      <c r="I53" s="178" t="s">
        <v>154</v>
      </c>
    </row>
    <row r="54" spans="1:9" ht="13.5">
      <c r="A54" s="178" t="s">
        <v>155</v>
      </c>
      <c r="B54" s="178" t="s">
        <v>384</v>
      </c>
      <c r="C54" s="178" t="s">
        <v>104</v>
      </c>
      <c r="D54" s="159"/>
      <c r="E54" s="178" t="s">
        <v>104</v>
      </c>
      <c r="F54" s="178" t="s">
        <v>155</v>
      </c>
      <c r="G54" s="178" t="s">
        <v>384</v>
      </c>
      <c r="H54" s="178" t="s">
        <v>727</v>
      </c>
      <c r="I54" s="178" t="s">
        <v>156</v>
      </c>
    </row>
    <row r="55" spans="1:9" ht="13.5">
      <c r="A55" s="178" t="s">
        <v>157</v>
      </c>
      <c r="B55" s="178" t="s">
        <v>384</v>
      </c>
      <c r="C55" s="178" t="s">
        <v>104</v>
      </c>
      <c r="D55" s="159"/>
      <c r="E55" s="178" t="s">
        <v>104</v>
      </c>
      <c r="F55" s="178" t="s">
        <v>157</v>
      </c>
      <c r="G55" s="178" t="s">
        <v>384</v>
      </c>
      <c r="H55" s="178" t="s">
        <v>728</v>
      </c>
      <c r="I55" s="178" t="s">
        <v>729</v>
      </c>
    </row>
    <row r="56" spans="1:9" ht="13.5">
      <c r="A56" s="178" t="s">
        <v>158</v>
      </c>
      <c r="B56" s="178" t="s">
        <v>384</v>
      </c>
      <c r="C56" s="178" t="s">
        <v>104</v>
      </c>
      <c r="D56" s="159"/>
      <c r="E56" s="178" t="s">
        <v>104</v>
      </c>
      <c r="F56" s="178" t="s">
        <v>158</v>
      </c>
      <c r="G56" s="178" t="s">
        <v>384</v>
      </c>
      <c r="H56" s="178" t="s">
        <v>730</v>
      </c>
      <c r="I56" s="178" t="s">
        <v>731</v>
      </c>
    </row>
    <row r="57" spans="1:9" ht="13.5">
      <c r="A57" s="178" t="s">
        <v>159</v>
      </c>
      <c r="B57" s="178" t="s">
        <v>384</v>
      </c>
      <c r="C57" s="178" t="s">
        <v>104</v>
      </c>
      <c r="D57" s="159"/>
      <c r="E57" s="178" t="s">
        <v>104</v>
      </c>
      <c r="F57" s="178" t="s">
        <v>159</v>
      </c>
      <c r="G57" s="178" t="s">
        <v>384</v>
      </c>
      <c r="H57" s="178" t="s">
        <v>732</v>
      </c>
      <c r="I57" s="178" t="s">
        <v>733</v>
      </c>
    </row>
    <row r="58" spans="1:9" ht="13.5">
      <c r="A58" s="178" t="s">
        <v>160</v>
      </c>
      <c r="B58" s="178" t="s">
        <v>384</v>
      </c>
      <c r="C58" s="178" t="s">
        <v>104</v>
      </c>
      <c r="D58" s="159"/>
      <c r="E58" s="178" t="s">
        <v>104</v>
      </c>
      <c r="F58" s="178" t="s">
        <v>160</v>
      </c>
      <c r="G58" s="178" t="s">
        <v>384</v>
      </c>
      <c r="H58" s="178" t="s">
        <v>734</v>
      </c>
      <c r="I58" s="178" t="s">
        <v>735</v>
      </c>
    </row>
    <row r="59" spans="1:9" ht="13.5">
      <c r="A59" s="178" t="s">
        <v>198</v>
      </c>
      <c r="B59" s="178" t="s">
        <v>384</v>
      </c>
      <c r="C59" s="178" t="s">
        <v>197</v>
      </c>
      <c r="D59" s="159"/>
      <c r="E59" s="178" t="s">
        <v>197</v>
      </c>
      <c r="F59" s="178" t="s">
        <v>198</v>
      </c>
      <c r="G59" s="178" t="s">
        <v>384</v>
      </c>
      <c r="H59" s="178" t="s">
        <v>736</v>
      </c>
      <c r="I59" s="178" t="s">
        <v>737</v>
      </c>
    </row>
    <row r="60" spans="1:9" ht="13.5">
      <c r="A60" s="178" t="s">
        <v>200</v>
      </c>
      <c r="B60" s="178" t="s">
        <v>384</v>
      </c>
      <c r="C60" s="178" t="s">
        <v>197</v>
      </c>
      <c r="D60" s="159"/>
      <c r="E60" s="178" t="s">
        <v>197</v>
      </c>
      <c r="F60" s="178" t="s">
        <v>200</v>
      </c>
      <c r="G60" s="178" t="s">
        <v>384</v>
      </c>
      <c r="H60" s="178" t="s">
        <v>738</v>
      </c>
      <c r="I60" s="178" t="s">
        <v>739</v>
      </c>
    </row>
    <row r="61" spans="1:9" ht="13.5">
      <c r="A61" s="178" t="s">
        <v>202</v>
      </c>
      <c r="B61" s="178" t="s">
        <v>384</v>
      </c>
      <c r="C61" s="178" t="s">
        <v>197</v>
      </c>
      <c r="D61" s="159"/>
      <c r="E61" s="178" t="s">
        <v>197</v>
      </c>
      <c r="F61" s="178" t="s">
        <v>202</v>
      </c>
      <c r="G61" s="178" t="s">
        <v>384</v>
      </c>
      <c r="H61" s="178" t="s">
        <v>740</v>
      </c>
      <c r="I61" s="178" t="s">
        <v>741</v>
      </c>
    </row>
    <row r="62" spans="1:9" ht="13.5">
      <c r="A62" s="178" t="s">
        <v>204</v>
      </c>
      <c r="B62" s="178" t="s">
        <v>384</v>
      </c>
      <c r="C62" s="178" t="s">
        <v>197</v>
      </c>
      <c r="D62" s="159"/>
      <c r="E62" s="178" t="s">
        <v>197</v>
      </c>
      <c r="F62" s="178" t="s">
        <v>204</v>
      </c>
      <c r="G62" s="178" t="s">
        <v>384</v>
      </c>
      <c r="H62" s="178" t="s">
        <v>742</v>
      </c>
      <c r="I62" s="178" t="s">
        <v>743</v>
      </c>
    </row>
    <row r="63" spans="1:9" ht="13.5">
      <c r="A63" s="178" t="s">
        <v>206</v>
      </c>
      <c r="B63" s="178" t="s">
        <v>384</v>
      </c>
      <c r="C63" s="178" t="s">
        <v>197</v>
      </c>
      <c r="D63" s="159"/>
      <c r="E63" s="178" t="s">
        <v>197</v>
      </c>
      <c r="F63" s="178" t="s">
        <v>206</v>
      </c>
      <c r="G63" s="178" t="s">
        <v>384</v>
      </c>
      <c r="H63" s="178" t="s">
        <v>744</v>
      </c>
      <c r="I63" s="178" t="s">
        <v>745</v>
      </c>
    </row>
    <row r="64" spans="1:9" ht="13.5">
      <c r="A64" s="178" t="s">
        <v>208</v>
      </c>
      <c r="B64" s="178" t="s">
        <v>384</v>
      </c>
      <c r="C64" s="178" t="s">
        <v>197</v>
      </c>
      <c r="D64" s="159"/>
      <c r="E64" s="178" t="s">
        <v>197</v>
      </c>
      <c r="F64" s="178" t="s">
        <v>208</v>
      </c>
      <c r="G64" s="178" t="s">
        <v>384</v>
      </c>
      <c r="H64" s="178" t="s">
        <v>746</v>
      </c>
      <c r="I64" s="178" t="s">
        <v>747</v>
      </c>
    </row>
    <row r="65" spans="1:9" ht="13.5">
      <c r="A65" s="178" t="s">
        <v>210</v>
      </c>
      <c r="B65" s="178" t="s">
        <v>384</v>
      </c>
      <c r="C65" s="178" t="s">
        <v>197</v>
      </c>
      <c r="D65" s="159"/>
      <c r="E65" s="178" t="s">
        <v>197</v>
      </c>
      <c r="F65" s="178" t="s">
        <v>210</v>
      </c>
      <c r="G65" s="178" t="s">
        <v>384</v>
      </c>
      <c r="H65" s="178" t="s">
        <v>748</v>
      </c>
      <c r="I65" s="178" t="s">
        <v>749</v>
      </c>
    </row>
    <row r="66" spans="1:9" ht="13.5">
      <c r="A66" s="178" t="s">
        <v>212</v>
      </c>
      <c r="B66" s="178" t="s">
        <v>384</v>
      </c>
      <c r="C66" s="178" t="s">
        <v>197</v>
      </c>
      <c r="D66" s="159"/>
      <c r="E66" s="178" t="s">
        <v>197</v>
      </c>
      <c r="F66" s="178" t="s">
        <v>212</v>
      </c>
      <c r="G66" s="178" t="s">
        <v>384</v>
      </c>
      <c r="H66" s="178" t="s">
        <v>750</v>
      </c>
      <c r="I66" s="178" t="s">
        <v>751</v>
      </c>
    </row>
    <row r="67" spans="1:9" ht="13.5">
      <c r="A67" s="178" t="s">
        <v>214</v>
      </c>
      <c r="B67" s="178" t="s">
        <v>384</v>
      </c>
      <c r="C67" s="178" t="s">
        <v>197</v>
      </c>
      <c r="D67" s="159"/>
      <c r="E67" s="178" t="s">
        <v>197</v>
      </c>
      <c r="F67" s="178" t="s">
        <v>214</v>
      </c>
      <c r="G67" s="178" t="s">
        <v>384</v>
      </c>
      <c r="H67" s="178" t="s">
        <v>752</v>
      </c>
      <c r="I67" s="178" t="s">
        <v>753</v>
      </c>
    </row>
    <row r="68" spans="1:9" ht="13.5">
      <c r="A68" s="178" t="s">
        <v>216</v>
      </c>
      <c r="B68" s="178" t="s">
        <v>384</v>
      </c>
      <c r="C68" s="178" t="s">
        <v>197</v>
      </c>
      <c r="D68" s="159"/>
      <c r="E68" s="178" t="s">
        <v>197</v>
      </c>
      <c r="F68" s="178" t="s">
        <v>216</v>
      </c>
      <c r="G68" s="178" t="s">
        <v>384</v>
      </c>
      <c r="H68" s="178" t="s">
        <v>754</v>
      </c>
      <c r="I68" s="178" t="s">
        <v>755</v>
      </c>
    </row>
    <row r="69" spans="1:9" ht="13.5">
      <c r="A69" s="178" t="s">
        <v>218</v>
      </c>
      <c r="B69" s="178" t="s">
        <v>384</v>
      </c>
      <c r="C69" s="178" t="s">
        <v>197</v>
      </c>
      <c r="D69" s="159"/>
      <c r="E69" s="178" t="s">
        <v>197</v>
      </c>
      <c r="F69" s="178" t="s">
        <v>218</v>
      </c>
      <c r="G69" s="178" t="s">
        <v>384</v>
      </c>
      <c r="H69" s="178" t="s">
        <v>756</v>
      </c>
      <c r="I69" s="178" t="s">
        <v>757</v>
      </c>
    </row>
    <row r="70" spans="1:9" ht="13.5">
      <c r="A70" s="178" t="s">
        <v>758</v>
      </c>
      <c r="B70" s="178" t="s">
        <v>384</v>
      </c>
      <c r="C70" s="178" t="s">
        <v>197</v>
      </c>
      <c r="D70" s="159"/>
      <c r="E70" s="178" t="s">
        <v>197</v>
      </c>
      <c r="F70" s="178" t="s">
        <v>758</v>
      </c>
      <c r="G70" s="178" t="s">
        <v>384</v>
      </c>
      <c r="H70" s="178" t="s">
        <v>759</v>
      </c>
      <c r="I70" s="178" t="s">
        <v>760</v>
      </c>
    </row>
    <row r="71" spans="1:9" ht="13.5">
      <c r="A71" s="178" t="s">
        <v>221</v>
      </c>
      <c r="B71" s="178" t="s">
        <v>384</v>
      </c>
      <c r="C71" s="178" t="s">
        <v>197</v>
      </c>
      <c r="D71" s="159"/>
      <c r="E71" s="178" t="s">
        <v>197</v>
      </c>
      <c r="F71" s="178" t="s">
        <v>221</v>
      </c>
      <c r="G71" s="178" t="s">
        <v>384</v>
      </c>
      <c r="H71" s="178" t="s">
        <v>761</v>
      </c>
      <c r="I71" s="178" t="s">
        <v>762</v>
      </c>
    </row>
    <row r="72" spans="1:9" ht="13.5">
      <c r="A72" s="178" t="s">
        <v>222</v>
      </c>
      <c r="B72" s="178" t="s">
        <v>384</v>
      </c>
      <c r="C72" s="178" t="s">
        <v>197</v>
      </c>
      <c r="D72" s="159"/>
      <c r="E72" s="178" t="s">
        <v>197</v>
      </c>
      <c r="F72" s="178" t="s">
        <v>222</v>
      </c>
      <c r="G72" s="178" t="s">
        <v>384</v>
      </c>
      <c r="H72" s="178" t="s">
        <v>763</v>
      </c>
      <c r="I72" s="178" t="s">
        <v>764</v>
      </c>
    </row>
    <row r="73" spans="1:9" ht="13.5">
      <c r="A73" s="178" t="s">
        <v>223</v>
      </c>
      <c r="B73" s="178" t="s">
        <v>384</v>
      </c>
      <c r="C73" s="178" t="s">
        <v>197</v>
      </c>
      <c r="D73" s="159"/>
      <c r="E73" s="178" t="s">
        <v>197</v>
      </c>
      <c r="F73" s="178" t="s">
        <v>223</v>
      </c>
      <c r="G73" s="178" t="s">
        <v>384</v>
      </c>
      <c r="H73" s="178" t="s">
        <v>765</v>
      </c>
      <c r="I73" s="178" t="s">
        <v>766</v>
      </c>
    </row>
    <row r="74" spans="1:9" ht="13.5">
      <c r="A74" s="178" t="s">
        <v>224</v>
      </c>
      <c r="B74" s="178" t="s">
        <v>384</v>
      </c>
      <c r="C74" s="178" t="s">
        <v>197</v>
      </c>
      <c r="D74" s="159"/>
      <c r="E74" s="178" t="s">
        <v>197</v>
      </c>
      <c r="F74" s="178" t="s">
        <v>224</v>
      </c>
      <c r="G74" s="178" t="s">
        <v>384</v>
      </c>
      <c r="H74" s="178" t="s">
        <v>767</v>
      </c>
      <c r="I74" s="178" t="s">
        <v>768</v>
      </c>
    </row>
    <row r="75" spans="1:9" ht="13.5">
      <c r="A75" s="178" t="s">
        <v>225</v>
      </c>
      <c r="B75" s="178" t="s">
        <v>384</v>
      </c>
      <c r="C75" s="178" t="s">
        <v>197</v>
      </c>
      <c r="D75" s="159"/>
      <c r="E75" s="178" t="s">
        <v>197</v>
      </c>
      <c r="F75" s="178" t="s">
        <v>225</v>
      </c>
      <c r="G75" s="178" t="s">
        <v>384</v>
      </c>
      <c r="H75" s="178" t="s">
        <v>769</v>
      </c>
      <c r="I75" s="178" t="s">
        <v>770</v>
      </c>
    </row>
    <row r="76" spans="1:9" ht="13.5">
      <c r="A76" s="178" t="s">
        <v>226</v>
      </c>
      <c r="B76" s="178" t="s">
        <v>384</v>
      </c>
      <c r="C76" s="178" t="s">
        <v>197</v>
      </c>
      <c r="D76" s="159"/>
      <c r="E76" s="178" t="s">
        <v>197</v>
      </c>
      <c r="F76" s="178" t="s">
        <v>226</v>
      </c>
      <c r="G76" s="178" t="s">
        <v>384</v>
      </c>
      <c r="H76" s="178" t="s">
        <v>771</v>
      </c>
      <c r="I76" s="178" t="s">
        <v>772</v>
      </c>
    </row>
    <row r="77" spans="1:9" ht="13.5">
      <c r="A77" s="178" t="s">
        <v>227</v>
      </c>
      <c r="B77" s="178" t="s">
        <v>384</v>
      </c>
      <c r="C77" s="178" t="s">
        <v>197</v>
      </c>
      <c r="D77" s="159"/>
      <c r="E77" s="178" t="s">
        <v>197</v>
      </c>
      <c r="F77" s="178" t="s">
        <v>227</v>
      </c>
      <c r="G77" s="178" t="s">
        <v>384</v>
      </c>
      <c r="H77" s="178" t="s">
        <v>773</v>
      </c>
      <c r="I77" s="178" t="s">
        <v>774</v>
      </c>
    </row>
    <row r="78" spans="1:9" ht="13.5">
      <c r="A78" s="178" t="s">
        <v>228</v>
      </c>
      <c r="B78" s="178" t="s">
        <v>384</v>
      </c>
      <c r="C78" s="178" t="s">
        <v>197</v>
      </c>
      <c r="D78" s="159"/>
      <c r="E78" s="178" t="s">
        <v>197</v>
      </c>
      <c r="F78" s="178" t="s">
        <v>228</v>
      </c>
      <c r="G78" s="178" t="s">
        <v>384</v>
      </c>
      <c r="H78" s="178" t="s">
        <v>775</v>
      </c>
      <c r="I78" s="178" t="s">
        <v>776</v>
      </c>
    </row>
    <row r="79" spans="1:9" ht="13.5">
      <c r="A79" s="178" t="s">
        <v>229</v>
      </c>
      <c r="B79" s="178" t="s">
        <v>384</v>
      </c>
      <c r="C79" s="178" t="s">
        <v>197</v>
      </c>
      <c r="D79" s="159"/>
      <c r="E79" s="178" t="s">
        <v>197</v>
      </c>
      <c r="F79" s="178" t="s">
        <v>229</v>
      </c>
      <c r="G79" s="178" t="s">
        <v>384</v>
      </c>
      <c r="H79" s="178" t="s">
        <v>777</v>
      </c>
      <c r="I79" s="178" t="s">
        <v>778</v>
      </c>
    </row>
    <row r="80" spans="1:9" ht="13.5">
      <c r="A80" s="178" t="s">
        <v>230</v>
      </c>
      <c r="B80" s="178" t="s">
        <v>384</v>
      </c>
      <c r="C80" s="178" t="s">
        <v>197</v>
      </c>
      <c r="D80" s="159"/>
      <c r="E80" s="178" t="s">
        <v>197</v>
      </c>
      <c r="F80" s="178" t="s">
        <v>230</v>
      </c>
      <c r="G80" s="178" t="s">
        <v>384</v>
      </c>
      <c r="H80" s="178" t="s">
        <v>779</v>
      </c>
      <c r="I80" s="178" t="s">
        <v>780</v>
      </c>
    </row>
    <row r="81" spans="1:9" ht="13.5">
      <c r="A81" s="178" t="s">
        <v>231</v>
      </c>
      <c r="B81" s="178" t="s">
        <v>384</v>
      </c>
      <c r="C81" s="178" t="s">
        <v>197</v>
      </c>
      <c r="D81" s="159"/>
      <c r="E81" s="178" t="s">
        <v>197</v>
      </c>
      <c r="F81" s="178" t="s">
        <v>231</v>
      </c>
      <c r="G81" s="178" t="s">
        <v>384</v>
      </c>
      <c r="H81" s="178" t="s">
        <v>781</v>
      </c>
      <c r="I81" s="178" t="s">
        <v>782</v>
      </c>
    </row>
    <row r="82" spans="1:9" ht="13.5">
      <c r="A82" s="178" t="s">
        <v>232</v>
      </c>
      <c r="B82" s="178" t="s">
        <v>384</v>
      </c>
      <c r="C82" s="178" t="s">
        <v>197</v>
      </c>
      <c r="D82" s="159"/>
      <c r="E82" s="178" t="s">
        <v>197</v>
      </c>
      <c r="F82" s="178" t="s">
        <v>232</v>
      </c>
      <c r="G82" s="178" t="s">
        <v>384</v>
      </c>
      <c r="H82" s="178" t="s">
        <v>783</v>
      </c>
      <c r="I82" s="178" t="s">
        <v>784</v>
      </c>
    </row>
    <row r="83" spans="1:9" ht="13.5">
      <c r="A83" s="178" t="s">
        <v>233</v>
      </c>
      <c r="B83" s="178" t="s">
        <v>384</v>
      </c>
      <c r="C83" s="178" t="s">
        <v>197</v>
      </c>
      <c r="D83" s="159"/>
      <c r="E83" s="178" t="s">
        <v>197</v>
      </c>
      <c r="F83" s="178" t="s">
        <v>233</v>
      </c>
      <c r="G83" s="178" t="s">
        <v>384</v>
      </c>
      <c r="H83" s="178" t="s">
        <v>785</v>
      </c>
      <c r="I83" s="178" t="s">
        <v>786</v>
      </c>
    </row>
    <row r="84" spans="1:9" ht="13.5">
      <c r="A84" s="178" t="s">
        <v>234</v>
      </c>
      <c r="B84" s="178" t="s">
        <v>384</v>
      </c>
      <c r="C84" s="178" t="s">
        <v>197</v>
      </c>
      <c r="D84" s="159"/>
      <c r="E84" s="178" t="s">
        <v>197</v>
      </c>
      <c r="F84" s="178" t="s">
        <v>234</v>
      </c>
      <c r="G84" s="178" t="s">
        <v>384</v>
      </c>
      <c r="H84" s="178" t="s">
        <v>787</v>
      </c>
      <c r="I84" s="178" t="s">
        <v>788</v>
      </c>
    </row>
    <row r="85" spans="1:9" ht="13.5">
      <c r="A85" s="178" t="s">
        <v>235</v>
      </c>
      <c r="B85" s="178" t="s">
        <v>384</v>
      </c>
      <c r="C85" s="178" t="s">
        <v>197</v>
      </c>
      <c r="D85" s="159"/>
      <c r="E85" s="178" t="s">
        <v>197</v>
      </c>
      <c r="F85" s="178" t="s">
        <v>235</v>
      </c>
      <c r="G85" s="178" t="s">
        <v>384</v>
      </c>
      <c r="H85" s="178" t="s">
        <v>789</v>
      </c>
      <c r="I85" s="178" t="s">
        <v>790</v>
      </c>
    </row>
    <row r="86" spans="1:9" ht="13.5">
      <c r="A86" s="178" t="s">
        <v>236</v>
      </c>
      <c r="B86" s="178" t="s">
        <v>384</v>
      </c>
      <c r="C86" s="178" t="s">
        <v>197</v>
      </c>
      <c r="D86" s="159"/>
      <c r="E86" s="178" t="s">
        <v>197</v>
      </c>
      <c r="F86" s="178" t="s">
        <v>236</v>
      </c>
      <c r="G86" s="178" t="s">
        <v>384</v>
      </c>
      <c r="H86" s="178" t="s">
        <v>791</v>
      </c>
      <c r="I86" s="178" t="s">
        <v>792</v>
      </c>
    </row>
    <row r="87" spans="1:9" ht="13.5">
      <c r="A87" s="178" t="s">
        <v>237</v>
      </c>
      <c r="B87" s="178" t="s">
        <v>384</v>
      </c>
      <c r="C87" s="178" t="s">
        <v>197</v>
      </c>
      <c r="D87" s="159"/>
      <c r="E87" s="178" t="s">
        <v>197</v>
      </c>
      <c r="F87" s="178" t="s">
        <v>237</v>
      </c>
      <c r="G87" s="178" t="s">
        <v>384</v>
      </c>
      <c r="H87" s="178" t="s">
        <v>793</v>
      </c>
      <c r="I87" s="178" t="s">
        <v>794</v>
      </c>
    </row>
    <row r="88" spans="1:9" ht="13.5">
      <c r="A88" s="178" t="s">
        <v>238</v>
      </c>
      <c r="B88" s="178" t="s">
        <v>384</v>
      </c>
      <c r="C88" s="178" t="s">
        <v>197</v>
      </c>
      <c r="D88" s="159"/>
      <c r="E88" s="178" t="s">
        <v>197</v>
      </c>
      <c r="F88" s="178" t="s">
        <v>238</v>
      </c>
      <c r="G88" s="178" t="s">
        <v>384</v>
      </c>
      <c r="H88" s="178" t="s">
        <v>795</v>
      </c>
      <c r="I88" s="178" t="s">
        <v>796</v>
      </c>
    </row>
    <row r="89" spans="1:9" ht="13.5">
      <c r="A89" s="178" t="s">
        <v>239</v>
      </c>
      <c r="B89" s="178" t="s">
        <v>384</v>
      </c>
      <c r="C89" s="178" t="s">
        <v>197</v>
      </c>
      <c r="D89" s="159"/>
      <c r="E89" s="178" t="s">
        <v>197</v>
      </c>
      <c r="F89" s="178" t="s">
        <v>239</v>
      </c>
      <c r="G89" s="178" t="s">
        <v>384</v>
      </c>
      <c r="H89" s="178" t="s">
        <v>797</v>
      </c>
      <c r="I89" s="178" t="s">
        <v>798</v>
      </c>
    </row>
    <row r="90" spans="1:9" ht="13.5">
      <c r="A90" s="178" t="s">
        <v>240</v>
      </c>
      <c r="B90" s="178" t="s">
        <v>384</v>
      </c>
      <c r="C90" s="178" t="s">
        <v>197</v>
      </c>
      <c r="D90" s="159"/>
      <c r="E90" s="178" t="s">
        <v>197</v>
      </c>
      <c r="F90" s="178" t="s">
        <v>240</v>
      </c>
      <c r="G90" s="178" t="s">
        <v>384</v>
      </c>
      <c r="H90" s="178" t="s">
        <v>799</v>
      </c>
      <c r="I90" s="178" t="s">
        <v>800</v>
      </c>
    </row>
    <row r="91" spans="1:9" ht="13.5">
      <c r="A91" s="178" t="s">
        <v>241</v>
      </c>
      <c r="B91" s="178" t="s">
        <v>384</v>
      </c>
      <c r="C91" s="178" t="s">
        <v>197</v>
      </c>
      <c r="D91" s="159"/>
      <c r="E91" s="178" t="s">
        <v>197</v>
      </c>
      <c r="F91" s="178" t="s">
        <v>241</v>
      </c>
      <c r="G91" s="178" t="s">
        <v>384</v>
      </c>
      <c r="H91" s="178" t="s">
        <v>801</v>
      </c>
      <c r="I91" s="178" t="s">
        <v>802</v>
      </c>
    </row>
    <row r="92" spans="1:9" ht="13.5">
      <c r="A92" s="178" t="s">
        <v>242</v>
      </c>
      <c r="B92" s="178" t="s">
        <v>384</v>
      </c>
      <c r="C92" s="178" t="s">
        <v>197</v>
      </c>
      <c r="D92" s="159"/>
      <c r="E92" s="178" t="s">
        <v>197</v>
      </c>
      <c r="F92" s="178" t="s">
        <v>242</v>
      </c>
      <c r="G92" s="178" t="s">
        <v>384</v>
      </c>
      <c r="H92" s="178" t="s">
        <v>803</v>
      </c>
      <c r="I92" s="178" t="s">
        <v>804</v>
      </c>
    </row>
    <row r="93" spans="1:9" ht="13.5">
      <c r="A93" s="178" t="s">
        <v>243</v>
      </c>
      <c r="B93" s="178" t="s">
        <v>384</v>
      </c>
      <c r="C93" s="178" t="s">
        <v>197</v>
      </c>
      <c r="D93" s="159"/>
      <c r="E93" s="178" t="s">
        <v>197</v>
      </c>
      <c r="F93" s="178" t="s">
        <v>243</v>
      </c>
      <c r="G93" s="178" t="s">
        <v>384</v>
      </c>
      <c r="H93" s="178" t="s">
        <v>805</v>
      </c>
      <c r="I93" s="178" t="s">
        <v>806</v>
      </c>
    </row>
    <row r="94" spans="1:9" ht="13.5">
      <c r="A94" s="178" t="s">
        <v>244</v>
      </c>
      <c r="B94" s="178" t="s">
        <v>384</v>
      </c>
      <c r="C94" s="178" t="s">
        <v>197</v>
      </c>
      <c r="D94" s="159"/>
      <c r="E94" s="178" t="s">
        <v>197</v>
      </c>
      <c r="F94" s="178" t="s">
        <v>244</v>
      </c>
      <c r="G94" s="178" t="s">
        <v>384</v>
      </c>
      <c r="H94" s="178" t="s">
        <v>807</v>
      </c>
      <c r="I94" s="178" t="s">
        <v>808</v>
      </c>
    </row>
    <row r="95" spans="1:9" ht="13.5">
      <c r="A95" s="178" t="s">
        <v>245</v>
      </c>
      <c r="B95" s="178" t="s">
        <v>384</v>
      </c>
      <c r="C95" s="178" t="s">
        <v>197</v>
      </c>
      <c r="D95" s="159"/>
      <c r="E95" s="178" t="s">
        <v>197</v>
      </c>
      <c r="F95" s="178" t="s">
        <v>245</v>
      </c>
      <c r="G95" s="178" t="s">
        <v>384</v>
      </c>
      <c r="H95" s="178" t="s">
        <v>809</v>
      </c>
      <c r="I95" s="178" t="s">
        <v>810</v>
      </c>
    </row>
    <row r="96" spans="1:9" ht="13.5">
      <c r="A96" s="178" t="s">
        <v>246</v>
      </c>
      <c r="B96" s="178" t="s">
        <v>384</v>
      </c>
      <c r="C96" s="178" t="s">
        <v>197</v>
      </c>
      <c r="D96" s="159"/>
      <c r="E96" s="178" t="s">
        <v>197</v>
      </c>
      <c r="F96" s="178" t="s">
        <v>246</v>
      </c>
      <c r="G96" s="178" t="s">
        <v>384</v>
      </c>
      <c r="H96" s="178" t="s">
        <v>811</v>
      </c>
      <c r="I96" s="178" t="s">
        <v>812</v>
      </c>
    </row>
    <row r="97" spans="1:9" ht="13.5">
      <c r="A97" s="178" t="s">
        <v>247</v>
      </c>
      <c r="B97" s="178" t="s">
        <v>384</v>
      </c>
      <c r="C97" s="178" t="s">
        <v>197</v>
      </c>
      <c r="D97" s="159"/>
      <c r="E97" s="178" t="s">
        <v>197</v>
      </c>
      <c r="F97" s="178" t="s">
        <v>247</v>
      </c>
      <c r="G97" s="178" t="s">
        <v>384</v>
      </c>
      <c r="H97" s="178" t="s">
        <v>813</v>
      </c>
      <c r="I97" s="178" t="s">
        <v>814</v>
      </c>
    </row>
    <row r="98" spans="1:9" ht="13.5">
      <c r="A98" s="178" t="s">
        <v>248</v>
      </c>
      <c r="B98" s="178" t="s">
        <v>384</v>
      </c>
      <c r="C98" s="178" t="s">
        <v>197</v>
      </c>
      <c r="D98" s="159"/>
      <c r="E98" s="178" t="s">
        <v>197</v>
      </c>
      <c r="F98" s="178" t="s">
        <v>248</v>
      </c>
      <c r="G98" s="178" t="s">
        <v>384</v>
      </c>
      <c r="H98" s="178" t="s">
        <v>815</v>
      </c>
      <c r="I98" s="178" t="s">
        <v>816</v>
      </c>
    </row>
    <row r="99" spans="1:9" ht="13.5">
      <c r="A99" s="178" t="s">
        <v>249</v>
      </c>
      <c r="B99" s="178" t="s">
        <v>384</v>
      </c>
      <c r="C99" s="178" t="s">
        <v>197</v>
      </c>
      <c r="D99" s="159"/>
      <c r="E99" s="178" t="s">
        <v>197</v>
      </c>
      <c r="F99" s="178" t="s">
        <v>249</v>
      </c>
      <c r="G99" s="178" t="s">
        <v>384</v>
      </c>
      <c r="H99" s="178" t="s">
        <v>817</v>
      </c>
      <c r="I99" s="178" t="s">
        <v>818</v>
      </c>
    </row>
    <row r="100" spans="1:9" ht="13.5">
      <c r="A100" s="178" t="s">
        <v>250</v>
      </c>
      <c r="B100" s="178" t="s">
        <v>384</v>
      </c>
      <c r="C100" s="178" t="s">
        <v>197</v>
      </c>
      <c r="D100" s="159"/>
      <c r="E100" s="178" t="s">
        <v>197</v>
      </c>
      <c r="F100" s="178" t="s">
        <v>250</v>
      </c>
      <c r="G100" s="178" t="s">
        <v>384</v>
      </c>
      <c r="H100" s="178" t="s">
        <v>819</v>
      </c>
      <c r="I100" s="178" t="s">
        <v>820</v>
      </c>
    </row>
    <row r="101" spans="1:9" ht="13.5">
      <c r="A101" s="178" t="s">
        <v>251</v>
      </c>
      <c r="B101" s="178" t="s">
        <v>384</v>
      </c>
      <c r="C101" s="178" t="s">
        <v>197</v>
      </c>
      <c r="D101" s="159"/>
      <c r="E101" s="178" t="s">
        <v>197</v>
      </c>
      <c r="F101" s="178" t="s">
        <v>251</v>
      </c>
      <c r="G101" s="178" t="s">
        <v>384</v>
      </c>
      <c r="H101" s="178" t="s">
        <v>821</v>
      </c>
      <c r="I101" s="178" t="s">
        <v>822</v>
      </c>
    </row>
    <row r="102" spans="1:9" ht="13.5">
      <c r="A102" s="178" t="s">
        <v>252</v>
      </c>
      <c r="B102" s="178" t="s">
        <v>384</v>
      </c>
      <c r="C102" s="178" t="s">
        <v>197</v>
      </c>
      <c r="D102" s="159"/>
      <c r="E102" s="178" t="s">
        <v>197</v>
      </c>
      <c r="F102" s="178" t="s">
        <v>252</v>
      </c>
      <c r="G102" s="178" t="s">
        <v>384</v>
      </c>
      <c r="H102" s="178" t="s">
        <v>823</v>
      </c>
      <c r="I102" s="178" t="s">
        <v>824</v>
      </c>
    </row>
    <row r="103" spans="1:9" ht="13.5">
      <c r="A103" s="178" t="s">
        <v>253</v>
      </c>
      <c r="B103" s="178" t="s">
        <v>384</v>
      </c>
      <c r="C103" s="178" t="s">
        <v>197</v>
      </c>
      <c r="D103" s="159"/>
      <c r="E103" s="178" t="s">
        <v>197</v>
      </c>
      <c r="F103" s="178" t="s">
        <v>253</v>
      </c>
      <c r="G103" s="178" t="s">
        <v>384</v>
      </c>
      <c r="H103" s="178" t="s">
        <v>825</v>
      </c>
      <c r="I103" s="178" t="s">
        <v>826</v>
      </c>
    </row>
    <row r="104" spans="1:9" ht="13.5">
      <c r="A104" s="178" t="s">
        <v>254</v>
      </c>
      <c r="B104" s="178" t="s">
        <v>384</v>
      </c>
      <c r="C104" s="178" t="s">
        <v>197</v>
      </c>
      <c r="D104" s="159"/>
      <c r="E104" s="178" t="s">
        <v>197</v>
      </c>
      <c r="F104" s="178" t="s">
        <v>254</v>
      </c>
      <c r="G104" s="178" t="s">
        <v>384</v>
      </c>
      <c r="H104" s="178" t="s">
        <v>827</v>
      </c>
      <c r="I104" s="178" t="s">
        <v>828</v>
      </c>
    </row>
    <row r="105" spans="1:9" ht="13.5">
      <c r="A105" s="178" t="s">
        <v>255</v>
      </c>
      <c r="B105" s="178" t="s">
        <v>384</v>
      </c>
      <c r="C105" s="178" t="s">
        <v>197</v>
      </c>
      <c r="D105" s="159"/>
      <c r="E105" s="178" t="s">
        <v>197</v>
      </c>
      <c r="F105" s="178" t="s">
        <v>255</v>
      </c>
      <c r="G105" s="178" t="s">
        <v>384</v>
      </c>
      <c r="H105" s="178" t="s">
        <v>829</v>
      </c>
      <c r="I105" s="178" t="s">
        <v>830</v>
      </c>
    </row>
    <row r="106" spans="1:9" ht="13.5">
      <c r="A106" s="178" t="s">
        <v>278</v>
      </c>
      <c r="B106" s="178" t="s">
        <v>384</v>
      </c>
      <c r="C106" s="178" t="s">
        <v>275</v>
      </c>
      <c r="D106" s="159"/>
      <c r="E106" s="178" t="s">
        <v>275</v>
      </c>
      <c r="F106" s="178" t="s">
        <v>278</v>
      </c>
      <c r="G106" s="178" t="s">
        <v>384</v>
      </c>
      <c r="H106" s="178" t="s">
        <v>831</v>
      </c>
      <c r="I106" s="178" t="s">
        <v>832</v>
      </c>
    </row>
    <row r="107" spans="1:9" ht="13.5">
      <c r="A107" s="178" t="s">
        <v>281</v>
      </c>
      <c r="B107" s="178" t="s">
        <v>384</v>
      </c>
      <c r="C107" s="178" t="s">
        <v>275</v>
      </c>
      <c r="D107" s="159"/>
      <c r="E107" s="178" t="s">
        <v>275</v>
      </c>
      <c r="F107" s="178" t="s">
        <v>281</v>
      </c>
      <c r="G107" s="178" t="s">
        <v>384</v>
      </c>
      <c r="H107" s="178" t="s">
        <v>833</v>
      </c>
      <c r="I107" s="178" t="s">
        <v>834</v>
      </c>
    </row>
    <row r="108" spans="1:9" ht="13.5">
      <c r="A108" s="178" t="s">
        <v>314</v>
      </c>
      <c r="B108" s="178" t="s">
        <v>384</v>
      </c>
      <c r="C108" s="178" t="s">
        <v>314</v>
      </c>
      <c r="D108" s="159"/>
      <c r="E108" s="178" t="s">
        <v>314</v>
      </c>
      <c r="F108" s="178" t="s">
        <v>314</v>
      </c>
      <c r="G108" s="178" t="s">
        <v>384</v>
      </c>
      <c r="H108" s="178" t="s">
        <v>835</v>
      </c>
      <c r="I108" s="178" t="s">
        <v>836</v>
      </c>
    </row>
    <row r="109" spans="1:9" ht="13.5">
      <c r="A109" s="178" t="s">
        <v>168</v>
      </c>
      <c r="B109" s="178" t="s">
        <v>13</v>
      </c>
      <c r="C109" s="178" t="s">
        <v>105</v>
      </c>
      <c r="D109" s="159"/>
      <c r="E109" s="178" t="s">
        <v>105</v>
      </c>
      <c r="F109" s="178" t="s">
        <v>168</v>
      </c>
      <c r="G109" s="178" t="s">
        <v>13</v>
      </c>
      <c r="H109" s="178" t="s">
        <v>837</v>
      </c>
      <c r="I109" s="178" t="s">
        <v>163</v>
      </c>
    </row>
    <row r="110" spans="1:9" ht="13.5">
      <c r="A110" s="178" t="s">
        <v>170</v>
      </c>
      <c r="B110" s="178" t="s">
        <v>13</v>
      </c>
      <c r="C110" s="178" t="s">
        <v>105</v>
      </c>
      <c r="D110" s="159"/>
      <c r="E110" s="178" t="s">
        <v>105</v>
      </c>
      <c r="F110" s="178" t="s">
        <v>170</v>
      </c>
      <c r="G110" s="178" t="s">
        <v>13</v>
      </c>
      <c r="H110" s="178" t="s">
        <v>838</v>
      </c>
      <c r="I110" s="178" t="s">
        <v>165</v>
      </c>
    </row>
    <row r="111" spans="1:9" ht="13.5">
      <c r="A111" s="178" t="s">
        <v>172</v>
      </c>
      <c r="B111" s="178" t="s">
        <v>13</v>
      </c>
      <c r="C111" s="178" t="s">
        <v>105</v>
      </c>
      <c r="D111" s="159"/>
      <c r="E111" s="178" t="s">
        <v>105</v>
      </c>
      <c r="F111" s="178" t="s">
        <v>172</v>
      </c>
      <c r="G111" s="178" t="s">
        <v>13</v>
      </c>
      <c r="H111" s="178" t="s">
        <v>839</v>
      </c>
      <c r="I111" s="178" t="s">
        <v>167</v>
      </c>
    </row>
    <row r="112" spans="1:9" ht="13.5">
      <c r="A112" s="178" t="s">
        <v>174</v>
      </c>
      <c r="B112" s="178" t="s">
        <v>13</v>
      </c>
      <c r="C112" s="178" t="s">
        <v>105</v>
      </c>
      <c r="D112" s="159"/>
      <c r="E112" s="178" t="s">
        <v>105</v>
      </c>
      <c r="F112" s="178" t="s">
        <v>174</v>
      </c>
      <c r="G112" s="178" t="s">
        <v>13</v>
      </c>
      <c r="H112" s="178" t="s">
        <v>840</v>
      </c>
      <c r="I112" s="178" t="s">
        <v>323</v>
      </c>
    </row>
    <row r="113" spans="1:9" ht="13.5">
      <c r="A113" s="178" t="s">
        <v>176</v>
      </c>
      <c r="B113" s="178" t="s">
        <v>13</v>
      </c>
      <c r="C113" s="178" t="s">
        <v>105</v>
      </c>
      <c r="D113" s="159"/>
      <c r="E113" s="178" t="s">
        <v>105</v>
      </c>
      <c r="F113" s="178" t="s">
        <v>176</v>
      </c>
      <c r="G113" s="178" t="s">
        <v>13</v>
      </c>
      <c r="H113" s="178" t="s">
        <v>841</v>
      </c>
      <c r="I113" s="178" t="s">
        <v>324</v>
      </c>
    </row>
    <row r="114" spans="1:9" ht="13.5">
      <c r="A114" s="178" t="s">
        <v>178</v>
      </c>
      <c r="B114" s="178" t="s">
        <v>13</v>
      </c>
      <c r="C114" s="178" t="s">
        <v>105</v>
      </c>
      <c r="D114" s="159"/>
      <c r="E114" s="178" t="s">
        <v>105</v>
      </c>
      <c r="F114" s="178" t="s">
        <v>178</v>
      </c>
      <c r="G114" s="178" t="s">
        <v>13</v>
      </c>
      <c r="H114" s="178" t="s">
        <v>842</v>
      </c>
      <c r="I114" s="178" t="s">
        <v>325</v>
      </c>
    </row>
    <row r="115" spans="1:9" ht="13.5">
      <c r="A115" s="178" t="s">
        <v>843</v>
      </c>
      <c r="B115" s="178" t="s">
        <v>13</v>
      </c>
      <c r="C115" s="178" t="s">
        <v>105</v>
      </c>
      <c r="D115" s="159"/>
      <c r="E115" s="178" t="s">
        <v>105</v>
      </c>
      <c r="F115" s="178" t="s">
        <v>843</v>
      </c>
      <c r="G115" s="178" t="s">
        <v>13</v>
      </c>
      <c r="H115" s="178" t="s">
        <v>844</v>
      </c>
      <c r="I115" s="178" t="s">
        <v>326</v>
      </c>
    </row>
    <row r="116" spans="1:9" ht="13.5">
      <c r="A116" s="178" t="s">
        <v>179</v>
      </c>
      <c r="B116" s="178" t="s">
        <v>63</v>
      </c>
      <c r="C116" s="178" t="s">
        <v>64</v>
      </c>
      <c r="D116" s="159"/>
      <c r="E116" s="178" t="s">
        <v>64</v>
      </c>
      <c r="F116" s="178" t="s">
        <v>179</v>
      </c>
      <c r="G116" s="178" t="s">
        <v>63</v>
      </c>
      <c r="H116" s="178" t="s">
        <v>845</v>
      </c>
      <c r="I116" s="178" t="s">
        <v>169</v>
      </c>
    </row>
    <row r="117" spans="1:9" ht="13.5">
      <c r="A117" s="178" t="s">
        <v>181</v>
      </c>
      <c r="B117" s="178" t="s">
        <v>63</v>
      </c>
      <c r="C117" s="178" t="s">
        <v>64</v>
      </c>
      <c r="D117" s="159"/>
      <c r="E117" s="178" t="s">
        <v>64</v>
      </c>
      <c r="F117" s="178" t="s">
        <v>181</v>
      </c>
      <c r="G117" s="178" t="s">
        <v>63</v>
      </c>
      <c r="H117" s="178" t="s">
        <v>846</v>
      </c>
      <c r="I117" s="178" t="s">
        <v>171</v>
      </c>
    </row>
    <row r="118" spans="1:9" ht="13.5">
      <c r="A118" s="178" t="s">
        <v>183</v>
      </c>
      <c r="B118" s="178" t="s">
        <v>63</v>
      </c>
      <c r="C118" s="178" t="s">
        <v>64</v>
      </c>
      <c r="D118" s="159"/>
      <c r="E118" s="178" t="s">
        <v>64</v>
      </c>
      <c r="F118" s="178" t="s">
        <v>183</v>
      </c>
      <c r="G118" s="178" t="s">
        <v>63</v>
      </c>
      <c r="H118" s="178" t="s">
        <v>847</v>
      </c>
      <c r="I118" s="178" t="s">
        <v>173</v>
      </c>
    </row>
    <row r="119" spans="1:9" ht="13.5">
      <c r="A119" s="178" t="s">
        <v>65</v>
      </c>
      <c r="B119" s="178" t="s">
        <v>63</v>
      </c>
      <c r="C119" s="178" t="s">
        <v>64</v>
      </c>
      <c r="D119" s="159"/>
      <c r="E119" s="178" t="s">
        <v>64</v>
      </c>
      <c r="F119" s="178" t="s">
        <v>65</v>
      </c>
      <c r="G119" s="178" t="s">
        <v>63</v>
      </c>
      <c r="H119" s="178" t="s">
        <v>848</v>
      </c>
      <c r="I119" s="178" t="s">
        <v>175</v>
      </c>
    </row>
    <row r="120" spans="1:9" ht="13.5">
      <c r="A120" s="178" t="s">
        <v>186</v>
      </c>
      <c r="B120" s="178" t="s">
        <v>63</v>
      </c>
      <c r="C120" s="178" t="s">
        <v>64</v>
      </c>
      <c r="D120" s="159"/>
      <c r="E120" s="178" t="s">
        <v>64</v>
      </c>
      <c r="F120" s="178" t="s">
        <v>186</v>
      </c>
      <c r="G120" s="178" t="s">
        <v>63</v>
      </c>
      <c r="H120" s="178" t="s">
        <v>849</v>
      </c>
      <c r="I120" s="178" t="s">
        <v>177</v>
      </c>
    </row>
    <row r="121" spans="1:9" ht="13.5">
      <c r="A121" s="178" t="s">
        <v>188</v>
      </c>
      <c r="B121" s="178" t="s">
        <v>63</v>
      </c>
      <c r="C121" s="178" t="s">
        <v>64</v>
      </c>
      <c r="D121" s="159"/>
      <c r="E121" s="178" t="s">
        <v>64</v>
      </c>
      <c r="F121" s="178" t="s">
        <v>188</v>
      </c>
      <c r="G121" s="178" t="s">
        <v>63</v>
      </c>
      <c r="H121" s="178" t="s">
        <v>850</v>
      </c>
      <c r="I121" s="178" t="s">
        <v>851</v>
      </c>
    </row>
    <row r="122" spans="1:9" ht="13.5">
      <c r="A122" s="178" t="s">
        <v>852</v>
      </c>
      <c r="B122" s="178" t="s">
        <v>63</v>
      </c>
      <c r="C122" s="178" t="s">
        <v>64</v>
      </c>
      <c r="D122" s="159"/>
      <c r="E122" s="178" t="s">
        <v>64</v>
      </c>
      <c r="F122" s="178" t="s">
        <v>852</v>
      </c>
      <c r="G122" s="178" t="s">
        <v>63</v>
      </c>
      <c r="H122" s="178" t="s">
        <v>853</v>
      </c>
      <c r="I122" s="178" t="s">
        <v>854</v>
      </c>
    </row>
    <row r="123" spans="1:9" ht="13.5">
      <c r="A123" s="178" t="s">
        <v>295</v>
      </c>
      <c r="B123" s="178" t="s">
        <v>63</v>
      </c>
      <c r="C123" s="178" t="s">
        <v>66</v>
      </c>
      <c r="D123" s="159"/>
      <c r="E123" s="178" t="s">
        <v>66</v>
      </c>
      <c r="F123" s="178" t="s">
        <v>295</v>
      </c>
      <c r="G123" s="178" t="s">
        <v>63</v>
      </c>
      <c r="H123" s="178" t="s">
        <v>855</v>
      </c>
      <c r="I123" s="178" t="s">
        <v>856</v>
      </c>
    </row>
    <row r="124" spans="1:9" ht="13.5">
      <c r="A124" s="178" t="s">
        <v>67</v>
      </c>
      <c r="B124" s="178" t="s">
        <v>63</v>
      </c>
      <c r="C124" s="178" t="s">
        <v>66</v>
      </c>
      <c r="D124" s="159"/>
      <c r="E124" s="178" t="s">
        <v>66</v>
      </c>
      <c r="F124" s="178" t="s">
        <v>67</v>
      </c>
      <c r="G124" s="178" t="s">
        <v>63</v>
      </c>
      <c r="H124" s="178" t="s">
        <v>857</v>
      </c>
      <c r="I124" s="178" t="s">
        <v>858</v>
      </c>
    </row>
    <row r="125" spans="1:9" ht="13.5">
      <c r="A125" s="178" t="s">
        <v>296</v>
      </c>
      <c r="B125" s="178" t="s">
        <v>63</v>
      </c>
      <c r="C125" s="178" t="s">
        <v>66</v>
      </c>
      <c r="D125" s="159"/>
      <c r="E125" s="178" t="s">
        <v>66</v>
      </c>
      <c r="F125" s="178" t="s">
        <v>296</v>
      </c>
      <c r="G125" s="178" t="s">
        <v>63</v>
      </c>
      <c r="H125" s="178" t="s">
        <v>859</v>
      </c>
      <c r="I125" s="178" t="s">
        <v>860</v>
      </c>
    </row>
    <row r="126" spans="1:9" ht="13.5">
      <c r="A126" s="178" t="s">
        <v>298</v>
      </c>
      <c r="B126" s="178" t="s">
        <v>63</v>
      </c>
      <c r="C126" s="178" t="s">
        <v>66</v>
      </c>
      <c r="D126" s="159"/>
      <c r="E126" s="178" t="s">
        <v>66</v>
      </c>
      <c r="F126" s="178" t="s">
        <v>298</v>
      </c>
      <c r="G126" s="178" t="s">
        <v>63</v>
      </c>
      <c r="H126" s="178" t="s">
        <v>861</v>
      </c>
      <c r="I126" s="178" t="s">
        <v>862</v>
      </c>
    </row>
    <row r="127" spans="1:9" ht="13.5">
      <c r="A127" s="178" t="s">
        <v>299</v>
      </c>
      <c r="B127" s="178" t="s">
        <v>63</v>
      </c>
      <c r="C127" s="178" t="s">
        <v>66</v>
      </c>
      <c r="D127" s="159"/>
      <c r="E127" s="178" t="s">
        <v>66</v>
      </c>
      <c r="F127" s="178" t="s">
        <v>299</v>
      </c>
      <c r="G127" s="178" t="s">
        <v>63</v>
      </c>
      <c r="H127" s="178" t="s">
        <v>863</v>
      </c>
      <c r="I127" s="178" t="s">
        <v>864</v>
      </c>
    </row>
    <row r="128" spans="1:9" ht="13.5">
      <c r="A128" s="178" t="s">
        <v>300</v>
      </c>
      <c r="B128" s="178" t="s">
        <v>63</v>
      </c>
      <c r="C128" s="178" t="s">
        <v>66</v>
      </c>
      <c r="D128" s="159"/>
      <c r="E128" s="178" t="s">
        <v>66</v>
      </c>
      <c r="F128" s="178" t="s">
        <v>300</v>
      </c>
      <c r="G128" s="178" t="s">
        <v>63</v>
      </c>
      <c r="H128" s="178" t="s">
        <v>865</v>
      </c>
      <c r="I128" s="178" t="s">
        <v>866</v>
      </c>
    </row>
    <row r="129" spans="1:9" ht="13.5">
      <c r="A129" s="178" t="s">
        <v>313</v>
      </c>
      <c r="B129" s="178" t="s">
        <v>63</v>
      </c>
      <c r="C129" s="178" t="s">
        <v>312</v>
      </c>
      <c r="D129" s="159"/>
      <c r="E129" s="178" t="s">
        <v>312</v>
      </c>
      <c r="F129" s="178" t="s">
        <v>313</v>
      </c>
      <c r="G129" s="178" t="s">
        <v>63</v>
      </c>
      <c r="H129" s="178" t="s">
        <v>867</v>
      </c>
      <c r="I129" s="178" t="s">
        <v>868</v>
      </c>
    </row>
    <row r="130" spans="1:9" ht="13.5">
      <c r="A130" s="178" t="s">
        <v>869</v>
      </c>
      <c r="B130" s="178" t="s">
        <v>63</v>
      </c>
      <c r="C130" s="178" t="s">
        <v>312</v>
      </c>
      <c r="D130" s="159"/>
      <c r="E130" s="178" t="s">
        <v>312</v>
      </c>
      <c r="F130" s="178" t="s">
        <v>869</v>
      </c>
      <c r="G130" s="178" t="s">
        <v>63</v>
      </c>
      <c r="H130" s="178" t="s">
        <v>870</v>
      </c>
      <c r="I130" s="178" t="s">
        <v>871</v>
      </c>
    </row>
    <row r="131" spans="1:9" ht="13.5">
      <c r="A131" s="178" t="s">
        <v>872</v>
      </c>
      <c r="B131" s="178" t="s">
        <v>63</v>
      </c>
      <c r="C131" s="178" t="s">
        <v>312</v>
      </c>
      <c r="D131" s="159"/>
      <c r="E131" s="178" t="s">
        <v>312</v>
      </c>
      <c r="F131" s="178" t="s">
        <v>872</v>
      </c>
      <c r="G131" s="178" t="s">
        <v>63</v>
      </c>
      <c r="H131" s="178" t="s">
        <v>873</v>
      </c>
      <c r="I131" s="178" t="s">
        <v>874</v>
      </c>
    </row>
    <row r="132" spans="1:9" ht="13.5">
      <c r="A132" s="178" t="s">
        <v>875</v>
      </c>
      <c r="B132" s="178" t="s">
        <v>63</v>
      </c>
      <c r="C132" s="178" t="s">
        <v>312</v>
      </c>
      <c r="D132" s="159"/>
      <c r="E132" s="178" t="s">
        <v>312</v>
      </c>
      <c r="F132" s="178" t="s">
        <v>875</v>
      </c>
      <c r="G132" s="178" t="s">
        <v>63</v>
      </c>
      <c r="H132" s="178" t="s">
        <v>876</v>
      </c>
      <c r="I132" s="178" t="s">
        <v>877</v>
      </c>
    </row>
    <row r="133" spans="1:9" ht="13.5">
      <c r="A133" s="178" t="s">
        <v>878</v>
      </c>
      <c r="B133" s="178" t="s">
        <v>63</v>
      </c>
      <c r="C133" s="178" t="s">
        <v>312</v>
      </c>
      <c r="D133" s="159"/>
      <c r="E133" s="178" t="s">
        <v>312</v>
      </c>
      <c r="F133" s="178" t="s">
        <v>878</v>
      </c>
      <c r="G133" s="178" t="s">
        <v>63</v>
      </c>
      <c r="H133" s="178" t="s">
        <v>879</v>
      </c>
      <c r="I133" s="178" t="s">
        <v>880</v>
      </c>
    </row>
    <row r="134" spans="1:9" ht="13.5">
      <c r="A134" s="178" t="s">
        <v>881</v>
      </c>
      <c r="B134" s="178" t="s">
        <v>63</v>
      </c>
      <c r="C134" s="178" t="s">
        <v>312</v>
      </c>
      <c r="D134" s="159"/>
      <c r="E134" s="178" t="s">
        <v>312</v>
      </c>
      <c r="F134" s="178" t="s">
        <v>881</v>
      </c>
      <c r="G134" s="178" t="s">
        <v>63</v>
      </c>
      <c r="H134" s="178" t="s">
        <v>882</v>
      </c>
      <c r="I134" s="178" t="s">
        <v>883</v>
      </c>
    </row>
    <row r="135" spans="1:9" ht="13.5">
      <c r="A135" s="178" t="s">
        <v>884</v>
      </c>
      <c r="B135" s="178" t="s">
        <v>63</v>
      </c>
      <c r="C135" s="178" t="s">
        <v>312</v>
      </c>
      <c r="D135" s="159"/>
      <c r="E135" s="178" t="s">
        <v>312</v>
      </c>
      <c r="F135" s="178" t="s">
        <v>884</v>
      </c>
      <c r="G135" s="178" t="s">
        <v>63</v>
      </c>
      <c r="H135" s="178" t="s">
        <v>885</v>
      </c>
      <c r="I135" s="178" t="s">
        <v>886</v>
      </c>
    </row>
    <row r="136" spans="1:9" ht="13.5">
      <c r="A136" s="178" t="s">
        <v>887</v>
      </c>
      <c r="B136" s="178" t="s">
        <v>63</v>
      </c>
      <c r="C136" s="178" t="s">
        <v>312</v>
      </c>
      <c r="D136" s="159"/>
      <c r="E136" s="178" t="s">
        <v>312</v>
      </c>
      <c r="F136" s="178" t="s">
        <v>887</v>
      </c>
      <c r="G136" s="178" t="s">
        <v>63</v>
      </c>
      <c r="H136" s="178" t="s">
        <v>888</v>
      </c>
      <c r="I136" s="178" t="s">
        <v>889</v>
      </c>
    </row>
    <row r="137" spans="1:9" ht="13.5">
      <c r="A137" s="178" t="s">
        <v>890</v>
      </c>
      <c r="B137" s="178" t="s">
        <v>63</v>
      </c>
      <c r="C137" s="178" t="s">
        <v>312</v>
      </c>
      <c r="D137" s="159"/>
      <c r="E137" s="178" t="s">
        <v>312</v>
      </c>
      <c r="F137" s="178" t="s">
        <v>890</v>
      </c>
      <c r="G137" s="178" t="s">
        <v>63</v>
      </c>
      <c r="H137" s="178" t="s">
        <v>891</v>
      </c>
      <c r="I137" s="178" t="s">
        <v>892</v>
      </c>
    </row>
    <row r="138" spans="1:9" ht="13.5">
      <c r="A138" s="178" t="s">
        <v>893</v>
      </c>
      <c r="B138" s="178" t="s">
        <v>63</v>
      </c>
      <c r="C138" s="178" t="s">
        <v>312</v>
      </c>
      <c r="D138" s="159"/>
      <c r="E138" s="178" t="s">
        <v>312</v>
      </c>
      <c r="F138" s="178" t="s">
        <v>893</v>
      </c>
      <c r="G138" s="178" t="s">
        <v>63</v>
      </c>
      <c r="H138" s="178" t="s">
        <v>894</v>
      </c>
      <c r="I138" s="178" t="s">
        <v>895</v>
      </c>
    </row>
    <row r="139" spans="1:9" ht="13.5">
      <c r="A139" s="178" t="s">
        <v>598</v>
      </c>
      <c r="B139" s="178" t="s">
        <v>321</v>
      </c>
      <c r="C139" s="178" t="s">
        <v>106</v>
      </c>
      <c r="D139" s="159"/>
      <c r="E139" s="178" t="s">
        <v>106</v>
      </c>
      <c r="F139" s="178" t="s">
        <v>598</v>
      </c>
      <c r="G139" s="178" t="s">
        <v>321</v>
      </c>
      <c r="H139" s="178" t="s">
        <v>896</v>
      </c>
      <c r="I139" s="178" t="s">
        <v>180</v>
      </c>
    </row>
    <row r="140" spans="1:9" ht="13.5">
      <c r="A140" s="178" t="s">
        <v>256</v>
      </c>
      <c r="B140" s="178" t="s">
        <v>321</v>
      </c>
      <c r="C140" s="178" t="s">
        <v>106</v>
      </c>
      <c r="D140" s="159"/>
      <c r="E140" s="178" t="s">
        <v>106</v>
      </c>
      <c r="F140" s="178" t="s">
        <v>256</v>
      </c>
      <c r="G140" s="178" t="s">
        <v>321</v>
      </c>
      <c r="H140" s="178" t="s">
        <v>897</v>
      </c>
      <c r="I140" s="178" t="s">
        <v>182</v>
      </c>
    </row>
    <row r="141" spans="1:9" ht="13.5">
      <c r="A141" s="178" t="s">
        <v>257</v>
      </c>
      <c r="B141" s="178" t="s">
        <v>321</v>
      </c>
      <c r="C141" s="178" t="s">
        <v>106</v>
      </c>
      <c r="D141" s="159"/>
      <c r="E141" s="178" t="s">
        <v>106</v>
      </c>
      <c r="F141" s="178" t="s">
        <v>257</v>
      </c>
      <c r="G141" s="178" t="s">
        <v>321</v>
      </c>
      <c r="H141" s="178" t="s">
        <v>898</v>
      </c>
      <c r="I141" s="178" t="s">
        <v>184</v>
      </c>
    </row>
    <row r="142" spans="1:9" ht="13.5">
      <c r="A142" s="178" t="s">
        <v>81</v>
      </c>
      <c r="B142" s="178" t="s">
        <v>321</v>
      </c>
      <c r="C142" s="178" t="s">
        <v>106</v>
      </c>
      <c r="D142" s="159"/>
      <c r="E142" s="178" t="s">
        <v>106</v>
      </c>
      <c r="F142" s="178" t="s">
        <v>81</v>
      </c>
      <c r="G142" s="178" t="s">
        <v>321</v>
      </c>
      <c r="H142" s="178" t="s">
        <v>899</v>
      </c>
      <c r="I142" s="178" t="s">
        <v>185</v>
      </c>
    </row>
    <row r="143" spans="1:9" ht="13.5">
      <c r="A143" s="178" t="s">
        <v>258</v>
      </c>
      <c r="B143" s="178" t="s">
        <v>321</v>
      </c>
      <c r="C143" s="178" t="s">
        <v>106</v>
      </c>
      <c r="D143" s="159"/>
      <c r="E143" s="178" t="s">
        <v>106</v>
      </c>
      <c r="F143" s="178" t="s">
        <v>258</v>
      </c>
      <c r="G143" s="178" t="s">
        <v>321</v>
      </c>
      <c r="H143" s="178" t="s">
        <v>900</v>
      </c>
      <c r="I143" s="178" t="s">
        <v>187</v>
      </c>
    </row>
    <row r="144" spans="1:9" ht="13.5">
      <c r="A144" s="178" t="s">
        <v>259</v>
      </c>
      <c r="B144" s="178" t="s">
        <v>321</v>
      </c>
      <c r="C144" s="178" t="s">
        <v>106</v>
      </c>
      <c r="D144" s="159"/>
      <c r="E144" s="178" t="s">
        <v>106</v>
      </c>
      <c r="F144" s="178" t="s">
        <v>259</v>
      </c>
      <c r="G144" s="178" t="s">
        <v>321</v>
      </c>
      <c r="H144" s="178" t="s">
        <v>901</v>
      </c>
      <c r="I144" s="178" t="s">
        <v>189</v>
      </c>
    </row>
    <row r="145" spans="1:9" ht="13.5">
      <c r="A145" s="178" t="s">
        <v>260</v>
      </c>
      <c r="B145" s="178" t="s">
        <v>321</v>
      </c>
      <c r="C145" s="178" t="s">
        <v>106</v>
      </c>
      <c r="D145" s="159"/>
      <c r="E145" s="178" t="s">
        <v>106</v>
      </c>
      <c r="F145" s="178" t="s">
        <v>260</v>
      </c>
      <c r="G145" s="178" t="s">
        <v>321</v>
      </c>
      <c r="H145" s="178" t="s">
        <v>902</v>
      </c>
      <c r="I145" s="178" t="s">
        <v>327</v>
      </c>
    </row>
    <row r="146" spans="1:9" ht="13.5">
      <c r="A146" s="178" t="s">
        <v>82</v>
      </c>
      <c r="B146" s="178" t="s">
        <v>321</v>
      </c>
      <c r="C146" s="178" t="s">
        <v>69</v>
      </c>
      <c r="D146" s="159"/>
      <c r="E146" s="178" t="s">
        <v>69</v>
      </c>
      <c r="F146" s="178" t="s">
        <v>82</v>
      </c>
      <c r="G146" s="178" t="s">
        <v>321</v>
      </c>
      <c r="H146" s="178" t="s">
        <v>903</v>
      </c>
      <c r="I146" s="178" t="s">
        <v>328</v>
      </c>
    </row>
    <row r="147" spans="1:9" ht="13.5">
      <c r="A147" s="178" t="s">
        <v>273</v>
      </c>
      <c r="B147" s="178" t="s">
        <v>321</v>
      </c>
      <c r="C147" s="178" t="s">
        <v>69</v>
      </c>
      <c r="D147" s="159"/>
      <c r="E147" s="178" t="s">
        <v>69</v>
      </c>
      <c r="F147" s="178" t="s">
        <v>273</v>
      </c>
      <c r="G147" s="178" t="s">
        <v>321</v>
      </c>
      <c r="H147" s="178" t="s">
        <v>904</v>
      </c>
      <c r="I147" s="178" t="s">
        <v>329</v>
      </c>
    </row>
    <row r="148" spans="1:9" ht="13.5">
      <c r="A148" s="178" t="s">
        <v>316</v>
      </c>
      <c r="B148" s="178" t="s">
        <v>321</v>
      </c>
      <c r="C148" s="178" t="s">
        <v>315</v>
      </c>
      <c r="D148" s="159"/>
      <c r="E148" s="178" t="s">
        <v>315</v>
      </c>
      <c r="F148" s="178" t="s">
        <v>316</v>
      </c>
      <c r="G148" s="178" t="s">
        <v>321</v>
      </c>
      <c r="H148" s="178" t="s">
        <v>905</v>
      </c>
      <c r="I148" s="178" t="s">
        <v>330</v>
      </c>
    </row>
    <row r="149" spans="1:9" ht="13.5">
      <c r="A149" s="178" t="s">
        <v>906</v>
      </c>
      <c r="B149" s="178" t="s">
        <v>321</v>
      </c>
      <c r="C149" s="178" t="s">
        <v>315</v>
      </c>
      <c r="D149" s="159"/>
      <c r="E149" s="178" t="s">
        <v>315</v>
      </c>
      <c r="F149" s="178" t="s">
        <v>906</v>
      </c>
      <c r="G149" s="178" t="s">
        <v>321</v>
      </c>
      <c r="H149" s="178" t="s">
        <v>907</v>
      </c>
      <c r="I149" s="178" t="s">
        <v>331</v>
      </c>
    </row>
    <row r="150" spans="1:9" ht="13.5">
      <c r="A150" s="180" t="s">
        <v>908</v>
      </c>
      <c r="B150" s="180" t="s">
        <v>321</v>
      </c>
      <c r="C150" s="180" t="s">
        <v>315</v>
      </c>
      <c r="D150" s="159"/>
      <c r="E150" s="180" t="s">
        <v>315</v>
      </c>
      <c r="F150" s="180" t="s">
        <v>908</v>
      </c>
      <c r="G150" s="180" t="s">
        <v>321</v>
      </c>
      <c r="H150" s="180" t="s">
        <v>909</v>
      </c>
      <c r="I150" s="180" t="s">
        <v>332</v>
      </c>
    </row>
    <row r="151" spans="1:9" ht="13.5">
      <c r="A151" s="181" t="s">
        <v>910</v>
      </c>
      <c r="B151" s="181" t="s">
        <v>321</v>
      </c>
      <c r="C151" s="181" t="s">
        <v>315</v>
      </c>
      <c r="D151" s="159"/>
      <c r="E151" s="181" t="s">
        <v>315</v>
      </c>
      <c r="F151" s="181" t="s">
        <v>910</v>
      </c>
      <c r="G151" s="181" t="s">
        <v>321</v>
      </c>
      <c r="H151" s="181" t="s">
        <v>911</v>
      </c>
      <c r="I151" s="178" t="s">
        <v>912</v>
      </c>
    </row>
    <row r="152" spans="1:9" ht="13.5">
      <c r="A152" s="178" t="s">
        <v>191</v>
      </c>
      <c r="B152" s="178" t="s">
        <v>10</v>
      </c>
      <c r="C152" s="178" t="s">
        <v>190</v>
      </c>
      <c r="D152" s="159"/>
      <c r="E152" s="178" t="s">
        <v>190</v>
      </c>
      <c r="F152" s="178" t="s">
        <v>191</v>
      </c>
      <c r="G152" s="178" t="s">
        <v>10</v>
      </c>
      <c r="H152" s="178" t="s">
        <v>913</v>
      </c>
      <c r="I152" s="178" t="s">
        <v>192</v>
      </c>
    </row>
    <row r="153" spans="1:9" ht="13.5">
      <c r="A153" s="178" t="s">
        <v>193</v>
      </c>
      <c r="B153" s="178" t="s">
        <v>10</v>
      </c>
      <c r="C153" s="178" t="s">
        <v>190</v>
      </c>
      <c r="D153" s="159"/>
      <c r="E153" s="178" t="s">
        <v>190</v>
      </c>
      <c r="F153" s="178" t="s">
        <v>193</v>
      </c>
      <c r="G153" s="178" t="s">
        <v>10</v>
      </c>
      <c r="H153" s="178" t="s">
        <v>914</v>
      </c>
      <c r="I153" s="178" t="s">
        <v>194</v>
      </c>
    </row>
    <row r="154" spans="1:9" ht="13.5">
      <c r="A154" s="178" t="s">
        <v>195</v>
      </c>
      <c r="B154" s="178" t="s">
        <v>10</v>
      </c>
      <c r="C154" s="178" t="s">
        <v>190</v>
      </c>
      <c r="D154" s="159"/>
      <c r="E154" s="178" t="s">
        <v>190</v>
      </c>
      <c r="F154" s="178" t="s">
        <v>195</v>
      </c>
      <c r="G154" s="178" t="s">
        <v>10</v>
      </c>
      <c r="H154" s="178" t="s">
        <v>915</v>
      </c>
      <c r="I154" s="178" t="s">
        <v>196</v>
      </c>
    </row>
    <row r="155" spans="1:9" ht="13.5">
      <c r="A155" s="178" t="s">
        <v>302</v>
      </c>
      <c r="B155" s="178" t="s">
        <v>10</v>
      </c>
      <c r="C155" s="178" t="s">
        <v>301</v>
      </c>
      <c r="D155" s="159"/>
      <c r="E155" s="178" t="s">
        <v>301</v>
      </c>
      <c r="F155" s="178" t="s">
        <v>302</v>
      </c>
      <c r="G155" s="178" t="s">
        <v>10</v>
      </c>
      <c r="H155" s="178" t="s">
        <v>916</v>
      </c>
      <c r="I155" s="178" t="s">
        <v>333</v>
      </c>
    </row>
    <row r="156" spans="1:9" ht="13.5">
      <c r="A156" s="178" t="s">
        <v>303</v>
      </c>
      <c r="B156" s="178" t="s">
        <v>10</v>
      </c>
      <c r="C156" s="178" t="s">
        <v>301</v>
      </c>
      <c r="D156" s="159"/>
      <c r="E156" s="178" t="s">
        <v>301</v>
      </c>
      <c r="F156" s="178" t="s">
        <v>303</v>
      </c>
      <c r="G156" s="178" t="s">
        <v>10</v>
      </c>
      <c r="H156" s="178" t="s">
        <v>917</v>
      </c>
      <c r="I156" s="178" t="s">
        <v>334</v>
      </c>
    </row>
    <row r="157" spans="1:9" ht="13.5">
      <c r="A157" s="178" t="s">
        <v>304</v>
      </c>
      <c r="B157" s="178" t="s">
        <v>10</v>
      </c>
      <c r="C157" s="178" t="s">
        <v>301</v>
      </c>
      <c r="D157" s="159"/>
      <c r="E157" s="178" t="s">
        <v>301</v>
      </c>
      <c r="F157" s="178" t="s">
        <v>304</v>
      </c>
      <c r="G157" s="178" t="s">
        <v>10</v>
      </c>
      <c r="H157" s="178" t="s">
        <v>918</v>
      </c>
      <c r="I157" s="178" t="s">
        <v>335</v>
      </c>
    </row>
    <row r="158" spans="1:9" ht="13.5">
      <c r="A158" s="178" t="s">
        <v>305</v>
      </c>
      <c r="B158" s="178" t="s">
        <v>10</v>
      </c>
      <c r="C158" s="178" t="s">
        <v>301</v>
      </c>
      <c r="D158" s="159"/>
      <c r="E158" s="178" t="s">
        <v>301</v>
      </c>
      <c r="F158" s="178" t="s">
        <v>305</v>
      </c>
      <c r="G158" s="178" t="s">
        <v>10</v>
      </c>
      <c r="H158" s="178" t="s">
        <v>919</v>
      </c>
      <c r="I158" s="178" t="s">
        <v>336</v>
      </c>
    </row>
    <row r="159" spans="1:9" ht="13.5">
      <c r="A159" s="178" t="s">
        <v>306</v>
      </c>
      <c r="B159" s="178" t="s">
        <v>10</v>
      </c>
      <c r="C159" s="178" t="s">
        <v>301</v>
      </c>
      <c r="D159" s="159"/>
      <c r="E159" s="178" t="s">
        <v>301</v>
      </c>
      <c r="F159" s="178" t="s">
        <v>306</v>
      </c>
      <c r="G159" s="178" t="s">
        <v>10</v>
      </c>
      <c r="H159" s="178" t="s">
        <v>920</v>
      </c>
      <c r="I159" s="178" t="s">
        <v>337</v>
      </c>
    </row>
    <row r="160" spans="1:9" ht="13.5">
      <c r="A160" s="178" t="s">
        <v>308</v>
      </c>
      <c r="B160" s="178" t="s">
        <v>10</v>
      </c>
      <c r="C160" s="178" t="s">
        <v>307</v>
      </c>
      <c r="D160" s="159"/>
      <c r="E160" s="178" t="s">
        <v>307</v>
      </c>
      <c r="F160" s="178" t="s">
        <v>308</v>
      </c>
      <c r="G160" s="178" t="s">
        <v>10</v>
      </c>
      <c r="H160" s="178" t="s">
        <v>921</v>
      </c>
      <c r="I160" s="178" t="s">
        <v>922</v>
      </c>
    </row>
    <row r="161" spans="1:9" ht="13.5">
      <c r="A161" s="178" t="s">
        <v>309</v>
      </c>
      <c r="B161" s="178" t="s">
        <v>10</v>
      </c>
      <c r="C161" s="178" t="s">
        <v>307</v>
      </c>
      <c r="D161" s="159"/>
      <c r="E161" s="178" t="s">
        <v>307</v>
      </c>
      <c r="F161" s="178" t="s">
        <v>309</v>
      </c>
      <c r="G161" s="178" t="s">
        <v>10</v>
      </c>
      <c r="H161" s="178" t="s">
        <v>923</v>
      </c>
      <c r="I161" s="178" t="s">
        <v>924</v>
      </c>
    </row>
    <row r="162" spans="1:9" ht="13.5">
      <c r="A162" s="178" t="s">
        <v>310</v>
      </c>
      <c r="B162" s="178" t="s">
        <v>10</v>
      </c>
      <c r="C162" s="178" t="s">
        <v>307</v>
      </c>
      <c r="D162" s="159"/>
      <c r="E162" s="178" t="s">
        <v>307</v>
      </c>
      <c r="F162" s="178" t="s">
        <v>310</v>
      </c>
      <c r="G162" s="178" t="s">
        <v>10</v>
      </c>
      <c r="H162" s="178" t="s">
        <v>925</v>
      </c>
      <c r="I162" s="178" t="s">
        <v>926</v>
      </c>
    </row>
    <row r="163" spans="1:9" ht="13.5">
      <c r="A163" s="178" t="s">
        <v>311</v>
      </c>
      <c r="B163" s="178" t="s">
        <v>10</v>
      </c>
      <c r="C163" s="178" t="s">
        <v>307</v>
      </c>
      <c r="D163" s="159"/>
      <c r="E163" s="178" t="s">
        <v>307</v>
      </c>
      <c r="F163" s="178" t="s">
        <v>311</v>
      </c>
      <c r="G163" s="178" t="s">
        <v>10</v>
      </c>
      <c r="H163" s="178" t="s">
        <v>927</v>
      </c>
      <c r="I163" s="178" t="s">
        <v>928</v>
      </c>
    </row>
    <row r="164" spans="1:9" ht="13.5">
      <c r="A164" s="178" t="s">
        <v>929</v>
      </c>
      <c r="B164" s="178" t="s">
        <v>10</v>
      </c>
      <c r="C164" s="178" t="s">
        <v>318</v>
      </c>
      <c r="D164" s="159"/>
      <c r="E164" s="178" t="s">
        <v>318</v>
      </c>
      <c r="F164" s="178" t="s">
        <v>929</v>
      </c>
      <c r="G164" s="178" t="s">
        <v>10</v>
      </c>
      <c r="H164" s="178" t="s">
        <v>930</v>
      </c>
      <c r="I164" s="178" t="s">
        <v>931</v>
      </c>
    </row>
    <row r="165" spans="1:9" ht="13.5">
      <c r="A165" s="178" t="s">
        <v>932</v>
      </c>
      <c r="B165" s="178" t="s">
        <v>10</v>
      </c>
      <c r="C165" s="178" t="s">
        <v>318</v>
      </c>
      <c r="D165" s="159"/>
      <c r="E165" s="178" t="s">
        <v>318</v>
      </c>
      <c r="F165" s="178" t="s">
        <v>932</v>
      </c>
      <c r="G165" s="178" t="s">
        <v>10</v>
      </c>
      <c r="H165" s="178" t="s">
        <v>933</v>
      </c>
      <c r="I165" s="178" t="s">
        <v>934</v>
      </c>
    </row>
    <row r="166" spans="1:9" ht="13.5">
      <c r="A166" s="178" t="s">
        <v>935</v>
      </c>
      <c r="B166" s="178" t="s">
        <v>10</v>
      </c>
      <c r="C166" s="178" t="s">
        <v>318</v>
      </c>
      <c r="D166" s="159"/>
      <c r="E166" s="178" t="s">
        <v>318</v>
      </c>
      <c r="F166" s="178" t="s">
        <v>935</v>
      </c>
      <c r="G166" s="178" t="s">
        <v>10</v>
      </c>
      <c r="H166" s="178" t="s">
        <v>936</v>
      </c>
      <c r="I166" s="178" t="s">
        <v>937</v>
      </c>
    </row>
    <row r="167" spans="1:9" ht="13.5">
      <c r="A167" s="178" t="s">
        <v>938</v>
      </c>
      <c r="B167" s="178" t="s">
        <v>10</v>
      </c>
      <c r="C167" s="178" t="s">
        <v>318</v>
      </c>
      <c r="D167" s="159"/>
      <c r="E167" s="178" t="s">
        <v>318</v>
      </c>
      <c r="F167" s="178" t="s">
        <v>938</v>
      </c>
      <c r="G167" s="178" t="s">
        <v>10</v>
      </c>
      <c r="H167" s="178" t="s">
        <v>939</v>
      </c>
      <c r="I167" s="178" t="s">
        <v>940</v>
      </c>
    </row>
    <row r="168" spans="1:9" ht="13.5">
      <c r="A168" s="178" t="s">
        <v>941</v>
      </c>
      <c r="B168" s="178" t="s">
        <v>10</v>
      </c>
      <c r="C168" s="178" t="s">
        <v>318</v>
      </c>
      <c r="D168" s="159"/>
      <c r="E168" s="178" t="s">
        <v>318</v>
      </c>
      <c r="F168" s="178" t="s">
        <v>941</v>
      </c>
      <c r="G168" s="178" t="s">
        <v>10</v>
      </c>
      <c r="H168" s="178" t="s">
        <v>942</v>
      </c>
      <c r="I168" s="178" t="s">
        <v>943</v>
      </c>
    </row>
    <row r="169" spans="1:9" ht="13.5">
      <c r="A169" s="178" t="s">
        <v>138</v>
      </c>
      <c r="B169" s="178" t="s">
        <v>11</v>
      </c>
      <c r="C169" s="178" t="s">
        <v>103</v>
      </c>
      <c r="D169" s="159"/>
      <c r="E169" s="178" t="s">
        <v>103</v>
      </c>
      <c r="F169" s="178" t="s">
        <v>138</v>
      </c>
      <c r="G169" s="178" t="s">
        <v>11</v>
      </c>
      <c r="H169" s="178" t="s">
        <v>944</v>
      </c>
      <c r="I169" s="178" t="s">
        <v>199</v>
      </c>
    </row>
    <row r="170" spans="1:9" ht="13.5">
      <c r="A170" s="178" t="s">
        <v>140</v>
      </c>
      <c r="B170" s="178" t="s">
        <v>11</v>
      </c>
      <c r="C170" s="178" t="s">
        <v>103</v>
      </c>
      <c r="D170" s="159"/>
      <c r="E170" s="178" t="s">
        <v>103</v>
      </c>
      <c r="F170" s="178" t="s">
        <v>140</v>
      </c>
      <c r="G170" s="178" t="s">
        <v>11</v>
      </c>
      <c r="H170" s="178" t="s">
        <v>945</v>
      </c>
      <c r="I170" s="178" t="s">
        <v>201</v>
      </c>
    </row>
    <row r="171" spans="1:9" ht="13.5">
      <c r="A171" s="178" t="s">
        <v>142</v>
      </c>
      <c r="B171" s="178" t="s">
        <v>11</v>
      </c>
      <c r="C171" s="178" t="s">
        <v>103</v>
      </c>
      <c r="D171" s="159"/>
      <c r="E171" s="178" t="s">
        <v>103</v>
      </c>
      <c r="F171" s="178" t="s">
        <v>142</v>
      </c>
      <c r="G171" s="178" t="s">
        <v>11</v>
      </c>
      <c r="H171" s="178" t="s">
        <v>946</v>
      </c>
      <c r="I171" s="178" t="s">
        <v>203</v>
      </c>
    </row>
    <row r="172" spans="1:9" ht="13.5">
      <c r="A172" s="178" t="s">
        <v>143</v>
      </c>
      <c r="B172" s="178" t="s">
        <v>11</v>
      </c>
      <c r="C172" s="178" t="s">
        <v>103</v>
      </c>
      <c r="D172" s="159"/>
      <c r="E172" s="178" t="s">
        <v>103</v>
      </c>
      <c r="F172" s="178" t="s">
        <v>143</v>
      </c>
      <c r="G172" s="178" t="s">
        <v>11</v>
      </c>
      <c r="H172" s="178" t="s">
        <v>947</v>
      </c>
      <c r="I172" s="178" t="s">
        <v>205</v>
      </c>
    </row>
    <row r="173" spans="1:9" ht="13.5">
      <c r="A173" s="178" t="s">
        <v>144</v>
      </c>
      <c r="B173" s="178" t="s">
        <v>11</v>
      </c>
      <c r="C173" s="178" t="s">
        <v>103</v>
      </c>
      <c r="D173" s="159"/>
      <c r="E173" s="178" t="s">
        <v>103</v>
      </c>
      <c r="F173" s="178" t="s">
        <v>144</v>
      </c>
      <c r="G173" s="178" t="s">
        <v>11</v>
      </c>
      <c r="H173" s="178" t="s">
        <v>948</v>
      </c>
      <c r="I173" s="178" t="s">
        <v>207</v>
      </c>
    </row>
    <row r="174" spans="1:9" ht="13.5">
      <c r="A174" s="178" t="s">
        <v>145</v>
      </c>
      <c r="B174" s="178" t="s">
        <v>11</v>
      </c>
      <c r="C174" s="178" t="s">
        <v>103</v>
      </c>
      <c r="D174" s="159"/>
      <c r="E174" s="178" t="s">
        <v>103</v>
      </c>
      <c r="F174" s="178" t="s">
        <v>145</v>
      </c>
      <c r="G174" s="178" t="s">
        <v>11</v>
      </c>
      <c r="H174" s="178" t="s">
        <v>949</v>
      </c>
      <c r="I174" s="178" t="s">
        <v>209</v>
      </c>
    </row>
    <row r="175" spans="1:9" ht="13.5">
      <c r="A175" s="178" t="s">
        <v>146</v>
      </c>
      <c r="B175" s="178" t="s">
        <v>11</v>
      </c>
      <c r="C175" s="178" t="s">
        <v>103</v>
      </c>
      <c r="D175" s="159"/>
      <c r="E175" s="178" t="s">
        <v>103</v>
      </c>
      <c r="F175" s="178" t="s">
        <v>146</v>
      </c>
      <c r="G175" s="178" t="s">
        <v>11</v>
      </c>
      <c r="H175" s="178" t="s">
        <v>950</v>
      </c>
      <c r="I175" s="178" t="s">
        <v>211</v>
      </c>
    </row>
    <row r="176" spans="1:9" ht="13.5">
      <c r="A176" s="178" t="s">
        <v>951</v>
      </c>
      <c r="B176" s="178" t="s">
        <v>11</v>
      </c>
      <c r="C176" s="178" t="s">
        <v>103</v>
      </c>
      <c r="D176" s="159"/>
      <c r="E176" s="178" t="s">
        <v>103</v>
      </c>
      <c r="F176" s="178" t="s">
        <v>951</v>
      </c>
      <c r="G176" s="178" t="s">
        <v>11</v>
      </c>
      <c r="H176" s="178" t="s">
        <v>952</v>
      </c>
      <c r="I176" s="178" t="s">
        <v>213</v>
      </c>
    </row>
    <row r="177" spans="1:9" ht="13.5">
      <c r="A177" s="178" t="s">
        <v>147</v>
      </c>
      <c r="B177" s="178" t="s">
        <v>11</v>
      </c>
      <c r="C177" s="178" t="s">
        <v>103</v>
      </c>
      <c r="D177" s="159"/>
      <c r="E177" s="178" t="s">
        <v>103</v>
      </c>
      <c r="F177" s="178" t="s">
        <v>147</v>
      </c>
      <c r="G177" s="178" t="s">
        <v>11</v>
      </c>
      <c r="H177" s="178" t="s">
        <v>953</v>
      </c>
      <c r="I177" s="178" t="s">
        <v>215</v>
      </c>
    </row>
    <row r="178" spans="1:9" ht="13.5">
      <c r="A178" s="178" t="s">
        <v>148</v>
      </c>
      <c r="B178" s="178" t="s">
        <v>11</v>
      </c>
      <c r="C178" s="178" t="s">
        <v>103</v>
      </c>
      <c r="D178" s="159"/>
      <c r="E178" s="178" t="s">
        <v>103</v>
      </c>
      <c r="F178" s="178" t="s">
        <v>148</v>
      </c>
      <c r="G178" s="178" t="s">
        <v>11</v>
      </c>
      <c r="H178" s="178" t="s">
        <v>954</v>
      </c>
      <c r="I178" s="178" t="s">
        <v>217</v>
      </c>
    </row>
    <row r="179" spans="1:9" ht="13.5">
      <c r="A179" s="178" t="s">
        <v>261</v>
      </c>
      <c r="B179" s="178" t="s">
        <v>11</v>
      </c>
      <c r="C179" s="178" t="s">
        <v>107</v>
      </c>
      <c r="D179" s="159"/>
      <c r="E179" s="178" t="s">
        <v>107</v>
      </c>
      <c r="F179" s="178" t="s">
        <v>261</v>
      </c>
      <c r="G179" s="178" t="s">
        <v>11</v>
      </c>
      <c r="H179" s="178" t="s">
        <v>955</v>
      </c>
      <c r="I179" s="178" t="s">
        <v>956</v>
      </c>
    </row>
    <row r="180" spans="1:9" ht="13.5">
      <c r="A180" s="178" t="s">
        <v>262</v>
      </c>
      <c r="B180" s="178" t="s">
        <v>11</v>
      </c>
      <c r="C180" s="178" t="s">
        <v>107</v>
      </c>
      <c r="D180" s="159"/>
      <c r="E180" s="178" t="s">
        <v>107</v>
      </c>
      <c r="F180" s="178" t="s">
        <v>262</v>
      </c>
      <c r="G180" s="178" t="s">
        <v>11</v>
      </c>
      <c r="H180" s="178" t="s">
        <v>957</v>
      </c>
      <c r="I180" s="178" t="s">
        <v>958</v>
      </c>
    </row>
    <row r="181" spans="1:9" ht="13.5">
      <c r="A181" s="178" t="s">
        <v>263</v>
      </c>
      <c r="B181" s="178" t="s">
        <v>11</v>
      </c>
      <c r="C181" s="178" t="s">
        <v>107</v>
      </c>
      <c r="D181" s="159"/>
      <c r="E181" s="178" t="s">
        <v>107</v>
      </c>
      <c r="F181" s="178" t="s">
        <v>263</v>
      </c>
      <c r="G181" s="178" t="s">
        <v>11</v>
      </c>
      <c r="H181" s="178" t="s">
        <v>959</v>
      </c>
      <c r="I181" s="178" t="s">
        <v>960</v>
      </c>
    </row>
    <row r="182" spans="1:9" ht="13.5">
      <c r="A182" s="178" t="s">
        <v>264</v>
      </c>
      <c r="B182" s="178" t="s">
        <v>11</v>
      </c>
      <c r="C182" s="178" t="s">
        <v>107</v>
      </c>
      <c r="D182" s="159"/>
      <c r="E182" s="178" t="s">
        <v>107</v>
      </c>
      <c r="F182" s="178" t="s">
        <v>264</v>
      </c>
      <c r="G182" s="178" t="s">
        <v>11</v>
      </c>
      <c r="H182" s="178" t="s">
        <v>961</v>
      </c>
      <c r="I182" s="178" t="s">
        <v>962</v>
      </c>
    </row>
    <row r="183" spans="1:9" ht="13.5">
      <c r="A183" s="178" t="s">
        <v>265</v>
      </c>
      <c r="B183" s="178" t="s">
        <v>11</v>
      </c>
      <c r="C183" s="178" t="s">
        <v>107</v>
      </c>
      <c r="D183" s="159"/>
      <c r="E183" s="178" t="s">
        <v>107</v>
      </c>
      <c r="F183" s="178" t="s">
        <v>265</v>
      </c>
      <c r="G183" s="178" t="s">
        <v>11</v>
      </c>
      <c r="H183" s="178" t="s">
        <v>963</v>
      </c>
      <c r="I183" s="178" t="s">
        <v>964</v>
      </c>
    </row>
    <row r="184" spans="1:9" ht="13.5">
      <c r="A184" s="178" t="s">
        <v>266</v>
      </c>
      <c r="B184" s="178" t="s">
        <v>11</v>
      </c>
      <c r="C184" s="178" t="s">
        <v>107</v>
      </c>
      <c r="D184" s="159"/>
      <c r="E184" s="178" t="s">
        <v>107</v>
      </c>
      <c r="F184" s="178" t="s">
        <v>266</v>
      </c>
      <c r="G184" s="178" t="s">
        <v>11</v>
      </c>
      <c r="H184" s="178" t="s">
        <v>965</v>
      </c>
      <c r="I184" s="178" t="s">
        <v>966</v>
      </c>
    </row>
    <row r="185" spans="1:9" ht="13.5">
      <c r="A185" s="178" t="s">
        <v>297</v>
      </c>
      <c r="B185" s="178" t="s">
        <v>11</v>
      </c>
      <c r="C185" s="178" t="s">
        <v>66</v>
      </c>
      <c r="D185" s="159"/>
      <c r="E185" s="178" t="s">
        <v>66</v>
      </c>
      <c r="F185" s="178" t="s">
        <v>297</v>
      </c>
      <c r="G185" s="178" t="s">
        <v>11</v>
      </c>
      <c r="H185" s="178" t="s">
        <v>967</v>
      </c>
      <c r="I185" s="178" t="s">
        <v>968</v>
      </c>
    </row>
    <row r="186" spans="1:9" ht="13.5">
      <c r="A186" s="178" t="s">
        <v>969</v>
      </c>
      <c r="B186" s="178" t="s">
        <v>11</v>
      </c>
      <c r="C186" s="178" t="s">
        <v>315</v>
      </c>
      <c r="D186" s="159"/>
      <c r="E186" s="178" t="s">
        <v>315</v>
      </c>
      <c r="F186" s="178" t="s">
        <v>969</v>
      </c>
      <c r="G186" s="178" t="s">
        <v>11</v>
      </c>
      <c r="H186" s="178" t="s">
        <v>970</v>
      </c>
      <c r="I186" s="178" t="s">
        <v>971</v>
      </c>
    </row>
    <row r="187" spans="1:9" ht="13.5">
      <c r="A187" s="178" t="s">
        <v>972</v>
      </c>
      <c r="B187" s="178" t="s">
        <v>11</v>
      </c>
      <c r="C187" s="178" t="s">
        <v>315</v>
      </c>
      <c r="D187" s="159"/>
      <c r="E187" s="178" t="s">
        <v>315</v>
      </c>
      <c r="F187" s="178" t="s">
        <v>972</v>
      </c>
      <c r="G187" s="178" t="s">
        <v>11</v>
      </c>
      <c r="H187" s="178" t="s">
        <v>973</v>
      </c>
      <c r="I187" s="178" t="s">
        <v>974</v>
      </c>
    </row>
    <row r="188" spans="1:9" ht="13.5">
      <c r="A188" s="178" t="s">
        <v>908</v>
      </c>
      <c r="B188" s="178" t="s">
        <v>11</v>
      </c>
      <c r="C188" s="178" t="s">
        <v>315</v>
      </c>
      <c r="D188" s="159"/>
      <c r="E188" s="178" t="s">
        <v>315</v>
      </c>
      <c r="F188" s="178" t="s">
        <v>908</v>
      </c>
      <c r="G188" s="178" t="s">
        <v>11</v>
      </c>
      <c r="H188" s="178" t="s">
        <v>975</v>
      </c>
      <c r="I188" s="178" t="s">
        <v>976</v>
      </c>
    </row>
    <row r="189" spans="1:9" ht="13.5">
      <c r="A189" s="180" t="s">
        <v>317</v>
      </c>
      <c r="B189" s="180" t="s">
        <v>11</v>
      </c>
      <c r="C189" s="180" t="s">
        <v>317</v>
      </c>
      <c r="D189" s="159"/>
      <c r="E189" s="180" t="s">
        <v>317</v>
      </c>
      <c r="F189" s="180" t="s">
        <v>317</v>
      </c>
      <c r="G189" s="180" t="s">
        <v>11</v>
      </c>
      <c r="H189" s="180" t="s">
        <v>977</v>
      </c>
      <c r="I189" s="180" t="s">
        <v>978</v>
      </c>
    </row>
    <row r="190" spans="1:9" ht="13.5">
      <c r="A190" s="178" t="s">
        <v>162</v>
      </c>
      <c r="B190" s="178" t="s">
        <v>322</v>
      </c>
      <c r="C190" s="178" t="s">
        <v>161</v>
      </c>
      <c r="D190" s="159"/>
      <c r="E190" s="178" t="s">
        <v>161</v>
      </c>
      <c r="F190" s="178" t="s">
        <v>162</v>
      </c>
      <c r="G190" s="178" t="s">
        <v>322</v>
      </c>
      <c r="H190" s="178" t="s">
        <v>979</v>
      </c>
      <c r="I190" s="178" t="s">
        <v>219</v>
      </c>
    </row>
    <row r="191" spans="1:9" ht="13.5">
      <c r="A191" s="178" t="s">
        <v>164</v>
      </c>
      <c r="B191" s="178" t="s">
        <v>322</v>
      </c>
      <c r="C191" s="178" t="s">
        <v>161</v>
      </c>
      <c r="D191" s="159"/>
      <c r="E191" s="178" t="s">
        <v>161</v>
      </c>
      <c r="F191" s="178" t="s">
        <v>164</v>
      </c>
      <c r="G191" s="178" t="s">
        <v>322</v>
      </c>
      <c r="H191" s="178" t="s">
        <v>980</v>
      </c>
      <c r="I191" s="178" t="s">
        <v>220</v>
      </c>
    </row>
    <row r="192" spans="1:9" ht="13.5">
      <c r="A192" s="178" t="s">
        <v>166</v>
      </c>
      <c r="B192" s="178" t="s">
        <v>322</v>
      </c>
      <c r="C192" s="178" t="s">
        <v>161</v>
      </c>
      <c r="D192" s="159"/>
      <c r="E192" s="178" t="s">
        <v>161</v>
      </c>
      <c r="F192" s="178" t="s">
        <v>166</v>
      </c>
      <c r="G192" s="178" t="s">
        <v>322</v>
      </c>
      <c r="H192" s="178" t="s">
        <v>981</v>
      </c>
      <c r="I192" s="178" t="s">
        <v>982</v>
      </c>
    </row>
    <row r="193" spans="1:9" ht="13.5">
      <c r="A193" s="178" t="s">
        <v>85</v>
      </c>
      <c r="B193" s="178" t="s">
        <v>322</v>
      </c>
      <c r="C193" s="178" t="s">
        <v>108</v>
      </c>
      <c r="D193" s="159"/>
      <c r="E193" s="178" t="s">
        <v>108</v>
      </c>
      <c r="F193" s="178" t="s">
        <v>85</v>
      </c>
      <c r="G193" s="178" t="s">
        <v>322</v>
      </c>
      <c r="H193" s="178" t="s">
        <v>983</v>
      </c>
      <c r="I193" s="178" t="s">
        <v>984</v>
      </c>
    </row>
    <row r="194" spans="1:9" ht="13.5">
      <c r="A194" s="178" t="s">
        <v>267</v>
      </c>
      <c r="B194" s="178" t="s">
        <v>322</v>
      </c>
      <c r="C194" s="178" t="s">
        <v>108</v>
      </c>
      <c r="D194" s="159"/>
      <c r="E194" s="178" t="s">
        <v>108</v>
      </c>
      <c r="F194" s="178" t="s">
        <v>267</v>
      </c>
      <c r="G194" s="178" t="s">
        <v>322</v>
      </c>
      <c r="H194" s="178" t="s">
        <v>985</v>
      </c>
      <c r="I194" s="178" t="s">
        <v>986</v>
      </c>
    </row>
    <row r="195" spans="1:9" ht="13.5">
      <c r="A195" s="178" t="s">
        <v>268</v>
      </c>
      <c r="B195" s="178" t="s">
        <v>322</v>
      </c>
      <c r="C195" s="178" t="s">
        <v>108</v>
      </c>
      <c r="D195" s="159"/>
      <c r="E195" s="178" t="s">
        <v>108</v>
      </c>
      <c r="F195" s="178" t="s">
        <v>268</v>
      </c>
      <c r="G195" s="178" t="s">
        <v>322</v>
      </c>
      <c r="H195" s="178" t="s">
        <v>987</v>
      </c>
      <c r="I195" s="178" t="s">
        <v>988</v>
      </c>
    </row>
    <row r="196" spans="1:9" ht="13.5">
      <c r="A196" s="178" t="s">
        <v>269</v>
      </c>
      <c r="B196" s="178" t="s">
        <v>322</v>
      </c>
      <c r="C196" s="178" t="s">
        <v>108</v>
      </c>
      <c r="D196" s="159"/>
      <c r="E196" s="178" t="s">
        <v>108</v>
      </c>
      <c r="F196" s="178" t="s">
        <v>269</v>
      </c>
      <c r="G196" s="178" t="s">
        <v>322</v>
      </c>
      <c r="H196" s="178" t="s">
        <v>989</v>
      </c>
      <c r="I196" s="178" t="s">
        <v>990</v>
      </c>
    </row>
    <row r="197" spans="1:9" ht="13.5">
      <c r="A197" s="178" t="s">
        <v>270</v>
      </c>
      <c r="B197" s="178" t="s">
        <v>322</v>
      </c>
      <c r="C197" s="178" t="s">
        <v>108</v>
      </c>
      <c r="D197" s="159"/>
      <c r="E197" s="178" t="s">
        <v>108</v>
      </c>
      <c r="F197" s="178" t="s">
        <v>270</v>
      </c>
      <c r="G197" s="178" t="s">
        <v>322</v>
      </c>
      <c r="H197" s="178" t="s">
        <v>991</v>
      </c>
      <c r="I197" s="178" t="s">
        <v>992</v>
      </c>
    </row>
    <row r="198" spans="1:9" ht="13.5">
      <c r="A198" s="178" t="s">
        <v>271</v>
      </c>
      <c r="B198" s="178" t="s">
        <v>322</v>
      </c>
      <c r="C198" s="178" t="s">
        <v>108</v>
      </c>
      <c r="D198" s="159"/>
      <c r="E198" s="178" t="s">
        <v>108</v>
      </c>
      <c r="F198" s="178" t="s">
        <v>271</v>
      </c>
      <c r="G198" s="178" t="s">
        <v>322</v>
      </c>
      <c r="H198" s="178" t="s">
        <v>993</v>
      </c>
      <c r="I198" s="178" t="s">
        <v>994</v>
      </c>
    </row>
    <row r="199" spans="1:9" ht="13.5">
      <c r="A199" s="178" t="s">
        <v>84</v>
      </c>
      <c r="B199" s="178" t="s">
        <v>322</v>
      </c>
      <c r="C199" s="178" t="s">
        <v>69</v>
      </c>
      <c r="D199" s="159"/>
      <c r="E199" s="178" t="s">
        <v>69</v>
      </c>
      <c r="F199" s="178" t="s">
        <v>84</v>
      </c>
      <c r="G199" s="178" t="s">
        <v>322</v>
      </c>
      <c r="H199" s="178" t="s">
        <v>995</v>
      </c>
      <c r="I199" s="178" t="s">
        <v>996</v>
      </c>
    </row>
    <row r="200" spans="1:9" ht="13.5">
      <c r="A200" s="178" t="s">
        <v>272</v>
      </c>
      <c r="B200" s="178" t="s">
        <v>322</v>
      </c>
      <c r="C200" s="178" t="s">
        <v>69</v>
      </c>
      <c r="D200" s="159"/>
      <c r="E200" s="178" t="s">
        <v>69</v>
      </c>
      <c r="F200" s="178" t="s">
        <v>272</v>
      </c>
      <c r="G200" s="178" t="s">
        <v>322</v>
      </c>
      <c r="H200" s="178" t="s">
        <v>997</v>
      </c>
      <c r="I200" s="178" t="s">
        <v>998</v>
      </c>
    </row>
    <row r="201" spans="1:9" ht="13.5">
      <c r="A201" s="178" t="s">
        <v>70</v>
      </c>
      <c r="B201" s="178" t="s">
        <v>322</v>
      </c>
      <c r="C201" s="178" t="s">
        <v>69</v>
      </c>
      <c r="D201" s="159"/>
      <c r="E201" s="178" t="s">
        <v>69</v>
      </c>
      <c r="F201" s="178" t="s">
        <v>70</v>
      </c>
      <c r="G201" s="178" t="s">
        <v>322</v>
      </c>
      <c r="H201" s="178" t="s">
        <v>999</v>
      </c>
      <c r="I201" s="178" t="s">
        <v>1000</v>
      </c>
    </row>
  </sheetData>
  <phoneticPr fontId="2" type="noConversion"/>
  <conditionalFormatting sqref="H1:I1 A1 C1">
    <cfRule type="containsText" dxfId="404" priority="5" operator="containsText" text="@@">
      <formula>NOT(ISERROR(SEARCH("@@",A1)))</formula>
    </cfRule>
  </conditionalFormatting>
  <conditionalFormatting sqref="B1">
    <cfRule type="containsText" dxfId="403" priority="4" operator="containsText" text="@@">
      <formula>NOT(ISERROR(SEARCH("@@",B1)))</formula>
    </cfRule>
  </conditionalFormatting>
  <conditionalFormatting sqref="F1">
    <cfRule type="containsText" dxfId="402" priority="3" operator="containsText" text="@@">
      <formula>NOT(ISERROR(SEARCH("@@",F1)))</formula>
    </cfRule>
  </conditionalFormatting>
  <conditionalFormatting sqref="E1">
    <cfRule type="containsText" dxfId="401" priority="2" operator="containsText" text="@@">
      <formula>NOT(ISERROR(SEARCH("@@",E1)))</formula>
    </cfRule>
  </conditionalFormatting>
  <conditionalFormatting sqref="G1">
    <cfRule type="containsText" dxfId="400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23" customWidth="1"/>
    <col min="2" max="2" width="13.625" style="23" customWidth="1"/>
    <col min="3" max="3" width="7.625" style="23" customWidth="1"/>
    <col min="4" max="4" width="13.625" style="23" customWidth="1"/>
    <col min="5" max="5" width="7.625" style="26" customWidth="1"/>
    <col min="6" max="6" width="13.625" style="26" customWidth="1"/>
    <col min="7" max="7" width="3.375" style="23" customWidth="1"/>
    <col min="8" max="8" width="18.875" style="23" customWidth="1"/>
    <col min="9" max="9" width="13.625" style="23" customWidth="1"/>
    <col min="10" max="10" width="7.625" style="23" customWidth="1"/>
    <col min="11" max="11" width="13.625" style="23" customWidth="1"/>
    <col min="12" max="12" width="7.625" style="26" customWidth="1"/>
    <col min="13" max="13" width="13.625" style="26" customWidth="1"/>
    <col min="14" max="14" width="9" style="23"/>
    <col min="15" max="15" width="9.25" style="23" bestFit="1" customWidth="1"/>
    <col min="16" max="16384" width="9" style="23"/>
  </cols>
  <sheetData>
    <row r="1" spans="1:13" ht="33" customHeight="1">
      <c r="A1" s="501" t="s">
        <v>376</v>
      </c>
      <c r="B1" s="501"/>
      <c r="C1" s="501"/>
      <c r="D1" s="501"/>
      <c r="E1" s="501"/>
      <c r="F1" s="501"/>
      <c r="G1" s="43"/>
      <c r="H1" s="502" t="s">
        <v>377</v>
      </c>
      <c r="I1" s="502"/>
      <c r="J1" s="500">
        <v>124682800</v>
      </c>
      <c r="K1" s="500"/>
      <c r="L1" s="500"/>
      <c r="M1" s="500"/>
    </row>
    <row r="2" spans="1:13" s="37" customFormat="1" ht="22.5" customHeight="1">
      <c r="E2" s="38"/>
      <c r="F2" s="38"/>
      <c r="L2" s="38"/>
      <c r="M2" s="38" t="s">
        <v>77</v>
      </c>
    </row>
    <row r="3" spans="1:13" ht="27.95" customHeight="1">
      <c r="A3" s="503" t="s">
        <v>75</v>
      </c>
      <c r="B3" s="505" t="s">
        <v>86</v>
      </c>
      <c r="C3" s="505"/>
      <c r="D3" s="505"/>
      <c r="E3" s="505"/>
      <c r="F3" s="505"/>
      <c r="G3" s="39"/>
      <c r="H3" s="503" t="s">
        <v>75</v>
      </c>
      <c r="I3" s="505" t="s">
        <v>87</v>
      </c>
      <c r="J3" s="505"/>
      <c r="K3" s="505"/>
      <c r="L3" s="505"/>
      <c r="M3" s="505"/>
    </row>
    <row r="4" spans="1:13" ht="27.95" customHeight="1">
      <c r="A4" s="504"/>
      <c r="B4" s="27" t="s">
        <v>73</v>
      </c>
      <c r="C4" s="27" t="s">
        <v>76</v>
      </c>
      <c r="D4" s="27" t="s">
        <v>74</v>
      </c>
      <c r="E4" s="27" t="s">
        <v>76</v>
      </c>
      <c r="F4" s="27" t="s">
        <v>388</v>
      </c>
      <c r="H4" s="504"/>
      <c r="I4" s="27" t="s">
        <v>73</v>
      </c>
      <c r="J4" s="27" t="s">
        <v>76</v>
      </c>
      <c r="K4" s="27" t="s">
        <v>74</v>
      </c>
      <c r="L4" s="27" t="s">
        <v>76</v>
      </c>
      <c r="M4" s="27" t="s">
        <v>388</v>
      </c>
    </row>
    <row r="5" spans="1:13" s="34" customFormat="1" ht="27.95" customHeight="1">
      <c r="A5" s="28" t="s">
        <v>90</v>
      </c>
      <c r="B5" s="31">
        <f>SUM(B6,B9)</f>
        <v>10491056</v>
      </c>
      <c r="C5" s="28" t="str">
        <f>IF(B5='16년3추 일입'!X3,"OK","@@")</f>
        <v>OK</v>
      </c>
      <c r="D5" s="31">
        <f>SUM(D6,D9)</f>
        <v>3182689</v>
      </c>
      <c r="E5" s="28" t="str">
        <f>IF(D5='16년 3추일출'!Z3,"OK","@@")</f>
        <v>@@</v>
      </c>
      <c r="F5" s="28"/>
      <c r="G5" s="23"/>
      <c r="H5" s="28" t="s">
        <v>90</v>
      </c>
      <c r="I5" s="31">
        <f>SUM(I6,I9)</f>
        <v>64242035</v>
      </c>
      <c r="J5" s="28" t="str">
        <f>IF(I5='16년3추 일입'!AC3,"OK","@@")</f>
        <v>OK</v>
      </c>
      <c r="K5" s="31">
        <f>SUM(K6,K9)</f>
        <v>64312035</v>
      </c>
      <c r="L5" s="28" t="str">
        <f>IF(K5='16년 3추일출'!AE3,"OK","@@")</f>
        <v>@@</v>
      </c>
      <c r="M5" s="28"/>
    </row>
    <row r="6" spans="1:13" ht="27.95" customHeight="1">
      <c r="A6" s="24" t="s">
        <v>89</v>
      </c>
      <c r="B6" s="30">
        <f>SUM(B7:B8)</f>
        <v>-213845</v>
      </c>
      <c r="C6" s="24" t="str">
        <f>IF(B6='16년3추 일입'!X6,"OK","@@")</f>
        <v>OK</v>
      </c>
      <c r="D6" s="30">
        <f>SUM(D7:D8)</f>
        <v>-7522212</v>
      </c>
      <c r="E6" s="24" t="str">
        <f>IF($D$6='16년 3추일출'!$Z$6,"OK","@@")</f>
        <v>@@</v>
      </c>
      <c r="F6" s="24"/>
      <c r="H6" s="24" t="s">
        <v>89</v>
      </c>
      <c r="I6" s="30">
        <f>SUM(I7:I8)</f>
        <v>13558155</v>
      </c>
      <c r="J6" s="24" t="str">
        <f>IF(I6='16년3추 일입'!AC6,"OK","@@")</f>
        <v>OK</v>
      </c>
      <c r="K6" s="30">
        <f>SUM(K7:K8)</f>
        <v>13628155</v>
      </c>
      <c r="L6" s="24" t="str">
        <f>IF($K6='16년 3추일출'!$AE6,"OK","@@")</f>
        <v>@@</v>
      </c>
      <c r="M6" s="24"/>
    </row>
    <row r="7" spans="1:13" s="34" customFormat="1" ht="27.95" customHeight="1">
      <c r="A7" s="40" t="s">
        <v>374</v>
      </c>
      <c r="B7" s="41">
        <f>SUMIFS('16년3추 일입'!$X$7:$X$602,'16년3추 일입'!$V$7:$V$602,"도비")</f>
        <v>-213845</v>
      </c>
      <c r="C7" s="40"/>
      <c r="D7" s="41">
        <f>SUMIFS('16년 3추일출'!$Z$14:$Z$703,'16년 3추일출'!$X$14:$X$703,"도비")</f>
        <v>-9116282</v>
      </c>
      <c r="E7" s="40"/>
      <c r="F7" s="40"/>
      <c r="H7" s="40" t="s">
        <v>374</v>
      </c>
      <c r="I7" s="41">
        <f>SUMIFS('16년3추 일입'!$AC$7:$AC$602,'16년3추 일입'!$AA$7:$AA$602,"도비")</f>
        <v>13558155</v>
      </c>
      <c r="J7" s="40"/>
      <c r="K7" s="41">
        <f>SUMIFS('16년 3추일출'!$AE$14:$AE$703,'16년 3추일출'!$AC$14:$AC$703,"도비")</f>
        <v>4619645</v>
      </c>
      <c r="L7" s="40"/>
      <c r="M7" s="40"/>
    </row>
    <row r="8" spans="1:13" s="34" customFormat="1" ht="27.95" customHeight="1">
      <c r="A8" s="40" t="s">
        <v>88</v>
      </c>
      <c r="B8" s="41">
        <f>SUMIFS('16년3추 일입'!$X$7:$X$602,'16년3추 일입'!$V$7:$V$602,"국비")+SUMIFS('16년3추 일입'!$X$7:$X$602,'16년3추 일입'!$V$7:$V$602,"지특")+SUMIFS('16년3추 일입'!$X$7:$X$602,'16년3추 일입'!$V$7:$V$602,"기금")+SUMIFS('16년3추 일입'!$X$7:$X$602,'16년3추 일입'!$V$7:$V$602,"분권")+SUMIFS('16년3추 일입'!$X$7:$X$602,'16년3추 일입'!$V$7:$V$602,"특교")</f>
        <v>0</v>
      </c>
      <c r="C8" s="40"/>
      <c r="D8" s="41">
        <f>SUMIFS('16년 3추일출'!$Z$14:$Z$703,'16년 3추일출'!$X$14:$X$703,"국비")+SUMIFS('16년 3추일출'!$Z$14:$Z$703,'16년 3추일출'!$X$14:$X$703,"지특")+SUMIFS('16년 3추일출'!$Z$14:$Z$703,'16년 3추일출'!$X$14:$X$703,"기금")+SUMIFS('16년 3추일출'!$Z$14:$Z$703,'16년 3추일출'!$X$14:$X$703,"분권")+SUMIFS('16년 3추일출'!$Z$14:$Z$703,'16년 3추일출'!$X$14:$X$703,"특교")</f>
        <v>1594070</v>
      </c>
      <c r="E8" s="40"/>
      <c r="F8" s="40"/>
      <c r="H8" s="40" t="s">
        <v>88</v>
      </c>
      <c r="I8" s="41">
        <f>SUMIFS('16년3추 일입'!$AC$7:$AC$602,'16년3추 일입'!$AA$7:$AA$602,"국비")+SUMIFS('16년3추 일입'!$AC$7:$AC$602,'16년3추 일입'!$AA$7:$AA$602,"지특")+SUMIFS('16년3추 일입'!$AC$7:$AC$602,'16년3추 일입'!$AA$7:$AA$602,"기금")+SUMIFS('16년3추 일입'!$AC$7:$AC$602,'16년3추 일입'!$AA$7:$AA$602,"분권")+SUMIFS('16년3추 일입'!$AC$7:$AC$602,'16년3추 일입'!$AA$7:$AA$602,"특교")</f>
        <v>0</v>
      </c>
      <c r="J8" s="40"/>
      <c r="K8" s="41">
        <f>SUMIFS('16년 3추일출'!$AE$14:$AE$703,'16년 3추일출'!$AC$14:$AC$703,"국비")+SUMIFS('16년 3추일출'!$AE$14:$AE$703,'16년 3추일출'!$AC$14:$AC$703,"지특")+SUMIFS('16년 3추일출'!$AE$14:$AE$703,'16년 3추일출'!$AC$14:$AC$703,"기금")+SUMIFS('16년 3추일출'!$AE$14:$AE$703,'16년 3추일출'!$AC$14:$AC$703,"분권")+SUMIFS('16년 3추일출'!$AE$14:$AE$703,'16년 3추일출'!$AC$14:$AC$703,"특교")</f>
        <v>9008510</v>
      </c>
      <c r="L8" s="40"/>
      <c r="M8" s="40"/>
    </row>
    <row r="9" spans="1:13" ht="27.95" customHeight="1">
      <c r="A9" s="24" t="s">
        <v>83</v>
      </c>
      <c r="B9" s="30">
        <f>SUM(B10:B14)</f>
        <v>10704901</v>
      </c>
      <c r="C9" s="24" t="str">
        <f>IF(B9='16년3추 일입'!W6,"OK","@@")</f>
        <v>OK</v>
      </c>
      <c r="D9" s="30">
        <f>SUM(D10:D14)</f>
        <v>10704901</v>
      </c>
      <c r="E9" s="24" t="str">
        <f>IF(B9=D9,"OK","@@")</f>
        <v>OK</v>
      </c>
      <c r="F9" s="136">
        <f>D9-B9</f>
        <v>0</v>
      </c>
      <c r="H9" s="24" t="s">
        <v>83</v>
      </c>
      <c r="I9" s="30">
        <f>SUM(I10:I14)</f>
        <v>50683880</v>
      </c>
      <c r="J9" s="24" t="str">
        <f>IF(I9='16년3추 일입'!AB6,"OK","@@")</f>
        <v>OK</v>
      </c>
      <c r="K9" s="30">
        <f>SUM(K10:K14)</f>
        <v>50683880</v>
      </c>
      <c r="L9" s="24" t="str">
        <f>IF(I9=K9,"OK","@@")</f>
        <v>OK</v>
      </c>
      <c r="M9" s="24"/>
    </row>
    <row r="10" spans="1:13" ht="27.95" customHeight="1">
      <c r="A10" s="32" t="s">
        <v>59</v>
      </c>
      <c r="B10" s="33">
        <f>SUMIFS('16년3추 일입'!$W$7:$W$602,'16년3추 일입'!$V$7:$V$602,'15년검증'!$A10)</f>
        <v>9577901</v>
      </c>
      <c r="C10" s="25"/>
      <c r="D10" s="33">
        <f>SUMIFS('16년 3추일출'!$Y$14:$Y$703,'16년 3추일출'!$X$14:$X$703,'15년검증'!$A10)</f>
        <v>9577901</v>
      </c>
      <c r="E10" s="25" t="str">
        <f t="shared" ref="E10:E14" si="0">IF(B10=D10,"OK","@@")</f>
        <v>OK</v>
      </c>
      <c r="F10" s="138">
        <f t="shared" ref="F10:F14" si="1">D10-B10</f>
        <v>0</v>
      </c>
      <c r="H10" s="32" t="s">
        <v>59</v>
      </c>
      <c r="I10" s="33">
        <f>SUMIFS('16년3추 일입'!$AB$7:$AB$602,'16년3추 일입'!$AA$7:$AA$602,'15년검증'!$A10)</f>
        <v>44965909</v>
      </c>
      <c r="J10" s="25"/>
      <c r="K10" s="33">
        <f>SUMIFS('16년 3추일출'!$AD$14:$AD$703,'16년 3추일출'!$AC$14:$AC$703,'15년검증'!$A10)</f>
        <v>44965909</v>
      </c>
      <c r="L10" s="25" t="str">
        <f t="shared" ref="L10:L14" si="2">IF(I10=K10,"OK","@@")</f>
        <v>OK</v>
      </c>
      <c r="M10" s="138">
        <f>K10-I10</f>
        <v>0</v>
      </c>
    </row>
    <row r="11" spans="1:13" ht="27.95" customHeight="1">
      <c r="A11" s="32" t="s">
        <v>355</v>
      </c>
      <c r="B11" s="33">
        <f>SUMIFS('16년3추 일입'!$W$7:$W$602,'16년3추 일입'!$V$7:$V$602,'15년검증'!$A11)</f>
        <v>0</v>
      </c>
      <c r="C11" s="25"/>
      <c r="D11" s="33">
        <f>SUMIFS('16년 3추일출'!$Y$14:$Y$703,'16년 3추일출'!$X$14:$X$703,'15년검증'!$A11)</f>
        <v>0</v>
      </c>
      <c r="E11" s="25" t="str">
        <f t="shared" si="0"/>
        <v>OK</v>
      </c>
      <c r="F11" s="138">
        <f t="shared" si="1"/>
        <v>0</v>
      </c>
      <c r="H11" s="32" t="s">
        <v>355</v>
      </c>
      <c r="I11" s="33">
        <f>SUMIFS('16년3추 일입'!$AB$7:$AB$602,'16년3추 일입'!$AA$7:$AA$602,'15년검증'!$A11)</f>
        <v>0</v>
      </c>
      <c r="J11" s="25"/>
      <c r="K11" s="33">
        <f>SUMIFS('16년 3추일출'!$AD$14:$AD$703,'16년 3추일출'!$AC$14:$AC$703,'15년검증'!$A11)</f>
        <v>0</v>
      </c>
      <c r="L11" s="25" t="str">
        <f t="shared" si="2"/>
        <v>OK</v>
      </c>
      <c r="M11" s="138">
        <f t="shared" ref="M11:M14" si="3">K11-I11</f>
        <v>0</v>
      </c>
    </row>
    <row r="12" spans="1:13" ht="27.95" customHeight="1">
      <c r="A12" s="32" t="s">
        <v>72</v>
      </c>
      <c r="B12" s="33">
        <f>SUMIFS('16년3추 일입'!$W$7:$W$602,'16년3추 일입'!$V$7:$V$602,'15년검증'!$A12)</f>
        <v>50000</v>
      </c>
      <c r="C12" s="25"/>
      <c r="D12" s="33">
        <f>SUMIFS('16년 3추일출'!$Y$14:$Y$703,'16년 3추일출'!$X$14:$X$703,'15년검증'!$A12)</f>
        <v>50000</v>
      </c>
      <c r="E12" s="25" t="str">
        <f t="shared" si="0"/>
        <v>OK</v>
      </c>
      <c r="F12" s="138">
        <f t="shared" si="1"/>
        <v>0</v>
      </c>
      <c r="H12" s="32" t="s">
        <v>72</v>
      </c>
      <c r="I12" s="33">
        <f>SUMIFS('16년3추 일입'!$AB$7:$AB$602,'16년3추 일입'!$AA$7:$AA$602,'15년검증'!$A12)</f>
        <v>4640971</v>
      </c>
      <c r="J12" s="25"/>
      <c r="K12" s="33">
        <f>SUMIFS('16년 3추일출'!$AD$14:$AD$703,'16년 3추일출'!$AC$14:$AC$703,'15년검증'!$A12)</f>
        <v>4640971</v>
      </c>
      <c r="L12" s="25" t="str">
        <f t="shared" si="2"/>
        <v>OK</v>
      </c>
      <c r="M12" s="138">
        <f t="shared" si="3"/>
        <v>0</v>
      </c>
    </row>
    <row r="13" spans="1:13" ht="27.95" customHeight="1">
      <c r="A13" s="32" t="s">
        <v>80</v>
      </c>
      <c r="B13" s="33">
        <f>SUMIFS('16년3추 일입'!$W$7:$W$602,'16년3추 일입'!$V$7:$V$602,'15년검증'!$A13)</f>
        <v>0</v>
      </c>
      <c r="C13" s="25"/>
      <c r="D13" s="33">
        <f>SUMIFS('16년 3추일출'!$Y$14:$Y$703,'16년 3추일출'!$X$14:$X$703,'15년검증'!$A13)</f>
        <v>0</v>
      </c>
      <c r="E13" s="25" t="str">
        <f t="shared" si="0"/>
        <v>OK</v>
      </c>
      <c r="F13" s="138">
        <f t="shared" si="1"/>
        <v>0</v>
      </c>
      <c r="H13" s="32" t="s">
        <v>80</v>
      </c>
      <c r="I13" s="33">
        <f>SUMIFS('16년3추 일입'!$AB$7:$AB$602,'16년3추 일입'!$AA$7:$AA$602,'15년검증'!$A13)</f>
        <v>0</v>
      </c>
      <c r="J13" s="25"/>
      <c r="K13" s="33">
        <f>SUMIFS('16년 3추일출'!$AD$14:$AD$703,'16년 3추일출'!$AC$14:$AC$703,'15년검증'!$A13)</f>
        <v>0</v>
      </c>
      <c r="L13" s="25" t="str">
        <f t="shared" si="2"/>
        <v>OK</v>
      </c>
      <c r="M13" s="138">
        <f t="shared" si="3"/>
        <v>0</v>
      </c>
    </row>
    <row r="14" spans="1:13" ht="27.95" customHeight="1">
      <c r="A14" s="32" t="s">
        <v>352</v>
      </c>
      <c r="B14" s="33">
        <f>SUMIFS('16년3추 일입'!$W$7:$W$602,'16년3추 일입'!$V$7:$V$602,'15년검증'!$A14)</f>
        <v>1077000</v>
      </c>
      <c r="C14" s="25"/>
      <c r="D14" s="33">
        <f>SUMIFS('16년 3추일출'!$Y$14:$Y$703,'16년 3추일출'!$X$14:$X$703,'15년검증'!$A14)</f>
        <v>1077000</v>
      </c>
      <c r="E14" s="25" t="str">
        <f t="shared" si="0"/>
        <v>OK</v>
      </c>
      <c r="F14" s="138">
        <f t="shared" si="1"/>
        <v>0</v>
      </c>
      <c r="H14" s="32" t="s">
        <v>352</v>
      </c>
      <c r="I14" s="33">
        <f>SUMIFS('16년3추 일입'!$AB$7:$AB$602,'16년3추 일입'!$AA$7:$AA$602,'15년검증'!$A14)</f>
        <v>1077000</v>
      </c>
      <c r="J14" s="25"/>
      <c r="K14" s="33">
        <f>SUMIFS('16년 3추일출'!$AD$14:$AD$703,'16년 3추일출'!$AC$14:$AC$703,'15년검증'!$A14)</f>
        <v>1077000</v>
      </c>
      <c r="L14" s="25" t="str">
        <f t="shared" si="2"/>
        <v>OK</v>
      </c>
      <c r="M14" s="138">
        <f t="shared" si="3"/>
        <v>0</v>
      </c>
    </row>
    <row r="15" spans="1:13" ht="27.95" customHeight="1"/>
    <row r="16" spans="1:13" ht="27.95" customHeight="1">
      <c r="G16" s="35"/>
      <c r="H16" s="50" t="s">
        <v>373</v>
      </c>
      <c r="I16" s="498">
        <f>IFERROR(INDEX('16년 3추일출'!AE14:AE703,MATCH("*예비비*",'16년 3추일출'!G14:G703,0)),"")</f>
        <v>18800000</v>
      </c>
      <c r="J16" s="498"/>
      <c r="K16" s="498"/>
      <c r="L16" s="498"/>
      <c r="M16" s="498"/>
    </row>
    <row r="17" spans="1:13" ht="27.95" customHeight="1"/>
    <row r="18" spans="1:13" ht="27.95" customHeight="1">
      <c r="G18" s="35"/>
      <c r="I18" s="498">
        <f>SUM(I5-K5)</f>
        <v>-70000</v>
      </c>
      <c r="J18" s="498"/>
      <c r="K18" s="498"/>
      <c r="L18" s="498"/>
      <c r="M18" s="498"/>
    </row>
    <row r="19" spans="1:13" ht="27.95" customHeight="1">
      <c r="A19" s="35"/>
      <c r="B19" s="35"/>
      <c r="C19" s="35"/>
      <c r="D19" s="35"/>
      <c r="E19" s="36"/>
      <c r="F19" s="36"/>
      <c r="G19" s="35"/>
      <c r="H19" s="35"/>
      <c r="I19" s="35"/>
      <c r="J19" s="35"/>
      <c r="K19" s="35"/>
      <c r="L19" s="36"/>
      <c r="M19" s="36"/>
    </row>
    <row r="20" spans="1:13" ht="27.95" customHeight="1">
      <c r="G20" s="35"/>
      <c r="H20" s="124" t="s">
        <v>375</v>
      </c>
      <c r="I20" s="499">
        <f>IFERROR(SUM(J1+I16),"")</f>
        <v>143482800</v>
      </c>
      <c r="J20" s="499"/>
      <c r="K20" s="499"/>
      <c r="L20" s="499"/>
      <c r="M20" s="499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1:I1"/>
    <mergeCell ref="A3:A4"/>
    <mergeCell ref="H3:H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RowHeight="16.5"/>
  <cols>
    <col min="1" max="1" width="18.875" style="23" customWidth="1"/>
    <col min="2" max="2" width="13.625" style="23" customWidth="1"/>
    <col min="3" max="3" width="7.625" style="23" customWidth="1"/>
    <col min="4" max="4" width="13.625" style="23" customWidth="1"/>
    <col min="5" max="5" width="7.625" style="26" customWidth="1"/>
    <col min="6" max="6" width="13.625" style="26" customWidth="1"/>
    <col min="7" max="7" width="3.375" style="23" customWidth="1"/>
    <col min="8" max="8" width="18.875" style="23" customWidth="1"/>
    <col min="9" max="9" width="13.625" style="23" customWidth="1"/>
    <col min="10" max="10" width="7.625" style="23" customWidth="1"/>
    <col min="11" max="11" width="13.625" style="23" customWidth="1"/>
    <col min="12" max="12" width="7.625" style="26" customWidth="1"/>
    <col min="13" max="13" width="13.625" style="26" customWidth="1"/>
    <col min="14" max="16384" width="9" style="23"/>
  </cols>
  <sheetData>
    <row r="1" spans="1:13" ht="33" customHeight="1">
      <c r="A1" s="501" t="s">
        <v>372</v>
      </c>
      <c r="B1" s="501"/>
      <c r="C1" s="501"/>
      <c r="D1" s="501"/>
      <c r="E1" s="501"/>
      <c r="F1" s="501"/>
      <c r="G1" s="43"/>
      <c r="H1" s="502" t="s">
        <v>359</v>
      </c>
      <c r="I1" s="502"/>
      <c r="J1" s="500">
        <v>22466366</v>
      </c>
      <c r="K1" s="500"/>
      <c r="L1" s="500"/>
      <c r="M1" s="500"/>
    </row>
    <row r="2" spans="1:13" s="37" customFormat="1" ht="22.5" customHeight="1">
      <c r="E2" s="38"/>
      <c r="F2" s="38"/>
      <c r="L2" s="38"/>
      <c r="M2" s="38" t="s">
        <v>77</v>
      </c>
    </row>
    <row r="3" spans="1:13" ht="27.95" customHeight="1">
      <c r="A3" s="503" t="s">
        <v>75</v>
      </c>
      <c r="B3" s="505" t="s">
        <v>86</v>
      </c>
      <c r="C3" s="505"/>
      <c r="D3" s="505"/>
      <c r="E3" s="505"/>
      <c r="F3" s="505"/>
      <c r="G3" s="39"/>
      <c r="H3" s="506" t="s">
        <v>75</v>
      </c>
      <c r="I3" s="505" t="s">
        <v>87</v>
      </c>
      <c r="J3" s="505"/>
      <c r="K3" s="505"/>
      <c r="L3" s="505"/>
      <c r="M3" s="505"/>
    </row>
    <row r="4" spans="1:13" ht="27.95" customHeight="1">
      <c r="A4" s="504"/>
      <c r="B4" s="27" t="s">
        <v>73</v>
      </c>
      <c r="C4" s="27" t="s">
        <v>76</v>
      </c>
      <c r="D4" s="27" t="s">
        <v>74</v>
      </c>
      <c r="E4" s="27" t="s">
        <v>76</v>
      </c>
      <c r="F4" s="27" t="s">
        <v>388</v>
      </c>
      <c r="H4" s="506"/>
      <c r="I4" s="27" t="s">
        <v>73</v>
      </c>
      <c r="J4" s="27" t="s">
        <v>76</v>
      </c>
      <c r="K4" s="27" t="s">
        <v>74</v>
      </c>
      <c r="L4" s="27" t="s">
        <v>76</v>
      </c>
      <c r="M4" s="27" t="s">
        <v>388</v>
      </c>
    </row>
    <row r="5" spans="1:13" s="34" customFormat="1" ht="27.95" customHeight="1">
      <c r="A5" s="28" t="s">
        <v>90</v>
      </c>
      <c r="B5" s="31" t="e">
        <f>SUM(B6,B9)</f>
        <v>#REF!</v>
      </c>
      <c r="C5" s="28" t="e">
        <f>IF(B5=#REF!,"OK","@@")</f>
        <v>#REF!</v>
      </c>
      <c r="D5" s="31" t="e">
        <f>SUM(D6,D9)</f>
        <v>#REF!</v>
      </c>
      <c r="E5" s="28" t="e">
        <f>IF(D5=#REF!,"OK","@@")</f>
        <v>#REF!</v>
      </c>
      <c r="F5" s="135"/>
      <c r="G5" s="23"/>
      <c r="H5" s="28" t="s">
        <v>90</v>
      </c>
      <c r="I5" s="31" t="e">
        <f>SUM(I6,I9)</f>
        <v>#REF!</v>
      </c>
      <c r="J5" s="28" t="e">
        <f>IF(I5=#REF!,"OK","@@")</f>
        <v>#REF!</v>
      </c>
      <c r="K5" s="31" t="e">
        <f>SUM(K6,K9)</f>
        <v>#REF!</v>
      </c>
      <c r="L5" s="28" t="e">
        <f>IF(K5=#REF!,"OK","@@")</f>
        <v>#REF!</v>
      </c>
      <c r="M5" s="28"/>
    </row>
    <row r="6" spans="1:13" ht="27.95" customHeight="1">
      <c r="A6" s="24" t="s">
        <v>89</v>
      </c>
      <c r="B6" s="30" t="e">
        <f>SUM(B7:B8)</f>
        <v>#REF!</v>
      </c>
      <c r="C6" s="24" t="e">
        <f>IF(B6=#REF!,"OK","@@")</f>
        <v>#REF!</v>
      </c>
      <c r="D6" s="30" t="e">
        <f>SUM(D7:D8)</f>
        <v>#REF!</v>
      </c>
      <c r="E6" s="24" t="e">
        <f>IF($D$6=#REF!,"OK","@@")</f>
        <v>#REF!</v>
      </c>
      <c r="F6" s="136"/>
      <c r="H6" s="24" t="s">
        <v>89</v>
      </c>
      <c r="I6" s="30" t="e">
        <f>SUM(I7:I8)</f>
        <v>#REF!</v>
      </c>
      <c r="J6" s="24" t="e">
        <f>IF(I6=#REF!,"OK","@@")</f>
        <v>#REF!</v>
      </c>
      <c r="K6" s="30" t="e">
        <f>SUM(K7:K8)</f>
        <v>#REF!</v>
      </c>
      <c r="L6" s="24" t="e">
        <f>IF($K6=#REF!,"OK","@@")</f>
        <v>#REF!</v>
      </c>
      <c r="M6" s="24"/>
    </row>
    <row r="7" spans="1:13" s="34" customFormat="1" ht="27.95" customHeight="1">
      <c r="A7" s="40" t="s">
        <v>374</v>
      </c>
      <c r="B7" s="41" t="e">
        <f>SUMIFS(#REF!,#REF!,"도비")</f>
        <v>#REF!</v>
      </c>
      <c r="C7" s="40"/>
      <c r="D7" s="41" t="e">
        <f>SUMIFS(#REF!,#REF!,"도비")</f>
        <v>#REF!</v>
      </c>
      <c r="E7" s="40"/>
      <c r="F7" s="137"/>
      <c r="H7" s="40" t="s">
        <v>374</v>
      </c>
      <c r="I7" s="41" t="e">
        <f>SUMIFS(#REF!,#REF!,"도비")</f>
        <v>#REF!</v>
      </c>
      <c r="J7" s="40"/>
      <c r="K7" s="41" t="e">
        <f>SUMIFS(#REF!,#REF!,"도비")</f>
        <v>#REF!</v>
      </c>
      <c r="L7" s="40"/>
      <c r="M7" s="40"/>
    </row>
    <row r="8" spans="1:13" s="34" customFormat="1" ht="27.95" customHeight="1">
      <c r="A8" s="40" t="s">
        <v>88</v>
      </c>
      <c r="B8" s="41" t="e">
        <f>SUMIFS(#REF!,#REF!,"국비")+SUMIFS(#REF!,#REF!,"광특")+SUMIFS(#REF!,#REF!,"기금")+SUMIFS(#REF!,#REF!,"분권")+SUMIFS(#REF!,#REF!,"특교")</f>
        <v>#REF!</v>
      </c>
      <c r="C8" s="40"/>
      <c r="D8" s="41" t="e">
        <f>SUMIFS(#REF!,#REF!,"국비")+SUMIFS(#REF!,#REF!,"광특")+SUMIFS(#REF!,#REF!,"기금")+SUMIFS(#REF!,#REF!,"분권")+SUMIFS(#REF!,#REF!,"특교")</f>
        <v>#REF!</v>
      </c>
      <c r="E8" s="40"/>
      <c r="F8" s="137"/>
      <c r="H8" s="40" t="s">
        <v>88</v>
      </c>
      <c r="I8" s="41" t="e">
        <f>SUMIFS(#REF!,#REF!,"국비")+SUMIFS(#REF!,#REF!,"광특")+SUMIFS(#REF!,#REF!,"기금")+SUMIFS(#REF!,#REF!,"분권")+SUMIFS(#REF!,#REF!,"특교")</f>
        <v>#REF!</v>
      </c>
      <c r="J8" s="40"/>
      <c r="K8" s="41" t="e">
        <f>SUMIFS(#REF!,#REF!,"국비")+SUMIFS(#REF!,#REF!,"광특")+SUMIFS(#REF!,#REF!,"기금")+SUMIFS(#REF!,#REF!,"분권")+SUMIFS(#REF!,#REF!,"특교")</f>
        <v>#REF!</v>
      </c>
      <c r="L8" s="40"/>
      <c r="M8" s="40"/>
    </row>
    <row r="9" spans="1:13" ht="27.95" customHeight="1">
      <c r="A9" s="24" t="s">
        <v>83</v>
      </c>
      <c r="B9" s="30" t="e">
        <f>SUM(B10:B14)</f>
        <v>#REF!</v>
      </c>
      <c r="C9" s="24" t="e">
        <f>IF(B9=#REF!,"OK","@@")</f>
        <v>#REF!</v>
      </c>
      <c r="D9" s="30" t="e">
        <f>SUM(D10:D14)</f>
        <v>#REF!</v>
      </c>
      <c r="E9" s="24" t="e">
        <f>IF(B9=D9,"OK","@@")</f>
        <v>#REF!</v>
      </c>
      <c r="F9" s="136" t="e">
        <f t="shared" ref="F9" si="0">D9-B9</f>
        <v>#REF!</v>
      </c>
      <c r="H9" s="24" t="s">
        <v>83</v>
      </c>
      <c r="I9" s="30" t="e">
        <f>SUM(I10:I14)</f>
        <v>#REF!</v>
      </c>
      <c r="J9" s="24" t="e">
        <f>IF(I9=#REF!,"OK","@@")</f>
        <v>#REF!</v>
      </c>
      <c r="K9" s="30" t="e">
        <f>SUM(K10:K14)</f>
        <v>#REF!</v>
      </c>
      <c r="L9" s="24" t="e">
        <f>IF(I9=K9,"OK","@@")</f>
        <v>#REF!</v>
      </c>
      <c r="M9" s="136" t="e">
        <f>K9-I9</f>
        <v>#REF!</v>
      </c>
    </row>
    <row r="10" spans="1:13" ht="27.95" customHeight="1">
      <c r="A10" s="32" t="s">
        <v>59</v>
      </c>
      <c r="B10" s="33" t="e">
        <f>SUMIFS(#REF!,#REF!,'2추검증'!$A10)</f>
        <v>#REF!</v>
      </c>
      <c r="C10" s="25"/>
      <c r="D10" s="33" t="e">
        <f>SUMIFS(#REF!,#REF!,'2추검증'!$A10)</f>
        <v>#REF!</v>
      </c>
      <c r="E10" s="25" t="e">
        <f t="shared" ref="E10:E14" si="1">IF(B10=D10,"OK","@@")</f>
        <v>#REF!</v>
      </c>
      <c r="F10" s="138" t="e">
        <f>D10-B10</f>
        <v>#REF!</v>
      </c>
      <c r="H10" s="32" t="s">
        <v>59</v>
      </c>
      <c r="I10" s="33" t="e">
        <f>SUMIFS(#REF!,#REF!,'2추검증'!$A10)</f>
        <v>#REF!</v>
      </c>
      <c r="J10" s="25"/>
      <c r="K10" s="33" t="e">
        <f>SUMIFS(#REF!,#REF!,'2추검증'!$A10)</f>
        <v>#REF!</v>
      </c>
      <c r="L10" s="25" t="e">
        <f t="shared" ref="L10:L14" si="2">IF(I10=K10,"OK","@@")</f>
        <v>#REF!</v>
      </c>
      <c r="M10" s="138" t="e">
        <f t="shared" ref="M10:M14" si="3">K10-I10</f>
        <v>#REF!</v>
      </c>
    </row>
    <row r="11" spans="1:13" ht="27.95" customHeight="1">
      <c r="A11" s="32" t="s">
        <v>79</v>
      </c>
      <c r="B11" s="33" t="e">
        <f>SUMIFS(#REF!,#REF!,'2추검증'!$A11)</f>
        <v>#REF!</v>
      </c>
      <c r="C11" s="25"/>
      <c r="D11" s="33" t="e">
        <f>SUMIFS(#REF!,#REF!,'2추검증'!$A11)</f>
        <v>#REF!</v>
      </c>
      <c r="E11" s="25" t="e">
        <f t="shared" si="1"/>
        <v>#REF!</v>
      </c>
      <c r="F11" s="138" t="e">
        <f t="shared" ref="F11:F14" si="4">D11-B11</f>
        <v>#REF!</v>
      </c>
      <c r="H11" s="32" t="s">
        <v>79</v>
      </c>
      <c r="I11" s="33" t="e">
        <f>SUMIFS(#REF!,#REF!,'2추검증'!$A11)</f>
        <v>#REF!</v>
      </c>
      <c r="J11" s="25"/>
      <c r="K11" s="33" t="e">
        <f>SUMIFS(#REF!,#REF!,'2추검증'!$A11)</f>
        <v>#REF!</v>
      </c>
      <c r="L11" s="25" t="e">
        <f t="shared" si="2"/>
        <v>#REF!</v>
      </c>
      <c r="M11" s="138" t="e">
        <f t="shared" si="3"/>
        <v>#REF!</v>
      </c>
    </row>
    <row r="12" spans="1:13" ht="27.95" customHeight="1">
      <c r="A12" s="32" t="s">
        <v>72</v>
      </c>
      <c r="B12" s="33" t="e">
        <f>SUMIFS(#REF!,#REF!,'2추검증'!$A12)</f>
        <v>#REF!</v>
      </c>
      <c r="C12" s="25"/>
      <c r="D12" s="33" t="e">
        <f>SUMIFS(#REF!,#REF!,'2추검증'!$A12)</f>
        <v>#REF!</v>
      </c>
      <c r="E12" s="25" t="e">
        <f t="shared" si="1"/>
        <v>#REF!</v>
      </c>
      <c r="F12" s="138" t="e">
        <f t="shared" si="4"/>
        <v>#REF!</v>
      </c>
      <c r="H12" s="32" t="s">
        <v>72</v>
      </c>
      <c r="I12" s="33" t="e">
        <f>SUMIFS(#REF!,#REF!,'2추검증'!$A12)</f>
        <v>#REF!</v>
      </c>
      <c r="J12" s="25"/>
      <c r="K12" s="33" t="e">
        <f>SUMIFS(#REF!,#REF!,'2추검증'!$A12)</f>
        <v>#REF!</v>
      </c>
      <c r="L12" s="25" t="e">
        <f t="shared" si="2"/>
        <v>#REF!</v>
      </c>
      <c r="M12" s="138" t="e">
        <f t="shared" si="3"/>
        <v>#REF!</v>
      </c>
    </row>
    <row r="13" spans="1:13" ht="27.95" customHeight="1">
      <c r="A13" s="32" t="s">
        <v>80</v>
      </c>
      <c r="B13" s="33" t="e">
        <f>SUMIFS(#REF!,#REF!,'2추검증'!$A13)</f>
        <v>#REF!</v>
      </c>
      <c r="C13" s="25"/>
      <c r="D13" s="33" t="e">
        <f>SUMIFS(#REF!,#REF!,'2추검증'!$A13)</f>
        <v>#REF!</v>
      </c>
      <c r="E13" s="25" t="e">
        <f t="shared" si="1"/>
        <v>#REF!</v>
      </c>
      <c r="F13" s="138" t="e">
        <f t="shared" si="4"/>
        <v>#REF!</v>
      </c>
      <c r="H13" s="32" t="s">
        <v>80</v>
      </c>
      <c r="I13" s="33" t="e">
        <f>SUMIFS(#REF!,#REF!,'2추검증'!$A13)</f>
        <v>#REF!</v>
      </c>
      <c r="J13" s="25"/>
      <c r="K13" s="33" t="e">
        <f>SUMIFS(#REF!,#REF!,'2추검증'!$A13)</f>
        <v>#REF!</v>
      </c>
      <c r="L13" s="25" t="e">
        <f t="shared" si="2"/>
        <v>#REF!</v>
      </c>
      <c r="M13" s="138" t="e">
        <f t="shared" si="3"/>
        <v>#REF!</v>
      </c>
    </row>
    <row r="14" spans="1:13" ht="27.95" customHeight="1">
      <c r="A14" s="32" t="s">
        <v>360</v>
      </c>
      <c r="B14" s="33" t="e">
        <f>SUMIFS(#REF!,#REF!,'2추검증'!$A14)</f>
        <v>#REF!</v>
      </c>
      <c r="C14" s="25"/>
      <c r="D14" s="33" t="e">
        <f>SUMIFS(#REF!,#REF!,'2추검증'!$A14)</f>
        <v>#REF!</v>
      </c>
      <c r="E14" s="25" t="e">
        <f t="shared" si="1"/>
        <v>#REF!</v>
      </c>
      <c r="F14" s="138" t="e">
        <f t="shared" si="4"/>
        <v>#REF!</v>
      </c>
      <c r="H14" s="32" t="s">
        <v>352</v>
      </c>
      <c r="I14" s="33" t="e">
        <f>SUMIFS(#REF!,#REF!,'2추검증'!$A14)</f>
        <v>#REF!</v>
      </c>
      <c r="J14" s="25"/>
      <c r="K14" s="33" t="e">
        <f>SUMIFS(#REF!,#REF!,'2추검증'!$A14)</f>
        <v>#REF!</v>
      </c>
      <c r="L14" s="25" t="e">
        <f t="shared" si="2"/>
        <v>#REF!</v>
      </c>
      <c r="M14" s="138" t="e">
        <f t="shared" si="3"/>
        <v>#REF!</v>
      </c>
    </row>
    <row r="15" spans="1:13" ht="27.95" customHeight="1"/>
    <row r="16" spans="1:13" ht="27.95" customHeight="1">
      <c r="G16" s="35"/>
      <c r="H16" s="50" t="s">
        <v>373</v>
      </c>
      <c r="I16" s="498" t="str">
        <f>IFERROR(INDEX(#REF!,MATCH("*예비비*",#REF!,0)),"")</f>
        <v/>
      </c>
      <c r="J16" s="498"/>
      <c r="K16" s="498"/>
      <c r="L16" s="498"/>
      <c r="M16" s="498"/>
    </row>
    <row r="17" spans="1:13" ht="27.95" customHeight="1"/>
    <row r="18" spans="1:13" ht="27.95" customHeight="1">
      <c r="G18" s="35"/>
      <c r="I18" s="498" t="e">
        <f>SUM(I5-K5)</f>
        <v>#REF!</v>
      </c>
      <c r="J18" s="498"/>
      <c r="K18" s="498"/>
      <c r="L18" s="498"/>
      <c r="M18" s="498"/>
    </row>
    <row r="19" spans="1:13" ht="27.95" customHeight="1">
      <c r="A19" s="35"/>
      <c r="B19" s="35"/>
      <c r="C19" s="35"/>
      <c r="D19" s="35"/>
      <c r="E19" s="36"/>
      <c r="F19" s="36"/>
      <c r="G19" s="35"/>
      <c r="H19" s="35"/>
      <c r="I19" s="35"/>
      <c r="J19" s="35"/>
      <c r="K19" s="35"/>
      <c r="L19" s="36"/>
      <c r="M19" s="36"/>
    </row>
    <row r="20" spans="1:13" ht="27.95" customHeight="1">
      <c r="G20" s="35"/>
      <c r="H20" s="124" t="s">
        <v>375</v>
      </c>
      <c r="I20" s="499" t="str">
        <f>IFERROR(SUM(J1-I16),"")</f>
        <v/>
      </c>
      <c r="J20" s="499"/>
      <c r="K20" s="499"/>
      <c r="L20" s="499"/>
      <c r="M20" s="499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3:H4"/>
    <mergeCell ref="H1:I1"/>
    <mergeCell ref="A3:A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D1:K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363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62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507" t="s">
        <v>57</v>
      </c>
      <c r="E16" s="507"/>
      <c r="F16" s="507"/>
      <c r="G16" s="507"/>
      <c r="H16" s="507"/>
      <c r="I16" s="507"/>
      <c r="J16" s="507"/>
      <c r="K16" s="507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A1:M19"/>
  <sheetViews>
    <sheetView view="pageBreakPreview" zoomScaleNormal="100" zoomScaleSheetLayoutView="100" workbookViewId="0"/>
  </sheetViews>
  <sheetFormatPr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363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508" t="s">
        <v>56</v>
      </c>
      <c r="B4" s="508"/>
      <c r="C4" s="508"/>
      <c r="D4" s="508"/>
      <c r="E4" s="508"/>
      <c r="F4" s="508"/>
      <c r="G4" s="508"/>
      <c r="H4" s="508"/>
      <c r="I4" s="508"/>
      <c r="J4" s="508"/>
      <c r="K4" s="508"/>
      <c r="L4" s="508"/>
      <c r="M4" s="508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507" t="s">
        <v>57</v>
      </c>
      <c r="E16" s="507"/>
      <c r="F16" s="507"/>
      <c r="G16" s="507"/>
      <c r="H16" s="507"/>
      <c r="I16" s="507"/>
      <c r="J16" s="507"/>
      <c r="K16" s="507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38"/>
  <sheetViews>
    <sheetView view="pageBreakPreview" zoomScaleNormal="100" zoomScaleSheetLayoutView="100" workbookViewId="0">
      <selection activeCell="A5" sqref="A5"/>
    </sheetView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1314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56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507" t="s">
        <v>57</v>
      </c>
      <c r="C33" s="507"/>
      <c r="D33" s="507"/>
      <c r="E33" s="507"/>
      <c r="F33" s="507"/>
      <c r="G33" s="507"/>
      <c r="H33" s="507"/>
      <c r="I33" s="507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CC"/>
  </sheetPr>
  <dimension ref="B1:I25"/>
  <sheetViews>
    <sheetView view="pageBreakPreview" zoomScaleNormal="100" zoomScaleSheetLayoutView="100" workbookViewId="0"/>
  </sheetViews>
  <sheetFormatPr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1314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56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507" t="s">
        <v>57</v>
      </c>
      <c r="C24" s="507"/>
      <c r="D24" s="507"/>
      <c r="E24" s="507"/>
      <c r="F24" s="507"/>
      <c r="G24" s="507"/>
      <c r="H24" s="507"/>
      <c r="I24" s="507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8" orientation="landscape" horizontalDpi="4294967295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B1:P275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47" customWidth="1"/>
    <col min="2" max="2" width="22" style="47" customWidth="1"/>
    <col min="3" max="3" width="17.875" style="47" customWidth="1"/>
    <col min="4" max="4" width="14.75" style="47" customWidth="1"/>
    <col min="5" max="5" width="15.25" style="47" customWidth="1"/>
    <col min="6" max="6" width="14.25" style="47" customWidth="1"/>
    <col min="7" max="7" width="13.5" style="47" customWidth="1"/>
    <col min="8" max="8" width="17.25" style="47" customWidth="1"/>
    <col min="9" max="9" width="17.125" style="51" hidden="1" customWidth="1"/>
    <col min="10" max="10" width="16" style="51" hidden="1" customWidth="1"/>
    <col min="11" max="11" width="14.625" style="51" hidden="1" customWidth="1"/>
    <col min="12" max="12" width="21.75" style="51" hidden="1" customWidth="1"/>
    <col min="13" max="14" width="14.75" style="51" hidden="1" customWidth="1"/>
    <col min="15" max="15" width="12.25" style="51" hidden="1" customWidth="1"/>
    <col min="16" max="16" width="13.375" style="51" hidden="1" customWidth="1"/>
    <col min="17" max="16384" width="9" style="47"/>
  </cols>
  <sheetData>
    <row r="1" spans="2:16" ht="33" customHeight="1">
      <c r="B1" s="509" t="s">
        <v>364</v>
      </c>
      <c r="C1" s="510"/>
      <c r="D1" s="510"/>
      <c r="E1" s="510"/>
      <c r="F1" s="510"/>
      <c r="G1" s="510"/>
      <c r="H1" s="510"/>
    </row>
    <row r="2" spans="2:16" ht="12.75" customHeight="1">
      <c r="B2" s="52"/>
      <c r="C2" s="53"/>
      <c r="D2" s="53"/>
      <c r="E2" s="53"/>
      <c r="F2" s="53"/>
      <c r="G2" s="53"/>
      <c r="H2" s="53"/>
    </row>
    <row r="3" spans="2:16" ht="23.25" customHeight="1">
      <c r="B3" s="54" t="s">
        <v>20</v>
      </c>
      <c r="C3" s="55"/>
      <c r="D3" s="45" t="s">
        <v>113</v>
      </c>
      <c r="E3" s="45">
        <f>SUM(D7:E7)</f>
        <v>64242035</v>
      </c>
      <c r="F3" s="45" t="s">
        <v>114</v>
      </c>
      <c r="G3" s="45">
        <f>SUM(F7:G7)</f>
        <v>64312035</v>
      </c>
      <c r="H3" s="46"/>
    </row>
    <row r="4" spans="2:16" s="57" customFormat="1" ht="18" customHeight="1" thickBot="1">
      <c r="B4" s="56"/>
      <c r="H4" s="58" t="s">
        <v>21</v>
      </c>
      <c r="I4" s="59"/>
      <c r="J4" s="59"/>
      <c r="K4" s="59"/>
      <c r="L4" s="59"/>
      <c r="M4" s="60" t="s">
        <v>22</v>
      </c>
      <c r="N4" s="59"/>
      <c r="O4" s="60" t="s">
        <v>23</v>
      </c>
      <c r="P4" s="60"/>
    </row>
    <row r="5" spans="2:16" ht="33" customHeight="1">
      <c r="B5" s="511" t="s">
        <v>24</v>
      </c>
      <c r="C5" s="513" t="s">
        <v>25</v>
      </c>
      <c r="D5" s="515" t="s">
        <v>26</v>
      </c>
      <c r="E5" s="515"/>
      <c r="F5" s="515" t="s">
        <v>27</v>
      </c>
      <c r="G5" s="515"/>
      <c r="H5" s="516" t="s">
        <v>28</v>
      </c>
      <c r="I5" s="522" t="s">
        <v>29</v>
      </c>
      <c r="J5" s="522"/>
      <c r="K5" s="518" t="s">
        <v>30</v>
      </c>
      <c r="L5" s="520" t="s">
        <v>31</v>
      </c>
      <c r="M5" s="522" t="s">
        <v>32</v>
      </c>
      <c r="N5" s="523"/>
      <c r="O5" s="524" t="s">
        <v>33</v>
      </c>
      <c r="P5" s="525"/>
    </row>
    <row r="6" spans="2:16" ht="33" customHeight="1">
      <c r="B6" s="512"/>
      <c r="C6" s="514"/>
      <c r="D6" s="61" t="s">
        <v>34</v>
      </c>
      <c r="E6" s="61" t="s">
        <v>35</v>
      </c>
      <c r="F6" s="61" t="s">
        <v>34</v>
      </c>
      <c r="G6" s="61" t="s">
        <v>35</v>
      </c>
      <c r="H6" s="517"/>
      <c r="I6" s="62" t="s">
        <v>36</v>
      </c>
      <c r="J6" s="63" t="s">
        <v>37</v>
      </c>
      <c r="K6" s="519"/>
      <c r="L6" s="521"/>
      <c r="M6" s="64" t="s">
        <v>36</v>
      </c>
      <c r="N6" s="65" t="s">
        <v>37</v>
      </c>
      <c r="O6" s="526"/>
      <c r="P6" s="527"/>
    </row>
    <row r="7" spans="2:16" ht="45" customHeight="1" thickBot="1">
      <c r="B7" s="66" t="s">
        <v>38</v>
      </c>
      <c r="C7" s="67">
        <f t="shared" ref="C7:H7" si="0">SUM(C8:C18)</f>
        <v>17818538715</v>
      </c>
      <c r="D7" s="16">
        <f t="shared" si="0"/>
        <v>-479788</v>
      </c>
      <c r="E7" s="16">
        <f t="shared" si="0"/>
        <v>64721823</v>
      </c>
      <c r="F7" s="16">
        <f t="shared" si="0"/>
        <v>-28611606</v>
      </c>
      <c r="G7" s="16">
        <f t="shared" si="0"/>
        <v>92923641</v>
      </c>
      <c r="H7" s="68">
        <f t="shared" si="0"/>
        <v>17882850750</v>
      </c>
      <c r="I7" s="69">
        <f>E25+D25</f>
        <v>64242035</v>
      </c>
      <c r="J7" s="70">
        <f>F25+G25</f>
        <v>64242035</v>
      </c>
      <c r="K7" s="71">
        <f>I7-J7</f>
        <v>0</v>
      </c>
      <c r="L7" s="72" t="s">
        <v>39</v>
      </c>
      <c r="M7" s="73">
        <f>D24+E24</f>
        <v>64242035</v>
      </c>
      <c r="N7" s="74">
        <f>F24+G24</f>
        <v>64242035</v>
      </c>
      <c r="O7" s="75">
        <v>0</v>
      </c>
      <c r="P7" s="75">
        <v>0</v>
      </c>
    </row>
    <row r="8" spans="2:16" ht="45" hidden="1" customHeight="1" thickBot="1">
      <c r="B8" s="76" t="s">
        <v>40</v>
      </c>
      <c r="C8" s="67">
        <v>0</v>
      </c>
      <c r="D8" s="16"/>
      <c r="E8" s="16"/>
      <c r="F8" s="16"/>
      <c r="G8" s="16"/>
      <c r="H8" s="68">
        <f>C8-F8+G8</f>
        <v>0</v>
      </c>
      <c r="I8" s="77">
        <f>D7+E7</f>
        <v>64242035</v>
      </c>
      <c r="J8" s="78">
        <f>F7+G7</f>
        <v>64312035</v>
      </c>
      <c r="K8" s="79">
        <f>I8-J8</f>
        <v>-70000</v>
      </c>
      <c r="L8" s="80"/>
      <c r="M8" s="81"/>
      <c r="N8" s="82"/>
      <c r="O8" s="83"/>
      <c r="P8" s="83"/>
    </row>
    <row r="9" spans="2:16" ht="45" customHeight="1">
      <c r="B9" s="84" t="s">
        <v>94</v>
      </c>
      <c r="C9" s="85">
        <v>43594098</v>
      </c>
      <c r="D9" s="16">
        <f>SUMIFS('16년3추 일입'!$N$7:$N$602,'16년3추 일입'!$A$7:$A$602,'15년총괄표'!$B9)</f>
        <v>0</v>
      </c>
      <c r="E9" s="16">
        <f>SUMIFS('16년3추 일입'!$O$7:$O$602,'16년3추 일입'!$A$7:$A$602,'15년총괄표'!$B9)</f>
        <v>0</v>
      </c>
      <c r="F9" s="16">
        <f>SUMIFS('16년 3추일출'!$N$14:$N$703,'16년 3추일출'!$A$14:$A$703,'15년총괄표'!$B9)</f>
        <v>0</v>
      </c>
      <c r="G9" s="16">
        <f>SUMIFS('16년 3추일출'!$O$14:$O$703,'16년 3추일출'!$A$14:$A$703,'15년총괄표'!$B9)</f>
        <v>0</v>
      </c>
      <c r="H9" s="68">
        <f>C9+F9+G9</f>
        <v>43594098</v>
      </c>
      <c r="I9" s="536" t="s">
        <v>41</v>
      </c>
      <c r="J9" s="537"/>
      <c r="K9" s="59"/>
      <c r="N9" s="86" t="s">
        <v>42</v>
      </c>
    </row>
    <row r="10" spans="2:16" ht="45" customHeight="1" thickBot="1">
      <c r="B10" s="84" t="s">
        <v>95</v>
      </c>
      <c r="C10" s="67">
        <v>5206191432</v>
      </c>
      <c r="D10" s="16">
        <f>SUMIFS('16년3추 일입'!$N$7:$N$602,'16년3추 일입'!$A$7:$A$602,'15년총괄표'!$B10)</f>
        <v>0</v>
      </c>
      <c r="E10" s="16">
        <f>SUMIFS('16년3추 일입'!$O$7:$O$602,'16년3추 일입'!$A$7:$A$602,'15년총괄표'!$B10)</f>
        <v>13772000</v>
      </c>
      <c r="F10" s="16">
        <f>SUMIFS('16년 3추일출'!$N$14:$N$703,'16년 3추일출'!$A$14:$A$703,'15년총괄표'!$B10)</f>
        <v>-73360</v>
      </c>
      <c r="G10" s="16">
        <f>SUMIFS('16년 3추일출'!$O$14:$O$703,'16년 3추일출'!$A$14:$A$703,'15년총괄표'!$B10)</f>
        <v>21730772</v>
      </c>
      <c r="H10" s="68">
        <f t="shared" ref="H10:H18" si="1">C10+F10+G10</f>
        <v>5227848844</v>
      </c>
      <c r="I10" s="87" t="e">
        <f>#REF!+#REF!</f>
        <v>#REF!</v>
      </c>
      <c r="J10" s="88" t="e">
        <f>#REF!+#REF!</f>
        <v>#REF!</v>
      </c>
      <c r="K10" s="59"/>
      <c r="N10" s="89">
        <f>M7-N7</f>
        <v>0</v>
      </c>
    </row>
    <row r="11" spans="2:16" ht="45" customHeight="1">
      <c r="B11" s="84" t="s">
        <v>96</v>
      </c>
      <c r="C11" s="67">
        <v>506163851</v>
      </c>
      <c r="D11" s="16">
        <f>SUMIFS('16년3추 일입'!$N$7:$N$602,'16년3추 일입'!$A$7:$A$602,'15년총괄표'!$B11)</f>
        <v>0</v>
      </c>
      <c r="E11" s="16">
        <f>SUMIFS('16년3추 일입'!$O$7:$O$602,'16년3추 일입'!$A$7:$A$602,'15년총괄표'!$B11)</f>
        <v>0</v>
      </c>
      <c r="F11" s="16">
        <f>SUMIFS('16년 3추일출'!$N$14:$N$703,'16년 3추일출'!$A$14:$A$703,'15년총괄표'!$B11)</f>
        <v>-4000000</v>
      </c>
      <c r="G11" s="16">
        <f>SUMIFS('16년 3추일출'!$O$14:$O$703,'16년 3추일출'!$A$14:$A$703,'15년총괄표'!$B11)</f>
        <v>2650000</v>
      </c>
      <c r="H11" s="68">
        <f t="shared" si="1"/>
        <v>504813851</v>
      </c>
      <c r="J11" s="90"/>
      <c r="K11" s="91"/>
    </row>
    <row r="12" spans="2:16" ht="45" customHeight="1">
      <c r="B12" s="84" t="s">
        <v>97</v>
      </c>
      <c r="C12" s="67">
        <v>1207474631</v>
      </c>
      <c r="D12" s="16">
        <f>SUMIFS('16년3추 일입'!$N$7:$N$602,'16년3추 일입'!$A$7:$A$602,'15년총괄표'!$B12)</f>
        <v>-4236</v>
      </c>
      <c r="E12" s="16">
        <f>SUMIFS('16년3추 일입'!$O$7:$O$602,'16년3추 일입'!$A$7:$A$602,'15년총괄표'!$B12)</f>
        <v>77000</v>
      </c>
      <c r="F12" s="16">
        <f>SUMIFS('16년 3추일출'!$N$14:$N$703,'16년 3추일출'!$A$14:$A$703,'15년총괄표'!$B12)</f>
        <v>-250000</v>
      </c>
      <c r="G12" s="16">
        <f>SUMIFS('16년 3추일출'!$O$14:$O$703,'16년 3추일출'!$A$14:$A$703,'15년총괄표'!$B12)</f>
        <v>901843</v>
      </c>
      <c r="H12" s="68">
        <f t="shared" si="1"/>
        <v>1208126474</v>
      </c>
      <c r="J12" s="92"/>
      <c r="L12" s="93"/>
      <c r="M12" s="93"/>
    </row>
    <row r="13" spans="2:16" ht="45" customHeight="1">
      <c r="B13" s="84" t="s">
        <v>98</v>
      </c>
      <c r="C13" s="67">
        <v>309073261</v>
      </c>
      <c r="D13" s="16">
        <f>SUMIFS('16년3추 일입'!$N$7:$N$602,'16년3추 일입'!$A$7:$A$602,'15년총괄표'!$B13)</f>
        <v>0</v>
      </c>
      <c r="E13" s="16">
        <f>SUMIFS('16년3추 일입'!$O$7:$O$602,'16년3추 일입'!$A$7:$A$602,'15년총괄표'!$B13)</f>
        <v>0</v>
      </c>
      <c r="F13" s="16">
        <f>SUMIFS('16년 3추일출'!$N$14:$N$703,'16년 3추일출'!$A$14:$A$703,'15년총괄표'!$B13)</f>
        <v>0</v>
      </c>
      <c r="G13" s="16">
        <f>SUMIFS('16년 3추일출'!$O$14:$O$703,'16년 3추일출'!$A$14:$A$703,'15년총괄표'!$B13)</f>
        <v>240000</v>
      </c>
      <c r="H13" s="68">
        <f t="shared" si="1"/>
        <v>309313261</v>
      </c>
      <c r="K13" s="12"/>
      <c r="L13" s="13"/>
      <c r="N13" s="51" t="s">
        <v>43</v>
      </c>
    </row>
    <row r="14" spans="2:16" s="96" customFormat="1" ht="45" customHeight="1">
      <c r="B14" s="84" t="s">
        <v>99</v>
      </c>
      <c r="C14" s="94">
        <v>442431566</v>
      </c>
      <c r="D14" s="16">
        <f>SUMIFS('16년3추 일입'!$N$7:$N$602,'16년3추 일입'!$A$7:$A$602,'15년총괄표'!$B14)</f>
        <v>-4159</v>
      </c>
      <c r="E14" s="16">
        <f>SUMIFS('16년3추 일입'!$O$7:$O$602,'16년3추 일입'!$A$7:$A$602,'15년총괄표'!$B14)</f>
        <v>3854402</v>
      </c>
      <c r="F14" s="16">
        <f>SUMIFS('16년 3추일출'!$N$14:$N$703,'16년 3추일출'!$A$14:$A$703,'15년총괄표'!$B14)</f>
        <v>-126594</v>
      </c>
      <c r="G14" s="16">
        <f>SUMIFS('16년 3추일출'!$O$14:$O$703,'16년 3추일출'!$A$14:$A$703,'15년총괄표'!$B14)</f>
        <v>4320157</v>
      </c>
      <c r="H14" s="68">
        <f t="shared" si="1"/>
        <v>446625129</v>
      </c>
      <c r="I14" s="95"/>
      <c r="J14" s="95"/>
      <c r="K14" s="12"/>
      <c r="L14" s="13"/>
      <c r="M14" s="81"/>
      <c r="N14" s="82">
        <f>N10-K7</f>
        <v>0</v>
      </c>
      <c r="O14" s="95"/>
      <c r="P14" s="95"/>
    </row>
    <row r="15" spans="2:16" s="96" customFormat="1" ht="45" customHeight="1">
      <c r="B15" s="84" t="s">
        <v>68</v>
      </c>
      <c r="C15" s="94">
        <v>3621498611</v>
      </c>
      <c r="D15" s="16">
        <f>SUMIFS('16년3추 일입'!$N$7:$N$602,'16년3추 일입'!$A$7:$A$602,'15년총괄표'!$B15)</f>
        <v>-55000</v>
      </c>
      <c r="E15" s="16">
        <f>SUMIFS('16년3추 일입'!$O$7:$O$602,'16년3추 일입'!$A$7:$A$602,'15년총괄표'!$B15)</f>
        <v>26400229</v>
      </c>
      <c r="F15" s="16">
        <f>SUMIFS('16년 3추일출'!$N$14:$N$703,'16년 3추일출'!$A$14:$A$703,'15년총괄표'!$B15)</f>
        <v>-474685</v>
      </c>
      <c r="G15" s="16">
        <f>SUMIFS('16년 3추일출'!$O$14:$O$703,'16년 3추일출'!$A$14:$A$703,'15년총괄표'!$B15)</f>
        <v>33422682</v>
      </c>
      <c r="H15" s="68">
        <f t="shared" si="1"/>
        <v>3654446608</v>
      </c>
      <c r="I15" s="95"/>
      <c r="J15" s="95"/>
      <c r="K15" s="12"/>
      <c r="L15" s="13"/>
      <c r="M15" s="95"/>
      <c r="N15" s="95"/>
      <c r="O15" s="95"/>
      <c r="P15" s="95"/>
    </row>
    <row r="16" spans="2:16" s="96" customFormat="1" ht="45" customHeight="1">
      <c r="B16" s="84" t="s">
        <v>100</v>
      </c>
      <c r="C16" s="94">
        <v>1291490754</v>
      </c>
      <c r="D16" s="16">
        <f>SUMIFS('16년3추 일입'!$N$7:$N$602,'16년3추 일입'!$A$7:$A$602,'15년총괄표'!$B16)</f>
        <v>0</v>
      </c>
      <c r="E16" s="16">
        <f>SUMIFS('16년3추 일입'!$O$7:$O$602,'16년3추 일입'!$A$7:$A$602,'15년총괄표'!$B16)</f>
        <v>800000</v>
      </c>
      <c r="F16" s="16">
        <f>SUMIFS('16년 3추일출'!$N$14:$N$703,'16년 3추일출'!$A$14:$A$703,'15년총괄표'!$B16)</f>
        <v>-4650000</v>
      </c>
      <c r="G16" s="16">
        <f>SUMIFS('16년 3추일출'!$O$14:$O$703,'16년 3추일출'!$A$14:$A$703,'15년총괄표'!$B16)</f>
        <v>4078200</v>
      </c>
      <c r="H16" s="68">
        <f t="shared" si="1"/>
        <v>1290918954</v>
      </c>
      <c r="I16" s="95"/>
      <c r="J16" s="95"/>
      <c r="K16" s="12"/>
      <c r="L16" s="13"/>
      <c r="M16" s="95"/>
      <c r="N16" s="95"/>
      <c r="O16" s="95"/>
      <c r="P16" s="95"/>
    </row>
    <row r="17" spans="2:16" s="100" customFormat="1" ht="45" customHeight="1">
      <c r="B17" s="97" t="s">
        <v>101</v>
      </c>
      <c r="C17" s="98">
        <v>1095793534</v>
      </c>
      <c r="D17" s="16">
        <f>SUMIFS('16년3추 일입'!$N$7:$N$602,'16년3추 일입'!$A$7:$A$602,'15년총괄표'!$B17)</f>
        <v>-413744</v>
      </c>
      <c r="E17" s="16">
        <f>SUMIFS('16년3추 일입'!$O$7:$O$602,'16년3추 일입'!$A$7:$A$602,'15년총괄표'!$B17)</f>
        <v>54000</v>
      </c>
      <c r="F17" s="16">
        <f>SUMIFS('16년 3추일출'!$N$14:$N$703,'16년 3추일출'!$A$14:$A$703,'15년총괄표'!$B17)</f>
        <v>-200000</v>
      </c>
      <c r="G17" s="16">
        <f>SUMIFS('16년 3추일출'!$O$14:$O$703,'16년 3추일출'!$A$14:$A$703,'15년총괄표'!$B17)</f>
        <v>754000</v>
      </c>
      <c r="H17" s="68">
        <f t="shared" si="1"/>
        <v>1096347534</v>
      </c>
      <c r="I17" s="99"/>
      <c r="J17" s="99"/>
      <c r="K17" s="12"/>
      <c r="L17" s="13"/>
      <c r="M17" s="99"/>
      <c r="N17" s="99"/>
      <c r="O17" s="99"/>
      <c r="P17" s="99"/>
    </row>
    <row r="18" spans="2:16" s="96" customFormat="1" ht="45" customHeight="1" thickBot="1">
      <c r="B18" s="101" t="s">
        <v>358</v>
      </c>
      <c r="C18" s="102">
        <v>4094826977</v>
      </c>
      <c r="D18" s="17">
        <f>SUMIFS('16년3추 일입'!$N$7:$N$602,'16년3추 일입'!$A$7:$A$602,'15년총괄표'!$B18)</f>
        <v>-2649</v>
      </c>
      <c r="E18" s="17">
        <f>SUMIFS('16년3추 일입'!$O$7:$O$602,'16년3추 일입'!$A$7:$A$602,'15년총괄표'!$B18)</f>
        <v>19764192</v>
      </c>
      <c r="F18" s="17">
        <f>SUMIFS('16년 3추일출'!$N$14:$N$703,'16년 3추일출'!$A$14:$A$703,'15년총괄표'!$B18)</f>
        <v>-18836967</v>
      </c>
      <c r="G18" s="17">
        <f>SUMIFS('16년 3추일출'!$O$14:$O$703,'16년 3추일출'!$A$14:$A$703,'15년총괄표'!$B18)</f>
        <v>24825987</v>
      </c>
      <c r="H18" s="103">
        <f t="shared" si="1"/>
        <v>4100815997</v>
      </c>
      <c r="I18" s="95"/>
      <c r="J18" s="95"/>
      <c r="K18" s="12"/>
      <c r="L18" s="13"/>
      <c r="M18" s="95"/>
      <c r="N18" s="95"/>
      <c r="O18" s="95"/>
      <c r="P18" s="95"/>
    </row>
    <row r="19" spans="2:16" ht="18" customHeight="1">
      <c r="B19" s="57"/>
      <c r="C19" s="57"/>
      <c r="D19" s="57"/>
      <c r="E19" s="57"/>
      <c r="F19" s="57"/>
      <c r="G19" s="57"/>
      <c r="H19" s="57"/>
      <c r="K19" s="12"/>
      <c r="L19" s="13"/>
    </row>
    <row r="20" spans="2:16" ht="20.25">
      <c r="B20" s="104" t="s">
        <v>44</v>
      </c>
      <c r="C20" s="54"/>
      <c r="D20" s="54"/>
      <c r="E20" s="54"/>
      <c r="F20" s="54"/>
      <c r="G20" s="54"/>
      <c r="H20" s="105"/>
      <c r="K20" s="12"/>
      <c r="L20" s="13"/>
    </row>
    <row r="21" spans="2:16" ht="19.5" thickBot="1">
      <c r="B21" s="56"/>
      <c r="C21" s="57"/>
      <c r="D21" s="57"/>
      <c r="E21" s="57"/>
      <c r="F21" s="57"/>
      <c r="G21" s="57"/>
      <c r="H21" s="58" t="s">
        <v>14</v>
      </c>
    </row>
    <row r="22" spans="2:16" ht="33" customHeight="1">
      <c r="B22" s="528" t="s">
        <v>45</v>
      </c>
      <c r="C22" s="530" t="s">
        <v>46</v>
      </c>
      <c r="D22" s="532" t="s">
        <v>26</v>
      </c>
      <c r="E22" s="533"/>
      <c r="F22" s="532" t="s">
        <v>27</v>
      </c>
      <c r="G22" s="533"/>
      <c r="H22" s="534" t="s">
        <v>28</v>
      </c>
    </row>
    <row r="23" spans="2:16" ht="33" customHeight="1">
      <c r="B23" s="529"/>
      <c r="C23" s="531"/>
      <c r="D23" s="61" t="s">
        <v>34</v>
      </c>
      <c r="E23" s="61" t="s">
        <v>35</v>
      </c>
      <c r="F23" s="61" t="s">
        <v>34</v>
      </c>
      <c r="G23" s="61" t="s">
        <v>35</v>
      </c>
      <c r="H23" s="535"/>
      <c r="I23" s="51" t="s">
        <v>47</v>
      </c>
    </row>
    <row r="24" spans="2:16" ht="45" customHeight="1">
      <c r="B24" s="66" t="s">
        <v>48</v>
      </c>
      <c r="C24" s="67">
        <f t="shared" ref="C24:G24" si="2">SUM(C25:C26)</f>
        <v>17818538715</v>
      </c>
      <c r="D24" s="16">
        <f t="shared" si="2"/>
        <v>-479788</v>
      </c>
      <c r="E24" s="67">
        <f t="shared" si="2"/>
        <v>64721823</v>
      </c>
      <c r="F24" s="16">
        <f t="shared" si="2"/>
        <v>-28681606</v>
      </c>
      <c r="G24" s="67">
        <f t="shared" si="2"/>
        <v>92923641</v>
      </c>
      <c r="H24" s="68">
        <f>SUM(H25:H26)</f>
        <v>17882780750</v>
      </c>
      <c r="I24" s="59">
        <f>C24+D24+E24</f>
        <v>17882780750</v>
      </c>
      <c r="J24" s="59">
        <f>I24-H24</f>
        <v>0</v>
      </c>
      <c r="K24" s="59" t="s">
        <v>49</v>
      </c>
    </row>
    <row r="25" spans="2:16" ht="45" customHeight="1">
      <c r="B25" s="66" t="s">
        <v>15</v>
      </c>
      <c r="C25" s="67">
        <v>14504760931</v>
      </c>
      <c r="D25" s="16">
        <f>'16년3추 일입'!$N$6</f>
        <v>-479788</v>
      </c>
      <c r="E25" s="16">
        <f>'16년3추 일입'!$O$6</f>
        <v>64721823</v>
      </c>
      <c r="F25" s="16">
        <f>'16년 3추일출'!$N$6</f>
        <v>-28681606</v>
      </c>
      <c r="G25" s="16">
        <f>'16년 3추일출'!$O$6</f>
        <v>92923641</v>
      </c>
      <c r="H25" s="68">
        <f>C25+F25+G25</f>
        <v>14569002966</v>
      </c>
      <c r="I25" s="59">
        <f>C25+D25+E25</f>
        <v>14569002966</v>
      </c>
      <c r="J25" s="59">
        <f>I25-H25</f>
        <v>0</v>
      </c>
      <c r="K25" s="59" t="s">
        <v>49</v>
      </c>
    </row>
    <row r="26" spans="2:16" ht="45" customHeight="1" thickBot="1">
      <c r="B26" s="106" t="s">
        <v>50</v>
      </c>
      <c r="C26" s="107">
        <v>3313777784</v>
      </c>
      <c r="D26" s="17"/>
      <c r="E26" s="17"/>
      <c r="F26" s="17"/>
      <c r="G26" s="17"/>
      <c r="H26" s="103">
        <f>C26+F26+G26</f>
        <v>3313777784</v>
      </c>
      <c r="I26" s="59">
        <f>C26+D26+E26</f>
        <v>3313777784</v>
      </c>
      <c r="J26" s="59">
        <f>I26-H26</f>
        <v>0</v>
      </c>
      <c r="K26" s="59" t="s">
        <v>49</v>
      </c>
    </row>
    <row r="27" spans="2:16" ht="9" customHeight="1">
      <c r="B27" s="57"/>
      <c r="C27" s="57"/>
      <c r="D27" s="57"/>
      <c r="E27" s="57"/>
      <c r="F27" s="57"/>
      <c r="G27" s="57"/>
      <c r="H27" s="57"/>
    </row>
    <row r="28" spans="2:16" ht="20.25" hidden="1" customHeight="1"/>
    <row r="29" spans="2:16" ht="20.25" hidden="1" customHeight="1"/>
    <row r="30" spans="2:16" ht="14.25" hidden="1">
      <c r="B30" s="108" t="s">
        <v>16</v>
      </c>
      <c r="C30" s="109" t="s">
        <v>51</v>
      </c>
      <c r="D30" s="110" t="s">
        <v>52</v>
      </c>
      <c r="E30" s="109" t="s">
        <v>53</v>
      </c>
      <c r="G30" s="51"/>
      <c r="H30" s="51"/>
      <c r="O30" s="47"/>
      <c r="P30" s="47"/>
    </row>
    <row r="31" spans="2:16" ht="15" hidden="1">
      <c r="B31" s="111" t="s">
        <v>17</v>
      </c>
      <c r="C31" s="112">
        <v>39922113</v>
      </c>
      <c r="D31" s="113"/>
      <c r="E31" s="113">
        <f>SUM(C31:D31)</f>
        <v>39922113</v>
      </c>
      <c r="G31" s="51"/>
      <c r="H31" s="51"/>
      <c r="O31" s="47"/>
      <c r="P31" s="47"/>
    </row>
    <row r="32" spans="2:16" ht="15" hidden="1">
      <c r="B32" s="111" t="s">
        <v>18</v>
      </c>
      <c r="C32" s="112">
        <v>3302571667</v>
      </c>
      <c r="D32" s="112">
        <v>1780946434</v>
      </c>
      <c r="E32" s="113">
        <f t="shared" ref="E32:E41" si="3">SUM(C32:D32)</f>
        <v>5083518101</v>
      </c>
      <c r="G32" s="51"/>
      <c r="H32" s="51"/>
      <c r="O32" s="47"/>
      <c r="P32" s="47"/>
    </row>
    <row r="33" spans="2:16" ht="15" hidden="1">
      <c r="B33" s="111" t="s">
        <v>9</v>
      </c>
      <c r="C33" s="112">
        <v>155329320</v>
      </c>
      <c r="D33" s="112">
        <v>384743740</v>
      </c>
      <c r="E33" s="113">
        <f t="shared" si="3"/>
        <v>540073060</v>
      </c>
      <c r="G33" s="51"/>
      <c r="H33" s="51"/>
      <c r="O33" s="47"/>
      <c r="P33" s="47"/>
    </row>
    <row r="34" spans="2:16" ht="15" hidden="1">
      <c r="B34" s="114" t="s">
        <v>60</v>
      </c>
      <c r="C34" s="112">
        <v>1142858974</v>
      </c>
      <c r="D34" s="113"/>
      <c r="E34" s="113">
        <f t="shared" si="3"/>
        <v>1142858974</v>
      </c>
      <c r="G34" s="51"/>
      <c r="H34" s="51"/>
      <c r="O34" s="47"/>
      <c r="P34" s="47"/>
    </row>
    <row r="35" spans="2:16" ht="15" hidden="1">
      <c r="B35" s="111" t="s">
        <v>13</v>
      </c>
      <c r="C35" s="112">
        <v>224243208</v>
      </c>
      <c r="D35" s="112">
        <v>52484400</v>
      </c>
      <c r="E35" s="113">
        <f t="shared" si="3"/>
        <v>276727608</v>
      </c>
      <c r="G35" s="51"/>
      <c r="H35" s="51"/>
      <c r="O35" s="47"/>
      <c r="P35" s="47"/>
    </row>
    <row r="36" spans="2:16" ht="15" hidden="1">
      <c r="B36" s="114" t="s">
        <v>92</v>
      </c>
      <c r="C36" s="112">
        <v>466978999</v>
      </c>
      <c r="D36" s="113"/>
      <c r="E36" s="113">
        <f t="shared" si="3"/>
        <v>466978999</v>
      </c>
      <c r="G36" s="51"/>
      <c r="H36" s="51"/>
      <c r="O36" s="47"/>
      <c r="P36" s="47"/>
    </row>
    <row r="37" spans="2:16" ht="15" hidden="1">
      <c r="B37" s="114" t="s">
        <v>93</v>
      </c>
      <c r="C37" s="112">
        <v>3254006708</v>
      </c>
      <c r="D37" s="113"/>
      <c r="E37" s="113">
        <f t="shared" si="3"/>
        <v>3254006708</v>
      </c>
      <c r="G37" s="51"/>
      <c r="H37" s="51"/>
      <c r="O37" s="47"/>
      <c r="P37" s="47"/>
    </row>
    <row r="38" spans="2:16" ht="15" hidden="1">
      <c r="B38" s="111" t="s">
        <v>10</v>
      </c>
      <c r="C38" s="112">
        <v>1220859831</v>
      </c>
      <c r="D38" s="113"/>
      <c r="E38" s="113">
        <f t="shared" si="3"/>
        <v>1220859831</v>
      </c>
      <c r="G38" s="51"/>
      <c r="H38" s="51"/>
      <c r="O38" s="47"/>
      <c r="P38" s="47"/>
    </row>
    <row r="39" spans="2:16" ht="15" hidden="1">
      <c r="B39" s="111" t="s">
        <v>11</v>
      </c>
      <c r="C39" s="112">
        <v>866963933</v>
      </c>
      <c r="D39" s="112">
        <v>28360000</v>
      </c>
      <c r="E39" s="113">
        <f t="shared" si="3"/>
        <v>895323933</v>
      </c>
      <c r="G39" s="51"/>
      <c r="H39" s="51"/>
      <c r="O39" s="47"/>
      <c r="P39" s="47"/>
    </row>
    <row r="40" spans="2:16" ht="15" hidden="1">
      <c r="B40" s="111" t="s">
        <v>12</v>
      </c>
      <c r="C40" s="112">
        <v>4882582917</v>
      </c>
      <c r="D40" s="113"/>
      <c r="E40" s="113">
        <f t="shared" si="3"/>
        <v>4882582917</v>
      </c>
      <c r="G40" s="51"/>
      <c r="H40" s="51"/>
      <c r="O40" s="47"/>
      <c r="P40" s="47"/>
    </row>
    <row r="41" spans="2:16" ht="15" hidden="1">
      <c r="B41" s="111" t="s">
        <v>19</v>
      </c>
      <c r="C41" s="113">
        <f>SUM(C31:C40)</f>
        <v>15556317670</v>
      </c>
      <c r="D41" s="113">
        <f>SUM(D31:D40)</f>
        <v>2246534574</v>
      </c>
      <c r="E41" s="113">
        <f t="shared" si="3"/>
        <v>17802852244</v>
      </c>
      <c r="G41" s="51"/>
      <c r="H41" s="51"/>
      <c r="O41" s="47"/>
      <c r="P41" s="47"/>
    </row>
    <row r="42" spans="2:16" hidden="1"/>
    <row r="43" spans="2:16" hidden="1">
      <c r="B43" s="14" t="s">
        <v>54</v>
      </c>
      <c r="C43" s="15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16" hidden="1"/>
    <row r="50" spans="2:16" hidden="1"/>
    <row r="54" spans="2:16" s="57" customFormat="1">
      <c r="B54" s="538" t="s">
        <v>16</v>
      </c>
      <c r="C54" s="540" t="s">
        <v>382</v>
      </c>
      <c r="D54" s="538" t="s">
        <v>380</v>
      </c>
      <c r="E54" s="538" t="s">
        <v>381</v>
      </c>
      <c r="F54" s="540" t="s">
        <v>53</v>
      </c>
      <c r="I54" s="59"/>
      <c r="J54" s="59"/>
      <c r="K54" s="59"/>
      <c r="L54" s="59"/>
      <c r="M54" s="59"/>
      <c r="N54" s="59"/>
      <c r="O54" s="59"/>
      <c r="P54" s="59"/>
    </row>
    <row r="55" spans="2:16" s="57" customFormat="1">
      <c r="B55" s="539"/>
      <c r="C55" s="541"/>
      <c r="D55" s="539"/>
      <c r="E55" s="539"/>
      <c r="F55" s="541"/>
      <c r="I55" s="59"/>
      <c r="J55" s="59"/>
      <c r="K55" s="59"/>
      <c r="L55" s="59"/>
      <c r="M55" s="59"/>
      <c r="N55" s="59"/>
      <c r="O55" s="59"/>
      <c r="P55" s="59"/>
    </row>
    <row r="56" spans="2:16">
      <c r="B56" s="125" t="s">
        <v>19</v>
      </c>
      <c r="C56" s="126">
        <f>SUM(C57:C66)</f>
        <v>14504760931</v>
      </c>
      <c r="D56" s="126">
        <f>SUM(D57:D66)</f>
        <v>1174065395</v>
      </c>
      <c r="E56" s="126">
        <f>SUM(E57:E66)</f>
        <v>2139712389</v>
      </c>
      <c r="F56" s="126">
        <f>SUM(C56:E56)</f>
        <v>17818538715</v>
      </c>
    </row>
    <row r="57" spans="2:16">
      <c r="B57" s="127" t="s">
        <v>17</v>
      </c>
      <c r="C57" s="128">
        <v>43594098</v>
      </c>
      <c r="D57" s="128"/>
      <c r="E57" s="128"/>
      <c r="F57" s="126">
        <f t="shared" ref="F57:F66" si="4">SUM(C57:E57)</f>
        <v>43594098</v>
      </c>
    </row>
    <row r="58" spans="2:16">
      <c r="B58" s="127" t="s">
        <v>18</v>
      </c>
      <c r="C58" s="128">
        <v>3440363748</v>
      </c>
      <c r="D58" s="128">
        <v>24291000</v>
      </c>
      <c r="E58" s="128">
        <v>1741536684</v>
      </c>
      <c r="F58" s="126">
        <f t="shared" si="4"/>
        <v>5206191432</v>
      </c>
    </row>
    <row r="59" spans="2:16">
      <c r="B59" s="127" t="s">
        <v>9</v>
      </c>
      <c r="C59" s="128">
        <v>203612581</v>
      </c>
      <c r="D59" s="128"/>
      <c r="E59" s="128">
        <v>302551270</v>
      </c>
      <c r="F59" s="126">
        <f t="shared" si="4"/>
        <v>506163851</v>
      </c>
    </row>
    <row r="60" spans="2:16">
      <c r="B60" s="127" t="s">
        <v>384</v>
      </c>
      <c r="C60" s="128">
        <v>1207474631</v>
      </c>
      <c r="D60" s="128"/>
      <c r="E60" s="128"/>
      <c r="F60" s="126">
        <f t="shared" si="4"/>
        <v>1207474631</v>
      </c>
    </row>
    <row r="61" spans="2:16">
      <c r="B61" s="127" t="s">
        <v>13</v>
      </c>
      <c r="C61" s="128">
        <v>246448826</v>
      </c>
      <c r="D61" s="128"/>
      <c r="E61" s="128">
        <v>62624435</v>
      </c>
      <c r="F61" s="126">
        <f t="shared" si="4"/>
        <v>309073261</v>
      </c>
    </row>
    <row r="62" spans="2:16">
      <c r="B62" s="127" t="s">
        <v>63</v>
      </c>
      <c r="C62" s="128">
        <v>442431566</v>
      </c>
      <c r="D62" s="128"/>
      <c r="E62" s="128"/>
      <c r="F62" s="126">
        <f t="shared" si="4"/>
        <v>442431566</v>
      </c>
    </row>
    <row r="63" spans="2:16">
      <c r="B63" s="127" t="s">
        <v>321</v>
      </c>
      <c r="C63" s="128">
        <v>2784804193</v>
      </c>
      <c r="D63" s="128">
        <v>836694418</v>
      </c>
      <c r="E63" s="128"/>
      <c r="F63" s="126">
        <f t="shared" si="4"/>
        <v>3621498611</v>
      </c>
    </row>
    <row r="64" spans="2:16">
      <c r="B64" s="127" t="s">
        <v>10</v>
      </c>
      <c r="C64" s="128">
        <v>1163747689</v>
      </c>
      <c r="D64" s="128">
        <f>125570000+2173065</f>
        <v>127743065</v>
      </c>
      <c r="E64" s="128"/>
      <c r="F64" s="126">
        <f t="shared" si="4"/>
        <v>1291490754</v>
      </c>
    </row>
    <row r="65" spans="2:6">
      <c r="B65" s="127" t="s">
        <v>11</v>
      </c>
      <c r="C65" s="128">
        <v>1043870622</v>
      </c>
      <c r="D65" s="129">
        <f>4191000+14731912</f>
        <v>18922912</v>
      </c>
      <c r="E65" s="129">
        <v>33000000</v>
      </c>
      <c r="F65" s="126">
        <f t="shared" si="4"/>
        <v>1095793534</v>
      </c>
    </row>
    <row r="66" spans="2:6">
      <c r="B66" s="130" t="s">
        <v>322</v>
      </c>
      <c r="C66" s="128">
        <v>3928412977</v>
      </c>
      <c r="D66" s="128">
        <v>166414000</v>
      </c>
      <c r="E66" s="128"/>
      <c r="F66" s="126">
        <f t="shared" si="4"/>
        <v>4094826977</v>
      </c>
    </row>
    <row r="145" spans="9:9" ht="24">
      <c r="I145" s="91" t="s">
        <v>55</v>
      </c>
    </row>
    <row r="275" spans="9:11">
      <c r="I275" s="115"/>
      <c r="K275" s="51">
        <v>-50000</v>
      </c>
    </row>
  </sheetData>
  <mergeCells count="22">
    <mergeCell ref="B54:B55"/>
    <mergeCell ref="C54:C55"/>
    <mergeCell ref="D54:D55"/>
    <mergeCell ref="E54:E55"/>
    <mergeCell ref="F54:F55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S21" sqref="S21"/>
    </sheetView>
  </sheetViews>
  <sheetFormatPr defaultRowHeight="13.5"/>
  <cols>
    <col min="1" max="1" width="1" style="47" customWidth="1"/>
    <col min="2" max="2" width="22" style="47" customWidth="1"/>
    <col min="3" max="3" width="17.875" style="47" customWidth="1"/>
    <col min="4" max="4" width="14.75" style="47" customWidth="1"/>
    <col min="5" max="5" width="15.25" style="47" customWidth="1"/>
    <col min="6" max="6" width="14.25" style="47" customWidth="1"/>
    <col min="7" max="7" width="13.5" style="47" customWidth="1"/>
    <col min="8" max="8" width="17.25" style="47" customWidth="1"/>
    <col min="9" max="9" width="17.125" style="51" hidden="1" customWidth="1"/>
    <col min="10" max="10" width="16" style="51" hidden="1" customWidth="1"/>
    <col min="11" max="11" width="14.625" style="51" hidden="1" customWidth="1"/>
    <col min="12" max="12" width="21.75" style="51" hidden="1" customWidth="1"/>
    <col min="13" max="14" width="14.75" style="51" hidden="1" customWidth="1"/>
    <col min="15" max="15" width="12.25" style="51" hidden="1" customWidth="1"/>
    <col min="16" max="16" width="13.375" style="51" hidden="1" customWidth="1"/>
    <col min="17" max="16384" width="9" style="47"/>
  </cols>
  <sheetData>
    <row r="1" spans="2:16" ht="33" customHeight="1">
      <c r="B1" s="509" t="s">
        <v>367</v>
      </c>
      <c r="C1" s="510"/>
      <c r="D1" s="510"/>
      <c r="E1" s="510"/>
      <c r="F1" s="510"/>
      <c r="G1" s="510"/>
      <c r="H1" s="510"/>
    </row>
    <row r="2" spans="2:16" ht="12.75" customHeight="1">
      <c r="B2" s="52"/>
      <c r="C2" s="53"/>
      <c r="D2" s="53"/>
      <c r="E2" s="53"/>
      <c r="F2" s="53"/>
      <c r="G2" s="53"/>
      <c r="H2" s="53"/>
    </row>
    <row r="3" spans="2:16" ht="23.25" customHeight="1">
      <c r="B3" s="54" t="s">
        <v>112</v>
      </c>
      <c r="C3" s="55"/>
      <c r="D3" s="116"/>
      <c r="E3" s="44">
        <f>SUM(D7:E7)</f>
        <v>64242035</v>
      </c>
      <c r="F3" s="44"/>
      <c r="G3" s="44">
        <f>SUM(F7:G7)</f>
        <v>64312035</v>
      </c>
    </row>
    <row r="4" spans="2:16" s="57" customFormat="1" ht="18" customHeight="1" thickBot="1">
      <c r="B4" s="56"/>
      <c r="H4" s="58" t="s">
        <v>21</v>
      </c>
      <c r="I4" s="59"/>
      <c r="J4" s="59"/>
      <c r="K4" s="59"/>
      <c r="L4" s="59"/>
      <c r="M4" s="60" t="s">
        <v>22</v>
      </c>
      <c r="N4" s="59"/>
      <c r="O4" s="60" t="s">
        <v>23</v>
      </c>
      <c r="P4" s="60"/>
    </row>
    <row r="5" spans="2:16" ht="24" customHeight="1">
      <c r="B5" s="511" t="s">
        <v>24</v>
      </c>
      <c r="C5" s="513" t="s">
        <v>25</v>
      </c>
      <c r="D5" s="515" t="s">
        <v>26</v>
      </c>
      <c r="E5" s="515"/>
      <c r="F5" s="515" t="s">
        <v>27</v>
      </c>
      <c r="G5" s="515"/>
      <c r="H5" s="516" t="s">
        <v>28</v>
      </c>
      <c r="I5" s="522" t="s">
        <v>29</v>
      </c>
      <c r="J5" s="522"/>
      <c r="K5" s="518" t="s">
        <v>30</v>
      </c>
      <c r="L5" s="520" t="s">
        <v>31</v>
      </c>
      <c r="M5" s="522" t="s">
        <v>32</v>
      </c>
      <c r="N5" s="523"/>
      <c r="O5" s="524" t="s">
        <v>33</v>
      </c>
      <c r="P5" s="525"/>
    </row>
    <row r="6" spans="2:16" ht="24" customHeight="1">
      <c r="B6" s="512"/>
      <c r="C6" s="514"/>
      <c r="D6" s="61" t="s">
        <v>34</v>
      </c>
      <c r="E6" s="61" t="s">
        <v>35</v>
      </c>
      <c r="F6" s="61" t="s">
        <v>34</v>
      </c>
      <c r="G6" s="61" t="s">
        <v>35</v>
      </c>
      <c r="H6" s="517"/>
      <c r="I6" s="62" t="s">
        <v>36</v>
      </c>
      <c r="J6" s="63" t="s">
        <v>37</v>
      </c>
      <c r="K6" s="519"/>
      <c r="L6" s="521"/>
      <c r="M6" s="64" t="s">
        <v>36</v>
      </c>
      <c r="N6" s="65" t="s">
        <v>37</v>
      </c>
      <c r="O6" s="526"/>
      <c r="P6" s="527"/>
    </row>
    <row r="7" spans="2:16" ht="30.75" customHeight="1" thickBot="1">
      <c r="B7" s="66" t="s">
        <v>38</v>
      </c>
      <c r="C7" s="67">
        <f t="shared" ref="C7:H7" si="0">SUM(C8:C33)</f>
        <v>17818538715</v>
      </c>
      <c r="D7" s="16">
        <f t="shared" si="0"/>
        <v>-479788</v>
      </c>
      <c r="E7" s="16">
        <f t="shared" si="0"/>
        <v>64721823</v>
      </c>
      <c r="F7" s="16">
        <f t="shared" si="0"/>
        <v>-28611606</v>
      </c>
      <c r="G7" s="16">
        <f t="shared" si="0"/>
        <v>92923641</v>
      </c>
      <c r="H7" s="68">
        <f t="shared" si="0"/>
        <v>17882850750</v>
      </c>
      <c r="I7" s="69" t="e">
        <f>#REF!+#REF!</f>
        <v>#REF!</v>
      </c>
      <c r="J7" s="70" t="e">
        <f>#REF!+#REF!</f>
        <v>#REF!</v>
      </c>
      <c r="K7" s="71" t="e">
        <f>I7-J7</f>
        <v>#REF!</v>
      </c>
      <c r="L7" s="72" t="s">
        <v>39</v>
      </c>
      <c r="M7" s="73" t="e">
        <f>#REF!+#REF!</f>
        <v>#REF!</v>
      </c>
      <c r="N7" s="74" t="e">
        <f>#REF!+#REF!</f>
        <v>#REF!</v>
      </c>
      <c r="O7" s="75">
        <v>0</v>
      </c>
      <c r="P7" s="75">
        <v>0</v>
      </c>
    </row>
    <row r="8" spans="2:16" ht="30.75" customHeight="1">
      <c r="B8" s="84" t="s">
        <v>110</v>
      </c>
      <c r="C8" s="85">
        <v>1230140</v>
      </c>
      <c r="D8" s="16">
        <f>SUMIFS('16년3추 일입'!$N$7:$N$602,'16년3추 일입'!$B$7:$B$602,'15년총괄표(실국별)'!$B8)</f>
        <v>0</v>
      </c>
      <c r="E8" s="16">
        <f>SUMIFS('16년3추 일입'!$O$7:$O$602,'16년3추 일입'!$B$7:$B$602,'15년총괄표(실국별)'!$B8)</f>
        <v>0</v>
      </c>
      <c r="F8" s="16">
        <f>SUMIFS('16년 3추일출'!$N$14:$N$703,'16년 3추일출'!$B$14:$B$703,'15년총괄표(실국별)'!$B8)</f>
        <v>-3360</v>
      </c>
      <c r="G8" s="16">
        <f>SUMIFS('16년 3추일출'!$O$14:$O$703,'16년 3추일출'!$B$14:$B$703,'15년총괄표(실국별)'!$B8)</f>
        <v>0</v>
      </c>
      <c r="H8" s="68">
        <f>C8+F8+G8</f>
        <v>1226780</v>
      </c>
      <c r="I8" s="536" t="s">
        <v>41</v>
      </c>
      <c r="J8" s="537"/>
      <c r="K8" s="59"/>
      <c r="N8" s="86" t="s">
        <v>42</v>
      </c>
    </row>
    <row r="9" spans="2:16" ht="30.75" customHeight="1" thickBot="1">
      <c r="B9" s="84" t="s">
        <v>102</v>
      </c>
      <c r="C9" s="67">
        <v>4995050831</v>
      </c>
      <c r="D9" s="16">
        <f>SUMIFS('16년3추 일입'!$N$7:$N$602,'16년3추 일입'!$B$7:$B$602,'15년총괄표(실국별)'!$B9)</f>
        <v>0</v>
      </c>
      <c r="E9" s="16">
        <f>SUMIFS('16년3추 일입'!$O$7:$O$602,'16년3추 일입'!$B$7:$B$602,'15년총괄표(실국별)'!$B9)</f>
        <v>13772000</v>
      </c>
      <c r="F9" s="16">
        <f>SUMIFS('16년 3추일출'!$N$14:$N$703,'16년 3추일출'!$B$14:$B$703,'15년총괄표(실국별)'!$B9)</f>
        <v>-50000</v>
      </c>
      <c r="G9" s="16">
        <f>SUMIFS('16년 3추일출'!$O$14:$O$703,'16년 3추일출'!$B$14:$B$703,'15년총괄표(실국별)'!$B9)</f>
        <v>21730772</v>
      </c>
      <c r="H9" s="68">
        <f t="shared" ref="H9:H33" si="1">C9+F9+G9</f>
        <v>5016731603</v>
      </c>
      <c r="I9" s="87" t="e">
        <f>#REF!+#REF!</f>
        <v>#REF!</v>
      </c>
      <c r="J9" s="88" t="e">
        <f>#REF!+#REF!</f>
        <v>#REF!</v>
      </c>
      <c r="K9" s="59"/>
      <c r="N9" s="89" t="e">
        <f>#REF!-#REF!</f>
        <v>#REF!</v>
      </c>
    </row>
    <row r="10" spans="2:16" ht="30.75" customHeight="1" thickBot="1">
      <c r="B10" s="84" t="s">
        <v>103</v>
      </c>
      <c r="C10" s="67">
        <v>350475445</v>
      </c>
      <c r="D10" s="16">
        <f>SUMIFS('16년3추 일입'!$N$7:$N$602,'16년3추 일입'!$B$7:$B$602,'15년총괄표(실국별)'!$B10)</f>
        <v>0</v>
      </c>
      <c r="E10" s="16">
        <f>SUMIFS('16년3추 일입'!$O$7:$O$602,'16년3추 일입'!$B$7:$B$602,'15년총괄표(실국별)'!$B10)</f>
        <v>0</v>
      </c>
      <c r="F10" s="16">
        <f>SUMIFS('16년 3추일출'!$N$14:$N$703,'16년 3추일출'!$B$14:$B$703,'15년총괄표(실국별)'!$B10)</f>
        <v>0</v>
      </c>
      <c r="G10" s="16">
        <f>SUMIFS('16년 3추일출'!$O$14:$O$703,'16년 3추일출'!$B$14:$B$703,'15년총괄표(실국별)'!$B10)</f>
        <v>0</v>
      </c>
      <c r="H10" s="68">
        <f t="shared" si="1"/>
        <v>350475445</v>
      </c>
      <c r="I10" s="87" t="e">
        <f>#REF!+#REF!</f>
        <v>#REF!</v>
      </c>
      <c r="J10" s="88" t="e">
        <f>#REF!+#REF!</f>
        <v>#REF!</v>
      </c>
      <c r="K10" s="59"/>
      <c r="N10" s="89" t="e">
        <f>#REF!-#REF!</f>
        <v>#REF!</v>
      </c>
    </row>
    <row r="11" spans="2:16" ht="30.75" customHeight="1">
      <c r="B11" s="84" t="s">
        <v>104</v>
      </c>
      <c r="C11" s="67">
        <v>489102362</v>
      </c>
      <c r="D11" s="16">
        <f>SUMIFS('16년3추 일입'!$N$7:$N$602,'16년3추 일입'!$B$7:$B$602,'15년총괄표(실국별)'!$B11)</f>
        <v>0</v>
      </c>
      <c r="E11" s="16">
        <f>SUMIFS('16년3추 일입'!$O$7:$O$602,'16년3추 일입'!$B$7:$B$602,'15년총괄표(실국별)'!$B11)</f>
        <v>0</v>
      </c>
      <c r="F11" s="16">
        <f>SUMIFS('16년 3추일출'!$N$14:$N$703,'16년 3추일출'!$B$14:$B$703,'15년총괄표(실국별)'!$B11)</f>
        <v>0</v>
      </c>
      <c r="G11" s="16">
        <f>SUMIFS('16년 3추일출'!$O$14:$O$703,'16년 3추일출'!$B$14:$B$703,'15년총괄표(실국별)'!$B11)</f>
        <v>574843</v>
      </c>
      <c r="H11" s="68">
        <f t="shared" si="1"/>
        <v>489677205</v>
      </c>
      <c r="J11" s="90"/>
      <c r="K11" s="91"/>
    </row>
    <row r="12" spans="2:16" ht="30.75" customHeight="1">
      <c r="B12" s="84" t="s">
        <v>161</v>
      </c>
      <c r="C12" s="67">
        <v>2124399774</v>
      </c>
      <c r="D12" s="16">
        <f>SUMIFS('16년3추 일입'!$N$7:$N$602,'16년3추 일입'!$B$7:$B$602,'15년총괄표(실국별)'!$B12)</f>
        <v>0</v>
      </c>
      <c r="E12" s="16">
        <f>SUMIFS('16년3추 일입'!$O$7:$O$602,'16년3추 일입'!$B$7:$B$602,'15년총괄표(실국별)'!$B12)</f>
        <v>0</v>
      </c>
      <c r="F12" s="16">
        <f>SUMIFS('16년 3추일출'!$N$14:$N$703,'16년 3추일출'!$B$14:$B$703,'15년총괄표(실국별)'!$B12)</f>
        <v>-18800000</v>
      </c>
      <c r="G12" s="16">
        <f>SUMIFS('16년 3추일출'!$O$14:$O$703,'16년 3추일출'!$B$14:$B$703,'15년총괄표(실국별)'!$B12)</f>
        <v>0</v>
      </c>
      <c r="H12" s="68">
        <f t="shared" si="1"/>
        <v>2105599774</v>
      </c>
      <c r="J12" s="92"/>
      <c r="L12" s="93"/>
      <c r="M12" s="93"/>
    </row>
    <row r="13" spans="2:16" ht="30.75" customHeight="1">
      <c r="B13" s="84" t="s">
        <v>105</v>
      </c>
      <c r="C13" s="67">
        <v>309073261</v>
      </c>
      <c r="D13" s="16">
        <f>SUMIFS('16년3추 일입'!$N$7:$N$602,'16년3추 일입'!$B$7:$B$602,'15년총괄표(실국별)'!$B13)</f>
        <v>0</v>
      </c>
      <c r="E13" s="16">
        <f>SUMIFS('16년3추 일입'!$O$7:$O$602,'16년3추 일입'!$B$7:$B$602,'15년총괄표(실국별)'!$B13)</f>
        <v>0</v>
      </c>
      <c r="F13" s="16">
        <f>SUMIFS('16년 3추일출'!$N$14:$N$703,'16년 3추일출'!$B$14:$B$703,'15년총괄표(실국별)'!$B13)</f>
        <v>0</v>
      </c>
      <c r="G13" s="16">
        <f>SUMIFS('16년 3추일출'!$O$14:$O$703,'16년 3추일출'!$B$14:$B$703,'15년총괄표(실국별)'!$B13)</f>
        <v>240000</v>
      </c>
      <c r="H13" s="68">
        <f t="shared" si="1"/>
        <v>309313261</v>
      </c>
      <c r="K13" s="12"/>
      <c r="L13" s="13"/>
      <c r="N13" s="51" t="s">
        <v>43</v>
      </c>
    </row>
    <row r="14" spans="2:16" s="96" customFormat="1" ht="30.75" customHeight="1">
      <c r="B14" s="84" t="s">
        <v>64</v>
      </c>
      <c r="C14" s="94">
        <v>255604029</v>
      </c>
      <c r="D14" s="16">
        <f>SUMIFS('16년3추 일입'!$N$7:$N$602,'16년3추 일입'!$B$7:$B$602,'15년총괄표(실국별)'!$B14)</f>
        <v>0</v>
      </c>
      <c r="E14" s="16">
        <f>SUMIFS('16년3추 일입'!$O$7:$O$602,'16년3추 일입'!$B$7:$B$602,'15년총괄표(실국별)'!$B14)</f>
        <v>1500000</v>
      </c>
      <c r="F14" s="16">
        <f>SUMIFS('16년 3추일출'!$N$14:$N$703,'16년 3추일출'!$B$14:$B$703,'15년총괄표(실국별)'!$B14)</f>
        <v>-100000</v>
      </c>
      <c r="G14" s="16">
        <f>SUMIFS('16년 3추일출'!$O$14:$O$703,'16년 3추일출'!$B$14:$B$703,'15년총괄표(실국별)'!$B14)</f>
        <v>1600000</v>
      </c>
      <c r="H14" s="68">
        <f t="shared" si="1"/>
        <v>257104029</v>
      </c>
      <c r="I14" s="95"/>
      <c r="J14" s="95"/>
      <c r="K14" s="12"/>
      <c r="L14" s="13"/>
      <c r="M14" s="81"/>
      <c r="N14" s="82" t="e">
        <f>N10-#REF!</f>
        <v>#REF!</v>
      </c>
      <c r="O14" s="95"/>
      <c r="P14" s="95"/>
    </row>
    <row r="15" spans="2:16" s="96" customFormat="1" ht="30.75" customHeight="1">
      <c r="B15" s="84" t="s">
        <v>190</v>
      </c>
      <c r="C15" s="94">
        <v>205393587</v>
      </c>
      <c r="D15" s="16">
        <f>SUMIFS('16년3추 일입'!$N$7:$N$602,'16년3추 일입'!$B$7:$B$602,'15년총괄표(실국별)'!$B15)</f>
        <v>0</v>
      </c>
      <c r="E15" s="16">
        <f>SUMIFS('16년3추 일입'!$O$7:$O$602,'16년3추 일입'!$B$7:$B$602,'15년총괄표(실국별)'!$B15)</f>
        <v>0</v>
      </c>
      <c r="F15" s="16">
        <f>SUMIFS('16년 3추일출'!$N$14:$N$703,'16년 3추일출'!$B$14:$B$703,'15년총괄표(실국별)'!$B15)</f>
        <v>0</v>
      </c>
      <c r="G15" s="16">
        <f>SUMIFS('16년 3추일출'!$O$14:$O$703,'16년 3추일출'!$B$14:$B$703,'15년총괄표(실국별)'!$B15)</f>
        <v>0</v>
      </c>
      <c r="H15" s="68">
        <f t="shared" si="1"/>
        <v>205393587</v>
      </c>
      <c r="I15" s="95"/>
      <c r="J15" s="95"/>
      <c r="K15" s="12"/>
      <c r="L15" s="13"/>
      <c r="M15" s="95"/>
      <c r="N15" s="95"/>
      <c r="O15" s="95"/>
      <c r="P15" s="95"/>
    </row>
    <row r="16" spans="2:16" s="96" customFormat="1" ht="30.75" customHeight="1">
      <c r="B16" s="84" t="s">
        <v>197</v>
      </c>
      <c r="C16" s="94">
        <v>694104955</v>
      </c>
      <c r="D16" s="16">
        <f>SUMIFS('16년3추 일입'!$N$7:$N$602,'16년3추 일입'!$B$7:$B$602,'15년총괄표(실국별)'!$B16)</f>
        <v>-4236</v>
      </c>
      <c r="E16" s="16">
        <f>SUMIFS('16년3추 일입'!$O$7:$O$602,'16년3추 일입'!$B$7:$B$602,'15년총괄표(실국별)'!$B16)</f>
        <v>77000</v>
      </c>
      <c r="F16" s="16">
        <f>SUMIFS('16년 3추일출'!$N$14:$N$703,'16년 3추일출'!$B$14:$B$703,'15년총괄표(실국별)'!$B16)</f>
        <v>-250000</v>
      </c>
      <c r="G16" s="16">
        <f>SUMIFS('16년 3추일출'!$O$14:$O$703,'16년 3추일출'!$B$14:$B$703,'15년총괄표(실국별)'!$B16)</f>
        <v>327000</v>
      </c>
      <c r="H16" s="68">
        <f t="shared" si="1"/>
        <v>694181955</v>
      </c>
      <c r="I16" s="95"/>
      <c r="J16" s="95"/>
      <c r="K16" s="12"/>
      <c r="L16" s="13"/>
      <c r="M16" s="95"/>
      <c r="N16" s="95"/>
      <c r="O16" s="95"/>
      <c r="P16" s="95"/>
    </row>
    <row r="17" spans="2:16" s="100" customFormat="1" ht="30.75" customHeight="1">
      <c r="B17" s="97" t="s">
        <v>61</v>
      </c>
      <c r="C17" s="98">
        <v>30412373</v>
      </c>
      <c r="D17" s="16">
        <f>SUMIFS('16년3추 일입'!$N$7:$N$602,'16년3추 일입'!$B$7:$B$602,'15년총괄표(실국별)'!$B17)</f>
        <v>0</v>
      </c>
      <c r="E17" s="16">
        <f>SUMIFS('16년3추 일입'!$O$7:$O$602,'16년3추 일입'!$B$7:$B$602,'15년총괄표(실국별)'!$B17)</f>
        <v>0</v>
      </c>
      <c r="F17" s="16">
        <f>SUMIFS('16년 3추일출'!$N$14:$N$703,'16년 3추일출'!$B$14:$B$703,'15년총괄표(실국별)'!$B17)</f>
        <v>0</v>
      </c>
      <c r="G17" s="16">
        <f>SUMIFS('16년 3추일출'!$O$14:$O$703,'16년 3추일출'!$B$14:$B$703,'15년총괄표(실국별)'!$B17)</f>
        <v>0</v>
      </c>
      <c r="H17" s="68">
        <f t="shared" si="1"/>
        <v>30412373</v>
      </c>
      <c r="I17" s="99"/>
      <c r="J17" s="99"/>
      <c r="K17" s="12"/>
      <c r="L17" s="13"/>
      <c r="M17" s="99"/>
      <c r="N17" s="99"/>
      <c r="O17" s="99"/>
      <c r="P17" s="99"/>
    </row>
    <row r="18" spans="2:16" ht="30.75" customHeight="1" thickBot="1">
      <c r="B18" s="84" t="s">
        <v>111</v>
      </c>
      <c r="C18" s="67">
        <v>12731214</v>
      </c>
      <c r="D18" s="16">
        <f>SUMIFS('16년3추 일입'!$N$7:$N$602,'16년3추 일입'!$B$7:$B$602,'15년총괄표(실국별)'!$B18)</f>
        <v>0</v>
      </c>
      <c r="E18" s="16">
        <f>SUMIFS('16년3추 일입'!$O$7:$O$602,'16년3추 일입'!$B$7:$B$602,'15년총괄표(실국별)'!$B18)</f>
        <v>0</v>
      </c>
      <c r="F18" s="16">
        <f>SUMIFS('16년 3추일출'!$N$14:$N$703,'16년 3추일출'!$B$14:$B$703,'15년총괄표(실국별)'!$B18)</f>
        <v>0</v>
      </c>
      <c r="G18" s="16">
        <f>SUMIFS('16년 3추일출'!$O$14:$O$703,'16년 3추일출'!$B$14:$B$703,'15년총괄표(실국별)'!$B18)</f>
        <v>0</v>
      </c>
      <c r="H18" s="68">
        <f t="shared" si="1"/>
        <v>12731214</v>
      </c>
      <c r="I18" s="87" t="e">
        <f>#REF!+#REF!</f>
        <v>#REF!</v>
      </c>
      <c r="J18" s="88" t="e">
        <f>#REF!+#REF!</f>
        <v>#REF!</v>
      </c>
      <c r="K18" s="59"/>
      <c r="N18" s="89" t="e">
        <f>#REF!-#REF!</f>
        <v>#REF!</v>
      </c>
    </row>
    <row r="19" spans="2:16" ht="30.75" customHeight="1">
      <c r="B19" s="84" t="s">
        <v>109</v>
      </c>
      <c r="C19" s="67">
        <v>450511</v>
      </c>
      <c r="D19" s="16">
        <f>SUMIFS('16년3추 일입'!$N$7:$N$602,'16년3추 일입'!$B$7:$B$602,'15년총괄표(실국별)'!$B19)</f>
        <v>0</v>
      </c>
      <c r="E19" s="16">
        <f>SUMIFS('16년3추 일입'!$O$7:$O$602,'16년3추 일입'!$B$7:$B$602,'15년총괄표(실국별)'!$B19)</f>
        <v>0</v>
      </c>
      <c r="F19" s="16">
        <f>SUMIFS('16년 3추일출'!$N$14:$N$703,'16년 3추일출'!$B$14:$B$703,'15년총괄표(실국별)'!$B19)</f>
        <v>0</v>
      </c>
      <c r="G19" s="16">
        <f>SUMIFS('16년 3추일출'!$O$14:$O$703,'16년 3추일출'!$B$14:$B$703,'15년총괄표(실국별)'!$B19)</f>
        <v>0</v>
      </c>
      <c r="H19" s="68">
        <f t="shared" si="1"/>
        <v>450511</v>
      </c>
      <c r="J19" s="90"/>
      <c r="K19" s="91"/>
    </row>
    <row r="20" spans="2:16" ht="30.75" customHeight="1">
      <c r="B20" s="84" t="s">
        <v>106</v>
      </c>
      <c r="C20" s="67">
        <v>2803637639</v>
      </c>
      <c r="D20" s="16">
        <f>SUMIFS('16년3추 일입'!$N$7:$N$602,'16년3추 일입'!$B$7:$B$602,'15년총괄표(실국별)'!$B20)</f>
        <v>-55000</v>
      </c>
      <c r="E20" s="16">
        <f>SUMIFS('16년3추 일입'!$O$7:$O$602,'16년3추 일입'!$B$7:$B$602,'15년총괄표(실국별)'!$B20)</f>
        <v>26400229</v>
      </c>
      <c r="F20" s="16">
        <f>SUMIFS('16년 3추일출'!$N$14:$N$703,'16년 3추일출'!$B$14:$B$703,'15년총괄표(실국별)'!$B20)</f>
        <v>-456535</v>
      </c>
      <c r="G20" s="16">
        <f>SUMIFS('16년 3추일출'!$O$14:$O$703,'16년 3추일출'!$B$14:$B$703,'15년총괄표(실국별)'!$B20)</f>
        <v>25705722</v>
      </c>
      <c r="H20" s="68">
        <f t="shared" si="1"/>
        <v>2828886826</v>
      </c>
      <c r="J20" s="92"/>
      <c r="L20" s="93"/>
      <c r="M20" s="93"/>
    </row>
    <row r="21" spans="2:16" ht="30.75" customHeight="1">
      <c r="B21" s="84" t="s">
        <v>107</v>
      </c>
      <c r="C21" s="67">
        <v>96522924</v>
      </c>
      <c r="D21" s="16">
        <f>SUMIFS('16년3추 일입'!$N$7:$N$602,'16년3추 일입'!$B$7:$B$602,'15년총괄표(실국별)'!$B21)</f>
        <v>0</v>
      </c>
      <c r="E21" s="16">
        <f>SUMIFS('16년3추 일입'!$O$7:$O$602,'16년3추 일입'!$B$7:$B$602,'15년총괄표(실국별)'!$B21)</f>
        <v>54000</v>
      </c>
      <c r="F21" s="16">
        <f>SUMIFS('16년 3추일출'!$N$14:$N$703,'16년 3추일출'!$B$14:$B$703,'15년총괄표(실국별)'!$B21)</f>
        <v>-200000</v>
      </c>
      <c r="G21" s="16">
        <f>SUMIFS('16년 3추일출'!$O$14:$O$703,'16년 3추일출'!$B$14:$B$703,'15년총괄표(실국별)'!$B21)</f>
        <v>254000</v>
      </c>
      <c r="H21" s="68">
        <f t="shared" si="1"/>
        <v>96576924</v>
      </c>
      <c r="K21" s="12"/>
      <c r="L21" s="13"/>
      <c r="N21" s="51" t="s">
        <v>43</v>
      </c>
    </row>
    <row r="22" spans="2:16" s="96" customFormat="1" ht="30.75" customHeight="1">
      <c r="B22" s="84" t="s">
        <v>108</v>
      </c>
      <c r="C22" s="94">
        <v>1454395771</v>
      </c>
      <c r="D22" s="16">
        <f>SUMIFS('16년3추 일입'!$N$7:$N$602,'16년3추 일입'!$B$7:$B$602,'15년총괄표(실국별)'!$B22)</f>
        <v>-2649</v>
      </c>
      <c r="E22" s="16">
        <f>SUMIFS('16년3추 일입'!$O$7:$O$602,'16년3추 일입'!$B$7:$B$602,'15년총괄표(실국별)'!$B22)</f>
        <v>19764192</v>
      </c>
      <c r="F22" s="16">
        <f>SUMIFS('16년 3추일출'!$N$14:$N$703,'16년 3추일출'!$B$14:$B$703,'15년총괄표(실국별)'!$B22)</f>
        <v>-33217</v>
      </c>
      <c r="G22" s="16">
        <f>SUMIFS('16년 3추일출'!$O$14:$O$703,'16년 3추일출'!$B$14:$B$703,'15년총괄표(실국별)'!$B22)</f>
        <v>18284469</v>
      </c>
      <c r="H22" s="68">
        <f t="shared" si="1"/>
        <v>1472647023</v>
      </c>
      <c r="I22" s="95"/>
      <c r="J22" s="95"/>
      <c r="K22" s="12"/>
      <c r="L22" s="13"/>
      <c r="M22" s="81"/>
      <c r="N22" s="82" t="e">
        <f>N18-#REF!</f>
        <v>#REF!</v>
      </c>
      <c r="O22" s="95"/>
      <c r="P22" s="95"/>
    </row>
    <row r="23" spans="2:16" s="96" customFormat="1" ht="30.75" customHeight="1">
      <c r="B23" s="84" t="s">
        <v>312</v>
      </c>
      <c r="C23" s="94">
        <v>35645539</v>
      </c>
      <c r="D23" s="16">
        <f>SUMIFS('16년3추 일입'!$N$7:$N$602,'16년3추 일입'!$B$7:$B$602,'15년총괄표(실국별)'!$B23)</f>
        <v>0</v>
      </c>
      <c r="E23" s="16">
        <f>SUMIFS('16년3추 일입'!$O$7:$O$602,'16년3추 일입'!$B$7:$B$602,'15년총괄표(실국별)'!$B23)</f>
        <v>0</v>
      </c>
      <c r="F23" s="16">
        <f>SUMIFS('16년 3추일출'!$N$14:$N$703,'16년 3추일출'!$B$14:$B$703,'15년총괄표(실국별)'!$B23)</f>
        <v>-26594</v>
      </c>
      <c r="G23" s="16">
        <f>SUMIFS('16년 3추일출'!$O$14:$O$703,'16년 3추일출'!$B$14:$B$703,'15년총괄표(실국별)'!$B23)</f>
        <v>0</v>
      </c>
      <c r="H23" s="68">
        <f t="shared" si="1"/>
        <v>35618945</v>
      </c>
      <c r="I23" s="95"/>
      <c r="J23" s="95"/>
      <c r="K23" s="12"/>
      <c r="L23" s="13"/>
      <c r="M23" s="95"/>
      <c r="N23" s="95"/>
      <c r="O23" s="95"/>
      <c r="P23" s="95"/>
    </row>
    <row r="24" spans="2:16" s="96" customFormat="1" ht="30.75" customHeight="1">
      <c r="B24" s="84" t="s">
        <v>314</v>
      </c>
      <c r="C24" s="94">
        <v>10314647</v>
      </c>
      <c r="D24" s="16">
        <f>SUMIFS('16년3추 일입'!$N$7:$N$602,'16년3추 일입'!$B$7:$B$602,'15년총괄표(실국별)'!$B24)</f>
        <v>0</v>
      </c>
      <c r="E24" s="16">
        <f>SUMIFS('16년3추 일입'!$O$7:$O$602,'16년3추 일입'!$B$7:$B$602,'15년총괄표(실국별)'!$B24)</f>
        <v>0</v>
      </c>
      <c r="F24" s="16">
        <f>SUMIFS('16년 3추일출'!$N$14:$N$703,'16년 3추일출'!$B$14:$B$703,'15년총괄표(실국별)'!$B24)</f>
        <v>0</v>
      </c>
      <c r="G24" s="16">
        <f>SUMIFS('16년 3추일출'!$O$14:$O$703,'16년 3추일출'!$B$14:$B$703,'15년총괄표(실국별)'!$B24)</f>
        <v>0</v>
      </c>
      <c r="H24" s="68">
        <f t="shared" si="1"/>
        <v>10314647</v>
      </c>
      <c r="I24" s="95"/>
      <c r="J24" s="95"/>
      <c r="K24" s="12"/>
      <c r="L24" s="13"/>
      <c r="M24" s="95"/>
      <c r="N24" s="95"/>
      <c r="O24" s="95"/>
      <c r="P24" s="95"/>
    </row>
    <row r="25" spans="2:16" s="100" customFormat="1" ht="30.75" customHeight="1">
      <c r="B25" s="97" t="s">
        <v>315</v>
      </c>
      <c r="C25" s="98">
        <v>8202067</v>
      </c>
      <c r="D25" s="16">
        <f>SUMIFS('16년3추 일입'!$N$7:$N$602,'16년3추 일입'!$B$7:$B$602,'15년총괄표(실국별)'!$B25)</f>
        <v>0</v>
      </c>
      <c r="E25" s="16">
        <f>SUMIFS('16년3추 일입'!$O$7:$O$602,'16년3추 일입'!$B$7:$B$602,'15년총괄표(실국별)'!$B25)</f>
        <v>0</v>
      </c>
      <c r="F25" s="16">
        <f>SUMIFS('16년 3추일출'!$N$14:$N$703,'16년 3추일출'!$B$14:$B$703,'15년총괄표(실국별)'!$B25)</f>
        <v>0</v>
      </c>
      <c r="G25" s="16">
        <f>SUMIFS('16년 3추일출'!$O$14:$O$703,'16년 3추일출'!$B$14:$B$703,'15년총괄표(실국별)'!$B25)</f>
        <v>0</v>
      </c>
      <c r="H25" s="68">
        <f t="shared" si="1"/>
        <v>8202067</v>
      </c>
      <c r="I25" s="99"/>
      <c r="J25" s="99"/>
      <c r="K25" s="12"/>
      <c r="L25" s="13"/>
      <c r="M25" s="99"/>
      <c r="N25" s="99"/>
      <c r="O25" s="99"/>
      <c r="P25" s="99"/>
    </row>
    <row r="26" spans="2:16" ht="30.75" customHeight="1" thickBot="1">
      <c r="B26" s="84" t="s">
        <v>317</v>
      </c>
      <c r="C26" s="67">
        <v>631831527</v>
      </c>
      <c r="D26" s="16">
        <f>SUMIFS('16년3추 일입'!$N$7:$N$602,'16년3추 일입'!$B$7:$B$602,'15년총괄표(실국별)'!$B26)</f>
        <v>-413744</v>
      </c>
      <c r="E26" s="16">
        <f>SUMIFS('16년3추 일입'!$O$7:$O$602,'16년3추 일입'!$B$7:$B$602,'15년총괄표(실국별)'!$B26)</f>
        <v>0</v>
      </c>
      <c r="F26" s="16">
        <f>SUMIFS('16년 3추일출'!$N$14:$N$703,'16년 3추일출'!$B$14:$B$703,'15년총괄표(실국별)'!$B26)</f>
        <v>0</v>
      </c>
      <c r="G26" s="16">
        <f>SUMIFS('16년 3추일출'!$O$14:$O$703,'16년 3추일출'!$B$14:$B$703,'15년총괄표(실국별)'!$B26)</f>
        <v>0</v>
      </c>
      <c r="H26" s="68">
        <f t="shared" si="1"/>
        <v>631831527</v>
      </c>
      <c r="I26" s="87" t="e">
        <f>#REF!+#REF!</f>
        <v>#REF!</v>
      </c>
      <c r="J26" s="88" t="e">
        <f>#REF!+#REF!</f>
        <v>#REF!</v>
      </c>
      <c r="K26" s="59"/>
      <c r="N26" s="89">
        <f>M2-N2</f>
        <v>0</v>
      </c>
    </row>
    <row r="27" spans="2:16" ht="30.75" customHeight="1">
      <c r="B27" s="84" t="s">
        <v>69</v>
      </c>
      <c r="C27" s="67">
        <v>1328409175</v>
      </c>
      <c r="D27" s="16">
        <f>SUMIFS('16년3추 일입'!$N$7:$N$602,'16년3추 일입'!$B$7:$B$602,'15년총괄표(실국별)'!$B27)</f>
        <v>0</v>
      </c>
      <c r="E27" s="16">
        <f>SUMIFS('16년3추 일입'!$O$7:$O$602,'16년3추 일입'!$B$7:$B$602,'15년총괄표(실국별)'!$B27)</f>
        <v>0</v>
      </c>
      <c r="F27" s="16">
        <f>SUMIFS('16년 3추일출'!$N$14:$N$703,'16년 3추일출'!$B$14:$B$703,'15년총괄표(실국별)'!$B27)</f>
        <v>-21900</v>
      </c>
      <c r="G27" s="16">
        <f>SUMIFS('16년 3추일출'!$O$14:$O$703,'16년 3추일출'!$B$14:$B$703,'15년총괄표(실국별)'!$B27)</f>
        <v>14258478</v>
      </c>
      <c r="H27" s="68">
        <f t="shared" si="1"/>
        <v>1342645753</v>
      </c>
      <c r="J27" s="90"/>
      <c r="K27" s="91"/>
    </row>
    <row r="28" spans="2:16" ht="30.75" customHeight="1">
      <c r="B28" s="84" t="s">
        <v>275</v>
      </c>
      <c r="C28" s="67">
        <v>223863128</v>
      </c>
      <c r="D28" s="16">
        <f>SUMIFS('16년3추 일입'!$N$7:$N$602,'16년3추 일입'!$B$7:$B$602,'15년총괄표(실국별)'!$B28)</f>
        <v>0</v>
      </c>
      <c r="E28" s="16">
        <f>SUMIFS('16년3추 일입'!$O$7:$O$602,'16년3추 일입'!$B$7:$B$602,'15년총괄표(실국별)'!$B28)</f>
        <v>0</v>
      </c>
      <c r="F28" s="16">
        <f>SUMIFS('16년 3추일출'!$N$14:$N$703,'16년 3추일출'!$B$14:$B$703,'15년총괄표(실국별)'!$B28)</f>
        <v>-20000</v>
      </c>
      <c r="G28" s="16">
        <f>SUMIFS('16년 3추일출'!$O$14:$O$703,'16년 3추일출'!$B$14:$B$703,'15년총괄표(실국별)'!$B28)</f>
        <v>0</v>
      </c>
      <c r="H28" s="68">
        <f t="shared" si="1"/>
        <v>223843128</v>
      </c>
      <c r="J28" s="92"/>
      <c r="L28" s="93"/>
      <c r="M28" s="93"/>
    </row>
    <row r="29" spans="2:16" ht="30.75" customHeight="1">
      <c r="B29" s="84" t="s">
        <v>283</v>
      </c>
      <c r="C29" s="67">
        <v>506163851</v>
      </c>
      <c r="D29" s="16">
        <f>SUMIFS('16년3추 일입'!$N$7:$N$602,'16년3추 일입'!$B$7:$B$602,'15년총괄표(실국별)'!$B29)</f>
        <v>0</v>
      </c>
      <c r="E29" s="16">
        <f>SUMIFS('16년3추 일입'!$O$7:$O$602,'16년3추 일입'!$B$7:$B$602,'15년총괄표(실국별)'!$B29)</f>
        <v>0</v>
      </c>
      <c r="F29" s="16">
        <f>SUMIFS('16년 3추일출'!$N$14:$N$703,'16년 3추일출'!$B$14:$B$703,'15년총괄표(실국별)'!$B29)</f>
        <v>-4000000</v>
      </c>
      <c r="G29" s="16">
        <f>SUMIFS('16년 3추일출'!$O$14:$O$703,'16년 3추일출'!$B$14:$B$703,'15년총괄표(실국별)'!$B29)</f>
        <v>2650000</v>
      </c>
      <c r="H29" s="68">
        <f t="shared" si="1"/>
        <v>504813851</v>
      </c>
      <c r="K29" s="12"/>
      <c r="L29" s="13"/>
      <c r="N29" s="51" t="s">
        <v>43</v>
      </c>
    </row>
    <row r="30" spans="2:16" s="96" customFormat="1" ht="30.75" customHeight="1">
      <c r="B30" s="84" t="s">
        <v>66</v>
      </c>
      <c r="C30" s="94">
        <v>165426798</v>
      </c>
      <c r="D30" s="16">
        <f>SUMIFS('16년3추 일입'!$N$7:$N$602,'16년3추 일입'!$B$7:$B$602,'15년총괄표(실국별)'!$B30)</f>
        <v>-4159</v>
      </c>
      <c r="E30" s="16">
        <f>SUMIFS('16년3추 일입'!$O$7:$O$602,'16년3추 일입'!$B$7:$B$602,'15년총괄표(실국별)'!$B30)</f>
        <v>2354402</v>
      </c>
      <c r="F30" s="16">
        <f>SUMIFS('16년 3추일출'!$N$14:$N$703,'16년 3추일출'!$B$14:$B$703,'15년총괄표(실국별)'!$B30)</f>
        <v>0</v>
      </c>
      <c r="G30" s="16">
        <f>SUMIFS('16년 3추일출'!$O$14:$O$703,'16년 3추일출'!$B$14:$B$703,'15년총괄표(실국별)'!$B30)</f>
        <v>3220157</v>
      </c>
      <c r="H30" s="68">
        <f t="shared" si="1"/>
        <v>168646955</v>
      </c>
      <c r="I30" s="95"/>
      <c r="J30" s="95"/>
      <c r="K30" s="12"/>
      <c r="L30" s="13"/>
      <c r="M30" s="81"/>
      <c r="N30" s="82">
        <f>N26-K2</f>
        <v>0</v>
      </c>
      <c r="O30" s="95"/>
      <c r="P30" s="95"/>
    </row>
    <row r="31" spans="2:16" ht="30.75" customHeight="1" thickBot="1">
      <c r="B31" s="84" t="s">
        <v>301</v>
      </c>
      <c r="C31" s="67">
        <v>466950444</v>
      </c>
      <c r="D31" s="16">
        <f>SUMIFS('16년3추 일입'!$N$7:$N$602,'16년3추 일입'!$B$7:$B$602,'15년총괄표(실국별)'!$B31)</f>
        <v>0</v>
      </c>
      <c r="E31" s="16">
        <f>SUMIFS('16년3추 일입'!$O$7:$O$602,'16년3추 일입'!$B$7:$B$602,'15년총괄표(실국별)'!$B31)</f>
        <v>0</v>
      </c>
      <c r="F31" s="16">
        <f>SUMIFS('16년 3추일출'!$N$14:$N$703,'16년 3추일출'!$B$14:$B$703,'15년총괄표(실국별)'!$B31)</f>
        <v>-4650000</v>
      </c>
      <c r="G31" s="16">
        <f>SUMIFS('16년 3추일출'!$O$14:$O$703,'16년 3추일출'!$B$14:$B$703,'15년총괄표(실국별)'!$B31)</f>
        <v>0</v>
      </c>
      <c r="H31" s="68">
        <f t="shared" si="1"/>
        <v>462300444</v>
      </c>
      <c r="I31" s="87" t="e">
        <f>#REF!+#REF!</f>
        <v>#REF!</v>
      </c>
      <c r="J31" s="88" t="e">
        <f>#REF!+#REF!</f>
        <v>#REF!</v>
      </c>
      <c r="K31" s="59"/>
      <c r="N31" s="89" t="e">
        <f>M7-N7</f>
        <v>#REF!</v>
      </c>
    </row>
    <row r="32" spans="2:16" ht="30.75" customHeight="1">
      <c r="B32" s="84" t="s">
        <v>307</v>
      </c>
      <c r="C32" s="67">
        <v>570450422</v>
      </c>
      <c r="D32" s="16">
        <f>SUMIFS('16년3추 일입'!$N$7:$N$602,'16년3추 일입'!$B$7:$B$602,'15년총괄표(실국별)'!$B32)</f>
        <v>0</v>
      </c>
      <c r="E32" s="16">
        <f>SUMIFS('16년3추 일입'!$O$7:$O$602,'16년3추 일입'!$B$7:$B$602,'15년총괄표(실국별)'!$B32)</f>
        <v>0</v>
      </c>
      <c r="F32" s="16">
        <f>SUMIFS('16년 3추일출'!$N$14:$N$703,'16년 3추일출'!$B$14:$B$703,'15년총괄표(실국별)'!$B32)</f>
        <v>0</v>
      </c>
      <c r="G32" s="16">
        <f>SUMIFS('16년 3추일출'!$O$14:$O$703,'16년 3추일출'!$B$14:$B$703,'15년총괄표(실국별)'!$B32)</f>
        <v>3278200</v>
      </c>
      <c r="H32" s="68">
        <f t="shared" si="1"/>
        <v>573728622</v>
      </c>
      <c r="J32" s="90"/>
      <c r="K32" s="91"/>
    </row>
    <row r="33" spans="2:16" ht="30.75" customHeight="1" thickBot="1">
      <c r="B33" s="101" t="s">
        <v>318</v>
      </c>
      <c r="C33" s="107">
        <v>48696301</v>
      </c>
      <c r="D33" s="17">
        <f>SUMIFS('16년3추 일입'!$N$7:$N$602,'16년3추 일입'!$B$7:$B$602,'15년총괄표(실국별)'!$B33)</f>
        <v>0</v>
      </c>
      <c r="E33" s="17">
        <f>SUMIFS('16년3추 일입'!$O$7:$O$602,'16년3추 일입'!$B$7:$B$602,'15년총괄표(실국별)'!$B33)</f>
        <v>800000</v>
      </c>
      <c r="F33" s="17">
        <f>SUMIFS('16년 3추일출'!$N$14:$N$703,'16년 3추일출'!$B$14:$B$703,'15년총괄표(실국별)'!$B33)</f>
        <v>0</v>
      </c>
      <c r="G33" s="17">
        <f>SUMIFS('16년 3추일출'!$O$14:$O$703,'16년 3추일출'!$B$14:$B$703,'15년총괄표(실국별)'!$B33)</f>
        <v>800000</v>
      </c>
      <c r="H33" s="103">
        <f t="shared" si="1"/>
        <v>49496301</v>
      </c>
      <c r="J33" s="92"/>
      <c r="L33" s="93"/>
      <c r="M33" s="93"/>
    </row>
    <row r="34" spans="2:16" ht="18" customHeight="1">
      <c r="B34" s="57"/>
      <c r="C34" s="57"/>
      <c r="D34" s="57"/>
      <c r="E34" s="57"/>
      <c r="F34" s="57"/>
      <c r="G34" s="57"/>
      <c r="H34" s="57"/>
      <c r="K34" s="12"/>
      <c r="L34" s="13"/>
    </row>
    <row r="35" spans="2:16" ht="20.25" customHeight="1"/>
    <row r="36" spans="2:16" ht="20.25" customHeight="1"/>
    <row r="37" spans="2:16" s="57" customFormat="1">
      <c r="B37" s="127" t="s">
        <v>383</v>
      </c>
      <c r="C37" s="131" t="s">
        <v>382</v>
      </c>
      <c r="D37" s="127" t="s">
        <v>380</v>
      </c>
      <c r="E37" s="127" t="s">
        <v>381</v>
      </c>
      <c r="F37" s="131" t="s">
        <v>53</v>
      </c>
      <c r="G37" s="59"/>
      <c r="H37" s="59"/>
      <c r="I37" s="59"/>
      <c r="J37" s="59"/>
      <c r="K37" s="59"/>
      <c r="L37" s="59"/>
      <c r="M37" s="59"/>
      <c r="N37" s="59"/>
    </row>
    <row r="38" spans="2:16" s="57" customFormat="1">
      <c r="B38" s="127" t="s">
        <v>19</v>
      </c>
      <c r="C38" s="132">
        <f>SUM(C39:C64)</f>
        <v>14504760931</v>
      </c>
      <c r="D38" s="132">
        <f>SUM(D39:D64)</f>
        <v>1174065395</v>
      </c>
      <c r="E38" s="132">
        <f>SUM(E39:E64)</f>
        <v>2139712389</v>
      </c>
      <c r="F38" s="132">
        <f>SUM(C38:E38)</f>
        <v>17818538715</v>
      </c>
      <c r="I38" s="59"/>
      <c r="J38" s="59"/>
      <c r="K38" s="59"/>
      <c r="L38" s="59"/>
      <c r="M38" s="59"/>
      <c r="N38" s="59"/>
      <c r="O38" s="59"/>
      <c r="P38" s="59"/>
    </row>
    <row r="39" spans="2:16" s="57" customFormat="1">
      <c r="B39" s="127" t="s">
        <v>110</v>
      </c>
      <c r="C39" s="133">
        <v>1230140</v>
      </c>
      <c r="D39" s="133"/>
      <c r="E39" s="133"/>
      <c r="F39" s="132">
        <f t="shared" ref="F39:F64" si="2">SUM(C39:E39)</f>
        <v>1230140</v>
      </c>
      <c r="G39" s="59"/>
      <c r="H39" s="59"/>
      <c r="I39" s="59"/>
      <c r="J39" s="59"/>
      <c r="K39" s="59"/>
      <c r="L39" s="59"/>
      <c r="M39" s="59"/>
      <c r="N39" s="59"/>
    </row>
    <row r="40" spans="2:16" s="57" customFormat="1">
      <c r="B40" s="127" t="s">
        <v>102</v>
      </c>
      <c r="C40" s="133">
        <v>3253514147</v>
      </c>
      <c r="D40" s="133"/>
      <c r="E40" s="133">
        <v>1741536684</v>
      </c>
      <c r="F40" s="132">
        <f t="shared" si="2"/>
        <v>4995050831</v>
      </c>
      <c r="H40" s="59"/>
      <c r="I40" s="59"/>
      <c r="J40" s="59"/>
      <c r="K40" s="59"/>
      <c r="L40" s="59"/>
      <c r="M40" s="59"/>
      <c r="N40" s="59"/>
    </row>
    <row r="41" spans="2:16" s="57" customFormat="1">
      <c r="B41" s="127" t="s">
        <v>103</v>
      </c>
      <c r="C41" s="133">
        <v>302743533</v>
      </c>
      <c r="D41" s="133">
        <v>14731912</v>
      </c>
      <c r="E41" s="133">
        <v>33000000</v>
      </c>
      <c r="F41" s="132">
        <f t="shared" si="2"/>
        <v>350475445</v>
      </c>
      <c r="H41" s="59"/>
      <c r="I41" s="59"/>
      <c r="J41" s="59"/>
      <c r="K41" s="59"/>
      <c r="L41" s="59"/>
      <c r="M41" s="59"/>
      <c r="N41" s="59"/>
    </row>
    <row r="42" spans="2:16" s="57" customFormat="1">
      <c r="B42" s="127" t="s">
        <v>104</v>
      </c>
      <c r="C42" s="133">
        <v>489102362</v>
      </c>
      <c r="D42" s="133"/>
      <c r="E42" s="133"/>
      <c r="F42" s="132">
        <f t="shared" si="2"/>
        <v>489102362</v>
      </c>
      <c r="G42" s="59"/>
      <c r="H42" s="59"/>
      <c r="I42" s="59"/>
      <c r="J42" s="59"/>
      <c r="K42" s="59"/>
      <c r="L42" s="59"/>
      <c r="M42" s="59"/>
      <c r="N42" s="59"/>
    </row>
    <row r="43" spans="2:16" s="57" customFormat="1">
      <c r="B43" s="127" t="s">
        <v>161</v>
      </c>
      <c r="C43" s="133">
        <v>1957985774</v>
      </c>
      <c r="D43" s="133">
        <v>166414000</v>
      </c>
      <c r="E43" s="133"/>
      <c r="F43" s="132">
        <f t="shared" si="2"/>
        <v>2124399774</v>
      </c>
      <c r="H43" s="59"/>
      <c r="I43" s="59"/>
      <c r="J43" s="59"/>
      <c r="K43" s="59"/>
      <c r="L43" s="59"/>
      <c r="M43" s="59"/>
      <c r="N43" s="59"/>
    </row>
    <row r="44" spans="2:16" s="57" customFormat="1">
      <c r="B44" s="127" t="s">
        <v>105</v>
      </c>
      <c r="C44" s="133">
        <v>246448826</v>
      </c>
      <c r="D44" s="133"/>
      <c r="E44" s="133">
        <v>62624435</v>
      </c>
      <c r="F44" s="132">
        <f t="shared" si="2"/>
        <v>309073261</v>
      </c>
      <c r="G44" s="59"/>
      <c r="H44" s="59"/>
      <c r="I44" s="59"/>
      <c r="J44" s="59"/>
      <c r="K44" s="59"/>
      <c r="L44" s="59"/>
      <c r="M44" s="59"/>
      <c r="N44" s="59"/>
    </row>
    <row r="45" spans="2:16" s="57" customFormat="1">
      <c r="B45" s="127" t="s">
        <v>64</v>
      </c>
      <c r="C45" s="133">
        <v>255604029</v>
      </c>
      <c r="D45" s="133"/>
      <c r="E45" s="133"/>
      <c r="F45" s="132">
        <f t="shared" si="2"/>
        <v>255604029</v>
      </c>
      <c r="G45" s="59"/>
      <c r="H45" s="59"/>
      <c r="I45" s="59"/>
      <c r="J45" s="59"/>
      <c r="K45" s="59"/>
      <c r="L45" s="59"/>
      <c r="M45" s="59"/>
      <c r="N45" s="59"/>
    </row>
    <row r="46" spans="2:16" s="57" customFormat="1">
      <c r="B46" s="127" t="s">
        <v>190</v>
      </c>
      <c r="C46" s="133">
        <v>205393587</v>
      </c>
      <c r="D46" s="133"/>
      <c r="E46" s="133"/>
      <c r="F46" s="132">
        <f t="shared" si="2"/>
        <v>205393587</v>
      </c>
      <c r="G46" s="59"/>
      <c r="H46" s="59"/>
      <c r="I46" s="59"/>
      <c r="J46" s="59"/>
      <c r="K46" s="59"/>
      <c r="L46" s="59"/>
      <c r="M46" s="59"/>
      <c r="N46" s="59"/>
    </row>
    <row r="47" spans="2:16" s="57" customFormat="1">
      <c r="B47" s="127" t="s">
        <v>197</v>
      </c>
      <c r="C47" s="133">
        <f>635730961+1074501+3040529+54258964</f>
        <v>694104955</v>
      </c>
      <c r="D47" s="133"/>
      <c r="E47" s="133"/>
      <c r="F47" s="132">
        <f t="shared" si="2"/>
        <v>694104955</v>
      </c>
      <c r="I47" s="59"/>
      <c r="J47" s="59"/>
      <c r="K47" s="59"/>
      <c r="L47" s="59"/>
      <c r="M47" s="59"/>
      <c r="N47" s="59"/>
    </row>
    <row r="48" spans="2:16" s="57" customFormat="1">
      <c r="B48" s="130" t="s">
        <v>61</v>
      </c>
      <c r="C48" s="133">
        <v>30412373</v>
      </c>
      <c r="D48" s="133"/>
      <c r="E48" s="133"/>
      <c r="F48" s="132">
        <f t="shared" si="2"/>
        <v>30412373</v>
      </c>
      <c r="G48" s="59"/>
      <c r="H48" s="59"/>
      <c r="I48" s="59"/>
      <c r="J48" s="59"/>
      <c r="K48" s="59"/>
      <c r="L48" s="59"/>
      <c r="M48" s="59"/>
      <c r="N48" s="59"/>
    </row>
    <row r="49" spans="2:16" s="57" customFormat="1">
      <c r="B49" s="127" t="s">
        <v>111</v>
      </c>
      <c r="C49" s="133">
        <v>12731214</v>
      </c>
      <c r="D49" s="133"/>
      <c r="E49" s="133"/>
      <c r="F49" s="132">
        <f t="shared" si="2"/>
        <v>12731214</v>
      </c>
      <c r="G49" s="59"/>
      <c r="H49" s="59"/>
      <c r="I49" s="59"/>
      <c r="J49" s="59"/>
      <c r="K49" s="59"/>
      <c r="L49" s="59"/>
      <c r="M49" s="59"/>
      <c r="N49" s="59"/>
    </row>
    <row r="50" spans="2:16" s="57" customFormat="1">
      <c r="B50" s="127" t="s">
        <v>109</v>
      </c>
      <c r="C50" s="133">
        <v>450511</v>
      </c>
      <c r="D50" s="133"/>
      <c r="E50" s="133"/>
      <c r="F50" s="132">
        <f t="shared" si="2"/>
        <v>450511</v>
      </c>
      <c r="I50" s="59"/>
      <c r="J50" s="59"/>
      <c r="K50" s="59"/>
      <c r="L50" s="59"/>
      <c r="M50" s="59"/>
      <c r="N50" s="59"/>
      <c r="O50" s="59"/>
      <c r="P50" s="59"/>
    </row>
    <row r="51" spans="2:16" s="57" customFormat="1">
      <c r="B51" s="127" t="s">
        <v>106</v>
      </c>
      <c r="C51" s="133">
        <v>1966943221</v>
      </c>
      <c r="D51" s="133">
        <v>836694418</v>
      </c>
      <c r="E51" s="133"/>
      <c r="F51" s="132">
        <f t="shared" si="2"/>
        <v>2803637639</v>
      </c>
      <c r="I51" s="59"/>
      <c r="J51" s="59"/>
      <c r="K51" s="59"/>
      <c r="L51" s="59"/>
      <c r="M51" s="59"/>
      <c r="N51" s="59"/>
      <c r="O51" s="59"/>
      <c r="P51" s="59"/>
    </row>
    <row r="52" spans="2:16" s="57" customFormat="1">
      <c r="B52" s="127" t="s">
        <v>107</v>
      </c>
      <c r="C52" s="133">
        <v>96522924</v>
      </c>
      <c r="D52" s="133"/>
      <c r="E52" s="133"/>
      <c r="F52" s="132">
        <f t="shared" si="2"/>
        <v>96522924</v>
      </c>
      <c r="I52" s="59"/>
      <c r="J52" s="59"/>
      <c r="K52" s="59"/>
      <c r="L52" s="59"/>
      <c r="M52" s="59"/>
      <c r="N52" s="59"/>
      <c r="O52" s="59"/>
      <c r="P52" s="59"/>
    </row>
    <row r="53" spans="2:16" s="57" customFormat="1">
      <c r="B53" s="127" t="s">
        <v>108</v>
      </c>
      <c r="C53" s="133">
        <v>1454395771</v>
      </c>
      <c r="D53" s="133"/>
      <c r="E53" s="133"/>
      <c r="F53" s="132">
        <f t="shared" si="2"/>
        <v>1454395771</v>
      </c>
      <c r="I53" s="59"/>
      <c r="J53" s="59"/>
      <c r="K53" s="59"/>
      <c r="L53" s="59"/>
      <c r="M53" s="59"/>
      <c r="N53" s="59"/>
      <c r="O53" s="59"/>
      <c r="P53" s="59"/>
    </row>
    <row r="54" spans="2:16" s="57" customFormat="1">
      <c r="B54" s="127" t="s">
        <v>312</v>
      </c>
      <c r="C54" s="133">
        <v>35645539</v>
      </c>
      <c r="D54" s="133"/>
      <c r="E54" s="133"/>
      <c r="F54" s="132">
        <f t="shared" si="2"/>
        <v>35645539</v>
      </c>
      <c r="I54" s="59"/>
      <c r="J54" s="59"/>
      <c r="K54" s="59"/>
      <c r="L54" s="59"/>
      <c r="M54" s="59"/>
      <c r="N54" s="59"/>
      <c r="O54" s="59"/>
      <c r="P54" s="59"/>
    </row>
    <row r="55" spans="2:16" s="57" customFormat="1">
      <c r="B55" s="127" t="s">
        <v>314</v>
      </c>
      <c r="C55" s="133">
        <v>10314647</v>
      </c>
      <c r="D55" s="133"/>
      <c r="E55" s="133"/>
      <c r="F55" s="132">
        <f t="shared" si="2"/>
        <v>10314647</v>
      </c>
      <c r="I55" s="59"/>
      <c r="J55" s="59"/>
      <c r="K55" s="59"/>
      <c r="L55" s="59"/>
      <c r="M55" s="59"/>
      <c r="N55" s="59"/>
      <c r="O55" s="59"/>
      <c r="P55" s="59"/>
    </row>
    <row r="56" spans="2:16" s="57" customFormat="1">
      <c r="B56" s="130" t="s">
        <v>315</v>
      </c>
      <c r="C56" s="133">
        <v>8202067</v>
      </c>
      <c r="D56" s="133"/>
      <c r="E56" s="133"/>
      <c r="F56" s="132">
        <f t="shared" si="2"/>
        <v>8202067</v>
      </c>
      <c r="I56" s="59"/>
      <c r="J56" s="59"/>
      <c r="K56" s="59"/>
      <c r="L56" s="59"/>
      <c r="M56" s="59"/>
      <c r="N56" s="59"/>
      <c r="O56" s="59"/>
      <c r="P56" s="59"/>
    </row>
    <row r="57" spans="2:16" s="57" customFormat="1">
      <c r="B57" s="127" t="s">
        <v>317</v>
      </c>
      <c r="C57" s="133">
        <v>627640527</v>
      </c>
      <c r="D57" s="133">
        <v>4191000</v>
      </c>
      <c r="E57" s="133"/>
      <c r="F57" s="132">
        <f t="shared" si="2"/>
        <v>631831527</v>
      </c>
      <c r="I57" s="59"/>
      <c r="J57" s="59"/>
      <c r="K57" s="59"/>
      <c r="L57" s="59"/>
      <c r="M57" s="59"/>
      <c r="N57" s="59"/>
      <c r="O57" s="59"/>
      <c r="P57" s="59"/>
    </row>
    <row r="58" spans="2:16" s="57" customFormat="1">
      <c r="B58" s="127" t="s">
        <v>69</v>
      </c>
      <c r="C58" s="133">
        <v>1328409175</v>
      </c>
      <c r="D58" s="133"/>
      <c r="E58" s="133"/>
      <c r="F58" s="132">
        <f t="shared" si="2"/>
        <v>1328409175</v>
      </c>
      <c r="I58" s="59"/>
      <c r="J58" s="59"/>
      <c r="K58" s="59"/>
      <c r="L58" s="59"/>
      <c r="M58" s="59"/>
      <c r="N58" s="59"/>
      <c r="O58" s="59"/>
      <c r="P58" s="59"/>
    </row>
    <row r="59" spans="2:16" s="57" customFormat="1">
      <c r="B59" s="127" t="s">
        <v>275</v>
      </c>
      <c r="C59" s="133">
        <v>199572128</v>
      </c>
      <c r="D59" s="133">
        <v>24291000</v>
      </c>
      <c r="E59" s="133"/>
      <c r="F59" s="132">
        <f t="shared" si="2"/>
        <v>223863128</v>
      </c>
      <c r="I59" s="59"/>
      <c r="J59" s="59"/>
      <c r="K59" s="59"/>
      <c r="L59" s="59"/>
      <c r="M59" s="59"/>
      <c r="N59" s="59"/>
      <c r="O59" s="59"/>
      <c r="P59" s="59"/>
    </row>
    <row r="60" spans="2:16" s="57" customFormat="1">
      <c r="B60" s="127" t="s">
        <v>283</v>
      </c>
      <c r="C60" s="133">
        <v>203612581</v>
      </c>
      <c r="D60" s="133"/>
      <c r="E60" s="133">
        <v>302551270</v>
      </c>
      <c r="F60" s="132">
        <f t="shared" si="2"/>
        <v>506163851</v>
      </c>
      <c r="I60" s="59"/>
      <c r="J60" s="59"/>
      <c r="K60" s="59"/>
      <c r="L60" s="59"/>
      <c r="M60" s="59"/>
      <c r="N60" s="59"/>
      <c r="O60" s="59"/>
      <c r="P60" s="59"/>
    </row>
    <row r="61" spans="2:16" s="57" customFormat="1">
      <c r="B61" s="127" t="s">
        <v>66</v>
      </c>
      <c r="C61" s="133">
        <v>165426798</v>
      </c>
      <c r="D61" s="133"/>
      <c r="E61" s="133"/>
      <c r="F61" s="132">
        <f t="shared" si="2"/>
        <v>165426798</v>
      </c>
      <c r="I61" s="59"/>
      <c r="J61" s="59"/>
      <c r="K61" s="59"/>
      <c r="L61" s="59"/>
      <c r="M61" s="59"/>
      <c r="N61" s="59"/>
      <c r="O61" s="59"/>
      <c r="P61" s="59"/>
    </row>
    <row r="62" spans="2:16" s="57" customFormat="1">
      <c r="B62" s="127" t="s">
        <v>301</v>
      </c>
      <c r="C62" s="133">
        <v>341380444</v>
      </c>
      <c r="D62" s="133">
        <v>125570000</v>
      </c>
      <c r="E62" s="133"/>
      <c r="F62" s="132">
        <f t="shared" si="2"/>
        <v>466950444</v>
      </c>
      <c r="I62" s="59"/>
      <c r="J62" s="59"/>
      <c r="K62" s="59"/>
      <c r="L62" s="59"/>
      <c r="M62" s="59"/>
      <c r="N62" s="59"/>
      <c r="O62" s="59"/>
      <c r="P62" s="59"/>
    </row>
    <row r="63" spans="2:16" s="57" customFormat="1">
      <c r="B63" s="127" t="s">
        <v>307</v>
      </c>
      <c r="C63" s="133">
        <v>568277357</v>
      </c>
      <c r="D63" s="133">
        <v>2173065</v>
      </c>
      <c r="E63" s="133"/>
      <c r="F63" s="132">
        <f t="shared" si="2"/>
        <v>570450422</v>
      </c>
      <c r="I63" s="59"/>
      <c r="J63" s="59"/>
      <c r="K63" s="59"/>
      <c r="L63" s="59"/>
      <c r="M63" s="59"/>
      <c r="N63" s="59"/>
      <c r="O63" s="59"/>
      <c r="P63" s="59"/>
    </row>
    <row r="64" spans="2:16" s="57" customFormat="1">
      <c r="B64" s="127" t="s">
        <v>318</v>
      </c>
      <c r="C64" s="133">
        <v>48696301</v>
      </c>
      <c r="D64" s="133"/>
      <c r="E64" s="133"/>
      <c r="F64" s="132">
        <f t="shared" si="2"/>
        <v>48696301</v>
      </c>
      <c r="I64" s="59"/>
      <c r="J64" s="59"/>
      <c r="K64" s="59"/>
      <c r="L64" s="59"/>
      <c r="M64" s="59"/>
      <c r="N64" s="59"/>
      <c r="O64" s="59"/>
      <c r="P64" s="59"/>
    </row>
    <row r="164" spans="1:20" s="51" customFormat="1" ht="24">
      <c r="A164" s="47"/>
      <c r="B164" s="47"/>
      <c r="C164" s="47"/>
      <c r="D164" s="47"/>
      <c r="E164" s="47"/>
      <c r="F164" s="47"/>
      <c r="G164" s="47"/>
      <c r="H164" s="47"/>
      <c r="I164" s="91" t="s">
        <v>55</v>
      </c>
      <c r="Q164" s="47"/>
      <c r="R164" s="47"/>
      <c r="S164" s="47"/>
      <c r="T164" s="47"/>
    </row>
    <row r="294" spans="1:20" s="51" customFormat="1">
      <c r="A294" s="47"/>
      <c r="B294" s="47"/>
      <c r="C294" s="47"/>
      <c r="D294" s="47"/>
      <c r="E294" s="47"/>
      <c r="F294" s="47"/>
      <c r="G294" s="47"/>
      <c r="H294" s="47"/>
      <c r="I294" s="115"/>
      <c r="K294" s="51">
        <v>-50000</v>
      </c>
      <c r="Q294" s="47"/>
      <c r="R294" s="47"/>
      <c r="S294" s="47"/>
      <c r="T294" s="47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zoomScaleNormal="100" workbookViewId="0">
      <selection activeCell="A4" sqref="A4"/>
    </sheetView>
  </sheetViews>
  <sheetFormatPr defaultRowHeight="30" customHeight="1"/>
  <cols>
    <col min="1" max="1" width="7.625" customWidth="1"/>
  </cols>
  <sheetData>
    <row r="1" spans="1:13" ht="24.95" customHeight="1">
      <c r="A1" s="152"/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</row>
    <row r="2" spans="1:13" ht="24.95" customHeigh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</row>
    <row r="3" spans="1:13" ht="24.95" customHeight="1">
      <c r="A3" s="152"/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</row>
    <row r="4" spans="1:13" s="155" customFormat="1" ht="60" customHeight="1">
      <c r="A4" s="153" t="s">
        <v>444</v>
      </c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</row>
    <row r="5" spans="1:13" ht="45" customHeight="1">
      <c r="A5" s="152"/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</row>
    <row r="6" spans="1:13" ht="45" customHeight="1">
      <c r="B6" s="156" t="s">
        <v>445</v>
      </c>
      <c r="C6" s="152"/>
      <c r="D6" s="152"/>
      <c r="E6" s="152"/>
      <c r="F6" s="152"/>
      <c r="G6" s="152"/>
      <c r="H6" s="152"/>
      <c r="I6" s="152"/>
      <c r="J6" s="152"/>
      <c r="K6" s="152"/>
      <c r="L6" s="152"/>
      <c r="M6" s="152"/>
    </row>
    <row r="7" spans="1:13" ht="45" customHeight="1">
      <c r="A7" s="152"/>
      <c r="B7" s="157"/>
      <c r="C7" s="152"/>
      <c r="D7" s="152"/>
      <c r="E7" s="152"/>
      <c r="F7" s="152"/>
      <c r="G7" s="152"/>
      <c r="H7" s="152"/>
      <c r="I7" s="152"/>
      <c r="J7" s="152"/>
      <c r="K7" s="152"/>
      <c r="L7" s="152"/>
      <c r="M7" s="152"/>
    </row>
    <row r="8" spans="1:13" ht="45" customHeight="1">
      <c r="A8" s="152"/>
      <c r="B8" s="157"/>
      <c r="C8" s="152"/>
      <c r="D8" s="152"/>
      <c r="E8" s="152"/>
      <c r="F8" s="152"/>
      <c r="G8" s="152"/>
      <c r="H8" s="152"/>
      <c r="I8" s="152"/>
      <c r="J8" s="152"/>
      <c r="K8" s="152"/>
      <c r="L8" s="152"/>
      <c r="M8" s="152"/>
    </row>
    <row r="9" spans="1:13" ht="30" customHeight="1">
      <c r="A9" s="152"/>
      <c r="B9" s="152"/>
      <c r="C9" s="152"/>
      <c r="D9" s="152"/>
      <c r="E9" s="152"/>
      <c r="F9" s="152"/>
      <c r="G9" s="152"/>
      <c r="H9" s="152"/>
      <c r="I9" s="152"/>
      <c r="J9" s="152"/>
      <c r="K9" s="152"/>
      <c r="L9" s="152"/>
      <c r="M9" s="152"/>
    </row>
    <row r="10" spans="1:13" ht="30" customHeight="1">
      <c r="A10" s="152"/>
      <c r="B10" s="152"/>
      <c r="C10" s="152"/>
      <c r="D10" s="152"/>
      <c r="E10" s="152"/>
      <c r="F10" s="152"/>
      <c r="G10" s="152"/>
      <c r="H10" s="152"/>
      <c r="I10" s="152"/>
      <c r="J10" s="152"/>
      <c r="K10" s="152"/>
      <c r="L10" s="152"/>
      <c r="M10" s="152"/>
    </row>
    <row r="11" spans="1:13" ht="30" customHeight="1">
      <c r="A11" s="152"/>
      <c r="B11" s="152"/>
      <c r="C11" s="152"/>
      <c r="D11" s="152"/>
      <c r="E11" s="152"/>
      <c r="F11" s="152"/>
      <c r="G11" s="152"/>
      <c r="H11" s="152"/>
      <c r="I11" s="152"/>
      <c r="J11" s="152"/>
      <c r="K11" s="152"/>
      <c r="L11" s="152"/>
      <c r="M11" s="152"/>
    </row>
    <row r="12" spans="1:13" ht="45" customHeight="1">
      <c r="A12" s="158" t="s">
        <v>443</v>
      </c>
      <c r="B12" s="152"/>
      <c r="C12" s="152"/>
      <c r="D12" s="152"/>
      <c r="E12" s="152"/>
      <c r="F12" s="152"/>
      <c r="G12" s="152"/>
      <c r="H12" s="152"/>
      <c r="I12" s="152"/>
      <c r="J12" s="152"/>
      <c r="K12" s="152"/>
      <c r="L12" s="152"/>
      <c r="M12" s="152"/>
    </row>
  </sheetData>
  <phoneticPr fontId="2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P66"/>
  <sheetViews>
    <sheetView tabSelected="1" zoomScale="85" zoomScaleNormal="85" workbookViewId="0"/>
  </sheetViews>
  <sheetFormatPr defaultRowHeight="20.100000000000001" customHeight="1"/>
  <cols>
    <col min="1" max="1" width="22.625" style="255" customWidth="1"/>
    <col min="2" max="2" width="17.125" style="255" customWidth="1"/>
    <col min="3" max="8" width="15.125" style="255" customWidth="1"/>
    <col min="9" max="9" width="15.125" style="255" hidden="1" customWidth="1"/>
    <col min="10" max="10" width="17.125" style="255" customWidth="1"/>
    <col min="11" max="11" width="3.625" style="256" customWidth="1"/>
    <col min="12" max="14" width="15.625" style="255" customWidth="1"/>
    <col min="15" max="15" width="15.625" style="255" hidden="1" customWidth="1"/>
    <col min="16" max="16" width="15.625" style="255" customWidth="1"/>
    <col min="17" max="16384" width="9" style="255"/>
  </cols>
  <sheetData>
    <row r="1" spans="1:16" ht="30" customHeight="1">
      <c r="A1" s="252" t="s">
        <v>446</v>
      </c>
      <c r="B1" s="253"/>
      <c r="C1" s="253"/>
      <c r="D1" s="253"/>
      <c r="E1" s="253"/>
      <c r="F1" s="253"/>
      <c r="G1" s="253"/>
      <c r="H1" s="253"/>
      <c r="I1" s="253"/>
      <c r="J1" s="253"/>
      <c r="K1" s="254"/>
    </row>
    <row r="2" spans="1:16" ht="9.9499999999999993" customHeight="1"/>
    <row r="3" spans="1:16" ht="20.100000000000001" customHeight="1">
      <c r="A3" s="257" t="s">
        <v>406</v>
      </c>
      <c r="C3" s="258" t="s">
        <v>407</v>
      </c>
      <c r="D3" s="259">
        <f>SUM(C7:D7)</f>
        <v>89077971</v>
      </c>
      <c r="E3" s="260"/>
      <c r="F3" s="258" t="s">
        <v>114</v>
      </c>
      <c r="G3" s="259">
        <f>SUM(F7:G7)</f>
        <v>89077971</v>
      </c>
      <c r="H3" s="260"/>
      <c r="I3" s="260"/>
    </row>
    <row r="4" spans="1:16" ht="15" customHeight="1" thickBot="1">
      <c r="C4" s="261"/>
      <c r="D4" s="261"/>
      <c r="E4" s="261"/>
      <c r="F4" s="262"/>
      <c r="G4" s="261"/>
      <c r="H4" s="261"/>
      <c r="I4" s="261"/>
      <c r="J4" s="263" t="s">
        <v>77</v>
      </c>
      <c r="K4" s="264"/>
    </row>
    <row r="5" spans="1:16" ht="18" customHeight="1">
      <c r="A5" s="544" t="s">
        <v>408</v>
      </c>
      <c r="B5" s="546" t="s">
        <v>409</v>
      </c>
      <c r="C5" s="550" t="s">
        <v>410</v>
      </c>
      <c r="D5" s="551"/>
      <c r="E5" s="552"/>
      <c r="F5" s="550" t="s">
        <v>411</v>
      </c>
      <c r="G5" s="551"/>
      <c r="H5" s="552"/>
      <c r="I5" s="553" t="s">
        <v>476</v>
      </c>
      <c r="J5" s="548" t="s">
        <v>412</v>
      </c>
      <c r="K5" s="265"/>
      <c r="L5" s="266" t="s">
        <v>413</v>
      </c>
      <c r="M5" s="267"/>
      <c r="N5" s="267"/>
      <c r="O5" s="267"/>
      <c r="P5" s="267"/>
    </row>
    <row r="6" spans="1:16" ht="18" customHeight="1">
      <c r="A6" s="545"/>
      <c r="B6" s="547"/>
      <c r="C6" s="268" t="s">
        <v>414</v>
      </c>
      <c r="D6" s="268" t="s">
        <v>415</v>
      </c>
      <c r="E6" s="268" t="s">
        <v>475</v>
      </c>
      <c r="F6" s="268" t="s">
        <v>414</v>
      </c>
      <c r="G6" s="268" t="s">
        <v>415</v>
      </c>
      <c r="H6" s="268" t="s">
        <v>475</v>
      </c>
      <c r="I6" s="554"/>
      <c r="J6" s="549"/>
      <c r="K6" s="265"/>
      <c r="L6" s="269" t="s">
        <v>408</v>
      </c>
      <c r="M6" s="269" t="s">
        <v>73</v>
      </c>
      <c r="N6" s="269" t="s">
        <v>74</v>
      </c>
      <c r="O6" s="269" t="s">
        <v>416</v>
      </c>
      <c r="P6" s="269" t="s">
        <v>417</v>
      </c>
    </row>
    <row r="7" spans="1:16" ht="21.95" customHeight="1">
      <c r="A7" s="270" t="s">
        <v>418</v>
      </c>
      <c r="B7" s="271">
        <f>SUM(B8:B17)</f>
        <v>22308585965</v>
      </c>
      <c r="C7" s="271">
        <f t="shared" ref="C7:J7" si="0">SUM(C8:C17)</f>
        <v>-479788</v>
      </c>
      <c r="D7" s="271">
        <f t="shared" ref="D7:E7" si="1">SUM(D8:D17)</f>
        <v>89557759</v>
      </c>
      <c r="E7" s="271">
        <f t="shared" si="1"/>
        <v>89077971</v>
      </c>
      <c r="F7" s="271">
        <f>SUM(F8:F17)</f>
        <v>-28681606</v>
      </c>
      <c r="G7" s="271">
        <f>SUM(G8:G17)</f>
        <v>117759577</v>
      </c>
      <c r="H7" s="272">
        <f>SUM(H8:H17)</f>
        <v>89077971</v>
      </c>
      <c r="I7" s="272">
        <f t="shared" ref="I7" si="2">SUM(I8:I17)</f>
        <v>178155942</v>
      </c>
      <c r="J7" s="273">
        <f t="shared" si="0"/>
        <v>22397663936</v>
      </c>
      <c r="K7" s="274"/>
      <c r="L7" s="275" t="s">
        <v>418</v>
      </c>
      <c r="M7" s="276">
        <f>SUM(M8:M9)</f>
        <v>89077971</v>
      </c>
      <c r="N7" s="276">
        <f>SUM(N8:N9)</f>
        <v>89077971</v>
      </c>
      <c r="O7" s="276">
        <f>M7-N7</f>
        <v>0</v>
      </c>
      <c r="P7" s="277"/>
    </row>
    <row r="8" spans="1:16" ht="21.95" customHeight="1">
      <c r="A8" s="278" t="s">
        <v>343</v>
      </c>
      <c r="B8" s="279">
        <v>58793305</v>
      </c>
      <c r="C8" s="280">
        <f>SUMIFS('16년3추 일입'!$N$7:$N$51,'16년3추 일입'!$A$7:$A$51,$A8)+SUMIFS('16년 3추특입'!$N$7:$N$35,'16년 3추특입'!$A$7:$A$35,$A8)</f>
        <v>0</v>
      </c>
      <c r="D8" s="280">
        <f>SUMIFS('16년3추 일입'!$O$7:$O$51,'16년3추 일입'!$A$7:$A$51,$A8)+SUMIFS('16년 3추특입'!$O$7:$O$35,'16년 3추특입'!$A$7:$A$35,$A8)</f>
        <v>0</v>
      </c>
      <c r="E8" s="280">
        <f t="shared" ref="E8:E17" si="3">C8+D8</f>
        <v>0</v>
      </c>
      <c r="F8" s="280">
        <f>SUMIFS('16년 3추일출'!$N$7:$N$200,'16년 3추일출'!$A$7:$A$200,$A8)+SUMIFS('16년 3추특출'!$N$7:$N$100,'16년 3추특출'!$A$7:$A$100,$A8)</f>
        <v>-70000</v>
      </c>
      <c r="G8" s="280">
        <f>SUMIFS('16년 3추일출'!$O$7:$O$200,'16년 3추일출'!$A$7:$A$200,$A8)+SUMIFS('16년 3추특출'!$O$7:$O$100,'16년 3추특출'!$A$7:$A$100,$A8)</f>
        <v>0</v>
      </c>
      <c r="H8" s="281">
        <f>F8+G8</f>
        <v>-70000</v>
      </c>
      <c r="I8" s="281">
        <f t="shared" ref="I8:I17" si="4">E8+H8</f>
        <v>-70000</v>
      </c>
      <c r="J8" s="282">
        <f t="shared" ref="J8:J17" si="5">B8+F8+G8</f>
        <v>58723305</v>
      </c>
      <c r="K8" s="274"/>
      <c r="L8" s="283" t="s">
        <v>419</v>
      </c>
      <c r="M8" s="259">
        <f>SUM(C24:D24)</f>
        <v>64242035</v>
      </c>
      <c r="N8" s="259">
        <f t="shared" ref="N8:N9" si="6">SUM(F24:G24)</f>
        <v>64242035</v>
      </c>
      <c r="O8" s="259">
        <f>M8-N8</f>
        <v>0</v>
      </c>
      <c r="P8" s="542"/>
    </row>
    <row r="9" spans="1:16" ht="21.95" customHeight="1">
      <c r="A9" s="278" t="s">
        <v>344</v>
      </c>
      <c r="B9" s="279">
        <v>6944547374</v>
      </c>
      <c r="C9" s="280">
        <f>SUMIFS('16년3추 일입'!$N$7:$N$51,'16년3추 일입'!$A$7:$A$51,$A9)+SUMIFS('16년 3추특입'!$N$7:$N$35,'16년 3추특입'!$A$7:$A$35,$A9)</f>
        <v>0</v>
      </c>
      <c r="D9" s="280">
        <f>SUMIFS('16년3추 일입'!$O$7:$O$51,'16년3추 일입'!$A$7:$A$51,$A9)+SUMIFS('16년 3추특입'!$O$7:$O$35,'16년 3추특입'!$A$7:$A$35,$A9)</f>
        <v>13772000</v>
      </c>
      <c r="E9" s="280">
        <f t="shared" si="3"/>
        <v>13772000</v>
      </c>
      <c r="F9" s="280">
        <f>SUMIFS('16년 3추일출'!$N$7:$N$200,'16년 3추일출'!$A$7:$A$200,$A9)+SUMIFS('16년 3추특출'!$N$7:$N$100,'16년 3추특출'!$A$7:$A$100,$A9)</f>
        <v>-73360</v>
      </c>
      <c r="G9" s="280">
        <f>SUMIFS('16년 3추일출'!$O$7:$O$200,'16년 3추일출'!$A$7:$A$200,$A9)+SUMIFS('16년 3추특출'!$O$7:$O$100,'16년 3추특출'!$A$7:$A$100,$A9)</f>
        <v>21730772</v>
      </c>
      <c r="H9" s="281">
        <f>F9+G9</f>
        <v>21657412</v>
      </c>
      <c r="I9" s="281">
        <f t="shared" si="4"/>
        <v>35429412</v>
      </c>
      <c r="J9" s="282">
        <f t="shared" si="5"/>
        <v>6966204786</v>
      </c>
      <c r="K9" s="274"/>
      <c r="L9" s="283" t="s">
        <v>420</v>
      </c>
      <c r="M9" s="259">
        <f t="shared" ref="M9" si="7">SUM(C25:D25)</f>
        <v>24835936</v>
      </c>
      <c r="N9" s="259">
        <f t="shared" si="6"/>
        <v>24835936</v>
      </c>
      <c r="O9" s="259">
        <f>M9-N9</f>
        <v>0</v>
      </c>
      <c r="P9" s="543"/>
    </row>
    <row r="10" spans="1:16" ht="21.95" customHeight="1">
      <c r="A10" s="278" t="s">
        <v>345</v>
      </c>
      <c r="B10" s="279">
        <v>540014874</v>
      </c>
      <c r="C10" s="280">
        <f>SUMIFS('16년3추 일입'!$N$7:$N$51,'16년3추 일입'!$A$7:$A$51,$A10)+SUMIFS('16년 3추특입'!$N$7:$N$35,'16년 3추특입'!$A$7:$A$35,$A10)</f>
        <v>0</v>
      </c>
      <c r="D10" s="280">
        <f>SUMIFS('16년3추 일입'!$O$7:$O$51,'16년3추 일입'!$A$7:$A$51,$A10)+SUMIFS('16년 3추특입'!$O$7:$O$35,'16년 3추특입'!$A$7:$A$35,$A10)</f>
        <v>0</v>
      </c>
      <c r="E10" s="280">
        <f t="shared" si="3"/>
        <v>0</v>
      </c>
      <c r="F10" s="280">
        <f>SUMIFS('16년 3추일출'!$N$7:$N$200,'16년 3추일출'!$A$7:$A$200,$A10)+SUMIFS('16년 3추특출'!$N$7:$N$100,'16년 3추특출'!$A$7:$A$100,$A10)</f>
        <v>-4000000</v>
      </c>
      <c r="G10" s="280">
        <f>SUMIFS('16년 3추일출'!$O$7:$O$200,'16년 3추일출'!$A$7:$A$200,$A10)+SUMIFS('16년 3추특출'!$O$7:$O$100,'16년 3추특출'!$A$7:$A$100,$A10)</f>
        <v>2650000</v>
      </c>
      <c r="H10" s="281">
        <f t="shared" ref="H10:H17" si="8">F10+G10</f>
        <v>-1350000</v>
      </c>
      <c r="I10" s="281">
        <f t="shared" si="4"/>
        <v>-1350000</v>
      </c>
      <c r="J10" s="282">
        <f t="shared" si="5"/>
        <v>538664874</v>
      </c>
      <c r="K10" s="274"/>
    </row>
    <row r="11" spans="1:16" ht="21.95" customHeight="1">
      <c r="A11" s="278" t="s">
        <v>91</v>
      </c>
      <c r="B11" s="279">
        <v>1512341160</v>
      </c>
      <c r="C11" s="280">
        <f>SUMIFS('16년3추 일입'!$N$7:$N$51,'16년3추 일입'!$A$7:$A$51,$A11)+SUMIFS('16년 3추특입'!$N$7:$N$35,'16년 3추특입'!$A$7:$A$35,$A11)</f>
        <v>-4236</v>
      </c>
      <c r="D11" s="280">
        <f>SUMIFS('16년3추 일입'!$O$7:$O$51,'16년3추 일입'!$A$7:$A$51,$A11)+SUMIFS('16년 3추특입'!$O$7:$O$35,'16년 3추특입'!$A$7:$A$35,$A11)</f>
        <v>77000</v>
      </c>
      <c r="E11" s="280">
        <f t="shared" si="3"/>
        <v>72764</v>
      </c>
      <c r="F11" s="280">
        <f>SUMIFS('16년 3추일출'!$N$7:$N$200,'16년 3추일출'!$A$7:$A$200,$A11)+SUMIFS('16년 3추특출'!$N$7:$N$100,'16년 3추특출'!$A$7:$A$100,$A11)</f>
        <v>-250000</v>
      </c>
      <c r="G11" s="280">
        <f>SUMIFS('16년 3추일출'!$O$7:$O$200,'16년 3추일출'!$A$7:$A$200,$A11)+SUMIFS('16년 3추특출'!$O$7:$O$100,'16년 3추특출'!$A$7:$A$100,$A11)</f>
        <v>901843</v>
      </c>
      <c r="H11" s="281">
        <f t="shared" si="8"/>
        <v>651843</v>
      </c>
      <c r="I11" s="281">
        <f t="shared" si="4"/>
        <v>724607</v>
      </c>
      <c r="J11" s="282">
        <f t="shared" si="5"/>
        <v>1512993003</v>
      </c>
      <c r="K11" s="274"/>
      <c r="L11" s="284"/>
      <c r="M11" s="284"/>
      <c r="N11" s="284"/>
      <c r="O11" s="263"/>
    </row>
    <row r="12" spans="1:16" ht="21.95" customHeight="1">
      <c r="A12" s="278" t="s">
        <v>346</v>
      </c>
      <c r="B12" s="279">
        <v>445965367</v>
      </c>
      <c r="C12" s="280">
        <f>SUMIFS('16년3추 일입'!$N$7:$N$51,'16년3추 일입'!$A$7:$A$51,$A12)+SUMIFS('16년 3추특입'!$N$7:$N$35,'16년 3추특입'!$A$7:$A$35,$A12)</f>
        <v>0</v>
      </c>
      <c r="D12" s="280">
        <f>SUMIFS('16년3추 일입'!$O$7:$O$51,'16년3추 일입'!$A$7:$A$51,$A12)+SUMIFS('16년 3추특입'!$O$7:$O$35,'16년 3추특입'!$A$7:$A$35,$A12)</f>
        <v>0</v>
      </c>
      <c r="E12" s="280">
        <f t="shared" si="3"/>
        <v>0</v>
      </c>
      <c r="F12" s="280">
        <f>SUMIFS('16년 3추일출'!$N$7:$N$200,'16년 3추일출'!$A$7:$A$200,$A12)+SUMIFS('16년 3추특출'!$N$7:$N$100,'16년 3추특출'!$A$7:$A$100,$A12)</f>
        <v>0</v>
      </c>
      <c r="G12" s="280">
        <f>SUMIFS('16년 3추일출'!$O$7:$O$200,'16년 3추일출'!$A$7:$A$200,$A12)+SUMIFS('16년 3추특출'!$O$7:$O$100,'16년 3추특출'!$A$7:$A$100,$A12)</f>
        <v>240000</v>
      </c>
      <c r="H12" s="281">
        <f t="shared" si="8"/>
        <v>240000</v>
      </c>
      <c r="I12" s="281">
        <f t="shared" si="4"/>
        <v>240000</v>
      </c>
      <c r="J12" s="282">
        <f t="shared" si="5"/>
        <v>446205367</v>
      </c>
      <c r="K12" s="274"/>
      <c r="L12" s="283"/>
      <c r="M12" s="285"/>
      <c r="N12" s="285"/>
      <c r="O12" s="285"/>
    </row>
    <row r="13" spans="1:16" ht="21.95" customHeight="1">
      <c r="A13" s="278" t="s">
        <v>92</v>
      </c>
      <c r="B13" s="279">
        <v>538304870</v>
      </c>
      <c r="C13" s="280">
        <f>SUMIFS('16년3추 일입'!$N$7:$N$51,'16년3추 일입'!$A$7:$A$51,$A13)+SUMIFS('16년 3추특입'!$N$7:$N$35,'16년 3추특입'!$A$7:$A$35,$A13)</f>
        <v>-4159</v>
      </c>
      <c r="D13" s="280">
        <f>SUMIFS('16년3추 일입'!$O$7:$O$51,'16년3추 일입'!$A$7:$A$51,$A13)+SUMIFS('16년 3추특입'!$O$7:$O$35,'16년 3추특입'!$A$7:$A$35,$A13)</f>
        <v>3854402</v>
      </c>
      <c r="E13" s="280">
        <f t="shared" si="3"/>
        <v>3850243</v>
      </c>
      <c r="F13" s="280">
        <f>SUMIFS('16년 3추일출'!$N$7:$N$200,'16년 3추일출'!$A$7:$A$200,$A13)+SUMIFS('16년 3추특출'!$N$7:$N$100,'16년 3추특출'!$A$7:$A$100,$A13)</f>
        <v>-126594</v>
      </c>
      <c r="G13" s="280">
        <f>SUMIFS('16년 3추일출'!$O$7:$O$200,'16년 3추일출'!$A$7:$A$200,$A13)+SUMIFS('16년 3추특출'!$O$7:$O$100,'16년 3추특출'!$A$7:$A$100,$A13)</f>
        <v>4320157</v>
      </c>
      <c r="H13" s="281">
        <f t="shared" si="8"/>
        <v>4193563</v>
      </c>
      <c r="I13" s="281">
        <f t="shared" si="4"/>
        <v>8043806</v>
      </c>
      <c r="J13" s="282">
        <f t="shared" si="5"/>
        <v>542498433</v>
      </c>
      <c r="K13" s="274"/>
      <c r="L13" s="283"/>
      <c r="M13" s="259"/>
      <c r="N13" s="259"/>
      <c r="O13" s="259"/>
    </row>
    <row r="14" spans="1:16" ht="21.95" customHeight="1">
      <c r="A14" s="278" t="s">
        <v>93</v>
      </c>
      <c r="B14" s="279">
        <v>4056409346</v>
      </c>
      <c r="C14" s="280">
        <f>SUMIFS('16년3추 일입'!$N$7:$N$51,'16년3추 일입'!$A$7:$A$51,$A14)+SUMIFS('16년 3추특입'!$N$7:$N$35,'16년 3추특입'!$A$7:$A$35,$A14)</f>
        <v>-55000</v>
      </c>
      <c r="D14" s="280">
        <f>SUMIFS('16년3추 일입'!$O$7:$O$51,'16년3추 일입'!$A$7:$A$51,$A14)+SUMIFS('16년 3추특입'!$O$7:$O$35,'16년 3추특입'!$A$7:$A$35,$A14)</f>
        <v>51236165</v>
      </c>
      <c r="E14" s="280">
        <f t="shared" si="3"/>
        <v>51181165</v>
      </c>
      <c r="F14" s="280">
        <f>SUMIFS('16년 3추일출'!$N$7:$N$200,'16년 3추일출'!$A$7:$A$200,$A14)+SUMIFS('16년 3추특출'!$N$7:$N$100,'16년 3추특출'!$A$7:$A$100,$A14)</f>
        <v>-474685</v>
      </c>
      <c r="G14" s="280">
        <f>SUMIFS('16년 3추일출'!$O$7:$O$200,'16년 3추일출'!$A$7:$A$200,$A14)+SUMIFS('16년 3추특출'!$O$7:$O$100,'16년 3추특출'!$A$7:$A$100,$A14)</f>
        <v>58258618</v>
      </c>
      <c r="H14" s="281">
        <f t="shared" si="8"/>
        <v>57783933</v>
      </c>
      <c r="I14" s="281">
        <f t="shared" si="4"/>
        <v>108965098</v>
      </c>
      <c r="J14" s="282">
        <f t="shared" si="5"/>
        <v>4114193279</v>
      </c>
      <c r="K14" s="274"/>
      <c r="L14" s="286"/>
      <c r="M14" s="286"/>
      <c r="N14" s="286"/>
      <c r="O14" s="286"/>
    </row>
    <row r="15" spans="1:16" ht="21.95" customHeight="1">
      <c r="A15" s="278" t="s">
        <v>347</v>
      </c>
      <c r="B15" s="279">
        <v>1594913939</v>
      </c>
      <c r="C15" s="280">
        <f>SUMIFS('16년3추 일입'!$N$7:$N$51,'16년3추 일입'!$A$7:$A$51,$A15)+SUMIFS('16년 3추특입'!$N$7:$N$35,'16년 3추특입'!$A$7:$A$35,$A15)</f>
        <v>0</v>
      </c>
      <c r="D15" s="280">
        <f>SUMIFS('16년3추 일입'!$O$7:$O$51,'16년3추 일입'!$A$7:$A$51,$A15)+SUMIFS('16년 3추특입'!$O$7:$O$35,'16년 3추특입'!$A$7:$A$35,$A15)</f>
        <v>800000</v>
      </c>
      <c r="E15" s="280">
        <f t="shared" si="3"/>
        <v>800000</v>
      </c>
      <c r="F15" s="280">
        <f>SUMIFS('16년 3추일출'!$N$7:$N$200,'16년 3추일출'!$A$7:$A$200,$A15)+SUMIFS('16년 3추특출'!$N$7:$N$100,'16년 3추특출'!$A$7:$A$100,$A15)</f>
        <v>-4650000</v>
      </c>
      <c r="G15" s="280">
        <f>SUMIFS('16년 3추일출'!$O$7:$O$200,'16년 3추일출'!$A$7:$A$200,$A15)+SUMIFS('16년 3추특출'!$O$7:$O$100,'16년 3추특출'!$A$7:$A$100,$A15)</f>
        <v>4078200</v>
      </c>
      <c r="H15" s="281">
        <f t="shared" si="8"/>
        <v>-571800</v>
      </c>
      <c r="I15" s="281">
        <f t="shared" si="4"/>
        <v>228200</v>
      </c>
      <c r="J15" s="282">
        <f t="shared" si="5"/>
        <v>1594342139</v>
      </c>
      <c r="K15" s="274"/>
      <c r="L15" s="286"/>
      <c r="M15" s="287"/>
      <c r="N15" s="287"/>
      <c r="O15" s="287"/>
    </row>
    <row r="16" spans="1:16" ht="21.95" customHeight="1">
      <c r="A16" s="288" t="s">
        <v>348</v>
      </c>
      <c r="B16" s="279">
        <v>1046847091</v>
      </c>
      <c r="C16" s="280">
        <f>SUMIFS('16년3추 일입'!$N$7:$N$51,'16년3추 일입'!$A$7:$A$51,$A16)+SUMIFS('16년 3추특입'!$N$7:$N$35,'16년 3추특입'!$A$7:$A$35,$A16)</f>
        <v>-413744</v>
      </c>
      <c r="D16" s="280">
        <f>SUMIFS('16년3추 일입'!$O$7:$O$51,'16년3추 일입'!$A$7:$A$51,$A16)+SUMIFS('16년 3추특입'!$O$7:$O$35,'16년 3추특입'!$A$7:$A$35,$A16)</f>
        <v>54000</v>
      </c>
      <c r="E16" s="280">
        <f t="shared" si="3"/>
        <v>-359744</v>
      </c>
      <c r="F16" s="280">
        <f>SUMIFS('16년 3추일출'!$N$7:$N$200,'16년 3추일출'!$A$7:$A$200,$A16)+SUMIFS('16년 3추특출'!$N$7:$N$100,'16년 3추특출'!$A$7:$A$100,$A16)</f>
        <v>-200000</v>
      </c>
      <c r="G16" s="280">
        <f>SUMIFS('16년 3추일출'!$O$7:$O$200,'16년 3추일출'!$A$7:$A$200,$A16)+SUMIFS('16년 3추특출'!$O$7:$O$100,'16년 3추특출'!$A$7:$A$100,$A16)</f>
        <v>754000</v>
      </c>
      <c r="H16" s="281">
        <f t="shared" si="8"/>
        <v>554000</v>
      </c>
      <c r="I16" s="281">
        <f t="shared" si="4"/>
        <v>194256</v>
      </c>
      <c r="J16" s="282">
        <f t="shared" si="5"/>
        <v>1047401091</v>
      </c>
      <c r="K16" s="274"/>
      <c r="L16" s="289"/>
      <c r="M16" s="290"/>
      <c r="N16" s="289"/>
      <c r="O16" s="289"/>
    </row>
    <row r="17" spans="1:16" s="296" customFormat="1" ht="21.95" customHeight="1" thickBot="1">
      <c r="A17" s="291" t="s">
        <v>349</v>
      </c>
      <c r="B17" s="292">
        <v>5570448639</v>
      </c>
      <c r="C17" s="292">
        <f>SUMIFS('16년3추 일입'!$N$7:$N$51,'16년3추 일입'!$A$7:$A$51,$A17)+SUMIFS('16년 3추특입'!$N$7:$N$35,'16년 3추특입'!$A$7:$A$35,$A17)</f>
        <v>-2649</v>
      </c>
      <c r="D17" s="292">
        <f>SUMIFS('16년3추 일입'!$O$7:$O$51,'16년3추 일입'!$A$7:$A$51,$A17)+SUMIFS('16년 3추특입'!$O$7:$O$35,'16년 3추특입'!$A$7:$A$35,$A17)</f>
        <v>19764192</v>
      </c>
      <c r="E17" s="292">
        <f t="shared" si="3"/>
        <v>19761543</v>
      </c>
      <c r="F17" s="292">
        <f>SUMIFS('16년 3추일출'!$N$7:$N$200,'16년 3추일출'!$A$7:$A$200,$A17)+SUMIFS('16년 3추특출'!$N$7:$N$100,'16년 3추특출'!$A$7:$A$100,$A17)</f>
        <v>-18836967</v>
      </c>
      <c r="G17" s="292">
        <f>SUMIFS('16년 3추일출'!$O$7:$O$200,'16년 3추일출'!$A$7:$A$200,$A17)+SUMIFS('16년 3추특출'!$O$7:$O$100,'16년 3추특출'!$A$7:$A$100,$A17)</f>
        <v>24825987</v>
      </c>
      <c r="H17" s="293">
        <f t="shared" si="8"/>
        <v>5989020</v>
      </c>
      <c r="I17" s="293">
        <f t="shared" si="4"/>
        <v>25750563</v>
      </c>
      <c r="J17" s="294">
        <f t="shared" si="5"/>
        <v>5576437659</v>
      </c>
      <c r="K17" s="274"/>
      <c r="L17" s="295"/>
      <c r="M17" s="295"/>
      <c r="N17" s="295"/>
      <c r="O17" s="295"/>
    </row>
    <row r="18" spans="1:16" ht="20.100000000000001" customHeight="1">
      <c r="L18" s="289"/>
      <c r="M18" s="289"/>
      <c r="N18" s="289"/>
      <c r="O18" s="289"/>
    </row>
    <row r="19" spans="1:16" ht="20.100000000000001" customHeight="1">
      <c r="A19" s="257" t="s">
        <v>421</v>
      </c>
      <c r="L19" s="289"/>
      <c r="M19" s="289"/>
      <c r="N19" s="289"/>
      <c r="O19" s="289"/>
    </row>
    <row r="20" spans="1:16" ht="15" customHeight="1" thickBot="1">
      <c r="J20" s="263" t="s">
        <v>77</v>
      </c>
      <c r="K20" s="264"/>
      <c r="L20" s="289"/>
      <c r="M20" s="290"/>
      <c r="N20" s="289"/>
      <c r="O20" s="289"/>
    </row>
    <row r="21" spans="1:16" ht="18" customHeight="1">
      <c r="A21" s="544" t="s">
        <v>408</v>
      </c>
      <c r="B21" s="546" t="s">
        <v>409</v>
      </c>
      <c r="C21" s="550" t="s">
        <v>410</v>
      </c>
      <c r="D21" s="551"/>
      <c r="E21" s="552"/>
      <c r="F21" s="550" t="s">
        <v>411</v>
      </c>
      <c r="G21" s="551"/>
      <c r="H21" s="552"/>
      <c r="I21" s="553" t="s">
        <v>476</v>
      </c>
      <c r="J21" s="548" t="s">
        <v>412</v>
      </c>
      <c r="K21" s="265"/>
      <c r="L21" s="297"/>
      <c r="M21" s="295"/>
      <c r="N21" s="298"/>
      <c r="O21" s="289"/>
    </row>
    <row r="22" spans="1:16" ht="18" customHeight="1">
      <c r="A22" s="545"/>
      <c r="B22" s="547"/>
      <c r="C22" s="268" t="s">
        <v>414</v>
      </c>
      <c r="D22" s="268" t="s">
        <v>415</v>
      </c>
      <c r="E22" s="268" t="s">
        <v>475</v>
      </c>
      <c r="F22" s="268" t="s">
        <v>414</v>
      </c>
      <c r="G22" s="268" t="s">
        <v>415</v>
      </c>
      <c r="H22" s="268" t="s">
        <v>475</v>
      </c>
      <c r="I22" s="554"/>
      <c r="J22" s="549"/>
      <c r="K22" s="265"/>
      <c r="L22" s="299"/>
      <c r="M22" s="297"/>
      <c r="N22" s="298"/>
      <c r="O22" s="289"/>
    </row>
    <row r="23" spans="1:16" ht="21.95" customHeight="1">
      <c r="A23" s="270" t="s">
        <v>418</v>
      </c>
      <c r="B23" s="271">
        <f>SUM(B24:B25)</f>
        <v>22308585965</v>
      </c>
      <c r="C23" s="271">
        <f t="shared" ref="C23:J23" si="9">SUM(C24:C25)</f>
        <v>-479788</v>
      </c>
      <c r="D23" s="271">
        <f t="shared" ref="D23:E23" si="10">SUM(D24:D25)</f>
        <v>89557759</v>
      </c>
      <c r="E23" s="271">
        <f t="shared" si="10"/>
        <v>89077971</v>
      </c>
      <c r="F23" s="271">
        <f t="shared" si="9"/>
        <v>-28681606</v>
      </c>
      <c r="G23" s="271">
        <f t="shared" ref="G23" si="11">SUM(G24:G25)</f>
        <v>117759577</v>
      </c>
      <c r="H23" s="272">
        <f t="shared" ref="H23:I23" si="12">SUM(H24:H25)</f>
        <v>89077971</v>
      </c>
      <c r="I23" s="272">
        <f t="shared" si="12"/>
        <v>178155942</v>
      </c>
      <c r="J23" s="273">
        <f t="shared" si="9"/>
        <v>22397663936</v>
      </c>
      <c r="K23" s="274"/>
      <c r="L23" s="298"/>
      <c r="M23" s="298"/>
      <c r="N23" s="298"/>
      <c r="O23" s="289"/>
    </row>
    <row r="24" spans="1:16" ht="21.95" customHeight="1">
      <c r="A24" s="278" t="s">
        <v>419</v>
      </c>
      <c r="B24" s="280">
        <v>17796092289</v>
      </c>
      <c r="C24" s="280">
        <f>'16년3추 일입'!N6</f>
        <v>-479788</v>
      </c>
      <c r="D24" s="280">
        <f>'16년3추 일입'!O6</f>
        <v>64721823</v>
      </c>
      <c r="E24" s="280">
        <f t="shared" ref="E24:E25" si="13">C24+D24</f>
        <v>64242035</v>
      </c>
      <c r="F24" s="280">
        <f>'16년 3추일출'!N6</f>
        <v>-28681606</v>
      </c>
      <c r="G24" s="280">
        <f>'16년 3추일출'!O6</f>
        <v>92923641</v>
      </c>
      <c r="H24" s="281">
        <f t="shared" ref="H24:H25" si="14">F24+G24</f>
        <v>64242035</v>
      </c>
      <c r="I24" s="281">
        <f t="shared" ref="I24:I25" si="15">E24+H24</f>
        <v>128484070</v>
      </c>
      <c r="J24" s="282">
        <f>B24+F24+G24</f>
        <v>17860334324</v>
      </c>
      <c r="K24" s="274"/>
      <c r="L24" s="298"/>
      <c r="M24" s="298"/>
      <c r="N24" s="298"/>
      <c r="O24" s="289"/>
    </row>
    <row r="25" spans="1:16" ht="21.95" customHeight="1" thickBot="1">
      <c r="A25" s="291" t="s">
        <v>422</v>
      </c>
      <c r="B25" s="292">
        <v>4512493676</v>
      </c>
      <c r="C25" s="292">
        <f>'16년 3추특입'!N6</f>
        <v>0</v>
      </c>
      <c r="D25" s="292">
        <f>'16년 3추특입'!O6</f>
        <v>24835936</v>
      </c>
      <c r="E25" s="292">
        <f t="shared" si="13"/>
        <v>24835936</v>
      </c>
      <c r="F25" s="292">
        <f>'16년 3추특출'!N6</f>
        <v>0</v>
      </c>
      <c r="G25" s="292">
        <f>'16년 3추특출'!O6</f>
        <v>24835936</v>
      </c>
      <c r="H25" s="293">
        <f t="shared" si="14"/>
        <v>24835936</v>
      </c>
      <c r="I25" s="293">
        <f t="shared" si="15"/>
        <v>49671872</v>
      </c>
      <c r="J25" s="294">
        <f t="shared" ref="J25" si="16">B25+F25+G25</f>
        <v>4537329612</v>
      </c>
      <c r="K25" s="274"/>
      <c r="L25" s="298"/>
      <c r="M25" s="298"/>
      <c r="N25" s="298"/>
      <c r="O25" s="289"/>
    </row>
    <row r="26" spans="1:16" ht="20.100000000000001" customHeight="1">
      <c r="E26" s="300">
        <f>SUM('16년3추 일입'!AB6:AC6)-'16년 3추총괄표'!E24</f>
        <v>0</v>
      </c>
      <c r="H26" s="300">
        <f>SUM('16년 3추일출'!AD6:AE6)-'16년 3추총괄표'!H24</f>
        <v>0</v>
      </c>
      <c r="L26" s="289"/>
      <c r="M26" s="290"/>
      <c r="N26" s="289"/>
      <c r="O26" s="289"/>
    </row>
    <row r="27" spans="1:16" ht="20.100000000000001" customHeight="1">
      <c r="L27" s="289"/>
      <c r="M27" s="289"/>
      <c r="N27" s="289"/>
      <c r="O27" s="289"/>
    </row>
    <row r="28" spans="1:16" ht="20.100000000000001" hidden="1" customHeight="1">
      <c r="A28" s="266" t="s">
        <v>423</v>
      </c>
      <c r="L28" s="289"/>
      <c r="M28" s="289"/>
      <c r="N28" s="289"/>
      <c r="O28" s="289"/>
    </row>
    <row r="29" spans="1:16" ht="20.100000000000001" hidden="1" customHeight="1">
      <c r="A29" s="269" t="s">
        <v>424</v>
      </c>
      <c r="B29" s="269" t="s">
        <v>425</v>
      </c>
      <c r="C29" s="269" t="s">
        <v>426</v>
      </c>
      <c r="D29" s="269" t="s">
        <v>427</v>
      </c>
      <c r="E29" s="269" t="s">
        <v>428</v>
      </c>
      <c r="F29" s="269" t="s">
        <v>429</v>
      </c>
      <c r="G29" s="301"/>
      <c r="H29" s="301"/>
      <c r="J29" s="256"/>
      <c r="K29" s="302"/>
      <c r="L29" s="302"/>
      <c r="M29" s="302"/>
      <c r="N29" s="302"/>
      <c r="O29" s="301"/>
      <c r="P29" s="301"/>
    </row>
    <row r="30" spans="1:16" ht="20.100000000000001" hidden="1" customHeight="1">
      <c r="A30" s="275" t="s">
        <v>425</v>
      </c>
      <c r="B30" s="271">
        <f>SUM(B31:B40)</f>
        <v>22308585965</v>
      </c>
      <c r="C30" s="271">
        <f t="shared" ref="C30:F30" si="17">SUM(C31:C40)</f>
        <v>19214397896</v>
      </c>
      <c r="D30" s="271">
        <f t="shared" si="17"/>
        <v>17796092289</v>
      </c>
      <c r="E30" s="271">
        <f t="shared" si="17"/>
        <v>1418305607</v>
      </c>
      <c r="F30" s="271">
        <f t="shared" si="17"/>
        <v>3094188069</v>
      </c>
      <c r="G30" s="274"/>
      <c r="H30" s="274"/>
      <c r="J30" s="256"/>
      <c r="K30" s="302"/>
      <c r="L30" s="303"/>
      <c r="M30" s="303"/>
      <c r="N30" s="303"/>
      <c r="O30" s="274"/>
      <c r="P30" s="274"/>
    </row>
    <row r="31" spans="1:16" ht="20.100000000000001" hidden="1" customHeight="1">
      <c r="A31" s="304" t="s">
        <v>430</v>
      </c>
      <c r="B31" s="259">
        <f t="shared" ref="B31:B40" si="18">SUM(D31+E31+F31)</f>
        <v>58793305</v>
      </c>
      <c r="C31" s="259">
        <f t="shared" ref="C31:C40" si="19">SUM(D31:E31)</f>
        <v>58793305</v>
      </c>
      <c r="D31" s="305">
        <v>58793305</v>
      </c>
      <c r="E31" s="305"/>
      <c r="F31" s="305"/>
      <c r="G31" s="306"/>
      <c r="H31" s="306"/>
      <c r="J31" s="256"/>
      <c r="K31" s="307"/>
      <c r="L31" s="308"/>
      <c r="M31" s="308"/>
      <c r="N31" s="308"/>
      <c r="O31" s="260"/>
      <c r="P31" s="260"/>
    </row>
    <row r="32" spans="1:16" ht="20.100000000000001" hidden="1" customHeight="1">
      <c r="A32" s="304" t="s">
        <v>431</v>
      </c>
      <c r="B32" s="259">
        <f t="shared" si="18"/>
        <v>6944547374</v>
      </c>
      <c r="C32" s="259">
        <f t="shared" si="19"/>
        <v>4191829498</v>
      </c>
      <c r="D32" s="305">
        <v>4144049246</v>
      </c>
      <c r="E32" s="305">
        <v>47780252</v>
      </c>
      <c r="F32" s="305">
        <v>2752717876</v>
      </c>
      <c r="G32" s="306"/>
      <c r="H32" s="306"/>
      <c r="J32" s="256"/>
      <c r="K32" s="307"/>
      <c r="L32" s="308"/>
      <c r="M32" s="308"/>
      <c r="N32" s="308"/>
      <c r="O32" s="260"/>
      <c r="P32" s="260"/>
    </row>
    <row r="33" spans="1:16" ht="20.100000000000001" hidden="1" customHeight="1">
      <c r="A33" s="304" t="s">
        <v>432</v>
      </c>
      <c r="B33" s="259">
        <f t="shared" si="18"/>
        <v>540014874</v>
      </c>
      <c r="C33" s="259">
        <f t="shared" si="19"/>
        <v>316723623</v>
      </c>
      <c r="D33" s="305">
        <v>316723623</v>
      </c>
      <c r="E33" s="305"/>
      <c r="F33" s="305">
        <v>223291251</v>
      </c>
      <c r="G33" s="260"/>
      <c r="H33" s="260"/>
      <c r="J33" s="256"/>
      <c r="K33" s="307"/>
      <c r="L33" s="308"/>
      <c r="M33" s="308"/>
      <c r="N33" s="308"/>
      <c r="O33" s="260"/>
      <c r="P33" s="260"/>
    </row>
    <row r="34" spans="1:16" ht="20.100000000000001" hidden="1" customHeight="1">
      <c r="A34" s="304" t="s">
        <v>433</v>
      </c>
      <c r="B34" s="259">
        <f t="shared" si="18"/>
        <v>1512341160</v>
      </c>
      <c r="C34" s="259">
        <f t="shared" si="19"/>
        <v>1512341160</v>
      </c>
      <c r="D34" s="305">
        <v>1512341160</v>
      </c>
      <c r="E34" s="305"/>
      <c r="F34" s="305"/>
      <c r="G34" s="260"/>
      <c r="H34" s="260"/>
      <c r="J34" s="256"/>
      <c r="K34" s="307"/>
      <c r="L34" s="308"/>
      <c r="M34" s="308"/>
      <c r="N34" s="308"/>
      <c r="O34" s="260"/>
      <c r="P34" s="260"/>
    </row>
    <row r="35" spans="1:16" ht="20.100000000000001" hidden="1" customHeight="1">
      <c r="A35" s="304" t="s">
        <v>434</v>
      </c>
      <c r="B35" s="259">
        <f t="shared" si="18"/>
        <v>445965367</v>
      </c>
      <c r="C35" s="259">
        <f t="shared" si="19"/>
        <v>347286425</v>
      </c>
      <c r="D35" s="305">
        <v>347286425</v>
      </c>
      <c r="E35" s="305"/>
      <c r="F35" s="305">
        <v>98678942</v>
      </c>
      <c r="G35" s="260"/>
      <c r="H35" s="260"/>
      <c r="J35" s="256"/>
      <c r="K35" s="307"/>
      <c r="L35" s="308"/>
      <c r="M35" s="308"/>
      <c r="N35" s="308"/>
      <c r="O35" s="260"/>
      <c r="P35" s="260"/>
    </row>
    <row r="36" spans="1:16" ht="20.100000000000001" hidden="1" customHeight="1">
      <c r="A36" s="304" t="s">
        <v>435</v>
      </c>
      <c r="B36" s="259">
        <f t="shared" si="18"/>
        <v>538304870</v>
      </c>
      <c r="C36" s="259">
        <f t="shared" si="19"/>
        <v>538304870</v>
      </c>
      <c r="D36" s="305">
        <v>538304870</v>
      </c>
      <c r="E36" s="305"/>
      <c r="F36" s="305"/>
      <c r="G36" s="260"/>
      <c r="H36" s="260"/>
      <c r="J36" s="256"/>
      <c r="K36" s="307"/>
      <c r="L36" s="308"/>
      <c r="M36" s="308"/>
      <c r="N36" s="308"/>
      <c r="O36" s="260"/>
      <c r="P36" s="260"/>
    </row>
    <row r="37" spans="1:16" ht="20.100000000000001" hidden="1" customHeight="1">
      <c r="A37" s="304" t="s">
        <v>436</v>
      </c>
      <c r="B37" s="259">
        <f t="shared" si="18"/>
        <v>4056409346</v>
      </c>
      <c r="C37" s="259">
        <f t="shared" si="19"/>
        <v>4056409346</v>
      </c>
      <c r="D37" s="305">
        <v>3125312720</v>
      </c>
      <c r="E37" s="305">
        <v>931096626</v>
      </c>
      <c r="F37" s="305"/>
      <c r="G37" s="260"/>
      <c r="H37" s="260"/>
      <c r="J37" s="256"/>
      <c r="K37" s="307"/>
      <c r="L37" s="308"/>
      <c r="M37" s="308"/>
      <c r="N37" s="308"/>
      <c r="O37" s="260"/>
      <c r="P37" s="260"/>
    </row>
    <row r="38" spans="1:16" ht="20.100000000000001" hidden="1" customHeight="1">
      <c r="A38" s="304" t="s">
        <v>437</v>
      </c>
      <c r="B38" s="259">
        <f t="shared" si="18"/>
        <v>1594913939</v>
      </c>
      <c r="C38" s="259">
        <f t="shared" si="19"/>
        <v>1594913939</v>
      </c>
      <c r="D38" s="305">
        <v>1480986012</v>
      </c>
      <c r="E38" s="305">
        <f>113718000+209927</f>
        <v>113927927</v>
      </c>
      <c r="F38" s="305"/>
      <c r="G38" s="260"/>
      <c r="H38" s="260"/>
      <c r="J38" s="256"/>
      <c r="K38" s="307"/>
      <c r="L38" s="308"/>
      <c r="M38" s="308"/>
      <c r="N38" s="308"/>
      <c r="O38" s="260"/>
      <c r="P38" s="260"/>
    </row>
    <row r="39" spans="1:16" ht="20.100000000000001" hidden="1" customHeight="1">
      <c r="A39" s="304" t="s">
        <v>438</v>
      </c>
      <c r="B39" s="259">
        <f t="shared" si="18"/>
        <v>1046847091</v>
      </c>
      <c r="C39" s="259">
        <f t="shared" si="19"/>
        <v>1027347091</v>
      </c>
      <c r="D39" s="305">
        <v>1007872189</v>
      </c>
      <c r="E39" s="305">
        <f>4610477+14864425</f>
        <v>19474902</v>
      </c>
      <c r="F39" s="305">
        <v>19500000</v>
      </c>
      <c r="G39" s="260"/>
      <c r="H39" s="260"/>
      <c r="J39" s="256"/>
      <c r="K39" s="307"/>
      <c r="L39" s="308"/>
      <c r="M39" s="308"/>
      <c r="N39" s="308"/>
      <c r="O39" s="260"/>
      <c r="P39" s="260"/>
    </row>
    <row r="40" spans="1:16" ht="20.100000000000001" hidden="1" customHeight="1">
      <c r="A40" s="304" t="s">
        <v>349</v>
      </c>
      <c r="B40" s="259">
        <f t="shared" si="18"/>
        <v>5570448639</v>
      </c>
      <c r="C40" s="259">
        <f t="shared" si="19"/>
        <v>5570448639</v>
      </c>
      <c r="D40" s="305">
        <v>5264422739</v>
      </c>
      <c r="E40" s="305">
        <v>306025900</v>
      </c>
      <c r="F40" s="305"/>
      <c r="G40" s="260"/>
      <c r="H40" s="260"/>
      <c r="J40" s="256"/>
      <c r="K40" s="307"/>
      <c r="L40" s="308"/>
      <c r="M40" s="308"/>
      <c r="N40" s="308"/>
      <c r="O40" s="260"/>
      <c r="P40" s="260"/>
    </row>
    <row r="41" spans="1:16" ht="20.100000000000001" customHeight="1">
      <c r="L41" s="289"/>
      <c r="M41" s="289"/>
      <c r="N41" s="289"/>
      <c r="O41" s="289"/>
    </row>
    <row r="42" spans="1:16" ht="20.100000000000001" hidden="1" customHeight="1">
      <c r="A42" s="309" t="s">
        <v>439</v>
      </c>
      <c r="B42" s="259"/>
      <c r="C42" s="259"/>
      <c r="L42" s="289"/>
      <c r="M42" s="289"/>
      <c r="N42" s="289"/>
      <c r="O42" s="289"/>
    </row>
    <row r="43" spans="1:16" ht="20.100000000000001" customHeight="1">
      <c r="B43" s="300"/>
      <c r="L43" s="289"/>
      <c r="M43" s="289"/>
      <c r="N43" s="289"/>
      <c r="O43" s="289"/>
    </row>
    <row r="44" spans="1:16" ht="20.100000000000001" customHeight="1">
      <c r="L44" s="289"/>
      <c r="M44" s="289"/>
      <c r="N44" s="289"/>
      <c r="O44" s="289"/>
    </row>
    <row r="45" spans="1:16" ht="20.100000000000001" customHeight="1">
      <c r="L45" s="289"/>
      <c r="M45" s="289"/>
      <c r="N45" s="289"/>
      <c r="O45" s="289"/>
    </row>
    <row r="46" spans="1:16" ht="20.100000000000001" customHeight="1">
      <c r="L46" s="289"/>
      <c r="M46" s="289"/>
      <c r="N46" s="290"/>
      <c r="O46" s="289"/>
    </row>
    <row r="47" spans="1:16" ht="20.100000000000001" customHeight="1">
      <c r="L47" s="289"/>
      <c r="M47" s="289"/>
      <c r="N47" s="289"/>
      <c r="O47" s="289"/>
    </row>
    <row r="48" spans="1:16" ht="20.100000000000001" customHeight="1">
      <c r="L48" s="289"/>
      <c r="M48" s="289"/>
      <c r="N48" s="289"/>
      <c r="O48" s="289"/>
    </row>
    <row r="49" spans="12:15" ht="20.100000000000001" customHeight="1">
      <c r="L49" s="289"/>
      <c r="M49" s="289"/>
      <c r="N49" s="289"/>
      <c r="O49" s="289"/>
    </row>
    <row r="50" spans="12:15" ht="20.100000000000001" customHeight="1">
      <c r="L50" s="289"/>
      <c r="M50" s="289"/>
      <c r="N50" s="289"/>
      <c r="O50" s="289"/>
    </row>
    <row r="51" spans="12:15" ht="20.100000000000001" customHeight="1">
      <c r="L51" s="289"/>
      <c r="M51" s="289"/>
      <c r="N51" s="289"/>
      <c r="O51" s="289"/>
    </row>
    <row r="52" spans="12:15" ht="20.100000000000001" customHeight="1">
      <c r="L52" s="289"/>
      <c r="M52" s="289"/>
      <c r="N52" s="289"/>
      <c r="O52" s="289"/>
    </row>
    <row r="53" spans="12:15" ht="20.100000000000001" customHeight="1">
      <c r="L53" s="289"/>
      <c r="M53" s="289"/>
      <c r="N53" s="289"/>
      <c r="O53" s="289"/>
    </row>
    <row r="54" spans="12:15" ht="20.100000000000001" customHeight="1">
      <c r="L54" s="289"/>
      <c r="M54" s="289"/>
      <c r="N54" s="289"/>
      <c r="O54" s="289"/>
    </row>
    <row r="55" spans="12:15" ht="20.100000000000001" customHeight="1">
      <c r="L55" s="289"/>
      <c r="M55" s="289"/>
      <c r="N55" s="289"/>
      <c r="O55" s="289"/>
    </row>
    <row r="56" spans="12:15" ht="20.100000000000001" customHeight="1">
      <c r="L56" s="289"/>
      <c r="M56" s="289"/>
      <c r="N56" s="289"/>
      <c r="O56" s="289"/>
    </row>
    <row r="57" spans="12:15" ht="20.100000000000001" customHeight="1">
      <c r="L57" s="289"/>
      <c r="M57" s="289"/>
      <c r="N57" s="289"/>
      <c r="O57" s="289"/>
    </row>
    <row r="58" spans="12:15" ht="20.100000000000001" customHeight="1">
      <c r="L58" s="289"/>
      <c r="M58" s="289"/>
      <c r="N58" s="289"/>
      <c r="O58" s="289"/>
    </row>
    <row r="59" spans="12:15" ht="20.100000000000001" customHeight="1">
      <c r="L59" s="289"/>
      <c r="M59" s="289"/>
      <c r="N59" s="289"/>
      <c r="O59" s="289"/>
    </row>
    <row r="60" spans="12:15" ht="20.100000000000001" customHeight="1">
      <c r="L60" s="289"/>
      <c r="M60" s="289"/>
      <c r="N60" s="289"/>
      <c r="O60" s="289"/>
    </row>
    <row r="61" spans="12:15" ht="20.100000000000001" customHeight="1">
      <c r="L61" s="289"/>
      <c r="M61" s="289"/>
      <c r="N61" s="289"/>
      <c r="O61" s="289"/>
    </row>
    <row r="62" spans="12:15" ht="20.100000000000001" customHeight="1">
      <c r="L62" s="289"/>
      <c r="M62" s="289"/>
      <c r="N62" s="289"/>
      <c r="O62" s="289"/>
    </row>
    <row r="63" spans="12:15" ht="20.100000000000001" customHeight="1">
      <c r="L63" s="289"/>
      <c r="M63" s="289"/>
      <c r="N63" s="289"/>
      <c r="O63" s="289"/>
    </row>
    <row r="64" spans="12:15" ht="20.100000000000001" customHeight="1">
      <c r="L64" s="289"/>
      <c r="M64" s="289"/>
      <c r="N64" s="289"/>
      <c r="O64" s="289"/>
    </row>
    <row r="65" spans="12:15" ht="20.100000000000001" customHeight="1">
      <c r="L65" s="289"/>
      <c r="M65" s="289"/>
      <c r="N65" s="289"/>
      <c r="O65" s="289"/>
    </row>
    <row r="66" spans="12:15" ht="20.100000000000001" customHeight="1">
      <c r="L66" s="289"/>
      <c r="M66" s="289"/>
      <c r="N66" s="289"/>
      <c r="O66" s="289"/>
    </row>
  </sheetData>
  <sheetProtection algorithmName="SHA-512" hashValue="7xL+LKfwsjw5uG5qnP4jRHvqnCxn6ZT1BaoM8lNr6ARVo37GtqNaCobBtjDhRFkoYuRD8Z0FBdMz2gMb+A8ERQ==" saltValue="AscVp7bmvbCtB9acjo+MHw==" spinCount="100000" sheet="1" objects="1" scenarios="1"/>
  <mergeCells count="13">
    <mergeCell ref="A21:A22"/>
    <mergeCell ref="B21:B22"/>
    <mergeCell ref="J21:J22"/>
    <mergeCell ref="C21:E21"/>
    <mergeCell ref="F21:H21"/>
    <mergeCell ref="I21:I22"/>
    <mergeCell ref="P8:P9"/>
    <mergeCell ref="A5:A6"/>
    <mergeCell ref="B5:B6"/>
    <mergeCell ref="J5:J6"/>
    <mergeCell ref="F5:H5"/>
    <mergeCell ref="C5:E5"/>
    <mergeCell ref="I5:I6"/>
  </mergeCells>
  <phoneticPr fontId="2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S51"/>
  <sheetViews>
    <sheetView showGridLines="0" view="pageBreakPreview" zoomScale="70" zoomScaleNormal="80" zoomScaleSheetLayoutView="70" workbookViewId="0">
      <selection sqref="A1:T1"/>
    </sheetView>
  </sheetViews>
  <sheetFormatPr defaultColWidth="8.75" defaultRowHeight="13.5"/>
  <cols>
    <col min="1" max="1" width="12.75" style="310" customWidth="1"/>
    <col min="2" max="2" width="12" style="310" customWidth="1"/>
    <col min="3" max="3" width="12.25" style="310" customWidth="1"/>
    <col min="4" max="4" width="7.625" style="312" customWidth="1"/>
    <col min="5" max="6" width="7.125" style="312" customWidth="1"/>
    <col min="7" max="7" width="35.75" style="310" customWidth="1"/>
    <col min="8" max="16" width="11.625" style="310" customWidth="1"/>
    <col min="17" max="17" width="8.375" style="312" hidden="1" customWidth="1"/>
    <col min="18" max="19" width="37.625" style="310" hidden="1" customWidth="1"/>
    <col min="20" max="20" width="37.625" style="310" customWidth="1"/>
    <col min="21" max="21" width="3" style="310" customWidth="1"/>
    <col min="22" max="22" width="6.125" style="311" hidden="1" customWidth="1"/>
    <col min="23" max="23" width="11.625" style="310" hidden="1" customWidth="1"/>
    <col min="24" max="24" width="11.125" style="310" hidden="1" customWidth="1"/>
    <col min="25" max="25" width="6" style="312" hidden="1" customWidth="1"/>
    <col min="26" max="26" width="3" style="310" hidden="1" customWidth="1"/>
    <col min="27" max="27" width="6.125" style="313" hidden="1" customWidth="1"/>
    <col min="28" max="28" width="11.625" style="310" hidden="1" customWidth="1"/>
    <col min="29" max="29" width="11.125" style="310" hidden="1" customWidth="1"/>
    <col min="30" max="30" width="6" style="312" hidden="1" customWidth="1"/>
    <col min="31" max="31" width="3" style="310" hidden="1" customWidth="1"/>
    <col min="32" max="32" width="9.375" style="314" hidden="1" customWidth="1"/>
    <col min="33" max="33" width="3" style="310" hidden="1" customWidth="1"/>
    <col min="34" max="34" width="9.375" style="315" hidden="1" customWidth="1"/>
    <col min="35" max="35" width="3" style="310" hidden="1" customWidth="1"/>
    <col min="36" max="36" width="6.125" style="312" hidden="1" customWidth="1"/>
    <col min="37" max="37" width="3" style="310" hidden="1" customWidth="1"/>
    <col min="38" max="38" width="11.625" style="312" hidden="1" customWidth="1"/>
    <col min="39" max="39" width="5.625" style="312" hidden="1" customWidth="1"/>
    <col min="40" max="40" width="5.625" style="316" hidden="1" customWidth="1"/>
    <col min="41" max="41" width="3" style="310" hidden="1" customWidth="1"/>
    <col min="42" max="42" width="11.625" style="312" hidden="1" customWidth="1"/>
    <col min="43" max="43" width="5.625" style="312" hidden="1" customWidth="1"/>
    <col min="44" max="44" width="5.625" style="316" hidden="1" customWidth="1"/>
    <col min="45" max="45" width="8.75" style="310" hidden="1" customWidth="1"/>
    <col min="46" max="47" width="0" style="310" hidden="1" customWidth="1"/>
    <col min="48" max="16384" width="8.75" style="310"/>
  </cols>
  <sheetData>
    <row r="1" spans="1:45" ht="32.25" customHeight="1">
      <c r="A1" s="557" t="s">
        <v>447</v>
      </c>
      <c r="B1" s="557"/>
      <c r="C1" s="557"/>
      <c r="D1" s="557"/>
      <c r="E1" s="557"/>
      <c r="F1" s="557"/>
      <c r="G1" s="557"/>
      <c r="H1" s="557"/>
      <c r="I1" s="557"/>
      <c r="J1" s="557"/>
      <c r="K1" s="557"/>
      <c r="L1" s="557"/>
      <c r="M1" s="557"/>
      <c r="N1" s="557"/>
      <c r="O1" s="557"/>
      <c r="P1" s="557"/>
      <c r="Q1" s="557"/>
      <c r="R1" s="557"/>
      <c r="S1" s="557"/>
      <c r="T1" s="557"/>
    </row>
    <row r="2" spans="1:45" ht="20.25">
      <c r="A2" s="317" t="s">
        <v>6</v>
      </c>
      <c r="B2" s="317"/>
      <c r="C2" s="317"/>
      <c r="D2" s="318"/>
      <c r="E2" s="318"/>
      <c r="F2" s="318"/>
      <c r="G2" s="317"/>
      <c r="N2" s="319"/>
      <c r="O2" s="319"/>
      <c r="W2" s="319" t="s">
        <v>71</v>
      </c>
      <c r="X2" s="320"/>
      <c r="AB2" s="319" t="s">
        <v>71</v>
      </c>
      <c r="AC2" s="320"/>
    </row>
    <row r="3" spans="1:45" ht="20.25">
      <c r="K3" s="321">
        <f>COUNTA(K7:K51)</f>
        <v>4</v>
      </c>
      <c r="L3" s="321">
        <f>COUNTA(L7:L51)</f>
        <v>13</v>
      </c>
      <c r="M3" s="322"/>
      <c r="N3" s="321">
        <f>COUNTA(N7:N51)</f>
        <v>6</v>
      </c>
      <c r="O3" s="321">
        <f>COUNTA(O7:O51)</f>
        <v>34</v>
      </c>
      <c r="P3" s="311"/>
      <c r="Q3" s="323"/>
      <c r="R3" s="324"/>
      <c r="S3" s="324" t="s">
        <v>8</v>
      </c>
      <c r="T3" s="324" t="s">
        <v>8</v>
      </c>
      <c r="W3" s="320" t="str">
        <f>IF(W6='16년 3추일출'!$Y$6,"OK","@@")</f>
        <v>OK</v>
      </c>
      <c r="X3" s="310">
        <f>SUM(W6:X6)</f>
        <v>10491056</v>
      </c>
      <c r="Y3" s="320" t="str">
        <f>IF(COUNTIF(Y6:Y873,"@@")&gt;0,"@@","OK")</f>
        <v>OK</v>
      </c>
      <c r="AB3" s="320" t="str">
        <f>IF(AB6='16년 3추일출'!$AD$6,"OK","@@")</f>
        <v>OK</v>
      </c>
      <c r="AC3" s="310">
        <f>SUM(AB6:AC6)</f>
        <v>64242035</v>
      </c>
      <c r="AD3" s="320" t="str">
        <f>IF(COUNTIF(AD6:AD873,"@@")&gt;0,"@@","OK")</f>
        <v>OK</v>
      </c>
      <c r="AH3" s="325"/>
      <c r="AL3" s="320" t="str">
        <f>IF(W6=AL6,"OK","@@")</f>
        <v>OK</v>
      </c>
      <c r="AP3" s="320" t="str">
        <f>IF(AB6=AP6,"OK","@@")</f>
        <v>OK</v>
      </c>
    </row>
    <row r="4" spans="1:45" ht="30" customHeight="1">
      <c r="A4" s="558" t="s">
        <v>362</v>
      </c>
      <c r="B4" s="558" t="s">
        <v>115</v>
      </c>
      <c r="C4" s="558" t="s">
        <v>4</v>
      </c>
      <c r="D4" s="555" t="s">
        <v>116</v>
      </c>
      <c r="E4" s="555" t="s">
        <v>403</v>
      </c>
      <c r="F4" s="561" t="s">
        <v>404</v>
      </c>
      <c r="G4" s="558" t="s">
        <v>1019</v>
      </c>
      <c r="H4" s="561" t="s">
        <v>471</v>
      </c>
      <c r="I4" s="555" t="s">
        <v>440</v>
      </c>
      <c r="J4" s="555" t="s">
        <v>472</v>
      </c>
      <c r="K4" s="563" t="s">
        <v>378</v>
      </c>
      <c r="L4" s="564"/>
      <c r="M4" s="565" t="s">
        <v>441</v>
      </c>
      <c r="N4" s="567" t="s">
        <v>379</v>
      </c>
      <c r="O4" s="568"/>
      <c r="P4" s="569" t="s">
        <v>442</v>
      </c>
      <c r="Q4" s="571" t="s">
        <v>405</v>
      </c>
      <c r="R4" s="562" t="s">
        <v>1114</v>
      </c>
      <c r="S4" s="562" t="s">
        <v>1115</v>
      </c>
      <c r="T4" s="562" t="s">
        <v>1310</v>
      </c>
      <c r="V4" s="576" t="s">
        <v>5</v>
      </c>
      <c r="W4" s="578" t="s">
        <v>7</v>
      </c>
      <c r="X4" s="564"/>
      <c r="Y4" s="564"/>
      <c r="AA4" s="579" t="s">
        <v>5</v>
      </c>
      <c r="AB4" s="568" t="s">
        <v>78</v>
      </c>
      <c r="AC4" s="568"/>
      <c r="AD4" s="568"/>
      <c r="AF4" s="574" t="s">
        <v>393</v>
      </c>
      <c r="AH4" s="581" t="s">
        <v>394</v>
      </c>
      <c r="AJ4" s="581" t="s">
        <v>392</v>
      </c>
      <c r="AL4" s="572" t="s">
        <v>398</v>
      </c>
      <c r="AM4" s="572"/>
      <c r="AN4" s="572"/>
      <c r="AP4" s="573" t="s">
        <v>401</v>
      </c>
      <c r="AQ4" s="573"/>
      <c r="AR4" s="573"/>
    </row>
    <row r="5" spans="1:45" ht="18" customHeight="1">
      <c r="A5" s="559"/>
      <c r="B5" s="559"/>
      <c r="C5" s="559"/>
      <c r="D5" s="559"/>
      <c r="E5" s="560"/>
      <c r="F5" s="561"/>
      <c r="G5" s="559"/>
      <c r="H5" s="562"/>
      <c r="I5" s="556"/>
      <c r="J5" s="556"/>
      <c r="K5" s="326" t="s">
        <v>0</v>
      </c>
      <c r="L5" s="326" t="s">
        <v>1</v>
      </c>
      <c r="M5" s="566"/>
      <c r="N5" s="327" t="s">
        <v>0</v>
      </c>
      <c r="O5" s="327" t="s">
        <v>1</v>
      </c>
      <c r="P5" s="570"/>
      <c r="Q5" s="571"/>
      <c r="R5" s="562"/>
      <c r="S5" s="562"/>
      <c r="T5" s="562"/>
      <c r="V5" s="577"/>
      <c r="W5" s="326" t="s">
        <v>3</v>
      </c>
      <c r="X5" s="326" t="s">
        <v>2</v>
      </c>
      <c r="Y5" s="326" t="s">
        <v>76</v>
      </c>
      <c r="AA5" s="580"/>
      <c r="AB5" s="327" t="s">
        <v>3</v>
      </c>
      <c r="AC5" s="327" t="s">
        <v>2</v>
      </c>
      <c r="AD5" s="327" t="s">
        <v>76</v>
      </c>
      <c r="AF5" s="575"/>
      <c r="AH5" s="582"/>
      <c r="AJ5" s="582"/>
      <c r="AL5" s="328" t="s">
        <v>399</v>
      </c>
      <c r="AM5" s="328" t="s">
        <v>400</v>
      </c>
      <c r="AN5" s="328" t="s">
        <v>402</v>
      </c>
      <c r="AP5" s="329" t="s">
        <v>399</v>
      </c>
      <c r="AQ5" s="329" t="s">
        <v>400</v>
      </c>
      <c r="AR5" s="329" t="s">
        <v>402</v>
      </c>
    </row>
    <row r="6" spans="1:45" ht="39.950000000000003" customHeight="1">
      <c r="A6" s="330"/>
      <c r="B6" s="330"/>
      <c r="C6" s="331"/>
      <c r="D6" s="330"/>
      <c r="E6" s="330"/>
      <c r="F6" s="332"/>
      <c r="G6" s="330"/>
      <c r="H6" s="333">
        <f t="shared" ref="H6:P6" si="0">SUM(H7:H51)</f>
        <v>2267438810</v>
      </c>
      <c r="I6" s="333">
        <f t="shared" si="0"/>
        <v>2196853994</v>
      </c>
      <c r="J6" s="333">
        <f t="shared" si="0"/>
        <v>70584816</v>
      </c>
      <c r="K6" s="333">
        <f t="shared" si="0"/>
        <v>-424728</v>
      </c>
      <c r="L6" s="333">
        <f t="shared" si="0"/>
        <v>10915784</v>
      </c>
      <c r="M6" s="333">
        <f t="shared" si="0"/>
        <v>2277929866</v>
      </c>
      <c r="N6" s="333">
        <f t="shared" si="0"/>
        <v>-479788</v>
      </c>
      <c r="O6" s="333">
        <f>SUM(O7:O51)</f>
        <v>64721823</v>
      </c>
      <c r="P6" s="333">
        <f t="shared" si="0"/>
        <v>2331680845</v>
      </c>
      <c r="Q6" s="334"/>
      <c r="R6" s="335"/>
      <c r="S6" s="335"/>
      <c r="T6" s="335"/>
      <c r="V6" s="336"/>
      <c r="W6" s="337">
        <f>SUBTOTAL(9,W7:W785)</f>
        <v>10704901</v>
      </c>
      <c r="X6" s="337">
        <f>SUBTOTAL(9,X7:X785)</f>
        <v>-213845</v>
      </c>
      <c r="Y6" s="338" t="str">
        <f>IF((K6+L6)=(W6+X6),"OK","검토")</f>
        <v>OK</v>
      </c>
      <c r="AA6" s="339"/>
      <c r="AB6" s="337">
        <f>SUBTOTAL(9,AB7:AB785)</f>
        <v>50683880</v>
      </c>
      <c r="AC6" s="337">
        <f>SUBTOTAL(9,AC7:AC785)</f>
        <v>13558155</v>
      </c>
      <c r="AD6" s="338" t="str">
        <f>IF((N6+O6)=(AB6+AC6),"OK","검토")</f>
        <v>OK</v>
      </c>
      <c r="AF6" s="340"/>
      <c r="AH6" s="341"/>
      <c r="AJ6" s="342"/>
      <c r="AL6" s="337">
        <f>SUBTOTAL(9,AL7:AL785)</f>
        <v>10704901</v>
      </c>
      <c r="AM6" s="341">
        <f>SUBTOTAL(9,AM7:AM51)</f>
        <v>61</v>
      </c>
      <c r="AN6" s="343" t="str">
        <f>IF(COUNTIF($AN$7:$AN$9896,"@@")&gt;0,"@@","OK")</f>
        <v>OK</v>
      </c>
      <c r="AP6" s="337">
        <f>SUBTOTAL(9,AP7:AP785)</f>
        <v>50683880</v>
      </c>
      <c r="AQ6" s="341">
        <f>SUBTOTAL(9,AQ7:AQ51)</f>
        <v>61</v>
      </c>
      <c r="AR6" s="343" t="str">
        <f>IF(COUNTIF($AR$7:$AR$9896,"@@")&gt;0,"@@","OK")</f>
        <v>@@</v>
      </c>
    </row>
    <row r="7" spans="1:45" ht="39.950000000000003" customHeight="1">
      <c r="A7" s="344" t="s">
        <v>517</v>
      </c>
      <c r="B7" s="345" t="s">
        <v>513</v>
      </c>
      <c r="C7" s="346" t="s">
        <v>514</v>
      </c>
      <c r="D7" s="347" t="s">
        <v>499</v>
      </c>
      <c r="E7" s="347"/>
      <c r="F7" s="347"/>
      <c r="G7" s="348" t="s">
        <v>1015</v>
      </c>
      <c r="H7" s="349">
        <v>0</v>
      </c>
      <c r="I7" s="349">
        <v>0</v>
      </c>
      <c r="J7" s="349">
        <f t="shared" ref="J7:J51" si="1">IF(D7="","",H7-I7)</f>
        <v>0</v>
      </c>
      <c r="K7" s="350"/>
      <c r="L7" s="350">
        <v>77000</v>
      </c>
      <c r="M7" s="349">
        <f t="shared" ref="M7:M51" si="2">H7+K7+L7</f>
        <v>77000</v>
      </c>
      <c r="N7" s="350"/>
      <c r="O7" s="350">
        <v>77000</v>
      </c>
      <c r="P7" s="349">
        <f t="shared" ref="P7:P51" si="3">H7+N7+O7</f>
        <v>77000</v>
      </c>
      <c r="Q7" s="351"/>
      <c r="R7" s="352"/>
      <c r="S7" s="352"/>
      <c r="T7" s="352"/>
      <c r="U7" s="353"/>
      <c r="V7" s="354" t="s">
        <v>1016</v>
      </c>
      <c r="W7" s="350">
        <f>IF($V7&lt;&gt;"도비",IF($AF7="국도비","직접입력",SUM($K7:$L7)),)</f>
        <v>77000</v>
      </c>
      <c r="X7" s="350">
        <f t="shared" ref="X7:X51" si="4">IF($V7="도비",SUM($K7:$L7),IF($AF7="국도비","직접입력",SUM($K7:$L7)-$W7))</f>
        <v>0</v>
      </c>
      <c r="Y7" s="355" t="str">
        <f t="shared" ref="Y7:Y51" si="5">IF($AF7="국도비","ok",IF(($K7+$L7)=($W7+$X7),"ok","검토"))</f>
        <v>ok</v>
      </c>
      <c r="Z7" s="353"/>
      <c r="AA7" s="356" t="str">
        <f t="shared" ref="AA7:AA10" si="6">$V7</f>
        <v>특교</v>
      </c>
      <c r="AB7" s="350">
        <f t="shared" ref="AB7:AB51" si="7">IF($AA7&lt;&gt;"도비",IF($AF7="국도비","직접입력",SUM($N7:$O7)),)</f>
        <v>77000</v>
      </c>
      <c r="AC7" s="350">
        <f t="shared" ref="AC7:AC51" si="8">IF($AA7="도비",SUM($N7:$O7),IF($AF7="국도비","직접입력",SUM($N7:$O7)-$AB7))</f>
        <v>0</v>
      </c>
      <c r="AD7" s="355" t="str">
        <f t="shared" ref="AD7:AD51" si="9">IF($AF7="국도비","ok",IF(($N7+$O7)=($AB7+$AC7),"ok","검토"))</f>
        <v>ok</v>
      </c>
      <c r="AE7" s="354"/>
      <c r="AF7" s="357" t="str">
        <f>IF(AH7="","",IF($V7="도비","세입없음",$AH7&amp;"-"&amp;TEXT(COUNTIF(AH$7:AH7,AH$7:AH7),"00")))</f>
        <v>0416-01</v>
      </c>
      <c r="AG7" s="353"/>
      <c r="AH7" s="358" t="str">
        <f t="array" ref="AH7">IFERROR(IF($C7="","",INDEX(구분표!$I$2:$I$1001,MATCH(1,(구분표!$B$2:$B$1001='16년3추 일입'!$A7)*(구분표!$C$2:$C$1001='16년3추 일입'!$B7)*(구분표!$A$2:$A$1001='16년3추 일입'!$C7),0))),"@@")</f>
        <v>0416</v>
      </c>
      <c r="AI7" s="354"/>
      <c r="AJ7" s="359"/>
      <c r="AK7" s="354"/>
      <c r="AL7" s="360">
        <f>IF(AF7="","",SUMIFS('16년 3추일출'!$Y$14:$Y$9322,'16년 3추일출'!$AH$14:$AH$9322,'16년3추 일입'!$AF7))</f>
        <v>77000</v>
      </c>
      <c r="AM7" s="359">
        <f>IF(AF7="","",IF(AF7="세입없음","",COUNTIF('16년 3추일출'!$AH$14:$AH$9322,'16년3추 일입'!$AF7)))</f>
        <v>1</v>
      </c>
      <c r="AN7" s="361" t="str">
        <f t="shared" ref="AN7:AN51" si="10">IF(W7=0,"OK",IF(W7=AL7,"OK","@@"))</f>
        <v>OK</v>
      </c>
      <c r="AO7" s="354"/>
      <c r="AP7" s="360">
        <f>IF(AF7="","",SUMIFS('16년 3추일출'!$AD$7:$AD$9322,'16년 3추일출'!$AH$7:$AH$9322,'16년3추 일입'!$AF7))</f>
        <v>77000</v>
      </c>
      <c r="AQ7" s="359">
        <f>IF(AF7="","",IF(AF7="세입없음","",COUNTIF('16년 3추일출'!$AH$14:$AH$9322,'16년3추 일입'!$AF7)))</f>
        <v>1</v>
      </c>
      <c r="AR7" s="361" t="str">
        <f t="shared" ref="AR7:AR51" si="11">IF(AB7=0,"OK",IF(AB7=AP7,"OK","@@"))</f>
        <v>OK</v>
      </c>
      <c r="AS7" s="310">
        <f>SUM(N7:O7)-SUM(AB7:AC7)</f>
        <v>0</v>
      </c>
    </row>
    <row r="8" spans="1:45" ht="39.950000000000003" customHeight="1">
      <c r="A8" s="344" t="s">
        <v>517</v>
      </c>
      <c r="B8" s="345" t="s">
        <v>515</v>
      </c>
      <c r="C8" s="362" t="s">
        <v>516</v>
      </c>
      <c r="D8" s="363" t="s">
        <v>480</v>
      </c>
      <c r="E8" s="363">
        <v>382</v>
      </c>
      <c r="F8" s="363">
        <v>23</v>
      </c>
      <c r="G8" s="364" t="s">
        <v>1010</v>
      </c>
      <c r="H8" s="349">
        <v>7218</v>
      </c>
      <c r="I8" s="349">
        <v>0</v>
      </c>
      <c r="J8" s="349">
        <f t="shared" si="1"/>
        <v>7218</v>
      </c>
      <c r="K8" s="350">
        <v>-4236</v>
      </c>
      <c r="L8" s="350"/>
      <c r="M8" s="349">
        <f t="shared" si="2"/>
        <v>2982</v>
      </c>
      <c r="N8" s="350">
        <v>-4236</v>
      </c>
      <c r="O8" s="350"/>
      <c r="P8" s="349">
        <f t="shared" si="3"/>
        <v>2982</v>
      </c>
      <c r="Q8" s="365"/>
      <c r="R8" s="352"/>
      <c r="S8" s="352"/>
      <c r="T8" s="352"/>
      <c r="U8" s="353"/>
      <c r="V8" s="354" t="s">
        <v>490</v>
      </c>
      <c r="W8" s="350">
        <f t="shared" ref="W8" si="12">IF($V8&lt;&gt;"도비",IF($AF8="국도비","직접입력",SUM($K8:$L8)),)</f>
        <v>0</v>
      </c>
      <c r="X8" s="350">
        <f t="shared" si="4"/>
        <v>-4236</v>
      </c>
      <c r="Y8" s="355" t="str">
        <f t="shared" si="5"/>
        <v>ok</v>
      </c>
      <c r="Z8" s="353"/>
      <c r="AA8" s="356" t="str">
        <f t="shared" si="6"/>
        <v>도비</v>
      </c>
      <c r="AB8" s="350">
        <f t="shared" si="7"/>
        <v>0</v>
      </c>
      <c r="AC8" s="350">
        <f t="shared" si="8"/>
        <v>-4236</v>
      </c>
      <c r="AD8" s="355" t="str">
        <f t="shared" si="9"/>
        <v>ok</v>
      </c>
      <c r="AE8" s="366"/>
      <c r="AF8" s="357" t="str">
        <f>IF(AH8="","",IF($V8="도비","세입없음",$AH8&amp;"-"&amp;TEXT(COUNTIF(AH$7:AH8,AH$7:AH8),"00")))</f>
        <v>세입없음</v>
      </c>
      <c r="AG8" s="353"/>
      <c r="AH8" s="358" t="str">
        <f t="array" ref="AH8">IFERROR(IF($C8="","",INDEX(구분표!$I$2:$I$1001,MATCH(1,(구분표!$B$2:$B$1001='16년3추 일입'!$A8)*(구분표!$C$2:$C$1001='16년3추 일입'!$B8)*(구분표!$A$2:$A$1001='16년3추 일입'!$C8),0))),"@@")</f>
        <v>0413</v>
      </c>
      <c r="AI8" s="366"/>
      <c r="AJ8" s="359"/>
      <c r="AK8" s="366"/>
      <c r="AL8" s="360">
        <f>IF(AF8="","",SUMIFS('16년 3추일출'!$Y$14:$Y$9322,'16년 3추일출'!$AH$14:$AH$9322,'16년3추 일입'!$AF8))</f>
        <v>0</v>
      </c>
      <c r="AM8" s="359" t="str">
        <f>IF(AF8="","",IF(AF8="세입없음","",COUNTIF('16년 3추일출'!$AH$14:$AH$9322,'16년3추 일입'!$AF8)))</f>
        <v/>
      </c>
      <c r="AN8" s="361" t="str">
        <f t="shared" si="10"/>
        <v>OK</v>
      </c>
      <c r="AO8" s="366"/>
      <c r="AP8" s="360">
        <f>IF(AF8="","",SUMIFS('16년 3추일출'!$AD$7:$AD$9322,'16년 3추일출'!$AH$7:$AH$9322,'16년3추 일입'!$AF8))</f>
        <v>0</v>
      </c>
      <c r="AQ8" s="359" t="str">
        <f>IF(AF8="","",IF(AF8="세입없음","",COUNTIF('16년 3추일출'!$AH$14:$AH$9322,'16년3추 일입'!$AF8)))</f>
        <v/>
      </c>
      <c r="AR8" s="361" t="str">
        <f t="shared" si="11"/>
        <v>OK</v>
      </c>
      <c r="AS8" s="310">
        <f t="shared" ref="AS8:AS51" si="13">SUM(N8:O8)-SUM(AB8:AC8)</f>
        <v>0</v>
      </c>
    </row>
    <row r="9" spans="1:45" ht="39.950000000000003" customHeight="1">
      <c r="A9" s="344" t="s">
        <v>492</v>
      </c>
      <c r="B9" s="345" t="s">
        <v>493</v>
      </c>
      <c r="C9" s="346" t="s">
        <v>493</v>
      </c>
      <c r="D9" s="347" t="s">
        <v>480</v>
      </c>
      <c r="E9" s="347">
        <v>757</v>
      </c>
      <c r="F9" s="347">
        <v>4</v>
      </c>
      <c r="G9" s="348" t="s">
        <v>495</v>
      </c>
      <c r="H9" s="349">
        <v>2722770</v>
      </c>
      <c r="I9" s="349"/>
      <c r="J9" s="349">
        <f t="shared" si="1"/>
        <v>2722770</v>
      </c>
      <c r="K9" s="350">
        <v>-413744</v>
      </c>
      <c r="L9" s="350"/>
      <c r="M9" s="349">
        <f t="shared" si="2"/>
        <v>2309026</v>
      </c>
      <c r="N9" s="350">
        <v>-413744</v>
      </c>
      <c r="O9" s="350"/>
      <c r="P9" s="349">
        <f t="shared" si="3"/>
        <v>2309026</v>
      </c>
      <c r="Q9" s="351"/>
      <c r="R9" s="352" t="s">
        <v>496</v>
      </c>
      <c r="S9" s="352" t="s">
        <v>496</v>
      </c>
      <c r="T9" s="352" t="s">
        <v>496</v>
      </c>
      <c r="U9" s="353"/>
      <c r="V9" s="354" t="s">
        <v>490</v>
      </c>
      <c r="W9" s="350"/>
      <c r="X9" s="350">
        <f t="shared" si="4"/>
        <v>-413744</v>
      </c>
      <c r="Y9" s="355" t="str">
        <f t="shared" si="5"/>
        <v>ok</v>
      </c>
      <c r="Z9" s="353"/>
      <c r="AA9" s="356" t="str">
        <f t="shared" si="6"/>
        <v>도비</v>
      </c>
      <c r="AB9" s="350">
        <f t="shared" si="7"/>
        <v>0</v>
      </c>
      <c r="AC9" s="350">
        <f t="shared" si="8"/>
        <v>-413744</v>
      </c>
      <c r="AD9" s="355" t="str">
        <f t="shared" si="9"/>
        <v>ok</v>
      </c>
      <c r="AE9" s="354"/>
      <c r="AF9" s="357" t="str">
        <f>IF(AH9="","",IF($V9="도비","세입없음",$AH9&amp;"-"&amp;TEXT(COUNTIF(AH$7:AH9,AH$7:AH9),"00")))</f>
        <v>세입없음</v>
      </c>
      <c r="AG9" s="353"/>
      <c r="AH9" s="358" t="str">
        <f t="array" ref="AH9">IFERROR(IF($C9="","",INDEX(구분표!$I$2:$I$1001,MATCH(1,(구분표!$B$2:$B$1001='16년3추 일입'!$A9)*(구분표!$C$2:$C$1001='16년3추 일입'!$B9)*(구분표!$A$2:$A$1001='16년3추 일입'!$C9),0))),"@@")</f>
        <v>0921</v>
      </c>
      <c r="AI9" s="354"/>
      <c r="AJ9" s="359"/>
      <c r="AK9" s="354"/>
      <c r="AL9" s="360">
        <f>IF(AF9="","",SUMIFS('16년 3추일출'!$Y$14:$Y$9322,'16년 3추일출'!$AH$14:$AH$9322,'16년3추 일입'!$AF9))</f>
        <v>0</v>
      </c>
      <c r="AM9" s="359" t="str">
        <f>IF(AF9="","",IF(AF9="세입없음","",COUNTIF('16년 3추일출'!$AH$14:$AH$9322,'16년3추 일입'!$AF9)))</f>
        <v/>
      </c>
      <c r="AN9" s="361" t="str">
        <f t="shared" si="10"/>
        <v>OK</v>
      </c>
      <c r="AO9" s="354"/>
      <c r="AP9" s="360">
        <f>IF(AF9="","",SUMIFS('16년 3추일출'!$AD$7:$AD$9322,'16년 3추일출'!$AH$7:$AH$9322,'16년3추 일입'!$AF9))</f>
        <v>0</v>
      </c>
      <c r="AQ9" s="359" t="str">
        <f>IF(AF9="","",IF(AF9="세입없음","",COUNTIF('16년 3추일출'!$AH$14:$AH$9322,'16년3추 일입'!$AF9)))</f>
        <v/>
      </c>
      <c r="AR9" s="361" t="str">
        <f t="shared" si="11"/>
        <v>OK</v>
      </c>
      <c r="AS9" s="310">
        <f t="shared" si="13"/>
        <v>0</v>
      </c>
    </row>
    <row r="10" spans="1:45" ht="39.950000000000003" customHeight="1">
      <c r="A10" s="344" t="s">
        <v>518</v>
      </c>
      <c r="B10" s="345" t="s">
        <v>519</v>
      </c>
      <c r="C10" s="346" t="s">
        <v>522</v>
      </c>
      <c r="D10" s="347" t="s">
        <v>480</v>
      </c>
      <c r="E10" s="347">
        <v>460</v>
      </c>
      <c r="F10" s="347">
        <v>36</v>
      </c>
      <c r="G10" s="348" t="s">
        <v>1002</v>
      </c>
      <c r="H10" s="349">
        <v>200000</v>
      </c>
      <c r="I10" s="349"/>
      <c r="J10" s="349">
        <f t="shared" si="1"/>
        <v>200000</v>
      </c>
      <c r="K10" s="350"/>
      <c r="L10" s="350"/>
      <c r="M10" s="349">
        <f t="shared" si="2"/>
        <v>200000</v>
      </c>
      <c r="N10" s="350"/>
      <c r="O10" s="350"/>
      <c r="P10" s="349">
        <f t="shared" si="3"/>
        <v>200000</v>
      </c>
      <c r="Q10" s="351"/>
      <c r="R10" s="352" t="s">
        <v>531</v>
      </c>
      <c r="S10" s="352" t="s">
        <v>531</v>
      </c>
      <c r="T10" s="390" t="s">
        <v>1313</v>
      </c>
      <c r="U10" s="353"/>
      <c r="V10" s="354" t="s">
        <v>526</v>
      </c>
      <c r="W10" s="350">
        <f>IF($V10&lt;&gt;"도비",IF($AF10="국도비","직접입력",SUM($K10:$L10)),)</f>
        <v>0</v>
      </c>
      <c r="X10" s="350">
        <f t="shared" ref="X10:X12" si="14">IF($V10="도비",SUM($K10:$L10),IF($AF10="국도비","직접입력",SUM($K10:$L10)-$W10))</f>
        <v>0</v>
      </c>
      <c r="Y10" s="355" t="str">
        <f t="shared" si="5"/>
        <v>ok</v>
      </c>
      <c r="Z10" s="353"/>
      <c r="AA10" s="356" t="str">
        <f t="shared" si="6"/>
        <v>기금</v>
      </c>
      <c r="AB10" s="350">
        <f t="shared" si="7"/>
        <v>0</v>
      </c>
      <c r="AC10" s="350">
        <f t="shared" si="8"/>
        <v>0</v>
      </c>
      <c r="AD10" s="355" t="str">
        <f t="shared" si="9"/>
        <v>ok</v>
      </c>
      <c r="AE10" s="354"/>
      <c r="AF10" s="357" t="str">
        <f>IF(AH10="","",IF($V10="도비","세입없음",$AH10&amp;"-"&amp;TEXT(COUNTIF(AH$7:AH10,AH$7:AH10),"00")))</f>
        <v>0504-01</v>
      </c>
      <c r="AG10" s="353"/>
      <c r="AH10" s="358" t="str">
        <f t="array" ref="AH10">IFERROR(IF($C10="","",INDEX(구분표!$I$2:$I$1001,MATCH(1,(구분표!$B$2:$B$1001='16년3추 일입'!$A10)*(구분표!$C$2:$C$1001='16년3추 일입'!$B10)*(구분표!$A$2:$A$1001='16년3추 일입'!$C10),0))),"@@")</f>
        <v>0504</v>
      </c>
      <c r="AI10" s="354"/>
      <c r="AJ10" s="359"/>
      <c r="AK10" s="354"/>
      <c r="AL10" s="360">
        <f>IF(AF10="","",SUMIFS('16년 3추일출'!$Y$14:$Y$9322,'16년 3추일출'!$AH$14:$AH$9322,'16년3추 일입'!$AF10))</f>
        <v>0</v>
      </c>
      <c r="AM10" s="359">
        <f>IF(AF10="","",IF(AF10="세입없음","",COUNTIF('16년 3추일출'!$AH$14:$AH$9322,'16년3추 일입'!$AF10)))</f>
        <v>1</v>
      </c>
      <c r="AN10" s="361" t="str">
        <f t="shared" si="10"/>
        <v>OK</v>
      </c>
      <c r="AO10" s="354"/>
      <c r="AP10" s="360">
        <f>IF(AF10="","",SUMIFS('16년 3추일출'!$AD$7:$AD$9322,'16년 3추일출'!$AH$7:$AH$9322,'16년3추 일입'!$AF10))</f>
        <v>0</v>
      </c>
      <c r="AQ10" s="359">
        <f>IF(AF10="","",IF(AF10="세입없음","",COUNTIF('16년 3추일출'!$AH$14:$AH$9322,'16년3추 일입'!$AF10)))</f>
        <v>1</v>
      </c>
      <c r="AR10" s="361" t="str">
        <f t="shared" si="11"/>
        <v>OK</v>
      </c>
      <c r="AS10" s="310">
        <f t="shared" si="13"/>
        <v>0</v>
      </c>
    </row>
    <row r="11" spans="1:45" ht="39.950000000000003" customHeight="1">
      <c r="A11" s="344" t="s">
        <v>532</v>
      </c>
      <c r="B11" s="367" t="s">
        <v>533</v>
      </c>
      <c r="C11" s="362" t="s">
        <v>534</v>
      </c>
      <c r="D11" s="363" t="s">
        <v>1001</v>
      </c>
      <c r="E11" s="363"/>
      <c r="F11" s="363"/>
      <c r="G11" s="348" t="s">
        <v>1003</v>
      </c>
      <c r="H11" s="349">
        <v>0</v>
      </c>
      <c r="I11" s="349">
        <v>0</v>
      </c>
      <c r="J11" s="349">
        <f t="shared" si="1"/>
        <v>0</v>
      </c>
      <c r="K11" s="350"/>
      <c r="L11" s="350">
        <v>800000</v>
      </c>
      <c r="M11" s="349">
        <f t="shared" si="2"/>
        <v>800000</v>
      </c>
      <c r="N11" s="350"/>
      <c r="O11" s="350">
        <v>800000</v>
      </c>
      <c r="P11" s="349">
        <f t="shared" si="3"/>
        <v>800000</v>
      </c>
      <c r="Q11" s="365"/>
      <c r="R11" s="352"/>
      <c r="S11" s="352"/>
      <c r="T11" s="352"/>
      <c r="U11" s="353"/>
      <c r="V11" s="354" t="s">
        <v>535</v>
      </c>
      <c r="W11" s="350">
        <f t="shared" ref="W11" si="15">IF($V11&lt;&gt;"도비",IF($AF11="국도비","직접입력",SUM($K11:$L11)),)</f>
        <v>800000</v>
      </c>
      <c r="X11" s="350">
        <f t="shared" si="14"/>
        <v>0</v>
      </c>
      <c r="Y11" s="355" t="str">
        <f t="shared" si="5"/>
        <v>ok</v>
      </c>
      <c r="Z11" s="353"/>
      <c r="AA11" s="356" t="str">
        <f t="shared" ref="AA11:AA12" si="16">$V11</f>
        <v>특교</v>
      </c>
      <c r="AB11" s="350">
        <f t="shared" si="7"/>
        <v>800000</v>
      </c>
      <c r="AC11" s="350">
        <f t="shared" si="8"/>
        <v>0</v>
      </c>
      <c r="AD11" s="355" t="str">
        <f t="shared" si="9"/>
        <v>ok</v>
      </c>
      <c r="AE11" s="366"/>
      <c r="AF11" s="357" t="str">
        <f>IF(AH11="","",IF($V11="도비","세입없음",$AH11&amp;"-"&amp;TEXT(COUNTIF(AH$7:AH11,AH$7:AH11),"00")))</f>
        <v>0815-01</v>
      </c>
      <c r="AG11" s="353"/>
      <c r="AH11" s="358" t="str">
        <f t="array" ref="AH11">IFERROR(IF($C11="","",INDEX(구분표!$I$2:$I$1001,MATCH(1,(구분표!$B$2:$B$1001='16년3추 일입'!$A11)*(구분표!$C$2:$C$1001='16년3추 일입'!$B11)*(구분표!$A$2:$A$1001='16년3추 일입'!$C11),0))),"@@")</f>
        <v>0815</v>
      </c>
      <c r="AI11" s="366"/>
      <c r="AJ11" s="359"/>
      <c r="AK11" s="366"/>
      <c r="AL11" s="360">
        <f>IF(AF11="","",SUMIFS('16년 3추일출'!$Y$14:$Y$9322,'16년 3추일출'!$AH$14:$AH$9322,'16년3추 일입'!$AF11))</f>
        <v>800000</v>
      </c>
      <c r="AM11" s="359">
        <f>IF(AF11="","",IF(AF11="세입없음","",COUNTIF('16년 3추일출'!$AH$14:$AH$9322,'16년3추 일입'!$AF11)))</f>
        <v>1</v>
      </c>
      <c r="AN11" s="361" t="str">
        <f t="shared" si="10"/>
        <v>OK</v>
      </c>
      <c r="AO11" s="366"/>
      <c r="AP11" s="360">
        <f>IF(AF11="","",SUMIFS('16년 3추일출'!$AD$7:$AD$9322,'16년 3추일출'!$AH$7:$AH$9322,'16년3추 일입'!$AF11))</f>
        <v>800000</v>
      </c>
      <c r="AQ11" s="359">
        <f>IF(AF11="","",IF(AF11="세입없음","",COUNTIF('16년 3추일출'!$AH$14:$AH$9322,'16년3추 일입'!$AF11)))</f>
        <v>1</v>
      </c>
      <c r="AR11" s="361" t="str">
        <f t="shared" si="11"/>
        <v>OK</v>
      </c>
      <c r="AS11" s="310">
        <f t="shared" si="13"/>
        <v>0</v>
      </c>
    </row>
    <row r="12" spans="1:45" ht="39.950000000000003" customHeight="1">
      <c r="A12" s="344" t="s">
        <v>566</v>
      </c>
      <c r="B12" s="345" t="s">
        <v>586</v>
      </c>
      <c r="C12" s="346" t="s">
        <v>587</v>
      </c>
      <c r="D12" s="347" t="s">
        <v>480</v>
      </c>
      <c r="E12" s="347">
        <v>777</v>
      </c>
      <c r="F12" s="347">
        <v>10</v>
      </c>
      <c r="G12" s="348" t="s">
        <v>1007</v>
      </c>
      <c r="H12" s="349">
        <v>1837025</v>
      </c>
      <c r="I12" s="349">
        <v>1727938</v>
      </c>
      <c r="J12" s="349">
        <f t="shared" si="1"/>
        <v>109087</v>
      </c>
      <c r="K12" s="350"/>
      <c r="L12" s="350">
        <v>25500</v>
      </c>
      <c r="M12" s="349">
        <f t="shared" si="2"/>
        <v>1862525</v>
      </c>
      <c r="N12" s="350"/>
      <c r="O12" s="350">
        <v>25500</v>
      </c>
      <c r="P12" s="349">
        <f t="shared" si="3"/>
        <v>1862525</v>
      </c>
      <c r="Q12" s="351"/>
      <c r="R12" s="352" t="s">
        <v>588</v>
      </c>
      <c r="S12" s="352" t="s">
        <v>588</v>
      </c>
      <c r="T12" s="352" t="s">
        <v>588</v>
      </c>
      <c r="V12" s="354" t="s">
        <v>526</v>
      </c>
      <c r="W12" s="350">
        <f>IF($V12&lt;&gt;"도비",IF($AF12="국도비","직접입력",SUM($K12:$L12)),)</f>
        <v>25500</v>
      </c>
      <c r="X12" s="350">
        <f t="shared" si="14"/>
        <v>0</v>
      </c>
      <c r="Y12" s="355" t="str">
        <f t="shared" si="5"/>
        <v>ok</v>
      </c>
      <c r="AA12" s="356" t="str">
        <f t="shared" si="16"/>
        <v>기금</v>
      </c>
      <c r="AB12" s="350">
        <f t="shared" si="7"/>
        <v>25500</v>
      </c>
      <c r="AC12" s="350">
        <f t="shared" si="8"/>
        <v>0</v>
      </c>
      <c r="AD12" s="355" t="str">
        <f t="shared" si="9"/>
        <v>ok</v>
      </c>
      <c r="AF12" s="357" t="s">
        <v>589</v>
      </c>
      <c r="AH12" s="358" t="str">
        <f t="array" ref="AH12">IFERROR(IF($C12="","",INDEX(구분표!$I$2:$I$1001,MATCH(1,(구분표!$B$2:$B$1001='16년3추 일입'!$A12)*(구분표!$C$2:$C$1001='16년3추 일입'!$B12)*(구분표!$A$2:$A$1001='16년3추 일입'!$C12),0))),"@@")</f>
        <v>1004</v>
      </c>
      <c r="AJ12" s="342"/>
      <c r="AL12" s="360">
        <f>IF(AF12="","",SUMIFS('16년 3추일출'!$Y$14:$Y$9322,'16년 3추일출'!$AH$14:$AH$9322,'16년3추 일입'!$AF12))</f>
        <v>25500</v>
      </c>
      <c r="AM12" s="359">
        <f>IF(AF12="","",IF(AF12="세입없음","",COUNTIF('16년 3추일출'!$AH$14:$AH$9322,'16년3추 일입'!$AF12)))</f>
        <v>4</v>
      </c>
      <c r="AN12" s="361" t="str">
        <f t="shared" si="10"/>
        <v>OK</v>
      </c>
      <c r="AP12" s="360">
        <f>IF(AF12="","",SUMIFS('16년 3추일출'!$AD$7:$AD$9322,'16년 3추일출'!$AH$7:$AH$9322,'16년3추 일입'!$AF12))</f>
        <v>25500</v>
      </c>
      <c r="AQ12" s="359">
        <f>IF(AF12="","",IF(AF12="세입없음","",COUNTIF('16년 3추일출'!$AH$14:$AH$9322,'16년3추 일입'!$AF12)))</f>
        <v>4</v>
      </c>
      <c r="AR12" s="361" t="str">
        <f t="shared" si="11"/>
        <v>OK</v>
      </c>
      <c r="AS12" s="310">
        <f t="shared" si="13"/>
        <v>0</v>
      </c>
    </row>
    <row r="13" spans="1:45" ht="39.950000000000003" customHeight="1">
      <c r="A13" s="344" t="s">
        <v>566</v>
      </c>
      <c r="B13" s="367" t="s">
        <v>586</v>
      </c>
      <c r="C13" s="362" t="s">
        <v>587</v>
      </c>
      <c r="D13" s="363" t="s">
        <v>480</v>
      </c>
      <c r="E13" s="363">
        <v>777</v>
      </c>
      <c r="F13" s="363">
        <v>10</v>
      </c>
      <c r="G13" s="364" t="s">
        <v>1008</v>
      </c>
      <c r="H13" s="349">
        <v>631000</v>
      </c>
      <c r="I13" s="349">
        <v>600000</v>
      </c>
      <c r="J13" s="349">
        <f t="shared" si="1"/>
        <v>31000</v>
      </c>
      <c r="K13" s="350"/>
      <c r="L13" s="350">
        <v>18000</v>
      </c>
      <c r="M13" s="349">
        <f t="shared" si="2"/>
        <v>649000</v>
      </c>
      <c r="N13" s="350"/>
      <c r="O13" s="350">
        <v>18000</v>
      </c>
      <c r="P13" s="349">
        <f t="shared" si="3"/>
        <v>649000</v>
      </c>
      <c r="Q13" s="365"/>
      <c r="R13" s="352" t="s">
        <v>590</v>
      </c>
      <c r="S13" s="352" t="s">
        <v>590</v>
      </c>
      <c r="T13" s="352" t="s">
        <v>590</v>
      </c>
      <c r="U13" s="353"/>
      <c r="V13" s="354" t="s">
        <v>526</v>
      </c>
      <c r="W13" s="350">
        <f>IF($V13&lt;&gt;"도비",IF($AF13="국도비","직접입력",SUM($K13:$L13)),)</f>
        <v>18000</v>
      </c>
      <c r="X13" s="350">
        <f t="shared" ref="X13:X23" si="17">IF($V13="도비",SUM($K13:$L13),IF($AF13="국도비","직접입력",SUM($K13:$L13)-$W13))</f>
        <v>0</v>
      </c>
      <c r="Y13" s="355" t="str">
        <f t="shared" ref="Y13:Y21" si="18">IF($AF13="국도비","ok",IF(($K13+$L13)=($W13+$X13),"ok","검토"))</f>
        <v>ok</v>
      </c>
      <c r="Z13" s="353"/>
      <c r="AA13" s="356" t="str">
        <f>$V13</f>
        <v>기금</v>
      </c>
      <c r="AB13" s="350">
        <f t="shared" ref="AB13:AB21" si="19">IF($AA13&lt;&gt;"도비",IF($AF13="국도비","직접입력",SUM($N13:$O13)),)</f>
        <v>18000</v>
      </c>
      <c r="AC13" s="350">
        <f t="shared" ref="AC13:AC21" si="20">IF($AA13="도비",SUM($N13:$O13),IF($AF13="국도비","직접입력",SUM($N13:$O13)-$AB13))</f>
        <v>0</v>
      </c>
      <c r="AD13" s="355" t="str">
        <f t="shared" ref="AD13:AD21" si="21">IF($AF13="국도비","ok",IF(($N13+$O13)=($AB13+$AC13),"ok","검토"))</f>
        <v>ok</v>
      </c>
      <c r="AE13" s="354"/>
      <c r="AF13" s="368" t="s">
        <v>591</v>
      </c>
      <c r="AG13" s="353"/>
      <c r="AH13" s="358" t="str">
        <f t="array" ref="AH13">IFERROR(IF($C13="","",INDEX(구분표!$I$2:$I$1001,MATCH(1,(구분표!$B$2:$B$1001='16년3추 일입'!$A13)*(구분표!$C$2:$C$1001='16년3추 일입'!$B13)*(구분표!$A$2:$A$1001='16년3추 일입'!$C13),0))),"@@")</f>
        <v>1004</v>
      </c>
      <c r="AI13" s="354"/>
      <c r="AJ13" s="359"/>
      <c r="AK13" s="354"/>
      <c r="AL13" s="360">
        <f>IF(AF13="","",SUMIFS('16년 3추일출'!$Y$14:$Y$9322,'16년 3추일출'!$AH$14:$AH$9322,'16년3추 일입'!$AF13))</f>
        <v>18000</v>
      </c>
      <c r="AM13" s="359">
        <f>IF(AF13="","",IF(AF13="세입없음","",COUNTIF('16년 3추일출'!$AH$14:$AH$9322,'16년3추 일입'!$AF13)))</f>
        <v>1</v>
      </c>
      <c r="AN13" s="361" t="str">
        <f t="shared" si="10"/>
        <v>OK</v>
      </c>
      <c r="AO13" s="354"/>
      <c r="AP13" s="360">
        <f>IF(AF13="","",SUMIFS('16년 3추일출'!$AD$7:$AD$9322,'16년 3추일출'!$AH$7:$AH$9322,'16년3추 일입'!$AF13))</f>
        <v>18000</v>
      </c>
      <c r="AQ13" s="359">
        <f>IF(AF13="","",IF(AF13="세입없음","",COUNTIF('16년 3추일출'!$AH$14:$AH$9322,'16년3추 일입'!$AF13)))</f>
        <v>1</v>
      </c>
      <c r="AR13" s="361" t="str">
        <f t="shared" si="11"/>
        <v>OK</v>
      </c>
      <c r="AS13" s="310">
        <f t="shared" si="13"/>
        <v>0</v>
      </c>
    </row>
    <row r="14" spans="1:45" ht="39.950000000000003" customHeight="1">
      <c r="A14" s="344" t="s">
        <v>566</v>
      </c>
      <c r="B14" s="367" t="s">
        <v>586</v>
      </c>
      <c r="C14" s="362" t="s">
        <v>592</v>
      </c>
      <c r="D14" s="363" t="s">
        <v>480</v>
      </c>
      <c r="E14" s="363">
        <v>779</v>
      </c>
      <c r="F14" s="363">
        <v>21</v>
      </c>
      <c r="G14" s="364" t="s">
        <v>1009</v>
      </c>
      <c r="H14" s="349">
        <v>5873287</v>
      </c>
      <c r="I14" s="349">
        <v>5977643</v>
      </c>
      <c r="J14" s="349">
        <f t="shared" si="1"/>
        <v>-104356</v>
      </c>
      <c r="K14" s="350"/>
      <c r="L14" s="350">
        <v>6500</v>
      </c>
      <c r="M14" s="349">
        <f t="shared" si="2"/>
        <v>5879787</v>
      </c>
      <c r="N14" s="350"/>
      <c r="O14" s="350">
        <v>6500</v>
      </c>
      <c r="P14" s="349">
        <f t="shared" si="3"/>
        <v>5879787</v>
      </c>
      <c r="Q14" s="365"/>
      <c r="R14" s="369" t="s">
        <v>593</v>
      </c>
      <c r="S14" s="369" t="s">
        <v>593</v>
      </c>
      <c r="T14" s="369" t="s">
        <v>593</v>
      </c>
      <c r="U14" s="353"/>
      <c r="V14" s="354" t="s">
        <v>526</v>
      </c>
      <c r="W14" s="350">
        <f>IF($V14&lt;&gt;"도비",IF($AF14="국도비","직접입력",SUM($K14:$L14)),)</f>
        <v>6500</v>
      </c>
      <c r="X14" s="350">
        <f t="shared" si="17"/>
        <v>0</v>
      </c>
      <c r="Y14" s="355" t="str">
        <f t="shared" si="18"/>
        <v>ok</v>
      </c>
      <c r="Z14" s="353"/>
      <c r="AA14" s="356" t="str">
        <f>$V14</f>
        <v>기금</v>
      </c>
      <c r="AB14" s="350">
        <f t="shared" si="19"/>
        <v>6500</v>
      </c>
      <c r="AC14" s="350">
        <f t="shared" si="20"/>
        <v>0</v>
      </c>
      <c r="AD14" s="355" t="str">
        <f t="shared" si="21"/>
        <v>ok</v>
      </c>
      <c r="AE14" s="366"/>
      <c r="AF14" s="368" t="str">
        <f>IF(AH14="","",IF($V14="도비","세입없음",$AH14&amp;"-"&amp;TEXT(COUNTIF(AH$7:AH14,AH$7:AH14),"00")))</f>
        <v>1006-01</v>
      </c>
      <c r="AG14" s="353"/>
      <c r="AH14" s="358" t="str">
        <f t="array" ref="AH14">IFERROR(IF($C14="","",INDEX(구분표!$I$2:$I$1001,MATCH(1,(구분표!$B$2:$B$1001='16년3추 일입'!$A14)*(구분표!$C$2:$C$1001='16년3추 일입'!$B14)*(구분표!$A$2:$A$1001='16년3추 일입'!$C14),0))),"@@")</f>
        <v>1006</v>
      </c>
      <c r="AI14" s="366"/>
      <c r="AJ14" s="359"/>
      <c r="AK14" s="366"/>
      <c r="AL14" s="360">
        <f>IF(AF14="","",SUMIFS('16년 3추일출'!$Y$14:$Y$9322,'16년 3추일출'!$AH$14:$AH$9322,'16년3추 일입'!$AF14))</f>
        <v>6500</v>
      </c>
      <c r="AM14" s="359">
        <f>IF(AF14="","",IF(AF14="세입없음","",COUNTIF('16년 3추일출'!$AH$14:$AH$9322,'16년3추 일입'!$AF14)))</f>
        <v>1</v>
      </c>
      <c r="AN14" s="361" t="str">
        <f t="shared" si="10"/>
        <v>OK</v>
      </c>
      <c r="AO14" s="366"/>
      <c r="AP14" s="360">
        <f>IF(AF14="","",SUMIFS('16년 3추일출'!$AD$7:$AD$9322,'16년 3추일출'!$AH$7:$AH$9322,'16년3추 일입'!$AF14))</f>
        <v>6500</v>
      </c>
      <c r="AQ14" s="359">
        <f>IF(AF14="","",IF(AF14="세입없음","",COUNTIF('16년 3추일출'!$AH$14:$AH$9322,'16년3추 일입'!$AF14)))</f>
        <v>1</v>
      </c>
      <c r="AR14" s="361" t="str">
        <f t="shared" si="11"/>
        <v>OK</v>
      </c>
      <c r="AS14" s="310">
        <f t="shared" si="13"/>
        <v>0</v>
      </c>
    </row>
    <row r="15" spans="1:45" ht="39.950000000000003" customHeight="1">
      <c r="A15" s="344" t="s">
        <v>566</v>
      </c>
      <c r="B15" s="367" t="s">
        <v>586</v>
      </c>
      <c r="C15" s="362" t="s">
        <v>594</v>
      </c>
      <c r="D15" s="363" t="s">
        <v>480</v>
      </c>
      <c r="E15" s="363">
        <v>780</v>
      </c>
      <c r="F15" s="363">
        <v>31</v>
      </c>
      <c r="G15" s="364" t="s">
        <v>1004</v>
      </c>
      <c r="H15" s="349">
        <v>15729649</v>
      </c>
      <c r="I15" s="349">
        <v>15727000</v>
      </c>
      <c r="J15" s="349">
        <f t="shared" si="1"/>
        <v>2649</v>
      </c>
      <c r="K15" s="350">
        <v>-2649</v>
      </c>
      <c r="L15" s="350"/>
      <c r="M15" s="349">
        <f t="shared" si="2"/>
        <v>15727000</v>
      </c>
      <c r="N15" s="350">
        <v>-2649</v>
      </c>
      <c r="O15" s="350"/>
      <c r="P15" s="349">
        <f t="shared" si="3"/>
        <v>15727000</v>
      </c>
      <c r="Q15" s="365"/>
      <c r="R15" s="369" t="s">
        <v>1165</v>
      </c>
      <c r="S15" s="369" t="s">
        <v>577</v>
      </c>
      <c r="T15" s="369" t="s">
        <v>577</v>
      </c>
      <c r="U15" s="353"/>
      <c r="V15" s="354" t="s">
        <v>491</v>
      </c>
      <c r="W15" s="350">
        <f t="shared" ref="W15:W25" si="22">IF($V15&lt;&gt;"도비",IF($AF15="국도비","직접입력",SUM($K15:$L15)),)</f>
        <v>-2649</v>
      </c>
      <c r="X15" s="350">
        <f t="shared" si="17"/>
        <v>0</v>
      </c>
      <c r="Y15" s="355" t="str">
        <f t="shared" si="18"/>
        <v>ok</v>
      </c>
      <c r="Z15" s="353"/>
      <c r="AA15" s="356" t="str">
        <f t="shared" ref="AA15:AA16" si="23">$V15</f>
        <v>국비</v>
      </c>
      <c r="AB15" s="350">
        <f t="shared" si="19"/>
        <v>-2649</v>
      </c>
      <c r="AC15" s="350">
        <f t="shared" si="20"/>
        <v>0</v>
      </c>
      <c r="AD15" s="355" t="str">
        <f t="shared" si="21"/>
        <v>ok</v>
      </c>
      <c r="AE15" s="354"/>
      <c r="AF15" s="368" t="str">
        <f>IF(AH15="","",IF($V15="도비","세입없음",$AH15&amp;"-"&amp;TEXT(COUNTIF(AH$7:AH15,AH$7:AH15),"00")))</f>
        <v>1008-01</v>
      </c>
      <c r="AG15" s="353"/>
      <c r="AH15" s="358" t="str">
        <f t="array" ref="AH15">IFERROR(IF($C15="","",INDEX(구분표!$I$2:$I$1001,MATCH(1,(구분표!$B$2:$B$1001='16년3추 일입'!$A15)*(구분표!$C$2:$C$1001='16년3추 일입'!$B15)*(구분표!$A$2:$A$1001='16년3추 일입'!$C15),0))),"@@")</f>
        <v>1008</v>
      </c>
      <c r="AI15" s="354"/>
      <c r="AJ15" s="359"/>
      <c r="AK15" s="354"/>
      <c r="AL15" s="360">
        <f>IF(AF15="","",SUMIFS('16년 3추일출'!$Y$14:$Y$9322,'16년 3추일출'!$AH$14:$AH$9322,'16년3추 일입'!$AF15))</f>
        <v>-2649</v>
      </c>
      <c r="AM15" s="359">
        <f>IF(AF15="","",IF(AF15="세입없음","",COUNTIF('16년 3추일출'!$AH$14:$AH$9322,'16년3추 일입'!$AF15)))</f>
        <v>1</v>
      </c>
      <c r="AN15" s="361" t="str">
        <f t="shared" si="10"/>
        <v>OK</v>
      </c>
      <c r="AO15" s="354"/>
      <c r="AP15" s="360">
        <f>IF(AF15="","",SUMIFS('16년 3추일출'!$AD$7:$AD$9322,'16년 3추일출'!$AH$7:$AH$9322,'16년3추 일입'!$AF15))</f>
        <v>-2649</v>
      </c>
      <c r="AQ15" s="359">
        <f>IF(AF15="","",IF(AF15="세입없음","",COUNTIF('16년 3추일출'!$AH$14:$AH$9322,'16년3추 일입'!$AF15)))</f>
        <v>1</v>
      </c>
      <c r="AR15" s="361" t="str">
        <f t="shared" si="11"/>
        <v>OK</v>
      </c>
      <c r="AS15" s="310">
        <f t="shared" si="13"/>
        <v>0</v>
      </c>
    </row>
    <row r="16" spans="1:45" ht="39.950000000000003" customHeight="1">
      <c r="A16" s="344" t="s">
        <v>322</v>
      </c>
      <c r="B16" s="345" t="s">
        <v>161</v>
      </c>
      <c r="C16" s="346" t="s">
        <v>164</v>
      </c>
      <c r="D16" s="347" t="s">
        <v>480</v>
      </c>
      <c r="E16" s="347">
        <v>831</v>
      </c>
      <c r="F16" s="347">
        <v>13</v>
      </c>
      <c r="G16" s="348" t="s">
        <v>1005</v>
      </c>
      <c r="H16" s="349">
        <v>150000</v>
      </c>
      <c r="I16" s="349">
        <v>0</v>
      </c>
      <c r="J16" s="349">
        <f t="shared" si="1"/>
        <v>150000</v>
      </c>
      <c r="K16" s="350"/>
      <c r="L16" s="350"/>
      <c r="M16" s="349">
        <f t="shared" si="2"/>
        <v>150000</v>
      </c>
      <c r="N16" s="350"/>
      <c r="O16" s="350"/>
      <c r="P16" s="349">
        <f t="shared" si="3"/>
        <v>150000</v>
      </c>
      <c r="Q16" s="351"/>
      <c r="R16" s="352" t="s">
        <v>595</v>
      </c>
      <c r="S16" s="352" t="s">
        <v>595</v>
      </c>
      <c r="T16" s="352" t="s">
        <v>595</v>
      </c>
      <c r="U16" s="353"/>
      <c r="V16" s="354" t="s">
        <v>596</v>
      </c>
      <c r="W16" s="350">
        <f t="shared" si="22"/>
        <v>0</v>
      </c>
      <c r="X16" s="350">
        <f t="shared" si="17"/>
        <v>0</v>
      </c>
      <c r="Y16" s="355" t="str">
        <f t="shared" si="18"/>
        <v>ok</v>
      </c>
      <c r="Z16" s="353"/>
      <c r="AA16" s="356" t="str">
        <f t="shared" si="23"/>
        <v>국비</v>
      </c>
      <c r="AB16" s="350">
        <f t="shared" si="19"/>
        <v>0</v>
      </c>
      <c r="AC16" s="350">
        <f t="shared" si="20"/>
        <v>0</v>
      </c>
      <c r="AD16" s="355" t="str">
        <f t="shared" si="21"/>
        <v>ok</v>
      </c>
      <c r="AE16" s="354"/>
      <c r="AF16" s="357" t="str">
        <f>IF(AH16="","",IF($V16="도비","세입없음",$AH16&amp;"-"&amp;TEXT(COUNTIF(AH$7:AH16,AH$7:AH16),"00")))</f>
        <v>1002-01</v>
      </c>
      <c r="AG16" s="353"/>
      <c r="AH16" s="358" t="str">
        <f t="array" ref="AH16">IFERROR(IF($C16="","",INDEX(구분표!$I$2:$I$1001,MATCH(1,(구분표!$B$2:$B$1001='16년3추 일입'!$A16)*(구분표!$C$2:$C$1001='16년3추 일입'!$B16)*(구분표!$A$2:$A$1001='16년3추 일입'!$C16),0))),"@@")</f>
        <v>1002</v>
      </c>
      <c r="AI16" s="354"/>
      <c r="AJ16" s="359"/>
      <c r="AK16" s="354"/>
      <c r="AL16" s="360">
        <f>IF(AF16="","",SUMIFS('16년 3추일출'!$Y$14:$Y$9322,'16년 3추일출'!$AH$14:$AH$9322,'16년3추 일입'!$AF16))</f>
        <v>0</v>
      </c>
      <c r="AM16" s="359">
        <f>IF(AF16="","",IF(AF16="세입없음","",COUNTIF('16년 3추일출'!$AH$14:$AH$9322,'16년3추 일입'!$AF16)))</f>
        <v>0</v>
      </c>
      <c r="AN16" s="361" t="str">
        <f t="shared" si="10"/>
        <v>OK</v>
      </c>
      <c r="AO16" s="354"/>
      <c r="AP16" s="360">
        <f>IF(AF16="","",SUMIFS('16년 3추일출'!$AD$7:$AD$9322,'16년 3추일출'!$AH$7:$AH$9322,'16년3추 일입'!$AF16))</f>
        <v>0</v>
      </c>
      <c r="AQ16" s="359">
        <f>IF(AF16="","",IF(AF16="세입없음","",COUNTIF('16년 3추일출'!$AH$14:$AH$9322,'16년3추 일입'!$AF16)))</f>
        <v>0</v>
      </c>
      <c r="AR16" s="361" t="str">
        <f t="shared" si="11"/>
        <v>OK</v>
      </c>
      <c r="AS16" s="310">
        <f t="shared" si="13"/>
        <v>0</v>
      </c>
    </row>
    <row r="17" spans="1:45" ht="39.950000000000003" customHeight="1">
      <c r="A17" s="370" t="s">
        <v>93</v>
      </c>
      <c r="B17" s="345" t="s">
        <v>605</v>
      </c>
      <c r="C17" s="346" t="s">
        <v>606</v>
      </c>
      <c r="D17" s="347" t="s">
        <v>480</v>
      </c>
      <c r="E17" s="347">
        <v>572</v>
      </c>
      <c r="F17" s="347">
        <v>36</v>
      </c>
      <c r="G17" s="348" t="s">
        <v>1006</v>
      </c>
      <c r="H17" s="349">
        <v>11570798</v>
      </c>
      <c r="I17" s="349">
        <v>11547553</v>
      </c>
      <c r="J17" s="349">
        <f t="shared" si="1"/>
        <v>23245</v>
      </c>
      <c r="K17" s="350"/>
      <c r="L17" s="350">
        <v>669202</v>
      </c>
      <c r="M17" s="349">
        <f t="shared" si="2"/>
        <v>12240000</v>
      </c>
      <c r="N17" s="350"/>
      <c r="O17" s="350">
        <v>669202</v>
      </c>
      <c r="P17" s="349">
        <f t="shared" si="3"/>
        <v>12240000</v>
      </c>
      <c r="Q17" s="351"/>
      <c r="R17" s="352" t="s">
        <v>599</v>
      </c>
      <c r="S17" s="352" t="s">
        <v>599</v>
      </c>
      <c r="T17" s="352" t="s">
        <v>599</v>
      </c>
      <c r="U17" s="353"/>
      <c r="V17" s="354" t="s">
        <v>491</v>
      </c>
      <c r="W17" s="350">
        <f>IF($V17&lt;&gt;"도비",IF($AF17="국도비","직접입력",SUM($K17:$L17)),)</f>
        <v>669202</v>
      </c>
      <c r="X17" s="350">
        <f t="shared" ref="X17:X21" si="24">IF($V17="도비",SUM($K17:$L17),IF($AF17="국도비","직접입력",SUM($K17:$L17)-$W17))</f>
        <v>0</v>
      </c>
      <c r="Y17" s="355" t="str">
        <f t="shared" si="18"/>
        <v>ok</v>
      </c>
      <c r="Z17" s="353"/>
      <c r="AA17" s="356" t="str">
        <f>$V17</f>
        <v>국비</v>
      </c>
      <c r="AB17" s="350">
        <f t="shared" si="19"/>
        <v>669202</v>
      </c>
      <c r="AC17" s="350">
        <f t="shared" si="20"/>
        <v>0</v>
      </c>
      <c r="AD17" s="355" t="str">
        <f t="shared" si="21"/>
        <v>ok</v>
      </c>
      <c r="AE17" s="354"/>
      <c r="AF17" s="357" t="str">
        <f>IF(AH17="","",IF($V17="도비","세입없음",$AH17&amp;"-"&amp;TEXT(COUNTIF(AH$7:AH17,AH$7:AH17),"00")))</f>
        <v>0702-01</v>
      </c>
      <c r="AG17" s="353"/>
      <c r="AH17" s="358" t="str">
        <f t="array" ref="AH17">IFERROR(IF($C17="","",INDEX(구분표!$I$2:$I$1001,MATCH(1,(구분표!$B$2:$B$1001='16년3추 일입'!$A17)*(구분표!$C$2:$C$1001='16년3추 일입'!$B17)*(구분표!$A$2:$A$1001='16년3추 일입'!$C17),0))),"@@")</f>
        <v>0702</v>
      </c>
      <c r="AI17" s="354"/>
      <c r="AJ17" s="359"/>
      <c r="AK17" s="354"/>
      <c r="AL17" s="360">
        <f>IF(AF17="","",SUMIFS('16년 3추일출'!$Y$14:$Y$9322,'16년 3추일출'!$AH$14:$AH$9322,'16년3추 일입'!$AF17))</f>
        <v>669202</v>
      </c>
      <c r="AM17" s="359">
        <f>IF(AF17="","",IF(AF17="세입없음","",COUNTIF('16년 3추일출'!$AH$14:$AH$9322,'16년3추 일입'!$AF17)))</f>
        <v>4</v>
      </c>
      <c r="AN17" s="361" t="str">
        <f t="shared" si="10"/>
        <v>OK</v>
      </c>
      <c r="AO17" s="354"/>
      <c r="AP17" s="360">
        <f>IF(AF17="","",SUMIFS('16년 3추일출'!$AD$7:$AD$9322,'16년 3추일출'!$AH$7:$AH$9322,'16년3추 일입'!$AF17))</f>
        <v>683675</v>
      </c>
      <c r="AQ17" s="359">
        <f>IF(AF17="","",IF(AF17="세입없음","",COUNTIF('16년 3추일출'!$AH$14:$AH$9322,'16년3추 일입'!$AF17)))</f>
        <v>4</v>
      </c>
      <c r="AR17" s="361" t="str">
        <f t="shared" si="11"/>
        <v>@@</v>
      </c>
      <c r="AS17" s="310">
        <f t="shared" si="13"/>
        <v>0</v>
      </c>
    </row>
    <row r="18" spans="1:45" ht="39.950000000000003" customHeight="1">
      <c r="A18" s="370" t="s">
        <v>607</v>
      </c>
      <c r="B18" s="367" t="s">
        <v>608</v>
      </c>
      <c r="C18" s="362" t="s">
        <v>609</v>
      </c>
      <c r="D18" s="363" t="s">
        <v>369</v>
      </c>
      <c r="E18" s="363">
        <v>65</v>
      </c>
      <c r="F18" s="363"/>
      <c r="G18" s="364" t="s">
        <v>1011</v>
      </c>
      <c r="H18" s="349">
        <v>10828531</v>
      </c>
      <c r="I18" s="349">
        <v>10828531</v>
      </c>
      <c r="J18" s="349">
        <f t="shared" si="1"/>
        <v>0</v>
      </c>
      <c r="K18" s="350"/>
      <c r="L18" s="350">
        <v>1852188</v>
      </c>
      <c r="M18" s="349">
        <f t="shared" si="2"/>
        <v>12680719</v>
      </c>
      <c r="N18" s="350"/>
      <c r="O18" s="350">
        <v>1852188</v>
      </c>
      <c r="P18" s="349">
        <f t="shared" si="3"/>
        <v>12680719</v>
      </c>
      <c r="Q18" s="365"/>
      <c r="R18" s="352" t="s">
        <v>600</v>
      </c>
      <c r="S18" s="352" t="s">
        <v>600</v>
      </c>
      <c r="T18" s="352" t="s">
        <v>600</v>
      </c>
      <c r="U18" s="353"/>
      <c r="V18" s="354" t="s">
        <v>491</v>
      </c>
      <c r="W18" s="350">
        <f t="shared" ref="W18:W21" si="25">IF($V18&lt;&gt;"도비",IF($AF18="국도비","직접입력",SUM($K18:$L18)),)</f>
        <v>1852188</v>
      </c>
      <c r="X18" s="350">
        <f t="shared" si="24"/>
        <v>0</v>
      </c>
      <c r="Y18" s="355" t="str">
        <f t="shared" si="18"/>
        <v>ok</v>
      </c>
      <c r="Z18" s="353"/>
      <c r="AA18" s="356" t="str">
        <f>$V18</f>
        <v>국비</v>
      </c>
      <c r="AB18" s="350">
        <f t="shared" si="19"/>
        <v>1852188</v>
      </c>
      <c r="AC18" s="350">
        <f t="shared" si="20"/>
        <v>0</v>
      </c>
      <c r="AD18" s="355" t="str">
        <f t="shared" si="21"/>
        <v>ok</v>
      </c>
      <c r="AE18" s="366"/>
      <c r="AF18" s="357" t="str">
        <f>IF(AH18="","",IF($V18="도비","세입없음",$AH18&amp;"-"&amp;TEXT(COUNTIF(AH$7:AH18,AH$7:AH18),"00")))</f>
        <v>0704-01</v>
      </c>
      <c r="AG18" s="353"/>
      <c r="AH18" s="358" t="str">
        <f t="array" ref="AH18">IFERROR(IF($C18="","",INDEX(구분표!$I$2:$I$1001,MATCH(1,(구분표!$B$2:$B$1001='16년3추 일입'!$A18)*(구분표!$C$2:$C$1001='16년3추 일입'!$B18)*(구분표!$A$2:$A$1001='16년3추 일입'!$C18),0))),"@@")</f>
        <v>0704</v>
      </c>
      <c r="AI18" s="366"/>
      <c r="AJ18" s="359"/>
      <c r="AK18" s="366"/>
      <c r="AL18" s="360">
        <f>IF(AF18="","",SUMIFS('16년 3추일출'!$Y$14:$Y$9322,'16년 3추일출'!$AH$14:$AH$9322,'16년3추 일입'!$AF18))</f>
        <v>1852188</v>
      </c>
      <c r="AM18" s="359">
        <f>IF(AF18="","",IF(AF18="세입없음","",COUNTIF('16년 3추일출'!$AH$14:$AH$9322,'16년3추 일입'!$AF18)))</f>
        <v>2</v>
      </c>
      <c r="AN18" s="361" t="str">
        <f t="shared" si="10"/>
        <v>OK</v>
      </c>
      <c r="AO18" s="366"/>
      <c r="AP18" s="360">
        <f>IF(AF18="","",SUMIFS('16년 3추일출'!$AD$7:$AD$9322,'16년 3추일출'!$AH$7:$AH$9322,'16년3추 일입'!$AF18))</f>
        <v>1852188</v>
      </c>
      <c r="AQ18" s="359">
        <f>IF(AF18="","",IF(AF18="세입없음","",COUNTIF('16년 3추일출'!$AH$14:$AH$9322,'16년3추 일입'!$AF18)))</f>
        <v>2</v>
      </c>
      <c r="AR18" s="361" t="str">
        <f t="shared" si="11"/>
        <v>OK</v>
      </c>
      <c r="AS18" s="310">
        <f t="shared" si="13"/>
        <v>0</v>
      </c>
    </row>
    <row r="19" spans="1:45" ht="39.950000000000003" customHeight="1">
      <c r="A19" s="370" t="s">
        <v>93</v>
      </c>
      <c r="B19" s="367" t="s">
        <v>605</v>
      </c>
      <c r="C19" s="362" t="s">
        <v>610</v>
      </c>
      <c r="D19" s="363" t="s">
        <v>369</v>
      </c>
      <c r="E19" s="363">
        <v>65</v>
      </c>
      <c r="F19" s="363"/>
      <c r="G19" s="364" t="s">
        <v>1012</v>
      </c>
      <c r="H19" s="349">
        <v>101285000</v>
      </c>
      <c r="I19" s="349">
        <v>101285000</v>
      </c>
      <c r="J19" s="349">
        <f t="shared" si="1"/>
        <v>0</v>
      </c>
      <c r="K19" s="350"/>
      <c r="L19" s="350">
        <v>2774000</v>
      </c>
      <c r="M19" s="349">
        <f t="shared" si="2"/>
        <v>104059000</v>
      </c>
      <c r="N19" s="350"/>
      <c r="O19" s="350">
        <v>2774000</v>
      </c>
      <c r="P19" s="349">
        <f t="shared" si="3"/>
        <v>104059000</v>
      </c>
      <c r="Q19" s="365"/>
      <c r="R19" s="369" t="s">
        <v>601</v>
      </c>
      <c r="S19" s="369" t="s">
        <v>601</v>
      </c>
      <c r="T19" s="369" t="s">
        <v>601</v>
      </c>
      <c r="U19" s="353"/>
      <c r="V19" s="354" t="s">
        <v>491</v>
      </c>
      <c r="W19" s="350">
        <f t="shared" si="25"/>
        <v>2774000</v>
      </c>
      <c r="X19" s="350">
        <f t="shared" si="24"/>
        <v>0</v>
      </c>
      <c r="Y19" s="355" t="str">
        <f t="shared" si="18"/>
        <v>ok</v>
      </c>
      <c r="Z19" s="353"/>
      <c r="AA19" s="356" t="str">
        <f t="shared" ref="AA19:AA21" si="26">$V19</f>
        <v>국비</v>
      </c>
      <c r="AB19" s="350">
        <f t="shared" si="19"/>
        <v>2774000</v>
      </c>
      <c r="AC19" s="350">
        <f t="shared" si="20"/>
        <v>0</v>
      </c>
      <c r="AD19" s="355" t="str">
        <f t="shared" si="21"/>
        <v>ok</v>
      </c>
      <c r="AE19" s="354"/>
      <c r="AF19" s="357" t="str">
        <f>IF(AH19="","",IF($V19="도비","세입없음",$AH19&amp;"-"&amp;TEXT(COUNTIF(AH$7:AH19,AH$7:AH19),"00")))</f>
        <v>0704-02</v>
      </c>
      <c r="AG19" s="353"/>
      <c r="AH19" s="358" t="str">
        <f t="array" ref="AH19">IFERROR(IF($C19="","",INDEX(구분표!$I$2:$I$1001,MATCH(1,(구분표!$B$2:$B$1001='16년3추 일입'!$A19)*(구분표!$C$2:$C$1001='16년3추 일입'!$B19)*(구분표!$A$2:$A$1001='16년3추 일입'!$C19),0))),"@@")</f>
        <v>0704</v>
      </c>
      <c r="AI19" s="354"/>
      <c r="AJ19" s="359"/>
      <c r="AK19" s="354"/>
      <c r="AL19" s="360">
        <f>IF(AF19="","",SUMIFS('16년 3추일출'!$Y$14:$Y$9322,'16년 3추일출'!$AH$14:$AH$9322,'16년3추 일입'!$AF19))</f>
        <v>2774000</v>
      </c>
      <c r="AM19" s="359">
        <f>IF(AF19="","",IF(AF19="세입없음","",COUNTIF('16년 3추일출'!$AH$14:$AH$9322,'16년3추 일입'!$AF19)))</f>
        <v>2</v>
      </c>
      <c r="AN19" s="361" t="str">
        <f t="shared" si="10"/>
        <v>OK</v>
      </c>
      <c r="AO19" s="354"/>
      <c r="AP19" s="360">
        <f>IF(AF19="","",SUMIFS('16년 3추일출'!$AD$7:$AD$9322,'16년 3추일출'!$AH$7:$AH$9322,'16년3추 일입'!$AF19))</f>
        <v>2774000</v>
      </c>
      <c r="AQ19" s="359">
        <f>IF(AF19="","",IF(AF19="세입없음","",COUNTIF('16년 3추일출'!$AH$14:$AH$9322,'16년3추 일입'!$AF19)))</f>
        <v>2</v>
      </c>
      <c r="AR19" s="361" t="str">
        <f t="shared" si="11"/>
        <v>OK</v>
      </c>
      <c r="AS19" s="310">
        <f t="shared" si="13"/>
        <v>0</v>
      </c>
    </row>
    <row r="20" spans="1:45" ht="52.5" customHeight="1">
      <c r="A20" s="370" t="s">
        <v>607</v>
      </c>
      <c r="B20" s="367" t="s">
        <v>608</v>
      </c>
      <c r="C20" s="362" t="s">
        <v>609</v>
      </c>
      <c r="D20" s="363" t="s">
        <v>369</v>
      </c>
      <c r="E20" s="363">
        <v>65</v>
      </c>
      <c r="F20" s="363"/>
      <c r="G20" s="364" t="s">
        <v>1013</v>
      </c>
      <c r="H20" s="349">
        <v>3926000</v>
      </c>
      <c r="I20" s="349">
        <v>3926000</v>
      </c>
      <c r="J20" s="349">
        <f t="shared" si="1"/>
        <v>0</v>
      </c>
      <c r="K20" s="350"/>
      <c r="L20" s="350">
        <v>2231960</v>
      </c>
      <c r="M20" s="349">
        <f t="shared" si="2"/>
        <v>6157960</v>
      </c>
      <c r="N20" s="350"/>
      <c r="O20" s="350">
        <v>2231960</v>
      </c>
      <c r="P20" s="349">
        <f t="shared" si="3"/>
        <v>6157960</v>
      </c>
      <c r="Q20" s="365"/>
      <c r="R20" s="352" t="s">
        <v>602</v>
      </c>
      <c r="S20" s="352" t="s">
        <v>602</v>
      </c>
      <c r="T20" s="352" t="s">
        <v>602</v>
      </c>
      <c r="U20" s="353"/>
      <c r="V20" s="354" t="s">
        <v>491</v>
      </c>
      <c r="W20" s="350">
        <f t="shared" si="25"/>
        <v>2231960</v>
      </c>
      <c r="X20" s="350">
        <f t="shared" si="24"/>
        <v>0</v>
      </c>
      <c r="Y20" s="355" t="str">
        <f t="shared" si="18"/>
        <v>ok</v>
      </c>
      <c r="Z20" s="353"/>
      <c r="AA20" s="356" t="str">
        <f t="shared" si="26"/>
        <v>국비</v>
      </c>
      <c r="AB20" s="350">
        <f t="shared" si="19"/>
        <v>2231960</v>
      </c>
      <c r="AC20" s="350">
        <f t="shared" si="20"/>
        <v>0</v>
      </c>
      <c r="AD20" s="355" t="str">
        <f t="shared" si="21"/>
        <v>ok</v>
      </c>
      <c r="AE20" s="354"/>
      <c r="AF20" s="357" t="str">
        <f>IF(AH20="","",IF($V20="도비","세입없음",$AH20&amp;"-"&amp;TEXT(COUNTIF(AH$7:AH20,AH$7:AH20),"00")))</f>
        <v>0704-03</v>
      </c>
      <c r="AG20" s="353"/>
      <c r="AH20" s="358" t="str">
        <f t="array" ref="AH20">IFERROR(IF($C20="","",INDEX(구분표!$I$2:$I$1001,MATCH(1,(구분표!$B$2:$B$1001='16년3추 일입'!$A20)*(구분표!$C$2:$C$1001='16년3추 일입'!$B20)*(구분표!$A$2:$A$1001='16년3추 일입'!$C20),0))),"@@")</f>
        <v>0704</v>
      </c>
      <c r="AI20" s="354"/>
      <c r="AJ20" s="359"/>
      <c r="AK20" s="354"/>
      <c r="AL20" s="360">
        <f>IF(AF20="","",SUMIFS('16년 3추일출'!$Y$14:$Y$9322,'16년 3추일출'!$AH$14:$AH$9322,'16년3추 일입'!$AF20))</f>
        <v>2231960</v>
      </c>
      <c r="AM20" s="359">
        <f>IF(AF20="","",IF(AF20="세입없음","",COUNTIF('16년 3추일출'!$AH$14:$AH$9322,'16년3추 일입'!$AF20)))</f>
        <v>2</v>
      </c>
      <c r="AN20" s="361" t="str">
        <f t="shared" si="10"/>
        <v>OK</v>
      </c>
      <c r="AO20" s="354"/>
      <c r="AP20" s="360">
        <f>IF(AF20="","",SUMIFS('16년 3추일출'!$AD$7:$AD$9322,'16년 3추일출'!$AH$7:$AH$9322,'16년3추 일입'!$AF20))</f>
        <v>2231960</v>
      </c>
      <c r="AQ20" s="359">
        <f>IF(AF20="","",IF(AF20="세입없음","",COUNTIF('16년 3추일출'!$AH$14:$AH$9322,'16년3추 일입'!$AF20)))</f>
        <v>2</v>
      </c>
      <c r="AR20" s="361" t="str">
        <f t="shared" si="11"/>
        <v>OK</v>
      </c>
      <c r="AS20" s="310">
        <f t="shared" si="13"/>
        <v>0</v>
      </c>
    </row>
    <row r="21" spans="1:45" ht="54">
      <c r="A21" s="370" t="s">
        <v>93</v>
      </c>
      <c r="B21" s="367" t="s">
        <v>605</v>
      </c>
      <c r="C21" s="362" t="s">
        <v>610</v>
      </c>
      <c r="D21" s="363" t="s">
        <v>480</v>
      </c>
      <c r="E21" s="363">
        <v>573</v>
      </c>
      <c r="F21" s="363">
        <v>62</v>
      </c>
      <c r="G21" s="364" t="s">
        <v>1014</v>
      </c>
      <c r="H21" s="349">
        <v>99458962</v>
      </c>
      <c r="I21" s="349">
        <v>99433952</v>
      </c>
      <c r="J21" s="349">
        <f t="shared" si="1"/>
        <v>25010</v>
      </c>
      <c r="K21" s="350"/>
      <c r="L21" s="350">
        <v>2050000</v>
      </c>
      <c r="M21" s="349">
        <f t="shared" si="2"/>
        <v>101508962</v>
      </c>
      <c r="N21" s="350"/>
      <c r="O21" s="350">
        <v>2050000</v>
      </c>
      <c r="P21" s="349">
        <f t="shared" si="3"/>
        <v>101508962</v>
      </c>
      <c r="Q21" s="365"/>
      <c r="R21" s="369" t="s">
        <v>603</v>
      </c>
      <c r="S21" s="369" t="s">
        <v>603</v>
      </c>
      <c r="T21" s="369" t="s">
        <v>603</v>
      </c>
      <c r="U21" s="353"/>
      <c r="V21" s="354" t="s">
        <v>491</v>
      </c>
      <c r="W21" s="350">
        <f t="shared" si="25"/>
        <v>2050000</v>
      </c>
      <c r="X21" s="350">
        <f t="shared" si="24"/>
        <v>0</v>
      </c>
      <c r="Y21" s="355" t="str">
        <f t="shared" si="18"/>
        <v>ok</v>
      </c>
      <c r="Z21" s="353"/>
      <c r="AA21" s="356" t="str">
        <f t="shared" si="26"/>
        <v>국비</v>
      </c>
      <c r="AB21" s="350">
        <f t="shared" si="19"/>
        <v>2050000</v>
      </c>
      <c r="AC21" s="350">
        <f t="shared" si="20"/>
        <v>0</v>
      </c>
      <c r="AD21" s="355" t="str">
        <f t="shared" si="21"/>
        <v>ok</v>
      </c>
      <c r="AE21" s="354"/>
      <c r="AF21" s="357" t="str">
        <f>IF(AH21="","",IF($V21="도비","세입없음",$AH21&amp;"-"&amp;TEXT(COUNTIF(AH$7:AH21,AH$7:AH21),"00")))</f>
        <v>0704-04</v>
      </c>
      <c r="AG21" s="353"/>
      <c r="AH21" s="358" t="str">
        <f t="array" ref="AH21">IFERROR(IF($C21="","",INDEX(구분표!$I$2:$I$1001,MATCH(1,(구분표!$B$2:$B$1001='16년3추 일입'!$A21)*(구분표!$C$2:$C$1001='16년3추 일입'!$B21)*(구분표!$A$2:$A$1001='16년3추 일입'!$C21),0))),"@@")</f>
        <v>0704</v>
      </c>
      <c r="AI21" s="354"/>
      <c r="AJ21" s="359"/>
      <c r="AK21" s="354"/>
      <c r="AL21" s="360">
        <f>IF(AF21="","",SUMIFS('16년 3추일출'!$Y$14:$Y$9322,'16년 3추일출'!$AH$14:$AH$9322,'16년3추 일입'!$AF21))</f>
        <v>2050000</v>
      </c>
      <c r="AM21" s="359">
        <f>IF(AF21="","",IF(AF21="세입없음","",COUNTIF('16년 3추일출'!$AH$14:$AH$9322,'16년3추 일입'!$AF21)))</f>
        <v>2</v>
      </c>
      <c r="AN21" s="361" t="str">
        <f t="shared" si="10"/>
        <v>OK</v>
      </c>
      <c r="AO21" s="354"/>
      <c r="AP21" s="360">
        <f>IF(AF21="","",SUMIFS('16년 3추일출'!$AD$7:$AD$9322,'16년 3추일출'!$AH$7:$AH$9322,'16년3추 일입'!$AF21))</f>
        <v>2050000</v>
      </c>
      <c r="AQ21" s="359">
        <f>IF(AF21="","",IF(AF21="세입없음","",COUNTIF('16년 3추일출'!$AH$14:$AH$9322,'16년3추 일입'!$AF21)))</f>
        <v>2</v>
      </c>
      <c r="AR21" s="361" t="str">
        <f t="shared" si="11"/>
        <v>OK</v>
      </c>
      <c r="AS21" s="310">
        <f t="shared" si="13"/>
        <v>0</v>
      </c>
    </row>
    <row r="22" spans="1:45" ht="39.950000000000003" customHeight="1">
      <c r="A22" s="344" t="s">
        <v>92</v>
      </c>
      <c r="B22" s="371" t="s">
        <v>579</v>
      </c>
      <c r="C22" s="372" t="s">
        <v>580</v>
      </c>
      <c r="D22" s="347" t="s">
        <v>480</v>
      </c>
      <c r="E22" s="373">
        <v>509</v>
      </c>
      <c r="F22" s="373">
        <v>7</v>
      </c>
      <c r="G22" s="374" t="s">
        <v>1017</v>
      </c>
      <c r="H22" s="375">
        <v>472898</v>
      </c>
      <c r="I22" s="375">
        <v>0</v>
      </c>
      <c r="J22" s="349">
        <f t="shared" si="1"/>
        <v>472898</v>
      </c>
      <c r="K22" s="376">
        <v>-4099</v>
      </c>
      <c r="L22" s="376"/>
      <c r="M22" s="349">
        <f t="shared" si="2"/>
        <v>468799</v>
      </c>
      <c r="N22" s="350">
        <v>-4099</v>
      </c>
      <c r="O22" s="350"/>
      <c r="P22" s="349">
        <f t="shared" si="3"/>
        <v>468799</v>
      </c>
      <c r="Q22" s="351"/>
      <c r="R22" s="352"/>
      <c r="S22" s="352"/>
      <c r="T22" s="352"/>
      <c r="U22" s="353"/>
      <c r="V22" s="354" t="s">
        <v>490</v>
      </c>
      <c r="W22" s="350">
        <f t="shared" si="22"/>
        <v>0</v>
      </c>
      <c r="X22" s="350">
        <f t="shared" si="17"/>
        <v>-4099</v>
      </c>
      <c r="Y22" s="355" t="str">
        <f t="shared" ref="Y22:Y27" si="27">IF($AF22="국도비","ok",IF(($K22+$L22)=($W22+$X22),"ok","검토"))</f>
        <v>ok</v>
      </c>
      <c r="Z22" s="353"/>
      <c r="AA22" s="356" t="str">
        <f>$V22</f>
        <v>도비</v>
      </c>
      <c r="AB22" s="350">
        <f t="shared" ref="AB22:AB27" si="28">IF($AA22&lt;&gt;"도비",IF($AF22="국도비","직접입력",SUM($N22:$O22)),)</f>
        <v>0</v>
      </c>
      <c r="AC22" s="350">
        <f t="shared" ref="AC22:AC27" si="29">IF($AA22="도비",SUM($N22:$O22),IF($AF22="국도비","직접입력",SUM($N22:$O22)-$AB22))</f>
        <v>-4099</v>
      </c>
      <c r="AD22" s="355" t="str">
        <f t="shared" ref="AD22:AD27" si="30">IF($AF22="국도비","ok",IF(($N22+$O22)=($AB22+$AC22),"ok","검토"))</f>
        <v>ok</v>
      </c>
      <c r="AE22" s="354"/>
      <c r="AF22" s="357" t="str">
        <f>IF(AH22="","",IF($V22="도비","세입없음",$AH22&amp;"-"&amp;TEXT(COUNTIF(AH$7:AH22,AH$7:AH22),"00")))</f>
        <v>세입없음</v>
      </c>
      <c r="AG22" s="353"/>
      <c r="AH22" s="358" t="str">
        <f t="array" ref="AH22">IFERROR(IF($C22="","",INDEX(구분표!$I$2:$I$1001,MATCH(1,(구분표!$B$2:$B$1001='16년3추 일입'!$A22)*(구분표!$C$2:$C$1001='16년3추 일입'!$B22)*(구분표!$A$2:$A$1001='16년3추 일입'!$C22),0))),"@@")</f>
        <v>0608</v>
      </c>
      <c r="AI22" s="354"/>
      <c r="AJ22" s="359"/>
      <c r="AK22" s="354"/>
      <c r="AL22" s="360">
        <f>IF(AF22="","",SUMIFS('16년 3추일출'!$Y$14:$Y$9322,'16년 3추일출'!$AH$14:$AH$9322,'16년3추 일입'!$AF22))</f>
        <v>0</v>
      </c>
      <c r="AM22" s="359" t="str">
        <f>IF(AF22="","",IF(AF22="세입없음","",COUNTIF('16년 3추일출'!$AH$14:$AH$9322,'16년3추 일입'!$AF22)))</f>
        <v/>
      </c>
      <c r="AN22" s="361" t="str">
        <f t="shared" si="10"/>
        <v>OK</v>
      </c>
      <c r="AO22" s="354"/>
      <c r="AP22" s="360">
        <f>IF(AF22="","",SUMIFS('16년 3추일출'!$AD$7:$AD$9322,'16년 3추일출'!$AH$7:$AH$9322,'16년3추 일입'!$AF22))</f>
        <v>0</v>
      </c>
      <c r="AQ22" s="359" t="str">
        <f>IF(AF22="","",IF(AF22="세입없음","",COUNTIF('16년 3추일출'!$AH$14:$AH$9322,'16년3추 일입'!$AF22)))</f>
        <v/>
      </c>
      <c r="AR22" s="361" t="str">
        <f t="shared" si="11"/>
        <v>OK</v>
      </c>
      <c r="AS22" s="310">
        <f t="shared" si="13"/>
        <v>0</v>
      </c>
    </row>
    <row r="23" spans="1:45" ht="39.950000000000003" customHeight="1">
      <c r="A23" s="344" t="s">
        <v>581</v>
      </c>
      <c r="B23" s="371" t="s">
        <v>582</v>
      </c>
      <c r="C23" s="372" t="s">
        <v>583</v>
      </c>
      <c r="D23" s="347" t="s">
        <v>480</v>
      </c>
      <c r="E23" s="377">
        <v>509</v>
      </c>
      <c r="F23" s="377">
        <v>10</v>
      </c>
      <c r="G23" s="378" t="s">
        <v>1018</v>
      </c>
      <c r="H23" s="375">
        <v>2882</v>
      </c>
      <c r="I23" s="375">
        <v>0</v>
      </c>
      <c r="J23" s="349">
        <f t="shared" si="1"/>
        <v>2882</v>
      </c>
      <c r="K23" s="376"/>
      <c r="L23" s="376">
        <v>208234</v>
      </c>
      <c r="M23" s="349">
        <f t="shared" si="2"/>
        <v>211116</v>
      </c>
      <c r="N23" s="350">
        <v>-60</v>
      </c>
      <c r="O23" s="376"/>
      <c r="P23" s="349">
        <f t="shared" si="3"/>
        <v>2822</v>
      </c>
      <c r="Q23" s="365"/>
      <c r="R23" s="352"/>
      <c r="S23" s="352"/>
      <c r="T23" s="352"/>
      <c r="U23" s="353"/>
      <c r="V23" s="354" t="s">
        <v>1020</v>
      </c>
      <c r="W23" s="350">
        <f t="shared" si="22"/>
        <v>0</v>
      </c>
      <c r="X23" s="350">
        <f t="shared" si="17"/>
        <v>208234</v>
      </c>
      <c r="Y23" s="355" t="str">
        <f t="shared" si="27"/>
        <v>ok</v>
      </c>
      <c r="Z23" s="353"/>
      <c r="AA23" s="356" t="str">
        <f>$V23</f>
        <v>도비</v>
      </c>
      <c r="AB23" s="350">
        <f t="shared" si="28"/>
        <v>0</v>
      </c>
      <c r="AC23" s="350">
        <f t="shared" si="29"/>
        <v>-60</v>
      </c>
      <c r="AD23" s="355" t="str">
        <f t="shared" si="30"/>
        <v>ok</v>
      </c>
      <c r="AE23" s="366"/>
      <c r="AF23" s="357" t="str">
        <f>IF(AH23="","",IF($V23="도비","세입없음",$AH23&amp;"-"&amp;TEXT(COUNTIF(AH$7:AH23,AH$7:AH23),"00")))</f>
        <v>세입없음</v>
      </c>
      <c r="AG23" s="353"/>
      <c r="AH23" s="358" t="str">
        <f t="array" ref="AH23">IFERROR(IF($C23="","",INDEX(구분표!$I$2:$I$1001,MATCH(1,(구분표!$B$2:$B$1001='16년3추 일입'!$A23)*(구분표!$C$2:$C$1001='16년3추 일입'!$B23)*(구분표!$A$2:$A$1001='16년3추 일입'!$C23),0))),"@@")</f>
        <v>0608</v>
      </c>
      <c r="AI23" s="366"/>
      <c r="AJ23" s="359"/>
      <c r="AK23" s="366"/>
      <c r="AL23" s="360">
        <f>IF(AF23="","",SUMIFS('16년 3추일출'!$Y$14:$Y$9322,'16년 3추일출'!$AH$14:$AH$9322,'16년3추 일입'!$AF23))</f>
        <v>0</v>
      </c>
      <c r="AM23" s="359" t="str">
        <f>IF(AF23="","",IF(AF23="세입없음","",COUNTIF('16년 3추일출'!$AH$14:$AH$9322,'16년3추 일입'!$AF23)))</f>
        <v/>
      </c>
      <c r="AN23" s="361" t="str">
        <f t="shared" si="10"/>
        <v>OK</v>
      </c>
      <c r="AO23" s="366"/>
      <c r="AP23" s="360">
        <f>IF(AF23="","",SUMIFS('16년 3추일출'!$AD$7:$AD$9322,'16년 3추일출'!$AH$7:$AH$9322,'16년3추 일입'!$AF23))</f>
        <v>0</v>
      </c>
      <c r="AQ23" s="359" t="str">
        <f>IF(AF23="","",IF(AF23="세입없음","",COUNTIF('16년 3추일출'!$AH$14:$AH$9322,'16년3추 일입'!$AF23)))</f>
        <v/>
      </c>
      <c r="AR23" s="361" t="str">
        <f t="shared" si="11"/>
        <v>OK</v>
      </c>
      <c r="AS23" s="310">
        <f t="shared" si="13"/>
        <v>0</v>
      </c>
    </row>
    <row r="24" spans="1:45" ht="39.950000000000003" customHeight="1">
      <c r="A24" s="344" t="s">
        <v>435</v>
      </c>
      <c r="B24" s="371" t="s">
        <v>497</v>
      </c>
      <c r="C24" s="372" t="s">
        <v>583</v>
      </c>
      <c r="D24" s="347" t="s">
        <v>480</v>
      </c>
      <c r="E24" s="363">
        <v>509</v>
      </c>
      <c r="F24" s="363"/>
      <c r="G24" s="364" t="s">
        <v>1167</v>
      </c>
      <c r="H24" s="349">
        <v>207991</v>
      </c>
      <c r="I24" s="349"/>
      <c r="J24" s="349">
        <f t="shared" ref="J24:J25" si="31">IF(D24="","",H24-I24)</f>
        <v>207991</v>
      </c>
      <c r="K24" s="350"/>
      <c r="L24" s="350"/>
      <c r="M24" s="349">
        <f t="shared" ref="M24:M25" si="32">H24+K24+L24</f>
        <v>207991</v>
      </c>
      <c r="N24" s="350"/>
      <c r="O24" s="350">
        <v>207992</v>
      </c>
      <c r="P24" s="349">
        <f t="shared" ref="P24:P25" si="33">H24+N24+O24</f>
        <v>415983</v>
      </c>
      <c r="Q24" s="365"/>
      <c r="R24" s="369"/>
      <c r="S24" s="369"/>
      <c r="T24" s="369"/>
      <c r="U24" s="353"/>
      <c r="V24" s="354" t="s">
        <v>1182</v>
      </c>
      <c r="W24" s="350">
        <f t="shared" si="22"/>
        <v>0</v>
      </c>
      <c r="X24" s="350">
        <f t="shared" si="4"/>
        <v>0</v>
      </c>
      <c r="Y24" s="355" t="str">
        <f t="shared" si="5"/>
        <v>ok</v>
      </c>
      <c r="Z24" s="353"/>
      <c r="AA24" s="356" t="str">
        <f t="shared" ref="AA24:AA25" si="34">$V24</f>
        <v>도비</v>
      </c>
      <c r="AB24" s="350">
        <f t="shared" si="7"/>
        <v>0</v>
      </c>
      <c r="AC24" s="350">
        <f t="shared" si="8"/>
        <v>207992</v>
      </c>
      <c r="AD24" s="355" t="str">
        <f t="shared" si="9"/>
        <v>ok</v>
      </c>
      <c r="AE24" s="366"/>
      <c r="AF24" s="357" t="str">
        <f>IF(AH24="","",IF($V24="도비","세입없음",$AH24&amp;"-"&amp;TEXT(COUNTIF(AH$7:AH24,AH$7:AH24),"00")))</f>
        <v>세입없음</v>
      </c>
      <c r="AG24" s="353"/>
      <c r="AH24" s="358" t="str">
        <f t="array" ref="AH24">IFERROR(IF($C24="","",INDEX(구분표!$I$2:$I$1001,MATCH(1,(구분표!$B$2:$B$1001='16년3추 일입'!$A24)*(구분표!$C$2:$C$1001='16년3추 일입'!$B24)*(구분표!$A$2:$A$1001='16년3추 일입'!$C24),0))),"@@")</f>
        <v>0608</v>
      </c>
      <c r="AI24" s="366"/>
      <c r="AJ24" s="359"/>
      <c r="AK24" s="366"/>
      <c r="AL24" s="360">
        <f>IF(AF24="","",SUMIFS('16년 3추일출'!$Y$14:$Y$9322,'16년 3추일출'!$AH$14:$AH$9322,'16년3추 일입'!$AF24))</f>
        <v>0</v>
      </c>
      <c r="AM24" s="359" t="str">
        <f>IF(AF24="","",IF(AF24="세입없음","",COUNTIF('16년 3추일출'!$AH$14:$AH$9322,'16년3추 일입'!$AF24)))</f>
        <v/>
      </c>
      <c r="AN24" s="361" t="str">
        <f t="shared" ref="AN24:AN25" si="35">IF(W24=0,"OK",IF(W24=AL24,"OK","@@"))</f>
        <v>OK</v>
      </c>
      <c r="AO24" s="366"/>
      <c r="AP24" s="360">
        <f>IF(AF24="","",SUMIFS('16년 3추일출'!$AD$7:$AD$9322,'16년 3추일출'!$AH$7:$AH$9322,'16년3추 일입'!$AF24))</f>
        <v>0</v>
      </c>
      <c r="AQ24" s="359" t="str">
        <f>IF(AF24="","",IF(AF24="세입없음","",COUNTIF('16년 3추일출'!$AH$14:$AH$9322,'16년3추 일입'!$AF24)))</f>
        <v/>
      </c>
      <c r="AR24" s="361" t="str">
        <f t="shared" ref="AR24:AR25" si="36">IF(AB24=0,"OK",IF(AB24=AP24,"OK","@@"))</f>
        <v>OK</v>
      </c>
      <c r="AS24" s="310">
        <f t="shared" si="13"/>
        <v>0</v>
      </c>
    </row>
    <row r="25" spans="1:45" ht="39.950000000000003" customHeight="1">
      <c r="A25" s="344" t="s">
        <v>435</v>
      </c>
      <c r="B25" s="371" t="s">
        <v>497</v>
      </c>
      <c r="C25" s="372" t="s">
        <v>583</v>
      </c>
      <c r="D25" s="347" t="s">
        <v>1130</v>
      </c>
      <c r="E25" s="363"/>
      <c r="F25" s="363"/>
      <c r="G25" s="364" t="s">
        <v>1131</v>
      </c>
      <c r="H25" s="349"/>
      <c r="I25" s="349"/>
      <c r="J25" s="349">
        <f t="shared" si="31"/>
        <v>0</v>
      </c>
      <c r="K25" s="350"/>
      <c r="L25" s="350"/>
      <c r="M25" s="349">
        <f t="shared" si="32"/>
        <v>0</v>
      </c>
      <c r="N25" s="350"/>
      <c r="O25" s="350">
        <v>302</v>
      </c>
      <c r="P25" s="349">
        <f t="shared" si="33"/>
        <v>302</v>
      </c>
      <c r="Q25" s="365"/>
      <c r="R25" s="369"/>
      <c r="S25" s="369"/>
      <c r="T25" s="369"/>
      <c r="U25" s="353"/>
      <c r="V25" s="354" t="s">
        <v>1182</v>
      </c>
      <c r="W25" s="350">
        <f t="shared" si="22"/>
        <v>0</v>
      </c>
      <c r="X25" s="350">
        <f t="shared" si="4"/>
        <v>0</v>
      </c>
      <c r="Y25" s="355" t="str">
        <f t="shared" si="5"/>
        <v>ok</v>
      </c>
      <c r="Z25" s="353"/>
      <c r="AA25" s="356" t="str">
        <f t="shared" si="34"/>
        <v>도비</v>
      </c>
      <c r="AB25" s="350">
        <f t="shared" si="7"/>
        <v>0</v>
      </c>
      <c r="AC25" s="350">
        <f t="shared" si="8"/>
        <v>302</v>
      </c>
      <c r="AD25" s="355" t="str">
        <f t="shared" si="9"/>
        <v>ok</v>
      </c>
      <c r="AE25" s="366"/>
      <c r="AF25" s="357" t="str">
        <f>IF(AH25="","",IF($V25="도비","세입없음",$AH25&amp;"-"&amp;TEXT(COUNTIF(AH$7:AH25,AH$7:AH25),"00")))</f>
        <v>세입없음</v>
      </c>
      <c r="AG25" s="353"/>
      <c r="AH25" s="358" t="str">
        <f t="array" ref="AH25">IFERROR(IF($C25="","",INDEX(구분표!$I$2:$I$1001,MATCH(1,(구분표!$B$2:$B$1001='16년3추 일입'!$A25)*(구분표!$C$2:$C$1001='16년3추 일입'!$B25)*(구분표!$A$2:$A$1001='16년3추 일입'!$C25),0))),"@@")</f>
        <v>0608</v>
      </c>
      <c r="AI25" s="366"/>
      <c r="AJ25" s="359"/>
      <c r="AK25" s="366"/>
      <c r="AL25" s="360">
        <f>IF(AF25="","",SUMIFS('16년 3추일출'!$Y$14:$Y$9322,'16년 3추일출'!$AH$14:$AH$9322,'16년3추 일입'!$AF25))</f>
        <v>0</v>
      </c>
      <c r="AM25" s="359" t="str">
        <f>IF(AF25="","",IF(AF25="세입없음","",COUNTIF('16년 3추일출'!$AH$14:$AH$9322,'16년3추 일입'!$AF25)))</f>
        <v/>
      </c>
      <c r="AN25" s="361" t="str">
        <f t="shared" si="35"/>
        <v>OK</v>
      </c>
      <c r="AO25" s="366"/>
      <c r="AP25" s="360">
        <f>IF(AF25="","",SUMIFS('16년 3추일출'!$AD$7:$AD$9322,'16년 3추일출'!$AH$7:$AH$9322,'16년3추 일입'!$AF25))</f>
        <v>0</v>
      </c>
      <c r="AQ25" s="359" t="str">
        <f>IF(AF25="","",IF(AF25="세입없음","",COUNTIF('16년 3추일출'!$AH$14:$AH$9322,'16년3추 일입'!$AF25)))</f>
        <v/>
      </c>
      <c r="AR25" s="361" t="str">
        <f t="shared" si="36"/>
        <v>OK</v>
      </c>
      <c r="AS25" s="310">
        <f t="shared" si="13"/>
        <v>0</v>
      </c>
    </row>
    <row r="26" spans="1:45" ht="60" customHeight="1">
      <c r="A26" s="344" t="s">
        <v>92</v>
      </c>
      <c r="B26" s="371" t="s">
        <v>579</v>
      </c>
      <c r="C26" s="372" t="s">
        <v>584</v>
      </c>
      <c r="D26" s="347" t="s">
        <v>480</v>
      </c>
      <c r="E26" s="377">
        <v>510</v>
      </c>
      <c r="F26" s="377">
        <v>13</v>
      </c>
      <c r="G26" s="379" t="s">
        <v>1031</v>
      </c>
      <c r="H26" s="375">
        <v>60800</v>
      </c>
      <c r="I26" s="375">
        <v>48000</v>
      </c>
      <c r="J26" s="349">
        <f t="shared" si="1"/>
        <v>12800</v>
      </c>
      <c r="K26" s="376"/>
      <c r="L26" s="376">
        <v>3200</v>
      </c>
      <c r="M26" s="349">
        <f t="shared" si="2"/>
        <v>64000</v>
      </c>
      <c r="N26" s="350"/>
      <c r="O26" s="350">
        <v>3200</v>
      </c>
      <c r="P26" s="349">
        <f t="shared" si="3"/>
        <v>64000</v>
      </c>
      <c r="Q26" s="365"/>
      <c r="R26" s="369"/>
      <c r="S26" s="369"/>
      <c r="T26" s="369"/>
      <c r="U26" s="353"/>
      <c r="V26" s="354" t="s">
        <v>491</v>
      </c>
      <c r="W26" s="350">
        <f t="shared" ref="W26:W27" si="37">IF($V26&lt;&gt;"도비",IF($AF26="국도비","직접입력",SUM($K26:$L26)),)</f>
        <v>3200</v>
      </c>
      <c r="X26" s="350">
        <f t="shared" ref="X26:X27" si="38">IF($V26="도비",SUM($K26:$L26),IF($AF26="국도비","직접입력",SUM($K26:$L26)-$W26))</f>
        <v>0</v>
      </c>
      <c r="Y26" s="355" t="str">
        <f t="shared" si="27"/>
        <v>ok</v>
      </c>
      <c r="Z26" s="353"/>
      <c r="AA26" s="356" t="str">
        <f t="shared" ref="AA26:AA27" si="39">$V26</f>
        <v>국비</v>
      </c>
      <c r="AB26" s="350">
        <f t="shared" si="28"/>
        <v>3200</v>
      </c>
      <c r="AC26" s="350">
        <f t="shared" si="29"/>
        <v>0</v>
      </c>
      <c r="AD26" s="355" t="str">
        <f t="shared" si="30"/>
        <v>ok</v>
      </c>
      <c r="AE26" s="354"/>
      <c r="AF26" s="357" t="str">
        <f>IF(AH26="","",IF($V26="도비","세입없음",$AH26&amp;"-"&amp;TEXT(COUNTIF(AH$7:AH26,AH$7:AH26),"00")))</f>
        <v>0609-01</v>
      </c>
      <c r="AG26" s="353"/>
      <c r="AH26" s="358" t="str">
        <f t="array" ref="AH26">IFERROR(IF($C26="","",INDEX(구분표!$I$2:$I$1001,MATCH(1,(구분표!$B$2:$B$1001='16년3추 일입'!$A26)*(구분표!$C$2:$C$1001='16년3추 일입'!$B26)*(구분표!$A$2:$A$1001='16년3추 일입'!$C26),0))),"@@")</f>
        <v>0609</v>
      </c>
      <c r="AI26" s="354"/>
      <c r="AJ26" s="359"/>
      <c r="AK26" s="354"/>
      <c r="AL26" s="360">
        <f>IF(AF26="","",SUMIFS('16년 3추일출'!$Y$14:$Y$9322,'16년 3추일출'!$AH$14:$AH$9322,'16년3추 일입'!$AF26))</f>
        <v>3200</v>
      </c>
      <c r="AM26" s="359">
        <f>IF(AF26="","",IF(AF26="세입없음","",COUNTIF('16년 3추일출'!$AH$14:$AH$9322,'16년3추 일입'!$AF26)))</f>
        <v>1</v>
      </c>
      <c r="AN26" s="361" t="str">
        <f t="shared" si="10"/>
        <v>OK</v>
      </c>
      <c r="AO26" s="354"/>
      <c r="AP26" s="360">
        <f>IF(AF26="","",SUMIFS('16년 3추일출'!$AD$7:$AD$9322,'16년 3추일출'!$AH$7:$AH$9322,'16년3추 일입'!$AF26))</f>
        <v>3200</v>
      </c>
      <c r="AQ26" s="359">
        <f>IF(AF26="","",IF(AF26="세입없음","",COUNTIF('16년 3추일출'!$AH$14:$AH$9322,'16년3추 일입'!$AF26)))</f>
        <v>1</v>
      </c>
      <c r="AR26" s="361" t="str">
        <f t="shared" si="11"/>
        <v>OK</v>
      </c>
      <c r="AS26" s="310">
        <f t="shared" si="13"/>
        <v>0</v>
      </c>
    </row>
    <row r="27" spans="1:45" ht="39.950000000000003" customHeight="1">
      <c r="A27" s="344" t="s">
        <v>92</v>
      </c>
      <c r="B27" s="371" t="s">
        <v>579</v>
      </c>
      <c r="C27" s="372" t="s">
        <v>585</v>
      </c>
      <c r="D27" s="347" t="s">
        <v>480</v>
      </c>
      <c r="E27" s="377" t="s">
        <v>368</v>
      </c>
      <c r="F27" s="377" t="s">
        <v>368</v>
      </c>
      <c r="G27" s="380" t="s">
        <v>1032</v>
      </c>
      <c r="H27" s="375">
        <v>0</v>
      </c>
      <c r="I27" s="375">
        <v>0</v>
      </c>
      <c r="J27" s="349">
        <f t="shared" si="1"/>
        <v>0</v>
      </c>
      <c r="K27" s="376"/>
      <c r="L27" s="376">
        <v>200000</v>
      </c>
      <c r="M27" s="349">
        <f t="shared" si="2"/>
        <v>200000</v>
      </c>
      <c r="N27" s="350"/>
      <c r="O27" s="350">
        <v>200000</v>
      </c>
      <c r="P27" s="349">
        <f t="shared" si="3"/>
        <v>200000</v>
      </c>
      <c r="Q27" s="365"/>
      <c r="R27" s="352"/>
      <c r="S27" s="352"/>
      <c r="T27" s="352"/>
      <c r="U27" s="353"/>
      <c r="V27" s="354" t="s">
        <v>535</v>
      </c>
      <c r="W27" s="350">
        <f t="shared" si="37"/>
        <v>200000</v>
      </c>
      <c r="X27" s="350">
        <f t="shared" si="38"/>
        <v>0</v>
      </c>
      <c r="Y27" s="355" t="str">
        <f t="shared" si="27"/>
        <v>ok</v>
      </c>
      <c r="Z27" s="353"/>
      <c r="AA27" s="356" t="str">
        <f t="shared" si="39"/>
        <v>특교</v>
      </c>
      <c r="AB27" s="350">
        <f t="shared" si="28"/>
        <v>200000</v>
      </c>
      <c r="AC27" s="350">
        <f t="shared" si="29"/>
        <v>0</v>
      </c>
      <c r="AD27" s="355" t="str">
        <f t="shared" si="30"/>
        <v>ok</v>
      </c>
      <c r="AE27" s="354"/>
      <c r="AF27" s="357" t="str">
        <f>IF(AH27="","",IF($V27="도비","세입없음",$AH27&amp;"-"&amp;TEXT(COUNTIF(AH$7:AH27,AH$7:AH27),"00")))</f>
        <v>0613-01</v>
      </c>
      <c r="AG27" s="353"/>
      <c r="AH27" s="358" t="str">
        <f t="array" ref="AH27">IFERROR(IF($C27="","",INDEX(구분표!$I$2:$I$1001,MATCH(1,(구분표!$B$2:$B$1001='16년3추 일입'!$A27)*(구분표!$C$2:$C$1001='16년3추 일입'!$B27)*(구분표!$A$2:$A$1001='16년3추 일입'!$C27),0))),"@@")</f>
        <v>0613</v>
      </c>
      <c r="AI27" s="354"/>
      <c r="AJ27" s="359"/>
      <c r="AK27" s="354"/>
      <c r="AL27" s="360">
        <f>IF(AF27="","",SUMIFS('16년 3추일출'!$Y$14:$Y$9322,'16년 3추일출'!$AH$14:$AH$9322,'16년3추 일입'!$AF27))</f>
        <v>200000</v>
      </c>
      <c r="AM27" s="359">
        <f>IF(AF27="","",IF(AF27="세입없음","",COUNTIF('16년 3추일출'!$AH$14:$AH$9322,'16년3추 일입'!$AF27)))</f>
        <v>1</v>
      </c>
      <c r="AN27" s="361" t="str">
        <f t="shared" si="10"/>
        <v>OK</v>
      </c>
      <c r="AO27" s="354"/>
      <c r="AP27" s="360">
        <f>IF(AF27="","",SUMIFS('16년 3추일출'!$AD$7:$AD$9322,'16년 3추일출'!$AH$7:$AH$9322,'16년3추 일입'!$AF27))</f>
        <v>200000</v>
      </c>
      <c r="AQ27" s="359">
        <f>IF(AF27="","",IF(AF27="세입없음","",COUNTIF('16년 3추일출'!$AH$14:$AH$9322,'16년3추 일입'!$AF27)))</f>
        <v>1</v>
      </c>
      <c r="AR27" s="361" t="str">
        <f t="shared" si="11"/>
        <v>OK</v>
      </c>
      <c r="AS27" s="310">
        <f t="shared" si="13"/>
        <v>0</v>
      </c>
    </row>
    <row r="28" spans="1:45" ht="39.950000000000003" customHeight="1">
      <c r="A28" s="344" t="s">
        <v>63</v>
      </c>
      <c r="B28" s="367" t="s">
        <v>66</v>
      </c>
      <c r="C28" s="362" t="s">
        <v>296</v>
      </c>
      <c r="D28" s="363" t="s">
        <v>501</v>
      </c>
      <c r="E28" s="363"/>
      <c r="F28" s="363"/>
      <c r="G28" s="364" t="s">
        <v>1140</v>
      </c>
      <c r="H28" s="349">
        <v>8023960</v>
      </c>
      <c r="I28" s="349">
        <v>8023960</v>
      </c>
      <c r="J28" s="349">
        <f t="shared" si="1"/>
        <v>0</v>
      </c>
      <c r="K28" s="350"/>
      <c r="L28" s="350"/>
      <c r="M28" s="349">
        <f t="shared" si="2"/>
        <v>8023960</v>
      </c>
      <c r="N28" s="350"/>
      <c r="O28" s="350">
        <v>100000</v>
      </c>
      <c r="P28" s="349">
        <f t="shared" si="3"/>
        <v>8123960</v>
      </c>
      <c r="Q28" s="365"/>
      <c r="R28" s="369"/>
      <c r="S28" s="369"/>
      <c r="T28" s="369" t="s">
        <v>1142</v>
      </c>
      <c r="U28" s="353"/>
      <c r="V28" s="354" t="s">
        <v>1143</v>
      </c>
      <c r="W28" s="350">
        <f t="shared" ref="W28:W51" si="40">IF($V28&lt;&gt;"도비",IF($AF28="국도비","직접입력",SUM($K28:$L28)),)</f>
        <v>0</v>
      </c>
      <c r="X28" s="350">
        <f t="shared" si="4"/>
        <v>0</v>
      </c>
      <c r="Y28" s="355" t="str">
        <f t="shared" si="5"/>
        <v>ok</v>
      </c>
      <c r="Z28" s="353"/>
      <c r="AA28" s="356" t="str">
        <f t="shared" ref="AA28:AA51" si="41">$V28</f>
        <v>국비</v>
      </c>
      <c r="AB28" s="350">
        <f t="shared" si="7"/>
        <v>100000</v>
      </c>
      <c r="AC28" s="350">
        <f t="shared" si="8"/>
        <v>0</v>
      </c>
      <c r="AD28" s="355" t="str">
        <f t="shared" si="9"/>
        <v>ok</v>
      </c>
      <c r="AE28" s="366"/>
      <c r="AF28" s="357" t="str">
        <f>IF(AH28="","",IF($V28="도비","세입없음",$AH28&amp;"-"&amp;TEXT(COUNTIF(AH$7:AH28,AH$7:AH28),"00")))</f>
        <v>0610-01</v>
      </c>
      <c r="AG28" s="353"/>
      <c r="AH28" s="358" t="str">
        <f t="array" ref="AH28">IFERROR(IF($C28="","",INDEX(구분표!$I$2:$I$1001,MATCH(1,(구분표!$B$2:$B$1001='16년3추 일입'!$A28)*(구분표!$C$2:$C$1001='16년3추 일입'!$B28)*(구분표!$A$2:$A$1001='16년3추 일입'!$C28),0))),"@@")</f>
        <v>0610</v>
      </c>
      <c r="AI28" s="366"/>
      <c r="AJ28" s="359"/>
      <c r="AK28" s="366"/>
      <c r="AL28" s="360">
        <f>IF(AF28="","",SUMIFS('16년 3추일출'!$Y$14:$Y$9322,'16년 3추일출'!$AH$14:$AH$9322,'16년3추 일입'!$AF28))</f>
        <v>0</v>
      </c>
      <c r="AM28" s="359">
        <f>IF(AF28="","",IF(AF28="세입없음","",COUNTIF('16년 3추일출'!$AH$14:$AH$9322,'16년3추 일입'!$AF28)))</f>
        <v>4</v>
      </c>
      <c r="AN28" s="361" t="str">
        <f t="shared" si="10"/>
        <v>OK</v>
      </c>
      <c r="AO28" s="366"/>
      <c r="AP28" s="360">
        <f>IF(AF28="","",SUMIFS('16년 3추일출'!$AD$7:$AD$9322,'16년 3추일출'!$AH$7:$AH$9322,'16년3추 일입'!$AF28))</f>
        <v>100000</v>
      </c>
      <c r="AQ28" s="359">
        <f>IF(AF28="","",IF(AF28="세입없음","",COUNTIF('16년 3추일출'!$AH$14:$AH$9322,'16년3추 일입'!$AF28)))</f>
        <v>4</v>
      </c>
      <c r="AR28" s="361" t="str">
        <f t="shared" si="11"/>
        <v>OK</v>
      </c>
      <c r="AS28" s="310">
        <f t="shared" si="13"/>
        <v>0</v>
      </c>
    </row>
    <row r="29" spans="1:45" ht="39.950000000000003" customHeight="1">
      <c r="A29" s="344" t="s">
        <v>63</v>
      </c>
      <c r="B29" s="367" t="s">
        <v>66</v>
      </c>
      <c r="C29" s="362" t="s">
        <v>296</v>
      </c>
      <c r="D29" s="363" t="s">
        <v>480</v>
      </c>
      <c r="E29" s="363">
        <v>511</v>
      </c>
      <c r="F29" s="363"/>
      <c r="G29" s="364" t="s">
        <v>1141</v>
      </c>
      <c r="H29" s="349">
        <v>8096980</v>
      </c>
      <c r="I29" s="349">
        <v>7246980</v>
      </c>
      <c r="J29" s="349">
        <f t="shared" ref="J29" si="42">IF(D29="","",H29-I29)</f>
        <v>850000</v>
      </c>
      <c r="K29" s="350"/>
      <c r="L29" s="350"/>
      <c r="M29" s="349">
        <f t="shared" ref="M29" si="43">H29+K29+L29</f>
        <v>8096980</v>
      </c>
      <c r="N29" s="350"/>
      <c r="O29" s="350">
        <v>1535000</v>
      </c>
      <c r="P29" s="349">
        <f t="shared" ref="P29" si="44">H29+N29+O29</f>
        <v>9631980</v>
      </c>
      <c r="Q29" s="365"/>
      <c r="R29" s="369"/>
      <c r="S29" s="369"/>
      <c r="T29" s="369" t="s">
        <v>1142</v>
      </c>
      <c r="U29" s="353"/>
      <c r="V29" s="354" t="s">
        <v>1143</v>
      </c>
      <c r="W29" s="350">
        <f t="shared" si="40"/>
        <v>0</v>
      </c>
      <c r="X29" s="350">
        <f t="shared" si="4"/>
        <v>0</v>
      </c>
      <c r="Y29" s="355" t="str">
        <f t="shared" si="5"/>
        <v>ok</v>
      </c>
      <c r="Z29" s="353"/>
      <c r="AA29" s="356" t="str">
        <f t="shared" si="41"/>
        <v>국비</v>
      </c>
      <c r="AB29" s="350">
        <f t="shared" si="7"/>
        <v>1535000</v>
      </c>
      <c r="AC29" s="350">
        <f t="shared" si="8"/>
        <v>0</v>
      </c>
      <c r="AD29" s="355" t="str">
        <f t="shared" si="9"/>
        <v>ok</v>
      </c>
      <c r="AE29" s="366"/>
      <c r="AF29" s="357" t="str">
        <f>IF(AH29="","",IF($V29="도비","세입없음",$AH29&amp;"-"&amp;TEXT(COUNTIF(AH$7:AH29,AH$7:AH29),"00")))</f>
        <v>0610-02</v>
      </c>
      <c r="AG29" s="353"/>
      <c r="AH29" s="358" t="str">
        <f t="array" ref="AH29">IFERROR(IF($C29="","",INDEX(구분표!$I$2:$I$1001,MATCH(1,(구분표!$B$2:$B$1001='16년3추 일입'!$A29)*(구분표!$C$2:$C$1001='16년3추 일입'!$B29)*(구분표!$A$2:$A$1001='16년3추 일입'!$C29),0))),"@@")</f>
        <v>0610</v>
      </c>
      <c r="AI29" s="366"/>
      <c r="AJ29" s="359"/>
      <c r="AK29" s="366"/>
      <c r="AL29" s="360">
        <f>IF(AF29="","",SUMIFS('16년 3추일출'!$Y$14:$Y$9322,'16년 3추일출'!$AH$14:$AH$9322,'16년3추 일입'!$AF29))</f>
        <v>0</v>
      </c>
      <c r="AM29" s="359">
        <f>IF(AF29="","",IF(AF29="세입없음","",COUNTIF('16년 3추일출'!$AH$14:$AH$9322,'16년3추 일입'!$AF29)))</f>
        <v>2</v>
      </c>
      <c r="AN29" s="361" t="str">
        <f t="shared" ref="AN29" si="45">IF(W29=0,"OK",IF(W29=AL29,"OK","@@"))</f>
        <v>OK</v>
      </c>
      <c r="AO29" s="366"/>
      <c r="AP29" s="360">
        <f>IF(AF29="","",SUMIFS('16년 3추일출'!$AD$7:$AD$9322,'16년 3추일출'!$AH$7:$AH$9322,'16년3추 일입'!$AF29))</f>
        <v>1535000</v>
      </c>
      <c r="AQ29" s="359">
        <f>IF(AF29="","",IF(AF29="세입없음","",COUNTIF('16년 3추일출'!$AH$14:$AH$9322,'16년3추 일입'!$AF29)))</f>
        <v>2</v>
      </c>
      <c r="AR29" s="361" t="str">
        <f t="shared" ref="AR29" si="46">IF(AB29=0,"OK",IF(AB29=AP29,"OK","@@"))</f>
        <v>OK</v>
      </c>
      <c r="AS29" s="310">
        <f t="shared" si="13"/>
        <v>0</v>
      </c>
    </row>
    <row r="30" spans="1:45" ht="39.950000000000003" customHeight="1">
      <c r="A30" s="344" t="s">
        <v>11</v>
      </c>
      <c r="B30" s="367" t="s">
        <v>107</v>
      </c>
      <c r="C30" s="362" t="s">
        <v>262</v>
      </c>
      <c r="D30" s="363" t="s">
        <v>480</v>
      </c>
      <c r="E30" s="363">
        <v>732</v>
      </c>
      <c r="F30" s="363"/>
      <c r="G30" s="364" t="s">
        <v>1198</v>
      </c>
      <c r="H30" s="349">
        <v>8036000</v>
      </c>
      <c r="I30" s="349">
        <v>7332000</v>
      </c>
      <c r="J30" s="349">
        <f t="shared" ref="J30:J49" si="47">IF(D30="","",H30-I30)</f>
        <v>704000</v>
      </c>
      <c r="K30" s="350"/>
      <c r="L30" s="350"/>
      <c r="M30" s="349">
        <f t="shared" ref="M30:M49" si="48">H30+K30+L30</f>
        <v>8036000</v>
      </c>
      <c r="N30" s="350"/>
      <c r="O30" s="350">
        <v>54000</v>
      </c>
      <c r="P30" s="349">
        <f t="shared" ref="P30:P49" si="49">H30+N30+O30</f>
        <v>8090000</v>
      </c>
      <c r="Q30" s="365"/>
      <c r="R30" s="369"/>
      <c r="S30" s="369"/>
      <c r="T30" s="369" t="s">
        <v>1142</v>
      </c>
      <c r="U30" s="353"/>
      <c r="V30" s="354" t="s">
        <v>1143</v>
      </c>
      <c r="W30" s="350">
        <f t="shared" si="40"/>
        <v>0</v>
      </c>
      <c r="X30" s="350">
        <f t="shared" si="4"/>
        <v>0</v>
      </c>
      <c r="Y30" s="355" t="str">
        <f t="shared" si="5"/>
        <v>ok</v>
      </c>
      <c r="Z30" s="353"/>
      <c r="AA30" s="356" t="str">
        <f t="shared" si="41"/>
        <v>국비</v>
      </c>
      <c r="AB30" s="350">
        <f t="shared" si="7"/>
        <v>54000</v>
      </c>
      <c r="AC30" s="350">
        <f t="shared" si="8"/>
        <v>0</v>
      </c>
      <c r="AD30" s="355" t="str">
        <f t="shared" si="9"/>
        <v>ok</v>
      </c>
      <c r="AE30" s="366"/>
      <c r="AF30" s="357" t="str">
        <f>IF(AH30="","",IF($V30="도비","세입없음",$AH30&amp;"-"&amp;TEXT(COUNTIF(AH$7:AH30,AH$7:AH30),"00")))</f>
        <v>0912-01</v>
      </c>
      <c r="AG30" s="353"/>
      <c r="AH30" s="358" t="str">
        <f t="array" ref="AH30">IFERROR(IF($C30="","",INDEX(구분표!$I$2:$I$1001,MATCH(1,(구분표!$B$2:$B$1001='16년3추 일입'!$A30)*(구분표!$C$2:$C$1001='16년3추 일입'!$B30)*(구분표!$A$2:$A$1001='16년3추 일입'!$C30),0))),"@@")</f>
        <v>0912</v>
      </c>
      <c r="AI30" s="366"/>
      <c r="AJ30" s="359"/>
      <c r="AK30" s="366"/>
      <c r="AL30" s="360">
        <f>IF(AF30="","",SUMIFS('16년 3추일출'!$Y$14:$Y$9322,'16년 3추일출'!$AH$14:$AH$9322,'16년3추 일입'!$AF30))</f>
        <v>0</v>
      </c>
      <c r="AM30" s="359">
        <f>IF(AF30="","",IF(AF30="세입없음","",COUNTIF('16년 3추일출'!$AH$14:$AH$9322,'16년3추 일입'!$AF30)))</f>
        <v>1</v>
      </c>
      <c r="AN30" s="361" t="str">
        <f t="shared" ref="AN30:AN49" si="50">IF(W30=0,"OK",IF(W30=AL30,"OK","@@"))</f>
        <v>OK</v>
      </c>
      <c r="AO30" s="366"/>
      <c r="AP30" s="360">
        <f>IF(AF30="","",SUMIFS('16년 3추일출'!$AD$7:$AD$9322,'16년 3추일출'!$AH$7:$AH$9322,'16년3추 일입'!$AF30))</f>
        <v>54000</v>
      </c>
      <c r="AQ30" s="359">
        <f>IF(AF30="","",IF(AF30="세입없음","",COUNTIF('16년 3추일출'!$AH$14:$AH$9322,'16년3추 일입'!$AF30)))</f>
        <v>1</v>
      </c>
      <c r="AR30" s="361" t="str">
        <f t="shared" ref="AR30:AR49" si="51">IF(AB30=0,"OK",IF(AB30=AP30,"OK","@@"))</f>
        <v>OK</v>
      </c>
      <c r="AS30" s="310">
        <f t="shared" si="13"/>
        <v>0</v>
      </c>
    </row>
    <row r="31" spans="1:45" ht="39.950000000000003" customHeight="1">
      <c r="A31" s="344" t="s">
        <v>63</v>
      </c>
      <c r="B31" s="367" t="s">
        <v>66</v>
      </c>
      <c r="C31" s="362" t="s">
        <v>295</v>
      </c>
      <c r="D31" s="363" t="s">
        <v>480</v>
      </c>
      <c r="E31" s="363">
        <v>509</v>
      </c>
      <c r="F31" s="363"/>
      <c r="G31" s="364" t="s">
        <v>1196</v>
      </c>
      <c r="H31" s="349">
        <v>3798700</v>
      </c>
      <c r="I31" s="349">
        <v>3596260</v>
      </c>
      <c r="J31" s="349">
        <f t="shared" si="47"/>
        <v>202440</v>
      </c>
      <c r="K31" s="350"/>
      <c r="L31" s="350"/>
      <c r="M31" s="349">
        <f t="shared" si="48"/>
        <v>3798700</v>
      </c>
      <c r="N31" s="350"/>
      <c r="O31" s="350">
        <v>307908</v>
      </c>
      <c r="P31" s="349">
        <f t="shared" si="49"/>
        <v>4106608</v>
      </c>
      <c r="Q31" s="365"/>
      <c r="R31" s="369"/>
      <c r="S31" s="369"/>
      <c r="T31" s="369" t="s">
        <v>1142</v>
      </c>
      <c r="U31" s="353"/>
      <c r="V31" s="354" t="s">
        <v>1197</v>
      </c>
      <c r="W31" s="350">
        <f t="shared" si="40"/>
        <v>0</v>
      </c>
      <c r="X31" s="350">
        <f t="shared" si="4"/>
        <v>0</v>
      </c>
      <c r="Y31" s="355" t="str">
        <f t="shared" si="5"/>
        <v>ok</v>
      </c>
      <c r="Z31" s="353"/>
      <c r="AA31" s="356" t="str">
        <f t="shared" si="41"/>
        <v>기금</v>
      </c>
      <c r="AB31" s="350">
        <f t="shared" si="7"/>
        <v>307908</v>
      </c>
      <c r="AC31" s="350">
        <f t="shared" si="8"/>
        <v>0</v>
      </c>
      <c r="AD31" s="355" t="str">
        <f t="shared" si="9"/>
        <v>ok</v>
      </c>
      <c r="AE31" s="366"/>
      <c r="AF31" s="357" t="str">
        <f>IF(AH31="","",IF($V31="도비","세입없음",$AH31&amp;"-"&amp;TEXT(COUNTIF(AH$7:AH31,AH$7:AH31),"00")))</f>
        <v>0608-05</v>
      </c>
      <c r="AG31" s="353"/>
      <c r="AH31" s="358" t="str">
        <f t="array" ref="AH31">IFERROR(IF($C31="","",INDEX(구분표!$I$2:$I$1001,MATCH(1,(구분표!$B$2:$B$1001='16년3추 일입'!$A31)*(구분표!$C$2:$C$1001='16년3추 일입'!$B31)*(구분표!$A$2:$A$1001='16년3추 일입'!$C31),0))),"@@")</f>
        <v>0608</v>
      </c>
      <c r="AI31" s="366"/>
      <c r="AJ31" s="359"/>
      <c r="AK31" s="366"/>
      <c r="AL31" s="360">
        <f>IF(AF31="","",SUMIFS('16년 3추일출'!$Y$14:$Y$9322,'16년 3추일출'!$AH$14:$AH$9322,'16년3추 일입'!$AF31))</f>
        <v>0</v>
      </c>
      <c r="AM31" s="359">
        <f>IF(AF31="","",IF(AF31="세입없음","",COUNTIF('16년 3추일출'!$AH$14:$AH$9322,'16년3추 일입'!$AF31)))</f>
        <v>1</v>
      </c>
      <c r="AN31" s="361" t="str">
        <f t="shared" si="50"/>
        <v>OK</v>
      </c>
      <c r="AO31" s="366"/>
      <c r="AP31" s="360">
        <f>IF(AF31="","",SUMIFS('16년 3추일출'!$AD$7:$AD$9322,'16년 3추일출'!$AH$7:$AH$9322,'16년3추 일입'!$AF31))</f>
        <v>307908</v>
      </c>
      <c r="AQ31" s="359">
        <f>IF(AF31="","",IF(AF31="세입없음","",COUNTIF('16년 3추일출'!$AH$14:$AH$9322,'16년3추 일입'!$AF31)))</f>
        <v>1</v>
      </c>
      <c r="AR31" s="361" t="str">
        <f t="shared" si="51"/>
        <v>OK</v>
      </c>
      <c r="AS31" s="310">
        <f t="shared" si="13"/>
        <v>0</v>
      </c>
    </row>
    <row r="32" spans="1:45" ht="39.950000000000003" customHeight="1">
      <c r="A32" s="344" t="s">
        <v>322</v>
      </c>
      <c r="B32" s="367" t="s">
        <v>108</v>
      </c>
      <c r="C32" s="362" t="s">
        <v>268</v>
      </c>
      <c r="D32" s="363" t="s">
        <v>501</v>
      </c>
      <c r="E32" s="363"/>
      <c r="F32" s="363"/>
      <c r="G32" s="364" t="s">
        <v>1199</v>
      </c>
      <c r="H32" s="349">
        <v>9300000</v>
      </c>
      <c r="I32" s="349">
        <v>9300000</v>
      </c>
      <c r="J32" s="349">
        <f t="shared" si="47"/>
        <v>0</v>
      </c>
      <c r="K32" s="350"/>
      <c r="L32" s="350"/>
      <c r="M32" s="349">
        <f t="shared" si="48"/>
        <v>9300000</v>
      </c>
      <c r="N32" s="350"/>
      <c r="O32" s="350">
        <v>67000</v>
      </c>
      <c r="P32" s="349">
        <f t="shared" si="49"/>
        <v>9367000</v>
      </c>
      <c r="Q32" s="365"/>
      <c r="R32" s="369"/>
      <c r="S32" s="369"/>
      <c r="T32" s="369" t="s">
        <v>1142</v>
      </c>
      <c r="U32" s="353"/>
      <c r="V32" s="354" t="s">
        <v>1200</v>
      </c>
      <c r="W32" s="350">
        <f t="shared" si="40"/>
        <v>0</v>
      </c>
      <c r="X32" s="350">
        <f t="shared" si="4"/>
        <v>0</v>
      </c>
      <c r="Y32" s="355" t="str">
        <f t="shared" si="5"/>
        <v>ok</v>
      </c>
      <c r="Z32" s="353"/>
      <c r="AA32" s="356" t="str">
        <f t="shared" si="41"/>
        <v>국비</v>
      </c>
      <c r="AB32" s="350">
        <f t="shared" si="7"/>
        <v>67000</v>
      </c>
      <c r="AC32" s="350">
        <f t="shared" si="8"/>
        <v>0</v>
      </c>
      <c r="AD32" s="355" t="str">
        <f t="shared" si="9"/>
        <v>ok</v>
      </c>
      <c r="AE32" s="366"/>
      <c r="AF32" s="357" t="str">
        <f>IF(AH32="","",IF($V32="도비","세입없음",$AH32&amp;"-"&amp;TEXT(COUNTIF(AH$7:AH32,AH$7:AH32),"00")))</f>
        <v>1006-02</v>
      </c>
      <c r="AG32" s="353"/>
      <c r="AH32" s="358" t="str">
        <f t="array" ref="AH32">IFERROR(IF($C32="","",INDEX(구분표!$I$2:$I$1001,MATCH(1,(구분표!$B$2:$B$1001='16년3추 일입'!$A32)*(구분표!$C$2:$C$1001='16년3추 일입'!$B32)*(구분표!$A$2:$A$1001='16년3추 일입'!$C32),0))),"@@")</f>
        <v>1006</v>
      </c>
      <c r="AI32" s="366"/>
      <c r="AJ32" s="359"/>
      <c r="AK32" s="366"/>
      <c r="AL32" s="360">
        <f>IF(AF32="","",SUMIFS('16년 3추일출'!$Y$14:$Y$9322,'16년 3추일출'!$AH$14:$AH$9322,'16년3추 일입'!$AF32))</f>
        <v>0</v>
      </c>
      <c r="AM32" s="359">
        <f>IF(AF32="","",IF(AF32="세입없음","",COUNTIF('16년 3추일출'!$AH$14:$AH$9322,'16년3추 일입'!$AF32)))</f>
        <v>1</v>
      </c>
      <c r="AN32" s="361" t="str">
        <f t="shared" si="50"/>
        <v>OK</v>
      </c>
      <c r="AO32" s="366"/>
      <c r="AP32" s="360">
        <f>IF(AF32="","",SUMIFS('16년 3추일출'!$AD$7:$AD$9322,'16년 3추일출'!$AH$7:$AH$9322,'16년3추 일입'!$AF32))</f>
        <v>67000</v>
      </c>
      <c r="AQ32" s="359">
        <f>IF(AF32="","",IF(AF32="세입없음","",COUNTIF('16년 3추일출'!$AH$14:$AH$9322,'16년3추 일입'!$AF32)))</f>
        <v>1</v>
      </c>
      <c r="AR32" s="361" t="str">
        <f t="shared" si="51"/>
        <v>OK</v>
      </c>
      <c r="AS32" s="310">
        <f t="shared" si="13"/>
        <v>0</v>
      </c>
    </row>
    <row r="33" spans="1:45" ht="39.950000000000003" customHeight="1">
      <c r="A33" s="344" t="s">
        <v>322</v>
      </c>
      <c r="B33" s="367" t="s">
        <v>108</v>
      </c>
      <c r="C33" s="362" t="s">
        <v>85</v>
      </c>
      <c r="D33" s="363" t="s">
        <v>480</v>
      </c>
      <c r="E33" s="363">
        <v>777</v>
      </c>
      <c r="F33" s="363"/>
      <c r="G33" s="364" t="s">
        <v>1201</v>
      </c>
      <c r="H33" s="349">
        <v>5693343</v>
      </c>
      <c r="I33" s="349">
        <v>5657493</v>
      </c>
      <c r="J33" s="349">
        <f t="shared" si="47"/>
        <v>35850</v>
      </c>
      <c r="K33" s="350"/>
      <c r="L33" s="350"/>
      <c r="M33" s="349">
        <f t="shared" si="48"/>
        <v>5693343</v>
      </c>
      <c r="N33" s="350"/>
      <c r="O33" s="350">
        <v>36063</v>
      </c>
      <c r="P33" s="349">
        <f t="shared" si="49"/>
        <v>5729406</v>
      </c>
      <c r="Q33" s="365"/>
      <c r="R33" s="369"/>
      <c r="S33" s="369"/>
      <c r="T33" s="369" t="s">
        <v>1142</v>
      </c>
      <c r="U33" s="353"/>
      <c r="V33" s="354" t="s">
        <v>1197</v>
      </c>
      <c r="W33" s="350">
        <f t="shared" si="40"/>
        <v>0</v>
      </c>
      <c r="X33" s="350">
        <f t="shared" si="4"/>
        <v>0</v>
      </c>
      <c r="Y33" s="355" t="str">
        <f t="shared" si="5"/>
        <v>ok</v>
      </c>
      <c r="Z33" s="353"/>
      <c r="AA33" s="356" t="str">
        <f t="shared" si="41"/>
        <v>기금</v>
      </c>
      <c r="AB33" s="350">
        <f t="shared" si="7"/>
        <v>36063</v>
      </c>
      <c r="AC33" s="350">
        <f t="shared" si="8"/>
        <v>0</v>
      </c>
      <c r="AD33" s="355" t="str">
        <f t="shared" si="9"/>
        <v>ok</v>
      </c>
      <c r="AE33" s="366"/>
      <c r="AF33" s="357" t="str">
        <f>IF(AH33="","",IF($V33="도비","세입없음",$AH33&amp;"-"&amp;TEXT(COUNTIF(AH$7:AH33,AH$7:AH33),"00")))</f>
        <v>1004-03</v>
      </c>
      <c r="AG33" s="353"/>
      <c r="AH33" s="358" t="str">
        <f t="array" ref="AH33">IFERROR(IF($C33="","",INDEX(구분표!$I$2:$I$1001,MATCH(1,(구분표!$B$2:$B$1001='16년3추 일입'!$A33)*(구분표!$C$2:$C$1001='16년3추 일입'!$B33)*(구분표!$A$2:$A$1001='16년3추 일입'!$C33),0))),"@@")</f>
        <v>1004</v>
      </c>
      <c r="AI33" s="366"/>
      <c r="AJ33" s="359"/>
      <c r="AK33" s="366"/>
      <c r="AL33" s="360">
        <f>IF(AF33="","",SUMIFS('16년 3추일출'!$Y$14:$Y$9322,'16년 3추일출'!$AH$14:$AH$9322,'16년3추 일입'!$AF33))</f>
        <v>0</v>
      </c>
      <c r="AM33" s="359">
        <f>IF(AF33="","",IF(AF33="세입없음","",COUNTIF('16년 3추일출'!$AH$14:$AH$9322,'16년3추 일입'!$AF33)))</f>
        <v>1</v>
      </c>
      <c r="AN33" s="361" t="str">
        <f t="shared" si="50"/>
        <v>OK</v>
      </c>
      <c r="AO33" s="366"/>
      <c r="AP33" s="360">
        <f>IF(AF33="","",SUMIFS('16년 3추일출'!$AD$7:$AD$9322,'16년 3추일출'!$AH$7:$AH$9322,'16년3추 일입'!$AF33))</f>
        <v>36063</v>
      </c>
      <c r="AQ33" s="359">
        <f>IF(AF33="","",IF(AF33="세입없음","",COUNTIF('16년 3추일출'!$AH$14:$AH$9322,'16년3추 일입'!$AF33)))</f>
        <v>1</v>
      </c>
      <c r="AR33" s="361" t="str">
        <f t="shared" si="51"/>
        <v>OK</v>
      </c>
      <c r="AS33" s="310">
        <f t="shared" si="13"/>
        <v>0</v>
      </c>
    </row>
    <row r="34" spans="1:45" ht="39.950000000000003" customHeight="1">
      <c r="A34" s="344" t="s">
        <v>322</v>
      </c>
      <c r="B34" s="367" t="s">
        <v>108</v>
      </c>
      <c r="C34" s="362" t="s">
        <v>267</v>
      </c>
      <c r="D34" s="363" t="s">
        <v>501</v>
      </c>
      <c r="E34" s="363">
        <v>778</v>
      </c>
      <c r="F34" s="363"/>
      <c r="G34" s="364" t="s">
        <v>1202</v>
      </c>
      <c r="H34" s="349">
        <v>915998000</v>
      </c>
      <c r="I34" s="349">
        <v>878130000</v>
      </c>
      <c r="J34" s="349">
        <f t="shared" si="47"/>
        <v>37868000</v>
      </c>
      <c r="K34" s="350"/>
      <c r="L34" s="350"/>
      <c r="M34" s="349">
        <f t="shared" si="48"/>
        <v>915998000</v>
      </c>
      <c r="N34" s="350"/>
      <c r="O34" s="350">
        <v>19611129</v>
      </c>
      <c r="P34" s="349">
        <f t="shared" si="49"/>
        <v>935609129</v>
      </c>
      <c r="Q34" s="365"/>
      <c r="R34" s="369"/>
      <c r="S34" s="369"/>
      <c r="T34" s="369" t="s">
        <v>1142</v>
      </c>
      <c r="U34" s="353"/>
      <c r="V34" s="354" t="s">
        <v>1200</v>
      </c>
      <c r="W34" s="350">
        <f t="shared" si="40"/>
        <v>0</v>
      </c>
      <c r="X34" s="350">
        <f t="shared" si="4"/>
        <v>0</v>
      </c>
      <c r="Y34" s="355" t="str">
        <f t="shared" si="5"/>
        <v>ok</v>
      </c>
      <c r="Z34" s="353"/>
      <c r="AA34" s="356" t="str">
        <f t="shared" si="41"/>
        <v>국비</v>
      </c>
      <c r="AB34" s="350">
        <f t="shared" si="7"/>
        <v>19611129</v>
      </c>
      <c r="AC34" s="350">
        <f t="shared" si="8"/>
        <v>0</v>
      </c>
      <c r="AD34" s="355" t="str">
        <f t="shared" si="9"/>
        <v>ok</v>
      </c>
      <c r="AE34" s="366"/>
      <c r="AF34" s="357" t="str">
        <f>IF(AH34="","",IF($V34="도비","세입없음",$AH34&amp;"-"&amp;TEXT(COUNTIF(AH$7:AH34,AH$7:AH34),"00")))</f>
        <v>1005-01</v>
      </c>
      <c r="AG34" s="353"/>
      <c r="AH34" s="358" t="str">
        <f t="array" ref="AH34">IFERROR(IF($C34="","",INDEX(구분표!$I$2:$I$1001,MATCH(1,(구분표!$B$2:$B$1001='16년3추 일입'!$A34)*(구분표!$C$2:$C$1001='16년3추 일입'!$B34)*(구분표!$A$2:$A$1001='16년3추 일입'!$C34),0))),"@@")</f>
        <v>1005</v>
      </c>
      <c r="AI34" s="366"/>
      <c r="AJ34" s="359"/>
      <c r="AK34" s="366"/>
      <c r="AL34" s="360">
        <f>IF(AF34="","",SUMIFS('16년 3추일출'!$Y$14:$Y$9322,'16년 3추일출'!$AH$14:$AH$9322,'16년3추 일입'!$AF34))</f>
        <v>0</v>
      </c>
      <c r="AM34" s="359">
        <f>IF(AF34="","",IF(AF34="세입없음","",COUNTIF('16년 3추일출'!$AH$14:$AH$9322,'16년3추 일입'!$AF34)))</f>
        <v>2</v>
      </c>
      <c r="AN34" s="361" t="str">
        <f t="shared" si="50"/>
        <v>OK</v>
      </c>
      <c r="AO34" s="366"/>
      <c r="AP34" s="360">
        <f>IF(AF34="","",SUMIFS('16년 3추일출'!$AD$7:$AD$9322,'16년 3추일출'!$AH$7:$AH$9322,'16년3추 일입'!$AF34))</f>
        <v>19611129</v>
      </c>
      <c r="AQ34" s="359">
        <f>IF(AF34="","",IF(AF34="세입없음","",COUNTIF('16년 3추일출'!$AH$14:$AH$9322,'16년3추 일입'!$AF34)))</f>
        <v>2</v>
      </c>
      <c r="AR34" s="361" t="str">
        <f t="shared" si="51"/>
        <v>OK</v>
      </c>
      <c r="AS34" s="310">
        <f t="shared" si="13"/>
        <v>0</v>
      </c>
    </row>
    <row r="35" spans="1:45" ht="39.950000000000003" customHeight="1">
      <c r="A35" s="344" t="s">
        <v>321</v>
      </c>
      <c r="B35" s="367" t="s">
        <v>106</v>
      </c>
      <c r="C35" s="362" t="s">
        <v>259</v>
      </c>
      <c r="D35" s="363" t="s">
        <v>480</v>
      </c>
      <c r="E35" s="363">
        <v>575</v>
      </c>
      <c r="F35" s="363"/>
      <c r="G35" s="364" t="s">
        <v>1184</v>
      </c>
      <c r="H35" s="349">
        <v>8770445</v>
      </c>
      <c r="I35" s="349">
        <v>8772156</v>
      </c>
      <c r="J35" s="349">
        <f t="shared" si="47"/>
        <v>-1711</v>
      </c>
      <c r="K35" s="350"/>
      <c r="L35" s="350"/>
      <c r="M35" s="349">
        <f t="shared" si="48"/>
        <v>8770445</v>
      </c>
      <c r="N35" s="350">
        <v>-55000</v>
      </c>
      <c r="O35" s="350"/>
      <c r="P35" s="349">
        <f t="shared" si="49"/>
        <v>8715445</v>
      </c>
      <c r="Q35" s="365"/>
      <c r="R35" s="369"/>
      <c r="S35" s="369"/>
      <c r="T35" s="369" t="s">
        <v>1142</v>
      </c>
      <c r="U35" s="353"/>
      <c r="V35" s="354" t="s">
        <v>1200</v>
      </c>
      <c r="W35" s="350">
        <f t="shared" si="40"/>
        <v>0</v>
      </c>
      <c r="X35" s="350">
        <f t="shared" si="4"/>
        <v>0</v>
      </c>
      <c r="Y35" s="355" t="str">
        <f t="shared" si="5"/>
        <v>ok</v>
      </c>
      <c r="Z35" s="353"/>
      <c r="AA35" s="356" t="str">
        <f t="shared" si="41"/>
        <v>국비</v>
      </c>
      <c r="AB35" s="350">
        <f t="shared" si="7"/>
        <v>-55000</v>
      </c>
      <c r="AC35" s="350">
        <f t="shared" si="8"/>
        <v>0</v>
      </c>
      <c r="AD35" s="355" t="str">
        <f t="shared" si="9"/>
        <v>ok</v>
      </c>
      <c r="AE35" s="366"/>
      <c r="AF35" s="357" t="str">
        <f>IF(AH35="","",IF($V35="도비","세입없음",$AH35&amp;"-"&amp;TEXT(COUNTIF(AH$7:AH35,AH$7:AH35),"00")))</f>
        <v>0706-01</v>
      </c>
      <c r="AG35" s="353"/>
      <c r="AH35" s="358" t="str">
        <f t="array" ref="AH35">IFERROR(IF($C35="","",INDEX(구분표!$I$2:$I$1001,MATCH(1,(구분표!$B$2:$B$1001='16년3추 일입'!$A35)*(구분표!$C$2:$C$1001='16년3추 일입'!$B35)*(구분표!$A$2:$A$1001='16년3추 일입'!$C35),0))),"@@")</f>
        <v>0706</v>
      </c>
      <c r="AI35" s="366"/>
      <c r="AJ35" s="359"/>
      <c r="AK35" s="366"/>
      <c r="AL35" s="360">
        <f>IF(AF35="","",SUMIFS('16년 3추일출'!$Y$14:$Y$9322,'16년 3추일출'!$AH$14:$AH$9322,'16년3추 일입'!$AF35))</f>
        <v>0</v>
      </c>
      <c r="AM35" s="359">
        <f>IF(AF35="","",IF(AF35="세입없음","",COUNTIF('16년 3추일출'!$AH$14:$AH$9322,'16년3추 일입'!$AF35)))</f>
        <v>1</v>
      </c>
      <c r="AN35" s="361" t="str">
        <f t="shared" si="50"/>
        <v>OK</v>
      </c>
      <c r="AO35" s="366"/>
      <c r="AP35" s="360">
        <f>IF(AF35="","",SUMIFS('16년 3추일출'!$AD$7:$AD$9322,'16년 3추일출'!$AH$7:$AH$9322,'16년3추 일입'!$AF35))</f>
        <v>-55000</v>
      </c>
      <c r="AQ35" s="359">
        <f>IF(AF35="","",IF(AF35="세입없음","",COUNTIF('16년 3추일출'!$AH$14:$AH$9322,'16년3추 일입'!$AF35)))</f>
        <v>1</v>
      </c>
      <c r="AR35" s="361" t="str">
        <f t="shared" si="51"/>
        <v>OK</v>
      </c>
      <c r="AS35" s="310">
        <f t="shared" si="13"/>
        <v>0</v>
      </c>
    </row>
    <row r="36" spans="1:45" ht="39.950000000000003" customHeight="1">
      <c r="A36" s="344" t="s">
        <v>321</v>
      </c>
      <c r="B36" s="367" t="s">
        <v>106</v>
      </c>
      <c r="C36" s="362" t="s">
        <v>256</v>
      </c>
      <c r="D36" s="363" t="s">
        <v>480</v>
      </c>
      <c r="E36" s="363">
        <v>572</v>
      </c>
      <c r="F36" s="363"/>
      <c r="G36" s="364" t="s">
        <v>1185</v>
      </c>
      <c r="H36" s="349">
        <v>41075144</v>
      </c>
      <c r="I36" s="349">
        <v>40881953</v>
      </c>
      <c r="J36" s="349">
        <f t="shared" si="47"/>
        <v>193191</v>
      </c>
      <c r="K36" s="350"/>
      <c r="L36" s="350"/>
      <c r="M36" s="349">
        <f t="shared" si="48"/>
        <v>41075144</v>
      </c>
      <c r="N36" s="350"/>
      <c r="O36" s="350">
        <v>14473</v>
      </c>
      <c r="P36" s="349">
        <f t="shared" si="49"/>
        <v>41089617</v>
      </c>
      <c r="Q36" s="365"/>
      <c r="R36" s="369"/>
      <c r="S36" s="369"/>
      <c r="T36" s="369" t="s">
        <v>1142</v>
      </c>
      <c r="U36" s="353"/>
      <c r="V36" s="354" t="s">
        <v>1200</v>
      </c>
      <c r="W36" s="350">
        <f t="shared" si="40"/>
        <v>0</v>
      </c>
      <c r="X36" s="350">
        <f t="shared" si="4"/>
        <v>0</v>
      </c>
      <c r="Y36" s="355" t="str">
        <f t="shared" si="5"/>
        <v>ok</v>
      </c>
      <c r="Z36" s="353"/>
      <c r="AA36" s="356" t="str">
        <f t="shared" si="41"/>
        <v>국비</v>
      </c>
      <c r="AB36" s="350">
        <f t="shared" si="7"/>
        <v>14473</v>
      </c>
      <c r="AC36" s="350">
        <f t="shared" si="8"/>
        <v>0</v>
      </c>
      <c r="AD36" s="355" t="str">
        <f t="shared" si="9"/>
        <v>ok</v>
      </c>
      <c r="AE36" s="366"/>
      <c r="AF36" s="357" t="str">
        <f>IF(AH36="","",IF($V36="도비","세입없음",$AH36&amp;"-"&amp;TEXT(COUNTIF(AH$7:AH36,AH$7:AH36),"00")))</f>
        <v>0702-02</v>
      </c>
      <c r="AG36" s="353"/>
      <c r="AH36" s="358" t="str">
        <f t="array" ref="AH36">IFERROR(IF($C36="","",INDEX(구분표!$I$2:$I$1001,MATCH(1,(구분표!$B$2:$B$1001='16년3추 일입'!$A36)*(구분표!$C$2:$C$1001='16년3추 일입'!$B36)*(구분표!$A$2:$A$1001='16년3추 일입'!$C36),0))),"@@")</f>
        <v>0702</v>
      </c>
      <c r="AI36" s="366"/>
      <c r="AJ36" s="359"/>
      <c r="AK36" s="366"/>
      <c r="AL36" s="360">
        <f>IF(AF36="","",SUMIFS('16년 3추일출'!$Y$14:$Y$9322,'16년 3추일출'!$AH$14:$AH$9322,'16년3추 일입'!$AF36))</f>
        <v>0</v>
      </c>
      <c r="AM36" s="359">
        <f>IF(AF36="","",IF(AF36="세입없음","",COUNTIF('16년 3추일출'!$AH$14:$AH$9322,'16년3추 일입'!$AF36)))</f>
        <v>2</v>
      </c>
      <c r="AN36" s="361" t="str">
        <f t="shared" si="50"/>
        <v>OK</v>
      </c>
      <c r="AO36" s="366"/>
      <c r="AP36" s="360">
        <f>IF(AF36="","",SUMIFS('16년 3추일출'!$AD$7:$AD$9322,'16년 3추일출'!$AH$7:$AH$9322,'16년3추 일입'!$AF36))</f>
        <v>2202200</v>
      </c>
      <c r="AQ36" s="359">
        <f>IF(AF36="","",IF(AF36="세입없음","",COUNTIF('16년 3추일출'!$AH$14:$AH$9322,'16년3추 일입'!$AF36)))</f>
        <v>2</v>
      </c>
      <c r="AR36" s="361" t="str">
        <f t="shared" si="51"/>
        <v>@@</v>
      </c>
      <c r="AS36" s="310">
        <f t="shared" si="13"/>
        <v>0</v>
      </c>
    </row>
    <row r="37" spans="1:45" ht="39.950000000000003" customHeight="1">
      <c r="A37" s="344" t="s">
        <v>321</v>
      </c>
      <c r="B37" s="367" t="s">
        <v>106</v>
      </c>
      <c r="C37" s="362" t="s">
        <v>257</v>
      </c>
      <c r="D37" s="363" t="s">
        <v>480</v>
      </c>
      <c r="E37" s="363">
        <v>573</v>
      </c>
      <c r="F37" s="363"/>
      <c r="G37" s="364" t="s">
        <v>1186</v>
      </c>
      <c r="H37" s="349">
        <v>20387673</v>
      </c>
      <c r="I37" s="349">
        <v>20234416</v>
      </c>
      <c r="J37" s="349">
        <f t="shared" ref="J37:J42" si="52">IF(D37="","",H37-I37)</f>
        <v>153257</v>
      </c>
      <c r="K37" s="350"/>
      <c r="L37" s="350"/>
      <c r="M37" s="349">
        <f t="shared" ref="M37:M42" si="53">H37+K37+L37</f>
        <v>20387673</v>
      </c>
      <c r="N37" s="350"/>
      <c r="O37" s="350">
        <v>468600</v>
      </c>
      <c r="P37" s="349">
        <f t="shared" ref="P37:P42" si="54">H37+N37+O37</f>
        <v>20856273</v>
      </c>
      <c r="Q37" s="365"/>
      <c r="R37" s="369"/>
      <c r="S37" s="369"/>
      <c r="T37" s="369" t="s">
        <v>1142</v>
      </c>
      <c r="U37" s="353"/>
      <c r="V37" s="354" t="s">
        <v>1200</v>
      </c>
      <c r="W37" s="350">
        <f t="shared" si="40"/>
        <v>0</v>
      </c>
      <c r="X37" s="350">
        <f t="shared" si="4"/>
        <v>0</v>
      </c>
      <c r="Y37" s="355" t="str">
        <f t="shared" si="5"/>
        <v>ok</v>
      </c>
      <c r="Z37" s="353"/>
      <c r="AA37" s="356" t="str">
        <f t="shared" si="41"/>
        <v>국비</v>
      </c>
      <c r="AB37" s="350">
        <f t="shared" si="7"/>
        <v>468600</v>
      </c>
      <c r="AC37" s="350">
        <f t="shared" si="8"/>
        <v>0</v>
      </c>
      <c r="AD37" s="355" t="str">
        <f t="shared" si="9"/>
        <v>ok</v>
      </c>
      <c r="AE37" s="366"/>
      <c r="AF37" s="357" t="str">
        <f>IF(AH37="","",IF($V37="도비","세입없음",$AH37&amp;"-"&amp;TEXT(COUNTIF(AH$7:AH37,AH$7:AH37),"00")))</f>
        <v>0703-01</v>
      </c>
      <c r="AG37" s="353"/>
      <c r="AH37" s="358" t="str">
        <f t="array" ref="AH37">IFERROR(IF($C37="","",INDEX(구분표!$I$2:$I$1001,MATCH(1,(구분표!$B$2:$B$1001='16년3추 일입'!$A37)*(구분표!$C$2:$C$1001='16년3추 일입'!$B37)*(구분표!$A$2:$A$1001='16년3추 일입'!$C37),0))),"@@")</f>
        <v>0703</v>
      </c>
      <c r="AI37" s="366"/>
      <c r="AJ37" s="359"/>
      <c r="AK37" s="366"/>
      <c r="AL37" s="360">
        <f>IF(AF37="","",SUMIFS('16년 3추일출'!$Y$14:$Y$9322,'16년 3추일출'!$AH$14:$AH$9322,'16년3추 일입'!$AF37))</f>
        <v>0</v>
      </c>
      <c r="AM37" s="359">
        <f>IF(AF37="","",IF(AF37="세입없음","",COUNTIF('16년 3추일출'!$AH$14:$AH$9322,'16년3추 일입'!$AF37)))</f>
        <v>2</v>
      </c>
      <c r="AN37" s="361" t="str">
        <f t="shared" ref="AN37:AN42" si="55">IF(W37=0,"OK",IF(W37=AL37,"OK","@@"))</f>
        <v>OK</v>
      </c>
      <c r="AO37" s="366"/>
      <c r="AP37" s="360">
        <f>IF(AF37="","",SUMIFS('16년 3추일출'!$AD$7:$AD$9322,'16년 3추일출'!$AH$7:$AH$9322,'16년3추 일입'!$AF37))</f>
        <v>468600</v>
      </c>
      <c r="AQ37" s="359">
        <f>IF(AF37="","",IF(AF37="세입없음","",COUNTIF('16년 3추일출'!$AH$14:$AH$9322,'16년3추 일입'!$AF37)))</f>
        <v>2</v>
      </c>
      <c r="AR37" s="361" t="str">
        <f t="shared" ref="AR37:AR42" si="56">IF(AB37=0,"OK",IF(AB37=AP37,"OK","@@"))</f>
        <v>OK</v>
      </c>
      <c r="AS37" s="310">
        <f t="shared" si="13"/>
        <v>0</v>
      </c>
    </row>
    <row r="38" spans="1:45" ht="39.950000000000003" customHeight="1">
      <c r="A38" s="344" t="s">
        <v>321</v>
      </c>
      <c r="B38" s="367" t="s">
        <v>106</v>
      </c>
      <c r="C38" s="362" t="s">
        <v>256</v>
      </c>
      <c r="D38" s="363" t="s">
        <v>480</v>
      </c>
      <c r="E38" s="363">
        <v>572</v>
      </c>
      <c r="F38" s="363"/>
      <c r="G38" s="364" t="s">
        <v>1187</v>
      </c>
      <c r="H38" s="349">
        <v>40254560</v>
      </c>
      <c r="I38" s="349">
        <v>44600175</v>
      </c>
      <c r="J38" s="349">
        <f t="shared" si="52"/>
        <v>-4345615</v>
      </c>
      <c r="K38" s="350"/>
      <c r="L38" s="350"/>
      <c r="M38" s="349">
        <f t="shared" si="53"/>
        <v>40254560</v>
      </c>
      <c r="N38" s="350"/>
      <c r="O38" s="350">
        <v>2202200</v>
      </c>
      <c r="P38" s="349">
        <f t="shared" si="54"/>
        <v>42456760</v>
      </c>
      <c r="Q38" s="365"/>
      <c r="R38" s="369"/>
      <c r="S38" s="369"/>
      <c r="T38" s="369" t="s">
        <v>1142</v>
      </c>
      <c r="U38" s="353"/>
      <c r="V38" s="354" t="s">
        <v>1200</v>
      </c>
      <c r="W38" s="350">
        <f t="shared" si="40"/>
        <v>0</v>
      </c>
      <c r="X38" s="350">
        <f t="shared" si="4"/>
        <v>0</v>
      </c>
      <c r="Y38" s="355" t="str">
        <f t="shared" si="5"/>
        <v>ok</v>
      </c>
      <c r="Z38" s="353"/>
      <c r="AA38" s="356" t="str">
        <f t="shared" si="41"/>
        <v>국비</v>
      </c>
      <c r="AB38" s="350">
        <f t="shared" si="7"/>
        <v>2202200</v>
      </c>
      <c r="AC38" s="350">
        <f t="shared" si="8"/>
        <v>0</v>
      </c>
      <c r="AD38" s="355" t="str">
        <f t="shared" si="9"/>
        <v>ok</v>
      </c>
      <c r="AE38" s="366"/>
      <c r="AF38" s="357" t="str">
        <f>IF(AH38="","",IF($V38="도비","세입없음",$AH38&amp;"-"&amp;TEXT(COUNTIF(AH$7:AH38,AH$7:AH38),"00")))</f>
        <v>0702-03</v>
      </c>
      <c r="AG38" s="353"/>
      <c r="AH38" s="358" t="str">
        <f t="array" ref="AH38">IFERROR(IF($C38="","",INDEX(구분표!$I$2:$I$1001,MATCH(1,(구분표!$B$2:$B$1001='16년3추 일입'!$A38)*(구분표!$C$2:$C$1001='16년3추 일입'!$B38)*(구분표!$A$2:$A$1001='16년3추 일입'!$C38),0))),"@@")</f>
        <v>0702</v>
      </c>
      <c r="AI38" s="366"/>
      <c r="AJ38" s="359"/>
      <c r="AK38" s="366"/>
      <c r="AL38" s="360">
        <f>IF(AF38="","",SUMIFS('16년 3추일출'!$Y$14:$Y$9322,'16년 3추일출'!$AH$14:$AH$9322,'16년3추 일입'!$AF38))</f>
        <v>0</v>
      </c>
      <c r="AM38" s="359">
        <f>IF(AF38="","",IF(AF38="세입없음","",COUNTIF('16년 3추일출'!$AH$14:$AH$9322,'16년3추 일입'!$AF38)))</f>
        <v>0</v>
      </c>
      <c r="AN38" s="361" t="str">
        <f t="shared" si="55"/>
        <v>OK</v>
      </c>
      <c r="AO38" s="366"/>
      <c r="AP38" s="360">
        <f>IF(AF38="","",SUMIFS('16년 3추일출'!$AD$7:$AD$9322,'16년 3추일출'!$AH$7:$AH$9322,'16년3추 일입'!$AF38))</f>
        <v>0</v>
      </c>
      <c r="AQ38" s="359">
        <f>IF(AF38="","",IF(AF38="세입없음","",COUNTIF('16년 3추일출'!$AH$14:$AH$9322,'16년3추 일입'!$AF38)))</f>
        <v>0</v>
      </c>
      <c r="AR38" s="361" t="str">
        <f t="shared" si="56"/>
        <v>@@</v>
      </c>
      <c r="AS38" s="310">
        <f t="shared" si="13"/>
        <v>0</v>
      </c>
    </row>
    <row r="39" spans="1:45" ht="39.950000000000003" customHeight="1">
      <c r="A39" s="344" t="s">
        <v>321</v>
      </c>
      <c r="B39" s="367" t="s">
        <v>106</v>
      </c>
      <c r="C39" s="362" t="s">
        <v>259</v>
      </c>
      <c r="D39" s="363" t="s">
        <v>501</v>
      </c>
      <c r="E39" s="363">
        <v>79</v>
      </c>
      <c r="F39" s="363"/>
      <c r="G39" s="364" t="s">
        <v>1188</v>
      </c>
      <c r="H39" s="349">
        <v>4403500</v>
      </c>
      <c r="I39" s="349">
        <v>4403500</v>
      </c>
      <c r="J39" s="349">
        <f t="shared" si="52"/>
        <v>0</v>
      </c>
      <c r="K39" s="350"/>
      <c r="L39" s="350"/>
      <c r="M39" s="349">
        <f t="shared" si="53"/>
        <v>4403500</v>
      </c>
      <c r="N39" s="350"/>
      <c r="O39" s="350">
        <v>1400000</v>
      </c>
      <c r="P39" s="349">
        <f t="shared" si="54"/>
        <v>5803500</v>
      </c>
      <c r="Q39" s="365"/>
      <c r="R39" s="369"/>
      <c r="S39" s="369"/>
      <c r="T39" s="369" t="s">
        <v>1142</v>
      </c>
      <c r="U39" s="353"/>
      <c r="V39" s="354" t="s">
        <v>1197</v>
      </c>
      <c r="W39" s="350">
        <f t="shared" si="40"/>
        <v>0</v>
      </c>
      <c r="X39" s="350">
        <f t="shared" si="4"/>
        <v>0</v>
      </c>
      <c r="Y39" s="355" t="str">
        <f t="shared" si="5"/>
        <v>ok</v>
      </c>
      <c r="Z39" s="353"/>
      <c r="AA39" s="356" t="str">
        <f t="shared" si="41"/>
        <v>기금</v>
      </c>
      <c r="AB39" s="350">
        <f t="shared" si="7"/>
        <v>1400000</v>
      </c>
      <c r="AC39" s="350">
        <f t="shared" si="8"/>
        <v>0</v>
      </c>
      <c r="AD39" s="355" t="str">
        <f t="shared" si="9"/>
        <v>ok</v>
      </c>
      <c r="AE39" s="366"/>
      <c r="AF39" s="357" t="str">
        <f>IF(AH39="","",IF($V39="도비","세입없음",$AH39&amp;"-"&amp;TEXT(COUNTIF(AH$7:AH39,AH$7:AH39),"00")))</f>
        <v>0706-02</v>
      </c>
      <c r="AG39" s="353"/>
      <c r="AH39" s="358" t="str">
        <f t="array" ref="AH39">IFERROR(IF($C39="","",INDEX(구분표!$I$2:$I$1001,MATCH(1,(구분표!$B$2:$B$1001='16년3추 일입'!$A39)*(구분표!$C$2:$C$1001='16년3추 일입'!$B39)*(구분표!$A$2:$A$1001='16년3추 일입'!$C39),0))),"@@")</f>
        <v>0706</v>
      </c>
      <c r="AI39" s="366"/>
      <c r="AJ39" s="359"/>
      <c r="AK39" s="366"/>
      <c r="AL39" s="360">
        <f>IF(AF39="","",SUMIFS('16년 3추일출'!$Y$14:$Y$9322,'16년 3추일출'!$AH$14:$AH$9322,'16년3추 일입'!$AF39))</f>
        <v>0</v>
      </c>
      <c r="AM39" s="359">
        <f>IF(AF39="","",IF(AF39="세입없음","",COUNTIF('16년 3추일출'!$AH$14:$AH$9322,'16년3추 일입'!$AF39)))</f>
        <v>6</v>
      </c>
      <c r="AN39" s="361" t="str">
        <f t="shared" si="55"/>
        <v>OK</v>
      </c>
      <c r="AO39" s="366"/>
      <c r="AP39" s="360">
        <f>IF(AF39="","",SUMIFS('16년 3추일출'!$AD$7:$AD$9322,'16년 3추일출'!$AH$7:$AH$9322,'16년3추 일입'!$AF39))</f>
        <v>1400000</v>
      </c>
      <c r="AQ39" s="359">
        <f>IF(AF39="","",IF(AF39="세입없음","",COUNTIF('16년 3추일출'!$AH$14:$AH$9322,'16년3추 일입'!$AF39)))</f>
        <v>6</v>
      </c>
      <c r="AR39" s="361" t="str">
        <f t="shared" si="56"/>
        <v>OK</v>
      </c>
      <c r="AS39" s="310">
        <f t="shared" si="13"/>
        <v>0</v>
      </c>
    </row>
    <row r="40" spans="1:45" ht="39.950000000000003" customHeight="1">
      <c r="A40" s="344" t="s">
        <v>321</v>
      </c>
      <c r="B40" s="367" t="s">
        <v>106</v>
      </c>
      <c r="C40" s="362" t="s">
        <v>259</v>
      </c>
      <c r="D40" s="363" t="s">
        <v>480</v>
      </c>
      <c r="E40" s="363">
        <v>575</v>
      </c>
      <c r="F40" s="363"/>
      <c r="G40" s="364" t="s">
        <v>1189</v>
      </c>
      <c r="H40" s="349">
        <v>13124900</v>
      </c>
      <c r="I40" s="349">
        <v>13134900</v>
      </c>
      <c r="J40" s="349">
        <f t="shared" si="52"/>
        <v>-10000</v>
      </c>
      <c r="K40" s="350"/>
      <c r="L40" s="350"/>
      <c r="M40" s="349">
        <f t="shared" si="53"/>
        <v>13124900</v>
      </c>
      <c r="N40" s="350"/>
      <c r="O40" s="350">
        <v>2847000</v>
      </c>
      <c r="P40" s="349">
        <f t="shared" si="54"/>
        <v>15971900</v>
      </c>
      <c r="Q40" s="365"/>
      <c r="R40" s="369"/>
      <c r="S40" s="369"/>
      <c r="T40" s="369" t="s">
        <v>1142</v>
      </c>
      <c r="U40" s="353"/>
      <c r="V40" s="354" t="s">
        <v>1197</v>
      </c>
      <c r="W40" s="350">
        <f t="shared" si="40"/>
        <v>0</v>
      </c>
      <c r="X40" s="350">
        <f t="shared" si="4"/>
        <v>0</v>
      </c>
      <c r="Y40" s="355" t="str">
        <f t="shared" si="5"/>
        <v>ok</v>
      </c>
      <c r="Z40" s="353"/>
      <c r="AA40" s="356" t="str">
        <f t="shared" si="41"/>
        <v>기금</v>
      </c>
      <c r="AB40" s="350">
        <f t="shared" si="7"/>
        <v>2847000</v>
      </c>
      <c r="AC40" s="350">
        <f t="shared" si="8"/>
        <v>0</v>
      </c>
      <c r="AD40" s="355" t="str">
        <f t="shared" si="9"/>
        <v>ok</v>
      </c>
      <c r="AE40" s="366"/>
      <c r="AF40" s="357" t="str">
        <f>IF(AH40="","",IF($V40="도비","세입없음",$AH40&amp;"-"&amp;TEXT(COUNTIF(AH$7:AH40,AH$7:AH40),"00")))</f>
        <v>0706-03</v>
      </c>
      <c r="AG40" s="353"/>
      <c r="AH40" s="358" t="str">
        <f t="array" ref="AH40">IFERROR(IF($C40="","",INDEX(구분표!$I$2:$I$1001,MATCH(1,(구분표!$B$2:$B$1001='16년3추 일입'!$A40)*(구분표!$C$2:$C$1001='16년3추 일입'!$B40)*(구분표!$A$2:$A$1001='16년3추 일입'!$C40),0))),"@@")</f>
        <v>0706</v>
      </c>
      <c r="AI40" s="366"/>
      <c r="AJ40" s="359"/>
      <c r="AK40" s="366"/>
      <c r="AL40" s="360">
        <f>IF(AF40="","",SUMIFS('16년 3추일출'!$Y$14:$Y$9322,'16년 3추일출'!$AH$14:$AH$9322,'16년3추 일입'!$AF40))</f>
        <v>0</v>
      </c>
      <c r="AM40" s="359">
        <f>IF(AF40="","",IF(AF40="세입없음","",COUNTIF('16년 3추일출'!$AH$14:$AH$9322,'16년3추 일입'!$AF40)))</f>
        <v>2</v>
      </c>
      <c r="AN40" s="361" t="str">
        <f t="shared" si="55"/>
        <v>OK</v>
      </c>
      <c r="AO40" s="366"/>
      <c r="AP40" s="360">
        <f>IF(AF40="","",SUMIFS('16년 3추일출'!$AD$7:$AD$9322,'16년 3추일출'!$AH$7:$AH$9322,'16년3추 일입'!$AF40))</f>
        <v>2847000</v>
      </c>
      <c r="AQ40" s="359">
        <f>IF(AF40="","",IF(AF40="세입없음","",COUNTIF('16년 3추일출'!$AH$14:$AH$9322,'16년3추 일입'!$AF40)))</f>
        <v>2</v>
      </c>
      <c r="AR40" s="361" t="str">
        <f t="shared" si="56"/>
        <v>OK</v>
      </c>
      <c r="AS40" s="310">
        <f t="shared" si="13"/>
        <v>0</v>
      </c>
    </row>
    <row r="41" spans="1:45" ht="39.950000000000003" customHeight="1">
      <c r="A41" s="344" t="s">
        <v>321</v>
      </c>
      <c r="B41" s="367" t="s">
        <v>106</v>
      </c>
      <c r="C41" s="362" t="s">
        <v>81</v>
      </c>
      <c r="D41" s="363" t="s">
        <v>480</v>
      </c>
      <c r="E41" s="363">
        <v>573</v>
      </c>
      <c r="F41" s="363"/>
      <c r="G41" s="364" t="s">
        <v>1190</v>
      </c>
      <c r="H41" s="349">
        <v>99458962</v>
      </c>
      <c r="I41" s="349">
        <v>99433952</v>
      </c>
      <c r="J41" s="349">
        <f t="shared" si="52"/>
        <v>25010</v>
      </c>
      <c r="K41" s="350"/>
      <c r="L41" s="350"/>
      <c r="M41" s="349">
        <f t="shared" si="53"/>
        <v>99458962</v>
      </c>
      <c r="N41" s="350"/>
      <c r="O41" s="350">
        <v>6300000</v>
      </c>
      <c r="P41" s="349">
        <f t="shared" si="54"/>
        <v>105758962</v>
      </c>
      <c r="Q41" s="365"/>
      <c r="R41" s="369"/>
      <c r="S41" s="369"/>
      <c r="T41" s="369" t="s">
        <v>1142</v>
      </c>
      <c r="U41" s="353"/>
      <c r="V41" s="354" t="s">
        <v>1200</v>
      </c>
      <c r="W41" s="350">
        <f t="shared" si="40"/>
        <v>0</v>
      </c>
      <c r="X41" s="350">
        <f t="shared" si="4"/>
        <v>0</v>
      </c>
      <c r="Y41" s="355" t="str">
        <f t="shared" si="5"/>
        <v>ok</v>
      </c>
      <c r="Z41" s="353"/>
      <c r="AA41" s="356" t="str">
        <f t="shared" si="41"/>
        <v>국비</v>
      </c>
      <c r="AB41" s="350">
        <f t="shared" si="7"/>
        <v>6300000</v>
      </c>
      <c r="AC41" s="350">
        <f t="shared" si="8"/>
        <v>0</v>
      </c>
      <c r="AD41" s="355" t="str">
        <f t="shared" si="9"/>
        <v>ok</v>
      </c>
      <c r="AE41" s="366"/>
      <c r="AF41" s="357" t="str">
        <f>IF(AH41="","",IF($V41="도비","세입없음",$AH41&amp;"-"&amp;TEXT(COUNTIF(AH$7:AH41,AH$7:AH41),"00")))</f>
        <v>0704-05</v>
      </c>
      <c r="AG41" s="353"/>
      <c r="AH41" s="358" t="str">
        <f t="array" ref="AH41">IFERROR(IF($C41="","",INDEX(구분표!$I$2:$I$1001,MATCH(1,(구분표!$B$2:$B$1001='16년3추 일입'!$A41)*(구분표!$C$2:$C$1001='16년3추 일입'!$B41)*(구분표!$A$2:$A$1001='16년3추 일입'!$C41),0))),"@@")</f>
        <v>0704</v>
      </c>
      <c r="AI41" s="366"/>
      <c r="AJ41" s="359"/>
      <c r="AK41" s="366"/>
      <c r="AL41" s="360">
        <f>IF(AF41="","",SUMIFS('16년 3추일출'!$Y$14:$Y$9322,'16년 3추일출'!$AH$14:$AH$9322,'16년3추 일입'!$AF41))</f>
        <v>0</v>
      </c>
      <c r="AM41" s="359">
        <f>IF(AF41="","",IF(AF41="세입없음","",COUNTIF('16년 3추일출'!$AH$14:$AH$9322,'16년3추 일입'!$AF41)))</f>
        <v>2</v>
      </c>
      <c r="AN41" s="361" t="str">
        <f t="shared" si="55"/>
        <v>OK</v>
      </c>
      <c r="AO41" s="366"/>
      <c r="AP41" s="360">
        <f>IF(AF41="","",SUMIFS('16년 3추일출'!$AD$7:$AD$9322,'16년 3추일출'!$AH$7:$AH$9322,'16년3추 일입'!$AF41))</f>
        <v>6300000</v>
      </c>
      <c r="AQ41" s="359">
        <f>IF(AF41="","",IF(AF41="세입없음","",COUNTIF('16년 3추일출'!$AH$14:$AH$9322,'16년3추 일입'!$AF41)))</f>
        <v>2</v>
      </c>
      <c r="AR41" s="361" t="str">
        <f t="shared" si="56"/>
        <v>OK</v>
      </c>
      <c r="AS41" s="310">
        <f t="shared" si="13"/>
        <v>0</v>
      </c>
    </row>
    <row r="42" spans="1:45" ht="39.950000000000003" customHeight="1">
      <c r="A42" s="344" t="s">
        <v>321</v>
      </c>
      <c r="B42" s="367" t="s">
        <v>106</v>
      </c>
      <c r="C42" s="362" t="s">
        <v>258</v>
      </c>
      <c r="D42" s="363" t="s">
        <v>501</v>
      </c>
      <c r="E42" s="363">
        <v>65</v>
      </c>
      <c r="F42" s="363"/>
      <c r="G42" s="364" t="s">
        <v>1191</v>
      </c>
      <c r="H42" s="349">
        <v>21000</v>
      </c>
      <c r="I42" s="349">
        <v>21000</v>
      </c>
      <c r="J42" s="349">
        <f t="shared" si="52"/>
        <v>0</v>
      </c>
      <c r="K42" s="350"/>
      <c r="L42" s="350"/>
      <c r="M42" s="349">
        <f t="shared" si="53"/>
        <v>21000</v>
      </c>
      <c r="N42" s="350"/>
      <c r="O42" s="350">
        <v>1500</v>
      </c>
      <c r="P42" s="349">
        <f t="shared" si="54"/>
        <v>22500</v>
      </c>
      <c r="Q42" s="365"/>
      <c r="R42" s="369"/>
      <c r="S42" s="369"/>
      <c r="T42" s="369" t="s">
        <v>1142</v>
      </c>
      <c r="U42" s="353"/>
      <c r="V42" s="354" t="s">
        <v>1200</v>
      </c>
      <c r="W42" s="350">
        <f t="shared" si="40"/>
        <v>0</v>
      </c>
      <c r="X42" s="350">
        <f t="shared" si="4"/>
        <v>0</v>
      </c>
      <c r="Y42" s="355" t="str">
        <f t="shared" si="5"/>
        <v>ok</v>
      </c>
      <c r="Z42" s="353"/>
      <c r="AA42" s="356" t="str">
        <f t="shared" si="41"/>
        <v>국비</v>
      </c>
      <c r="AB42" s="350">
        <f t="shared" si="7"/>
        <v>1500</v>
      </c>
      <c r="AC42" s="350">
        <f t="shared" si="8"/>
        <v>0</v>
      </c>
      <c r="AD42" s="355" t="str">
        <f t="shared" si="9"/>
        <v>ok</v>
      </c>
      <c r="AE42" s="366"/>
      <c r="AF42" s="357" t="str">
        <f>IF(AH42="","",IF($V42="도비","세입없음",$AH42&amp;"-"&amp;TEXT(COUNTIF(AH$7:AH42,AH$7:AH42),"00")))</f>
        <v>0705-01</v>
      </c>
      <c r="AG42" s="353"/>
      <c r="AH42" s="358" t="str">
        <f t="array" ref="AH42">IFERROR(IF($C42="","",INDEX(구분표!$I$2:$I$1001,MATCH(1,(구분표!$B$2:$B$1001='16년3추 일입'!$A42)*(구분표!$C$2:$C$1001='16년3추 일입'!$B42)*(구분표!$A$2:$A$1001='16년3추 일입'!$C42),0))),"@@")</f>
        <v>0705</v>
      </c>
      <c r="AI42" s="366"/>
      <c r="AJ42" s="359"/>
      <c r="AK42" s="366"/>
      <c r="AL42" s="360">
        <f>IF(AF42="","",SUMIFS('16년 3추일출'!$Y$14:$Y$9322,'16년 3추일출'!$AH$14:$AH$9322,'16년3추 일입'!$AF42))</f>
        <v>0</v>
      </c>
      <c r="AM42" s="359">
        <f>IF(AF42="","",IF(AF42="세입없음","",COUNTIF('16년 3추일출'!$AH$14:$AH$9322,'16년3추 일입'!$AF42)))</f>
        <v>1</v>
      </c>
      <c r="AN42" s="361" t="str">
        <f t="shared" si="55"/>
        <v>OK</v>
      </c>
      <c r="AO42" s="366"/>
      <c r="AP42" s="360">
        <f>IF(AF42="","",SUMIFS('16년 3추일출'!$AD$7:$AD$9322,'16년 3추일출'!$AH$7:$AH$9322,'16년3추 일입'!$AF42))</f>
        <v>1500</v>
      </c>
      <c r="AQ42" s="359">
        <f>IF(AF42="","",IF(AF42="세입없음","",COUNTIF('16년 3추일출'!$AH$14:$AH$9322,'16년3추 일입'!$AF42)))</f>
        <v>1</v>
      </c>
      <c r="AR42" s="361" t="str">
        <f t="shared" si="56"/>
        <v>OK</v>
      </c>
      <c r="AS42" s="310">
        <f t="shared" si="13"/>
        <v>0</v>
      </c>
    </row>
    <row r="43" spans="1:45" ht="39.950000000000003" customHeight="1">
      <c r="A43" s="344" t="s">
        <v>321</v>
      </c>
      <c r="B43" s="367" t="s">
        <v>106</v>
      </c>
      <c r="C43" s="362" t="s">
        <v>598</v>
      </c>
      <c r="D43" s="363" t="s">
        <v>480</v>
      </c>
      <c r="E43" s="363">
        <v>571</v>
      </c>
      <c r="F43" s="363"/>
      <c r="G43" s="364" t="s">
        <v>1192</v>
      </c>
      <c r="H43" s="349">
        <v>548308000</v>
      </c>
      <c r="I43" s="349">
        <v>523289000</v>
      </c>
      <c r="J43" s="349">
        <f t="shared" si="47"/>
        <v>25019000</v>
      </c>
      <c r="K43" s="350"/>
      <c r="L43" s="350"/>
      <c r="M43" s="349">
        <f t="shared" si="48"/>
        <v>548308000</v>
      </c>
      <c r="N43" s="350"/>
      <c r="O43" s="350">
        <v>1305000</v>
      </c>
      <c r="P43" s="349">
        <f t="shared" si="49"/>
        <v>549613000</v>
      </c>
      <c r="Q43" s="365"/>
      <c r="R43" s="369"/>
      <c r="S43" s="369"/>
      <c r="T43" s="369" t="s">
        <v>1142</v>
      </c>
      <c r="U43" s="353"/>
      <c r="V43" s="354" t="s">
        <v>1200</v>
      </c>
      <c r="W43" s="350">
        <f t="shared" si="40"/>
        <v>0</v>
      </c>
      <c r="X43" s="350">
        <f t="shared" si="4"/>
        <v>0</v>
      </c>
      <c r="Y43" s="355" t="str">
        <f t="shared" si="5"/>
        <v>ok</v>
      </c>
      <c r="Z43" s="353"/>
      <c r="AA43" s="356" t="str">
        <f t="shared" si="41"/>
        <v>국비</v>
      </c>
      <c r="AB43" s="350">
        <f t="shared" si="7"/>
        <v>1305000</v>
      </c>
      <c r="AC43" s="350">
        <f t="shared" si="8"/>
        <v>0</v>
      </c>
      <c r="AD43" s="355" t="str">
        <f t="shared" si="9"/>
        <v>ok</v>
      </c>
      <c r="AE43" s="366"/>
      <c r="AF43" s="357" t="str">
        <f>IF(AH43="","",IF($V43="도비","세입없음",$AH43&amp;"-"&amp;TEXT(COUNTIF(AH$7:AH43,AH$7:AH43),"00")))</f>
        <v>0701-01</v>
      </c>
      <c r="AG43" s="353"/>
      <c r="AH43" s="358" t="str">
        <f t="array" ref="AH43">IFERROR(IF($C43="","",INDEX(구분표!$I$2:$I$1001,MATCH(1,(구분표!$B$2:$B$1001='16년3추 일입'!$A43)*(구분표!$C$2:$C$1001='16년3추 일입'!$B43)*(구분표!$A$2:$A$1001='16년3추 일입'!$C43),0))),"@@")</f>
        <v>0701</v>
      </c>
      <c r="AI43" s="366"/>
      <c r="AJ43" s="359"/>
      <c r="AK43" s="366"/>
      <c r="AL43" s="360">
        <f>IF(AF43="","",SUMIFS('16년 3추일출'!$Y$14:$Y$9322,'16년 3추일출'!$AH$14:$AH$9322,'16년3추 일입'!$AF43))</f>
        <v>0</v>
      </c>
      <c r="AM43" s="359">
        <f>IF(AF43="","",IF(AF43="세입없음","",COUNTIF('16년 3추일출'!$AH$14:$AH$9322,'16년3추 일입'!$AF43)))</f>
        <v>2</v>
      </c>
      <c r="AN43" s="361" t="str">
        <f t="shared" si="50"/>
        <v>OK</v>
      </c>
      <c r="AO43" s="366"/>
      <c r="AP43" s="360">
        <f>IF(AF43="","",SUMIFS('16년 3추일출'!$AD$7:$AD$9322,'16년 3추일출'!$AH$7:$AH$9322,'16년3추 일입'!$AF43))</f>
        <v>1305000</v>
      </c>
      <c r="AQ43" s="359">
        <f>IF(AF43="","",IF(AF43="세입없음","",COUNTIF('16년 3추일출'!$AH$14:$AH$9322,'16년3추 일입'!$AF43)))</f>
        <v>2</v>
      </c>
      <c r="AR43" s="361" t="str">
        <f t="shared" si="51"/>
        <v>OK</v>
      </c>
      <c r="AS43" s="310">
        <f t="shared" si="13"/>
        <v>0</v>
      </c>
    </row>
    <row r="44" spans="1:45" ht="39.950000000000003" customHeight="1">
      <c r="A44" s="344" t="s">
        <v>321</v>
      </c>
      <c r="B44" s="367" t="s">
        <v>106</v>
      </c>
      <c r="C44" s="362" t="s">
        <v>598</v>
      </c>
      <c r="D44" s="363" t="s">
        <v>501</v>
      </c>
      <c r="E44" s="363">
        <v>64</v>
      </c>
      <c r="F44" s="363"/>
      <c r="G44" s="364" t="s">
        <v>1193</v>
      </c>
      <c r="H44" s="349">
        <v>3724000</v>
      </c>
      <c r="I44" s="349">
        <v>3724000</v>
      </c>
      <c r="J44" s="349">
        <f t="shared" ref="J44:J45" si="57">IF(D44="","",H44-I44)</f>
        <v>0</v>
      </c>
      <c r="K44" s="350"/>
      <c r="L44" s="350"/>
      <c r="M44" s="349">
        <f t="shared" ref="M44:M45" si="58">H44+K44+L44</f>
        <v>3724000</v>
      </c>
      <c r="N44" s="350"/>
      <c r="O44" s="350">
        <v>92000</v>
      </c>
      <c r="P44" s="349">
        <f t="shared" ref="P44:P45" si="59">H44+N44+O44</f>
        <v>3816000</v>
      </c>
      <c r="Q44" s="365"/>
      <c r="R44" s="369"/>
      <c r="S44" s="369"/>
      <c r="T44" s="369" t="s">
        <v>1142</v>
      </c>
      <c r="U44" s="353"/>
      <c r="V44" s="354" t="s">
        <v>1200</v>
      </c>
      <c r="W44" s="350">
        <f t="shared" si="40"/>
        <v>0</v>
      </c>
      <c r="X44" s="350">
        <f t="shared" si="4"/>
        <v>0</v>
      </c>
      <c r="Y44" s="355" t="str">
        <f t="shared" si="5"/>
        <v>ok</v>
      </c>
      <c r="Z44" s="353"/>
      <c r="AA44" s="356" t="str">
        <f t="shared" si="41"/>
        <v>국비</v>
      </c>
      <c r="AB44" s="350">
        <f t="shared" si="7"/>
        <v>92000</v>
      </c>
      <c r="AC44" s="350">
        <f t="shared" si="8"/>
        <v>0</v>
      </c>
      <c r="AD44" s="355" t="str">
        <f t="shared" si="9"/>
        <v>ok</v>
      </c>
      <c r="AE44" s="366"/>
      <c r="AF44" s="357" t="str">
        <f>IF(AH44="","",IF($V44="도비","세입없음",$AH44&amp;"-"&amp;TEXT(COUNTIF(AH$7:AH44,AH$7:AH44),"00")))</f>
        <v>0701-02</v>
      </c>
      <c r="AG44" s="353"/>
      <c r="AH44" s="358" t="str">
        <f t="array" ref="AH44">IFERROR(IF($C44="","",INDEX(구분표!$I$2:$I$1001,MATCH(1,(구분표!$B$2:$B$1001='16년3추 일입'!$A44)*(구분표!$C$2:$C$1001='16년3추 일입'!$B44)*(구분표!$A$2:$A$1001='16년3추 일입'!$C44),0))),"@@")</f>
        <v>0701</v>
      </c>
      <c r="AI44" s="366"/>
      <c r="AJ44" s="359"/>
      <c r="AK44" s="366"/>
      <c r="AL44" s="360">
        <f>IF(AF44="","",SUMIFS('16년 3추일출'!$Y$14:$Y$9322,'16년 3추일출'!$AH$14:$AH$9322,'16년3추 일입'!$AF44))</f>
        <v>0</v>
      </c>
      <c r="AM44" s="359">
        <f>IF(AF44="","",IF(AF44="세입없음","",COUNTIF('16년 3추일출'!$AH$14:$AH$9322,'16년3추 일입'!$AF44)))</f>
        <v>2</v>
      </c>
      <c r="AN44" s="361" t="str">
        <f t="shared" ref="AN44:AN45" si="60">IF(W44=0,"OK",IF(W44=AL44,"OK","@@"))</f>
        <v>OK</v>
      </c>
      <c r="AO44" s="366"/>
      <c r="AP44" s="360">
        <f>IF(AF44="","",SUMIFS('16년 3추일출'!$AD$7:$AD$9322,'16년 3추일출'!$AH$7:$AH$9322,'16년3추 일입'!$AF44))</f>
        <v>92000</v>
      </c>
      <c r="AQ44" s="359">
        <f>IF(AF44="","",IF(AF44="세입없음","",COUNTIF('16년 3추일출'!$AH$14:$AH$9322,'16년3추 일입'!$AF44)))</f>
        <v>2</v>
      </c>
      <c r="AR44" s="361" t="str">
        <f t="shared" ref="AR44:AR45" si="61">IF(AB44=0,"OK",IF(AB44=AP44,"OK","@@"))</f>
        <v>OK</v>
      </c>
      <c r="AS44" s="310">
        <f t="shared" si="13"/>
        <v>0</v>
      </c>
    </row>
    <row r="45" spans="1:45" ht="39.950000000000003" customHeight="1">
      <c r="A45" s="344" t="s">
        <v>321</v>
      </c>
      <c r="B45" s="367" t="s">
        <v>106</v>
      </c>
      <c r="C45" s="362" t="s">
        <v>598</v>
      </c>
      <c r="D45" s="363" t="s">
        <v>480</v>
      </c>
      <c r="E45" s="363">
        <v>571</v>
      </c>
      <c r="F45" s="363"/>
      <c r="G45" s="364" t="s">
        <v>1194</v>
      </c>
      <c r="H45" s="349">
        <v>25200</v>
      </c>
      <c r="I45" s="349">
        <v>0</v>
      </c>
      <c r="J45" s="349">
        <f t="shared" si="57"/>
        <v>25200</v>
      </c>
      <c r="K45" s="350"/>
      <c r="L45" s="350"/>
      <c r="M45" s="349">
        <f t="shared" si="58"/>
        <v>25200</v>
      </c>
      <c r="N45" s="350"/>
      <c r="O45" s="350">
        <v>7420</v>
      </c>
      <c r="P45" s="349">
        <f t="shared" si="59"/>
        <v>32620</v>
      </c>
      <c r="Q45" s="365"/>
      <c r="R45" s="369"/>
      <c r="S45" s="369"/>
      <c r="T45" s="369" t="s">
        <v>1142</v>
      </c>
      <c r="U45" s="353"/>
      <c r="V45" s="354" t="s">
        <v>1200</v>
      </c>
      <c r="W45" s="350">
        <f t="shared" si="40"/>
        <v>0</v>
      </c>
      <c r="X45" s="350">
        <f t="shared" si="4"/>
        <v>0</v>
      </c>
      <c r="Y45" s="355" t="str">
        <f t="shared" si="5"/>
        <v>ok</v>
      </c>
      <c r="Z45" s="353"/>
      <c r="AA45" s="356" t="str">
        <f t="shared" si="41"/>
        <v>국비</v>
      </c>
      <c r="AB45" s="350">
        <f t="shared" si="7"/>
        <v>7420</v>
      </c>
      <c r="AC45" s="350">
        <f t="shared" si="8"/>
        <v>0</v>
      </c>
      <c r="AD45" s="355" t="str">
        <f t="shared" si="9"/>
        <v>ok</v>
      </c>
      <c r="AE45" s="366"/>
      <c r="AF45" s="357" t="str">
        <f>IF(AH45="","",IF($V45="도비","세입없음",$AH45&amp;"-"&amp;TEXT(COUNTIF(AH$7:AH45,AH$7:AH45),"00")))</f>
        <v>0701-03</v>
      </c>
      <c r="AG45" s="353"/>
      <c r="AH45" s="358" t="str">
        <f t="array" ref="AH45">IFERROR(IF($C45="","",INDEX(구분표!$I$2:$I$1001,MATCH(1,(구분표!$B$2:$B$1001='16년3추 일입'!$A45)*(구분표!$C$2:$C$1001='16년3추 일입'!$B45)*(구분표!$A$2:$A$1001='16년3추 일입'!$C45),0))),"@@")</f>
        <v>0701</v>
      </c>
      <c r="AI45" s="366"/>
      <c r="AJ45" s="359"/>
      <c r="AK45" s="366"/>
      <c r="AL45" s="360">
        <f>IF(AF45="","",SUMIFS('16년 3추일출'!$Y$14:$Y$9322,'16년 3추일출'!$AH$14:$AH$9322,'16년3추 일입'!$AF45))</f>
        <v>0</v>
      </c>
      <c r="AM45" s="359">
        <f>IF(AF45="","",IF(AF45="세입없음","",COUNTIF('16년 3추일출'!$AH$14:$AH$9322,'16년3추 일입'!$AF45)))</f>
        <v>1</v>
      </c>
      <c r="AN45" s="361" t="str">
        <f t="shared" si="60"/>
        <v>OK</v>
      </c>
      <c r="AO45" s="366"/>
      <c r="AP45" s="360">
        <f>IF(AF45="","",SUMIFS('16년 3추일출'!$AD$7:$AD$9322,'16년 3추일출'!$AH$7:$AH$9322,'16년3추 일입'!$AF45))</f>
        <v>7420</v>
      </c>
      <c r="AQ45" s="359">
        <f>IF(AF45="","",IF(AF45="세입없음","",COUNTIF('16년 3추일출'!$AH$14:$AH$9322,'16년3추 일입'!$AF45)))</f>
        <v>1</v>
      </c>
      <c r="AR45" s="361" t="str">
        <f t="shared" si="61"/>
        <v>OK</v>
      </c>
      <c r="AS45" s="310">
        <f t="shared" si="13"/>
        <v>0</v>
      </c>
    </row>
    <row r="46" spans="1:45" ht="39.950000000000003" customHeight="1">
      <c r="A46" s="344" t="s">
        <v>321</v>
      </c>
      <c r="B46" s="367" t="s">
        <v>106</v>
      </c>
      <c r="C46" s="362" t="s">
        <v>81</v>
      </c>
      <c r="D46" s="363" t="s">
        <v>501</v>
      </c>
      <c r="E46" s="363">
        <v>65</v>
      </c>
      <c r="F46" s="363"/>
      <c r="G46" s="364" t="s">
        <v>1195</v>
      </c>
      <c r="H46" s="349">
        <v>16309632</v>
      </c>
      <c r="I46" s="349">
        <v>16309632</v>
      </c>
      <c r="J46" s="349">
        <f t="shared" ref="J46:J48" si="62">IF(D46="","",H46-I46)</f>
        <v>0</v>
      </c>
      <c r="K46" s="350"/>
      <c r="L46" s="350"/>
      <c r="M46" s="349">
        <f t="shared" ref="M46:M48" si="63">H46+K46+L46</f>
        <v>16309632</v>
      </c>
      <c r="N46" s="350"/>
      <c r="O46" s="350">
        <v>2184686</v>
      </c>
      <c r="P46" s="349">
        <f t="shared" ref="P46:P48" si="64">H46+N46+O46</f>
        <v>18494318</v>
      </c>
      <c r="Q46" s="365"/>
      <c r="R46" s="369"/>
      <c r="S46" s="369"/>
      <c r="T46" s="369" t="s">
        <v>1142</v>
      </c>
      <c r="U46" s="353"/>
      <c r="V46" s="354" t="s">
        <v>1200</v>
      </c>
      <c r="W46" s="350">
        <f t="shared" si="40"/>
        <v>0</v>
      </c>
      <c r="X46" s="350">
        <f t="shared" si="4"/>
        <v>0</v>
      </c>
      <c r="Y46" s="355" t="str">
        <f t="shared" si="5"/>
        <v>ok</v>
      </c>
      <c r="Z46" s="353"/>
      <c r="AA46" s="356" t="str">
        <f t="shared" si="41"/>
        <v>국비</v>
      </c>
      <c r="AB46" s="350">
        <f t="shared" si="7"/>
        <v>2184686</v>
      </c>
      <c r="AC46" s="350">
        <f t="shared" si="8"/>
        <v>0</v>
      </c>
      <c r="AD46" s="355" t="str">
        <f t="shared" si="9"/>
        <v>ok</v>
      </c>
      <c r="AE46" s="366"/>
      <c r="AF46" s="357" t="str">
        <f>IF(AH46="","",IF($V46="도비","세입없음",$AH46&amp;"-"&amp;TEXT(COUNTIF(AH$7:AH46,AH$7:AH46),"00")))</f>
        <v>0704-06</v>
      </c>
      <c r="AG46" s="353"/>
      <c r="AH46" s="358" t="str">
        <f t="array" ref="AH46">IFERROR(IF($C46="","",INDEX(구분표!$I$2:$I$1001,MATCH(1,(구분표!$B$2:$B$1001='16년3추 일입'!$A46)*(구분표!$C$2:$C$1001='16년3추 일입'!$B46)*(구분표!$A$2:$A$1001='16년3추 일입'!$C46),0))),"@@")</f>
        <v>0704</v>
      </c>
      <c r="AI46" s="366"/>
      <c r="AJ46" s="359"/>
      <c r="AK46" s="366"/>
      <c r="AL46" s="360">
        <f>IF(AF46="","",SUMIFS('16년 3추일출'!$Y$14:$Y$9322,'16년 3추일출'!$AH$14:$AH$9322,'16년3추 일입'!$AF46))</f>
        <v>0</v>
      </c>
      <c r="AM46" s="359">
        <f>IF(AF46="","",IF(AF46="세입없음","",COUNTIF('16년 3추일출'!$AH$14:$AH$9322,'16년3추 일입'!$AF46)))</f>
        <v>3</v>
      </c>
      <c r="AN46" s="361" t="str">
        <f t="shared" ref="AN46:AN48" si="65">IF(W46=0,"OK",IF(W46=AL46,"OK","@@"))</f>
        <v>OK</v>
      </c>
      <c r="AO46" s="366"/>
      <c r="AP46" s="360">
        <f>IF(AF46="","",SUMIFS('16년 3추일출'!$AD$7:$AD$9322,'16년 3추일출'!$AH$7:$AH$9322,'16년3추 일입'!$AF46))</f>
        <v>2184686</v>
      </c>
      <c r="AQ46" s="359">
        <f>IF(AF46="","",IF(AF46="세입없음","",COUNTIF('16년 3추일출'!$AH$14:$AH$9322,'16년3추 일입'!$AF46)))</f>
        <v>3</v>
      </c>
      <c r="AR46" s="361" t="str">
        <f t="shared" ref="AR46:AR48" si="66">IF(AB46=0,"OK",IF(AB46=AP46,"OK","@@"))</f>
        <v>OK</v>
      </c>
      <c r="AS46" s="310">
        <f t="shared" si="13"/>
        <v>0</v>
      </c>
    </row>
    <row r="47" spans="1:45" ht="39.950000000000003" customHeight="1">
      <c r="A47" s="344" t="s">
        <v>435</v>
      </c>
      <c r="B47" s="367" t="s">
        <v>1279</v>
      </c>
      <c r="C47" s="362" t="s">
        <v>1280</v>
      </c>
      <c r="D47" s="363" t="s">
        <v>1277</v>
      </c>
      <c r="E47" s="363"/>
      <c r="F47" s="363"/>
      <c r="G47" s="364" t="s">
        <v>1282</v>
      </c>
      <c r="H47" s="349">
        <v>0</v>
      </c>
      <c r="I47" s="349">
        <v>0</v>
      </c>
      <c r="J47" s="349">
        <f t="shared" ref="J47" si="67">IF(D47="","",H47-I47)</f>
        <v>0</v>
      </c>
      <c r="K47" s="350"/>
      <c r="L47" s="350"/>
      <c r="M47" s="349">
        <f t="shared" ref="M47" si="68">H47+K47+L47</f>
        <v>0</v>
      </c>
      <c r="N47" s="350"/>
      <c r="O47" s="350">
        <v>1500000</v>
      </c>
      <c r="P47" s="349">
        <f t="shared" ref="P47" si="69">H47+N47+O47</f>
        <v>1500000</v>
      </c>
      <c r="Q47" s="365"/>
      <c r="R47" s="369"/>
      <c r="S47" s="369"/>
      <c r="T47" s="369" t="s">
        <v>1329</v>
      </c>
      <c r="U47" s="353"/>
      <c r="V47" s="354" t="s">
        <v>1283</v>
      </c>
      <c r="W47" s="350">
        <f t="shared" si="40"/>
        <v>0</v>
      </c>
      <c r="X47" s="350">
        <f t="shared" si="4"/>
        <v>0</v>
      </c>
      <c r="Y47" s="355" t="str">
        <f t="shared" si="5"/>
        <v>ok</v>
      </c>
      <c r="Z47" s="353"/>
      <c r="AA47" s="356" t="str">
        <f t="shared" si="41"/>
        <v>국비</v>
      </c>
      <c r="AB47" s="350">
        <f t="shared" si="7"/>
        <v>1500000</v>
      </c>
      <c r="AC47" s="350">
        <f t="shared" si="8"/>
        <v>0</v>
      </c>
      <c r="AD47" s="355" t="str">
        <f t="shared" si="9"/>
        <v>ok</v>
      </c>
      <c r="AE47" s="366"/>
      <c r="AF47" s="357" t="str">
        <f>IF(AH47="","",IF($V47="도비","세입없음",$AH47&amp;"-"&amp;TEXT(COUNTIF(AH$7:AH47,AH$7:AH47),"00")))</f>
        <v>0604-01</v>
      </c>
      <c r="AG47" s="353"/>
      <c r="AH47" s="358" t="str">
        <f t="array" ref="AH47">IFERROR(IF($C47="","",INDEX(구분표!$I$2:$I$1001,MATCH(1,(구분표!$B$2:$B$1001='16년3추 일입'!$A47)*(구분표!$C$2:$C$1001='16년3추 일입'!$B47)*(구분표!$A$2:$A$1001='16년3추 일입'!$C47),0))),"@@")</f>
        <v>0604</v>
      </c>
      <c r="AI47" s="366"/>
      <c r="AJ47" s="359"/>
      <c r="AK47" s="366"/>
      <c r="AL47" s="360">
        <f>IF(AF47="","",SUMIFS('16년 3추일출'!$Y$14:$Y$9322,'16년 3추일출'!$AH$14:$AH$9322,'16년3추 일입'!$AF47))</f>
        <v>0</v>
      </c>
      <c r="AM47" s="359">
        <f>IF(AF47="","",IF(AF47="세입없음","",COUNTIF('16년 3추일출'!$AH$14:$AH$9322,'16년3추 일입'!$AF47)))</f>
        <v>1</v>
      </c>
      <c r="AN47" s="361" t="str">
        <f t="shared" ref="AN47" si="70">IF(W47=0,"OK",IF(W47=AL47,"OK","@@"))</f>
        <v>OK</v>
      </c>
      <c r="AO47" s="366"/>
      <c r="AP47" s="360">
        <f>IF(AF47="","",SUMIFS('16년 3추일출'!$AD$7:$AD$9322,'16년 3추일출'!$AH$7:$AH$9322,'16년3추 일입'!$AF47))</f>
        <v>1500000</v>
      </c>
      <c r="AQ47" s="359">
        <f>IF(AF47="","",IF(AF47="세입없음","",COUNTIF('16년 3추일출'!$AH$14:$AH$9322,'16년3추 일입'!$AF47)))</f>
        <v>1</v>
      </c>
      <c r="AR47" s="361" t="str">
        <f t="shared" ref="AR47" si="71">IF(AB47=0,"OK",IF(AB47=AP47,"OK","@@"))</f>
        <v>OK</v>
      </c>
      <c r="AS47" s="310">
        <f t="shared" si="13"/>
        <v>0</v>
      </c>
    </row>
    <row r="48" spans="1:45" ht="39.950000000000003" customHeight="1">
      <c r="A48" s="344" t="s">
        <v>1288</v>
      </c>
      <c r="B48" s="367" t="s">
        <v>1289</v>
      </c>
      <c r="C48" s="362" t="s">
        <v>1290</v>
      </c>
      <c r="D48" s="363" t="s">
        <v>1281</v>
      </c>
      <c r="E48" s="363">
        <v>281</v>
      </c>
      <c r="F48" s="363"/>
      <c r="G48" s="364" t="s">
        <v>1291</v>
      </c>
      <c r="H48" s="349">
        <v>257664000</v>
      </c>
      <c r="I48" s="349">
        <v>251661000</v>
      </c>
      <c r="J48" s="349">
        <f t="shared" si="62"/>
        <v>6003000</v>
      </c>
      <c r="K48" s="350"/>
      <c r="L48" s="350"/>
      <c r="M48" s="349">
        <f t="shared" si="63"/>
        <v>257664000</v>
      </c>
      <c r="N48" s="350"/>
      <c r="O48" s="350">
        <v>13772000</v>
      </c>
      <c r="P48" s="349">
        <f t="shared" si="64"/>
        <v>271436000</v>
      </c>
      <c r="Q48" s="365"/>
      <c r="R48" s="369"/>
      <c r="S48" s="369"/>
      <c r="T48" s="369" t="s">
        <v>1292</v>
      </c>
      <c r="U48" s="353"/>
      <c r="V48" s="354" t="s">
        <v>1293</v>
      </c>
      <c r="W48" s="350">
        <f t="shared" si="40"/>
        <v>0</v>
      </c>
      <c r="X48" s="350">
        <f t="shared" si="4"/>
        <v>0</v>
      </c>
      <c r="Y48" s="355" t="str">
        <f t="shared" si="5"/>
        <v>ok</v>
      </c>
      <c r="Z48" s="353"/>
      <c r="AA48" s="356" t="str">
        <f t="shared" si="41"/>
        <v>도비</v>
      </c>
      <c r="AB48" s="350">
        <f t="shared" si="7"/>
        <v>0</v>
      </c>
      <c r="AC48" s="350">
        <f t="shared" si="8"/>
        <v>13772000</v>
      </c>
      <c r="AD48" s="355" t="str">
        <f t="shared" si="9"/>
        <v>ok</v>
      </c>
      <c r="AE48" s="366"/>
      <c r="AF48" s="357" t="str">
        <f>IF(AH48="","",IF($V48="도비","세입없음",$AH48&amp;"-"&amp;TEXT(COUNTIF(AH$7:AH48,AH$7:AH48),"00")))</f>
        <v>세입없음</v>
      </c>
      <c r="AG48" s="353"/>
      <c r="AH48" s="358" t="str">
        <f t="array" ref="AH48">IFERROR(IF($C48="","",INDEX(구분표!$I$2:$I$1001,MATCH(1,(구분표!$B$2:$B$1001='16년3추 일입'!$A48)*(구분표!$C$2:$C$1001='16년3추 일입'!$B48)*(구분표!$A$2:$A$1001='16년3추 일입'!$C48),0))),"@@")</f>
        <v>0207</v>
      </c>
      <c r="AI48" s="366"/>
      <c r="AJ48" s="359"/>
      <c r="AK48" s="366"/>
      <c r="AL48" s="360">
        <f>IF(AF48="","",SUMIFS('16년 3추일출'!$Y$14:$Y$9322,'16년 3추일출'!$AH$14:$AH$9322,'16년3추 일입'!$AF48))</f>
        <v>0</v>
      </c>
      <c r="AM48" s="359" t="str">
        <f>IF(AF48="","",IF(AF48="세입없음","",COUNTIF('16년 3추일출'!$AH$14:$AH$9322,'16년3추 일입'!$AF48)))</f>
        <v/>
      </c>
      <c r="AN48" s="361" t="str">
        <f t="shared" si="65"/>
        <v>OK</v>
      </c>
      <c r="AO48" s="366"/>
      <c r="AP48" s="360">
        <f>IF(AF48="","",SUMIFS('16년 3추일출'!$AD$7:$AD$9322,'16년 3추일출'!$AH$7:$AH$9322,'16년3추 일입'!$AF48))</f>
        <v>0</v>
      </c>
      <c r="AQ48" s="359" t="str">
        <f>IF(AF48="","",IF(AF48="세입없음","",COUNTIF('16년 3추일출'!$AH$14:$AH$9322,'16년3추 일입'!$AF48)))</f>
        <v/>
      </c>
      <c r="AR48" s="361" t="str">
        <f t="shared" si="66"/>
        <v>OK</v>
      </c>
      <c r="AS48" s="310">
        <f t="shared" si="13"/>
        <v>0</v>
      </c>
    </row>
    <row r="49" spans="1:45" ht="39.950000000000003" customHeight="1">
      <c r="A49" s="344"/>
      <c r="B49" s="367"/>
      <c r="C49" s="362"/>
      <c r="D49" s="363"/>
      <c r="E49" s="363"/>
      <c r="F49" s="363"/>
      <c r="G49" s="364"/>
      <c r="H49" s="349"/>
      <c r="I49" s="349"/>
      <c r="J49" s="349" t="str">
        <f t="shared" si="47"/>
        <v/>
      </c>
      <c r="K49" s="350"/>
      <c r="L49" s="350"/>
      <c r="M49" s="349">
        <f t="shared" si="48"/>
        <v>0</v>
      </c>
      <c r="N49" s="350"/>
      <c r="O49" s="350"/>
      <c r="P49" s="349">
        <f t="shared" si="49"/>
        <v>0</v>
      </c>
      <c r="Q49" s="365"/>
      <c r="R49" s="369"/>
      <c r="S49" s="369"/>
      <c r="T49" s="369"/>
      <c r="U49" s="353"/>
      <c r="V49" s="354"/>
      <c r="W49" s="350">
        <f t="shared" si="40"/>
        <v>0</v>
      </c>
      <c r="X49" s="350">
        <f t="shared" si="4"/>
        <v>0</v>
      </c>
      <c r="Y49" s="355" t="str">
        <f t="shared" si="5"/>
        <v>ok</v>
      </c>
      <c r="Z49" s="353"/>
      <c r="AA49" s="356">
        <f t="shared" si="41"/>
        <v>0</v>
      </c>
      <c r="AB49" s="350">
        <f t="shared" si="7"/>
        <v>0</v>
      </c>
      <c r="AC49" s="350">
        <f t="shared" si="8"/>
        <v>0</v>
      </c>
      <c r="AD49" s="355" t="str">
        <f t="shared" si="9"/>
        <v>ok</v>
      </c>
      <c r="AE49" s="366"/>
      <c r="AF49" s="357" t="str">
        <f>IF(AH49="","",IF($V49="도비","세입없음",$AH49&amp;"-"&amp;TEXT(COUNTIF(AH$7:AH49,AH$7:AH49),"00")))</f>
        <v/>
      </c>
      <c r="AG49" s="353"/>
      <c r="AH49" s="358" t="str">
        <f t="array" ref="AH49">IFERROR(IF($C49="","",INDEX(구분표!$I$2:$I$1001,MATCH(1,(구분표!$B$2:$B$1001='16년3추 일입'!$A49)*(구분표!$C$2:$C$1001='16년3추 일입'!$B49)*(구분표!$A$2:$A$1001='16년3추 일입'!$C49),0))),"@@")</f>
        <v/>
      </c>
      <c r="AI49" s="366"/>
      <c r="AJ49" s="359"/>
      <c r="AK49" s="366"/>
      <c r="AL49" s="360" t="str">
        <f>IF(AF49="","",SUMIFS('16년 3추일출'!$Y$14:$Y$9322,'16년 3추일출'!$AH$14:$AH$9322,'16년3추 일입'!$AF49))</f>
        <v/>
      </c>
      <c r="AM49" s="359" t="str">
        <f>IF(AF49="","",IF(AF49="세입없음","",COUNTIF('16년 3추일출'!$AH$14:$AH$9322,'16년3추 일입'!$AF49)))</f>
        <v/>
      </c>
      <c r="AN49" s="361" t="str">
        <f t="shared" si="50"/>
        <v>OK</v>
      </c>
      <c r="AO49" s="366"/>
      <c r="AP49" s="360" t="str">
        <f>IF(AF49="","",SUMIFS('16년 3추일출'!$AD$7:$AD$9322,'16년 3추일출'!$AH$7:$AH$9322,'16년3추 일입'!$AF49))</f>
        <v/>
      </c>
      <c r="AQ49" s="359" t="str">
        <f>IF(AF49="","",IF(AF49="세입없음","",COUNTIF('16년 3추일출'!$AH$14:$AH$9322,'16년3추 일입'!$AF49)))</f>
        <v/>
      </c>
      <c r="AR49" s="361" t="str">
        <f t="shared" si="51"/>
        <v>OK</v>
      </c>
      <c r="AS49" s="310">
        <f t="shared" si="13"/>
        <v>0</v>
      </c>
    </row>
    <row r="50" spans="1:45" ht="39.950000000000003" customHeight="1">
      <c r="A50" s="344"/>
      <c r="B50" s="367"/>
      <c r="C50" s="362"/>
      <c r="D50" s="363"/>
      <c r="E50" s="363"/>
      <c r="F50" s="363"/>
      <c r="G50" s="364"/>
      <c r="H50" s="349"/>
      <c r="I50" s="349"/>
      <c r="J50" s="349" t="str">
        <f t="shared" si="1"/>
        <v/>
      </c>
      <c r="K50" s="350"/>
      <c r="L50" s="350"/>
      <c r="M50" s="349">
        <f t="shared" si="2"/>
        <v>0</v>
      </c>
      <c r="N50" s="350"/>
      <c r="O50" s="350"/>
      <c r="P50" s="349">
        <f t="shared" si="3"/>
        <v>0</v>
      </c>
      <c r="Q50" s="365"/>
      <c r="R50" s="369"/>
      <c r="S50" s="369"/>
      <c r="T50" s="369"/>
      <c r="U50" s="353"/>
      <c r="V50" s="354"/>
      <c r="W50" s="350">
        <f t="shared" si="40"/>
        <v>0</v>
      </c>
      <c r="X50" s="350">
        <f t="shared" si="4"/>
        <v>0</v>
      </c>
      <c r="Y50" s="355" t="str">
        <f t="shared" si="5"/>
        <v>ok</v>
      </c>
      <c r="Z50" s="353"/>
      <c r="AA50" s="356">
        <f t="shared" si="41"/>
        <v>0</v>
      </c>
      <c r="AB50" s="350">
        <f t="shared" si="7"/>
        <v>0</v>
      </c>
      <c r="AC50" s="350">
        <f t="shared" si="8"/>
        <v>0</v>
      </c>
      <c r="AD50" s="355" t="str">
        <f t="shared" si="9"/>
        <v>ok</v>
      </c>
      <c r="AE50" s="366"/>
      <c r="AF50" s="357" t="str">
        <f>IF(AH50="","",IF($V50="도비","세입없음",$AH50&amp;"-"&amp;TEXT(COUNTIF(AH$7:AH50,AH$7:AH50),"00")))</f>
        <v/>
      </c>
      <c r="AG50" s="353"/>
      <c r="AH50" s="358" t="str">
        <f t="array" ref="AH50">IFERROR(IF($C50="","",INDEX(구분표!$I$2:$I$1001,MATCH(1,(구분표!$B$2:$B$1001='16년3추 일입'!$A50)*(구분표!$C$2:$C$1001='16년3추 일입'!$B50)*(구분표!$A$2:$A$1001='16년3추 일입'!$C50),0))),"@@")</f>
        <v/>
      </c>
      <c r="AI50" s="366"/>
      <c r="AJ50" s="359"/>
      <c r="AK50" s="366"/>
      <c r="AL50" s="360" t="str">
        <f>IF(AF50="","",SUMIFS('16년 3추일출'!$Y$14:$Y$9322,'16년 3추일출'!$AH$14:$AH$9322,'16년3추 일입'!$AF50))</f>
        <v/>
      </c>
      <c r="AM50" s="359" t="str">
        <f>IF(AF50="","",IF(AF50="세입없음","",COUNTIF('16년 3추일출'!$AH$14:$AH$9322,'16년3추 일입'!$AF50)))</f>
        <v/>
      </c>
      <c r="AN50" s="361" t="str">
        <f t="shared" si="10"/>
        <v>OK</v>
      </c>
      <c r="AO50" s="366"/>
      <c r="AP50" s="360" t="str">
        <f>IF(AF50="","",SUMIFS('16년 3추일출'!$AD$7:$AD$9322,'16년 3추일출'!$AH$7:$AH$9322,'16년3추 일입'!$AF50))</f>
        <v/>
      </c>
      <c r="AQ50" s="359" t="str">
        <f>IF(AF50="","",IF(AF50="세입없음","",COUNTIF('16년 3추일출'!$AH$14:$AH$9322,'16년3추 일입'!$AF50)))</f>
        <v/>
      </c>
      <c r="AR50" s="361" t="str">
        <f t="shared" si="11"/>
        <v>OK</v>
      </c>
      <c r="AS50" s="310">
        <f t="shared" si="13"/>
        <v>0</v>
      </c>
    </row>
    <row r="51" spans="1:45" ht="39.950000000000003" customHeight="1">
      <c r="A51" s="381"/>
      <c r="B51" s="382"/>
      <c r="C51" s="383"/>
      <c r="D51" s="384"/>
      <c r="E51" s="384"/>
      <c r="F51" s="384"/>
      <c r="G51" s="385"/>
      <c r="H51" s="386"/>
      <c r="I51" s="386"/>
      <c r="J51" s="386" t="str">
        <f t="shared" si="1"/>
        <v/>
      </c>
      <c r="K51" s="387"/>
      <c r="L51" s="387"/>
      <c r="M51" s="349">
        <f t="shared" si="2"/>
        <v>0</v>
      </c>
      <c r="N51" s="387"/>
      <c r="O51" s="387"/>
      <c r="P51" s="349">
        <f t="shared" si="3"/>
        <v>0</v>
      </c>
      <c r="Q51" s="388"/>
      <c r="R51" s="389"/>
      <c r="S51" s="389"/>
      <c r="T51" s="389"/>
      <c r="U51" s="353"/>
      <c r="V51" s="354"/>
      <c r="W51" s="350">
        <f t="shared" si="40"/>
        <v>0</v>
      </c>
      <c r="X51" s="350">
        <f t="shared" si="4"/>
        <v>0</v>
      </c>
      <c r="Y51" s="355" t="str">
        <f t="shared" si="5"/>
        <v>ok</v>
      </c>
      <c r="Z51" s="353"/>
      <c r="AA51" s="356">
        <f t="shared" si="41"/>
        <v>0</v>
      </c>
      <c r="AB51" s="350">
        <f t="shared" si="7"/>
        <v>0</v>
      </c>
      <c r="AC51" s="350">
        <f t="shared" si="8"/>
        <v>0</v>
      </c>
      <c r="AD51" s="355" t="str">
        <f t="shared" si="9"/>
        <v>ok</v>
      </c>
      <c r="AE51" s="366"/>
      <c r="AF51" s="357" t="str">
        <f>IF(AH51="","",IF($V51="도비","세입없음",$AH51&amp;"-"&amp;TEXT(COUNTIF(AH$7:AH51,AH$7:AH51),"00")))</f>
        <v/>
      </c>
      <c r="AG51" s="353"/>
      <c r="AH51" s="358" t="str">
        <f t="array" ref="AH51">IFERROR(IF($C51="","",INDEX(구분표!$I$2:$I$1001,MATCH(1,(구분표!$B$2:$B$1001='16년3추 일입'!$A51)*(구분표!$C$2:$C$1001='16년3추 일입'!$B51)*(구분표!$A$2:$A$1001='16년3추 일입'!$C51),0))),"@@")</f>
        <v/>
      </c>
      <c r="AI51" s="366"/>
      <c r="AJ51" s="359"/>
      <c r="AK51" s="366"/>
      <c r="AL51" s="360" t="str">
        <f>IF(AF51="","",SUMIFS('16년 3추일출'!$Y$14:$Y$9322,'16년 3추일출'!$AH$14:$AH$9322,'16년3추 일입'!$AF51))</f>
        <v/>
      </c>
      <c r="AM51" s="359" t="str">
        <f>IF(AF51="","",IF(AF51="세입없음","",COUNTIF('16년 3추일출'!$AH$14:$AH$9322,'16년3추 일입'!$AF51)))</f>
        <v/>
      </c>
      <c r="AN51" s="361" t="str">
        <f t="shared" si="10"/>
        <v>OK</v>
      </c>
      <c r="AO51" s="366"/>
      <c r="AP51" s="360" t="str">
        <f>IF(AF51="","",SUMIFS('16년 3추일출'!$AD$7:$AD$9322,'16년 3추일출'!$AH$7:$AH$9322,'16년3추 일입'!$AF51))</f>
        <v/>
      </c>
      <c r="AQ51" s="359" t="str">
        <f>IF(AF51="","",IF(AF51="세입없음","",COUNTIF('16년 3추일출'!$AH$14:$AH$9322,'16년3추 일입'!$AF51)))</f>
        <v/>
      </c>
      <c r="AR51" s="361" t="str">
        <f t="shared" si="11"/>
        <v>OK</v>
      </c>
      <c r="AS51" s="310">
        <f t="shared" si="13"/>
        <v>0</v>
      </c>
    </row>
  </sheetData>
  <sheetProtection algorithmName="SHA-512" hashValue="vq41JcwzBpfjRqj9CN/v3qXNKbt335dm5S1Qm0Txv5XnQ5Z3k7ONrPZn/eyWbPLOqMHSwrc9etufcj+rHnlUNw==" saltValue="BEh34LwUo9QxFuJ0MRYQTw==" spinCount="100000" sheet="1" objects="1" scenarios="1" autoFilter="0"/>
  <autoFilter ref="A6:AR51"/>
  <sortState ref="A7:AJ378">
    <sortCondition ref="AH7:AH378"/>
  </sortState>
  <mergeCells count="28">
    <mergeCell ref="S4:S5"/>
    <mergeCell ref="R4:R5"/>
    <mergeCell ref="AL4:AN4"/>
    <mergeCell ref="AP4:AR4"/>
    <mergeCell ref="T4:T5"/>
    <mergeCell ref="AF4:AF5"/>
    <mergeCell ref="V4:V5"/>
    <mergeCell ref="W4:Y4"/>
    <mergeCell ref="AA4:AA5"/>
    <mergeCell ref="AB4:AD4"/>
    <mergeCell ref="AJ4:AJ5"/>
    <mergeCell ref="AH4:AH5"/>
    <mergeCell ref="I4:I5"/>
    <mergeCell ref="J4:J5"/>
    <mergeCell ref="A1:T1"/>
    <mergeCell ref="A4:A5"/>
    <mergeCell ref="B4:B5"/>
    <mergeCell ref="C4:C5"/>
    <mergeCell ref="D4:D5"/>
    <mergeCell ref="E4:E5"/>
    <mergeCell ref="G4:G5"/>
    <mergeCell ref="H4:H5"/>
    <mergeCell ref="K4:L4"/>
    <mergeCell ref="M4:M5"/>
    <mergeCell ref="N4:O4"/>
    <mergeCell ref="P4:P5"/>
    <mergeCell ref="Q4:Q5"/>
    <mergeCell ref="F4:F5"/>
  </mergeCells>
  <phoneticPr fontId="2" type="noConversion"/>
  <conditionalFormatting sqref="AJ50:AJ602 AF50:AF602 AP52:AR602 AL50:AN602 AQ26:AR27 AL26:AN27 AL7:AN23 AP7:AR7 AQ50:AR51 AQ8:AR23 AP8:AP30 AP43:AP46 AP49:AP51">
    <cfRule type="containsText" dxfId="399" priority="332" operator="containsText" text="국도비">
      <formula>NOT(ISERROR(SEARCH("국도비",AF7)))</formula>
    </cfRule>
  </conditionalFormatting>
  <conditionalFormatting sqref="H52:J602">
    <cfRule type="expression" dxfId="398" priority="331">
      <formula>($D52="본예산")</formula>
    </cfRule>
  </conditionalFormatting>
  <conditionalFormatting sqref="AB50:AD602 AE50:AE51 AI50:AI51 AK50:AK51 AO50:AO51 U50:X602 V7:V9">
    <cfRule type="containsText" dxfId="397" priority="330" operator="containsText" text="직접입력">
      <formula>NOT(ISERROR(SEARCH("직접입력",U7)))</formula>
    </cfRule>
  </conditionalFormatting>
  <conditionalFormatting sqref="AI11 AK11 AO11 U11:X11 AB11:AE11 X12 AB12:AD12">
    <cfRule type="containsText" dxfId="396" priority="91" operator="containsText" text="직접입력">
      <formula>NOT(ISERROR(SEARCH("직접입력",U11)))</formula>
    </cfRule>
  </conditionalFormatting>
  <conditionalFormatting sqref="AJ9">
    <cfRule type="containsText" dxfId="395" priority="102" operator="containsText" text="국도비">
      <formula>NOT(ISERROR(SEARCH("국도비",AJ9)))</formula>
    </cfRule>
  </conditionalFormatting>
  <conditionalFormatting sqref="AI9 AK9 AO9 AB9:AE9 U9 W9">
    <cfRule type="containsText" dxfId="394" priority="101" operator="containsText" text="직접입력">
      <formula>NOT(ISERROR(SEARCH("직접입력",U9)))</formula>
    </cfRule>
  </conditionalFormatting>
  <conditionalFormatting sqref="AJ7:AJ8 AF7:AF8">
    <cfRule type="containsText" dxfId="393" priority="99" operator="containsText" text="국도비">
      <formula>NOT(ISERROR(SEARCH("국도비",AF7)))</formula>
    </cfRule>
  </conditionalFormatting>
  <conditionalFormatting sqref="AI7:AI8 AK7:AK8 AO7:AO8 AB7:AE8 U7:U8 W7:X8 X9">
    <cfRule type="containsText" dxfId="392" priority="98" operator="containsText" text="직접입력">
      <formula>NOT(ISERROR(SEARCH("직접입력",U7)))</formula>
    </cfRule>
  </conditionalFormatting>
  <conditionalFormatting sqref="AJ10 AF10">
    <cfRule type="containsText" dxfId="391" priority="96" operator="containsText" text="국도비">
      <formula>NOT(ISERROR(SEARCH("국도비",AF10)))</formula>
    </cfRule>
  </conditionalFormatting>
  <conditionalFormatting sqref="AI10 AK10 AO10 AB10:AE10 U10:X10">
    <cfRule type="containsText" dxfId="390" priority="95" operator="containsText" text="직접입력">
      <formula>NOT(ISERROR(SEARCH("직접입력",U10)))</formula>
    </cfRule>
  </conditionalFormatting>
  <conditionalFormatting sqref="AJ11 AF11">
    <cfRule type="containsText" dxfId="389" priority="93" operator="containsText" text="국도비">
      <formula>NOT(ISERROR(SEARCH("국도비",AF11)))</formula>
    </cfRule>
  </conditionalFormatting>
  <conditionalFormatting sqref="AJ22:AJ23 AJ26:AJ27">
    <cfRule type="containsText" dxfId="388" priority="82" operator="containsText" text="국도비">
      <formula>NOT(ISERROR(SEARCH("국도비",AJ22)))</formula>
    </cfRule>
  </conditionalFormatting>
  <conditionalFormatting sqref="AI22:AI23 AK22:AK23 AO22:AO23 AB22:AE23 U26:X27 U22:U23 AB26:AE27 AO26:AO27 AK26:AK27 AI26:AI27">
    <cfRule type="containsText" dxfId="387" priority="81" operator="containsText" text="직접입력">
      <formula>NOT(ISERROR(SEARCH("직접입력",U22)))</formula>
    </cfRule>
  </conditionalFormatting>
  <conditionalFormatting sqref="AJ13:AJ16 AF16">
    <cfRule type="containsText" dxfId="386" priority="76" operator="containsText" text="국도비">
      <formula>NOT(ISERROR(SEARCH("국도비",AF13)))</formula>
    </cfRule>
  </conditionalFormatting>
  <conditionalFormatting sqref="AI13:AI16 AK13:AK16 AO13:AO16 AB13:AE16 U16:X16 U13:U15 W13:X15 W22:X23">
    <cfRule type="containsText" dxfId="385" priority="75" operator="containsText" text="직접입력">
      <formula>NOT(ISERROR(SEARCH("직접입력",U13)))</formula>
    </cfRule>
  </conditionalFormatting>
  <conditionalFormatting sqref="V12:V15">
    <cfRule type="containsText" dxfId="384" priority="71" operator="containsText" text="직접입력">
      <formula>NOT(ISERROR(SEARCH("직접입력",V12)))</formula>
    </cfRule>
  </conditionalFormatting>
  <conditionalFormatting sqref="W12">
    <cfRule type="containsText" dxfId="383" priority="69" operator="containsText" text="직접입력">
      <formula>NOT(ISERROR(SEARCH("직접입력",W12)))</formula>
    </cfRule>
  </conditionalFormatting>
  <conditionalFormatting sqref="AF12:AF15">
    <cfRule type="containsText" dxfId="382" priority="68" operator="containsText" text="국도비">
      <formula>NOT(ISERROR(SEARCH("국도비",AF12)))</formula>
    </cfRule>
  </conditionalFormatting>
  <conditionalFormatting sqref="V22">
    <cfRule type="containsText" dxfId="381" priority="67" operator="containsText" text="직접입력">
      <formula>NOT(ISERROR(SEARCH("직접입력",V22)))</formula>
    </cfRule>
  </conditionalFormatting>
  <conditionalFormatting sqref="V23">
    <cfRule type="containsText" dxfId="380" priority="66" operator="containsText" text="직접입력">
      <formula>NOT(ISERROR(SEARCH("직접입력",V23)))</formula>
    </cfRule>
  </conditionalFormatting>
  <conditionalFormatting sqref="AJ17:AJ21">
    <cfRule type="containsText" dxfId="379" priority="65" operator="containsText" text="국도비">
      <formula>NOT(ISERROR(SEARCH("국도비",AJ17)))</formula>
    </cfRule>
  </conditionalFormatting>
  <conditionalFormatting sqref="AI17:AI21 AK17:AK21 AO17:AO21 AB17:AE21 U17:X21">
    <cfRule type="containsText" dxfId="378" priority="63" operator="containsText" text="직접입력">
      <formula>NOT(ISERROR(SEARCH("직접입력",U17)))</formula>
    </cfRule>
  </conditionalFormatting>
  <conditionalFormatting sqref="AF9">
    <cfRule type="containsText" dxfId="377" priority="60" operator="containsText" text="국도비">
      <formula>NOT(ISERROR(SEARCH("국도비",AF9)))</formula>
    </cfRule>
  </conditionalFormatting>
  <conditionalFormatting sqref="AF22">
    <cfRule type="containsText" dxfId="376" priority="59" operator="containsText" text="국도비">
      <formula>NOT(ISERROR(SEARCH("국도비",AF22)))</formula>
    </cfRule>
  </conditionalFormatting>
  <conditionalFormatting sqref="AF23">
    <cfRule type="containsText" dxfId="375" priority="58" operator="containsText" text="국도비">
      <formula>NOT(ISERROR(SEARCH("국도비",AF23)))</formula>
    </cfRule>
  </conditionalFormatting>
  <conditionalFormatting sqref="AF26">
    <cfRule type="containsText" dxfId="374" priority="57" operator="containsText" text="국도비">
      <formula>NOT(ISERROR(SEARCH("국도비",AF26)))</formula>
    </cfRule>
  </conditionalFormatting>
  <conditionalFormatting sqref="AF27">
    <cfRule type="containsText" dxfId="373" priority="56" operator="containsText" text="국도비">
      <formula>NOT(ISERROR(SEARCH("국도비",AF27)))</formula>
    </cfRule>
  </conditionalFormatting>
  <conditionalFormatting sqref="AF17">
    <cfRule type="containsText" dxfId="372" priority="55" operator="containsText" text="국도비">
      <formula>NOT(ISERROR(SEARCH("국도비",AF17)))</formula>
    </cfRule>
  </conditionalFormatting>
  <conditionalFormatting sqref="AF18">
    <cfRule type="containsText" dxfId="371" priority="54" operator="containsText" text="국도비">
      <formula>NOT(ISERROR(SEARCH("국도비",AF18)))</formula>
    </cfRule>
  </conditionalFormatting>
  <conditionalFormatting sqref="AF19">
    <cfRule type="containsText" dxfId="370" priority="53" operator="containsText" text="국도비">
      <formula>NOT(ISERROR(SEARCH("국도비",AF19)))</formula>
    </cfRule>
  </conditionalFormatting>
  <conditionalFormatting sqref="AF20">
    <cfRule type="containsText" dxfId="369" priority="52" operator="containsText" text="국도비">
      <formula>NOT(ISERROR(SEARCH("국도비",AF20)))</formula>
    </cfRule>
  </conditionalFormatting>
  <conditionalFormatting sqref="AF21">
    <cfRule type="containsText" dxfId="368" priority="51" operator="containsText" text="국도비">
      <formula>NOT(ISERROR(SEARCH("국도비",AF21)))</formula>
    </cfRule>
  </conditionalFormatting>
  <conditionalFormatting sqref="AJ30 AF30 AQ30:AR30 AL30:AN30">
    <cfRule type="containsText" dxfId="367" priority="50" operator="containsText" text="국도비">
      <formula>NOT(ISERROR(SEARCH("국도비",AF30)))</formula>
    </cfRule>
  </conditionalFormatting>
  <conditionalFormatting sqref="AB30:AE30 AI30 AK30 AO30 U30:X30">
    <cfRule type="containsText" dxfId="366" priority="49" operator="containsText" text="직접입력">
      <formula>NOT(ISERROR(SEARCH("직접입력",U30)))</formula>
    </cfRule>
  </conditionalFormatting>
  <conditionalFormatting sqref="AJ29 AF29 AQ29:AR29 AL29:AN29">
    <cfRule type="containsText" dxfId="365" priority="48" operator="containsText" text="국도비">
      <formula>NOT(ISERROR(SEARCH("국도비",AF29)))</formula>
    </cfRule>
  </conditionalFormatting>
  <conditionalFormatting sqref="AB29:AE29 AI29 AK29 AO29 U29:X29">
    <cfRule type="containsText" dxfId="364" priority="47" operator="containsText" text="직접입력">
      <formula>NOT(ISERROR(SEARCH("직접입력",U29)))</formula>
    </cfRule>
  </conditionalFormatting>
  <conditionalFormatting sqref="AJ28 AF28 AQ28:AR28 AL28:AN28">
    <cfRule type="containsText" dxfId="363" priority="46" operator="containsText" text="국도비">
      <formula>NOT(ISERROR(SEARCH("국도비",AF28)))</formula>
    </cfRule>
  </conditionalFormatting>
  <conditionalFormatting sqref="AB28:AE28 AI28 AK28 AO28 U28:X28">
    <cfRule type="containsText" dxfId="362" priority="45" operator="containsText" text="직접입력">
      <formula>NOT(ISERROR(SEARCH("직접입력",U28)))</formula>
    </cfRule>
  </conditionalFormatting>
  <conditionalFormatting sqref="AJ25 AF25 AQ25:AR25 AL25:AN25">
    <cfRule type="containsText" dxfId="361" priority="44" operator="containsText" text="국도비">
      <formula>NOT(ISERROR(SEARCH("국도비",AF25)))</formula>
    </cfRule>
  </conditionalFormatting>
  <conditionalFormatting sqref="AB25:AE25 AI25 AK25 AO25 U25:X25">
    <cfRule type="containsText" dxfId="360" priority="43" operator="containsText" text="직접입력">
      <formula>NOT(ISERROR(SEARCH("직접입력",U25)))</formula>
    </cfRule>
  </conditionalFormatting>
  <conditionalFormatting sqref="AJ24 AF24 AQ24:AR24 AL24:AN24">
    <cfRule type="containsText" dxfId="359" priority="42" operator="containsText" text="국도비">
      <formula>NOT(ISERROR(SEARCH("국도비",AF24)))</formula>
    </cfRule>
  </conditionalFormatting>
  <conditionalFormatting sqref="AB24:AE24 AI24 AK24 AO24 U24:X24">
    <cfRule type="containsText" dxfId="358" priority="41" operator="containsText" text="직접입력">
      <formula>NOT(ISERROR(SEARCH("직접입력",U24)))</formula>
    </cfRule>
  </conditionalFormatting>
  <conditionalFormatting sqref="AJ49 AF49 AQ49:AR49 AL49:AN49">
    <cfRule type="containsText" dxfId="357" priority="40" operator="containsText" text="국도비">
      <formula>NOT(ISERROR(SEARCH("국도비",AF49)))</formula>
    </cfRule>
  </conditionalFormatting>
  <conditionalFormatting sqref="AB49:AE49 AI49 AK49 AO49 U49:X49">
    <cfRule type="containsText" dxfId="356" priority="39" operator="containsText" text="직접입력">
      <formula>NOT(ISERROR(SEARCH("직접입력",U49)))</formula>
    </cfRule>
  </conditionalFormatting>
  <conditionalFormatting sqref="AJ46 AF46 AQ46:AR46 AL46:AN46">
    <cfRule type="containsText" dxfId="355" priority="38" operator="containsText" text="국도비">
      <formula>NOT(ISERROR(SEARCH("국도비",AF46)))</formula>
    </cfRule>
  </conditionalFormatting>
  <conditionalFormatting sqref="AB46:AE46 AI46 AK46 AO46 U46:X46">
    <cfRule type="containsText" dxfId="354" priority="37" operator="containsText" text="직접입력">
      <formula>NOT(ISERROR(SEARCH("직접입력",U46)))</formula>
    </cfRule>
  </conditionalFormatting>
  <conditionalFormatting sqref="AJ45 AF45 AQ45:AR45 AL45:AN45">
    <cfRule type="containsText" dxfId="353" priority="36" operator="containsText" text="국도비">
      <formula>NOT(ISERROR(SEARCH("국도비",AF45)))</formula>
    </cfRule>
  </conditionalFormatting>
  <conditionalFormatting sqref="AB45:AE45 AI45 AK45 AO45 U45:X45">
    <cfRule type="containsText" dxfId="352" priority="35" operator="containsText" text="직접입력">
      <formula>NOT(ISERROR(SEARCH("직접입력",U45)))</formula>
    </cfRule>
  </conditionalFormatting>
  <conditionalFormatting sqref="AJ44 AF44 AQ44:AR44 AL44:AN44">
    <cfRule type="containsText" dxfId="351" priority="34" operator="containsText" text="국도비">
      <formula>NOT(ISERROR(SEARCH("국도비",AF44)))</formula>
    </cfRule>
  </conditionalFormatting>
  <conditionalFormatting sqref="AB44:AE44 AI44 AK44 AO44 U44:X44">
    <cfRule type="containsText" dxfId="350" priority="33" operator="containsText" text="직접입력">
      <formula>NOT(ISERROR(SEARCH("직접입력",U44)))</formula>
    </cfRule>
  </conditionalFormatting>
  <conditionalFormatting sqref="AJ43 AF43 AQ43:AR43 AL43:AN43">
    <cfRule type="containsText" dxfId="349" priority="32" operator="containsText" text="국도비">
      <formula>NOT(ISERROR(SEARCH("국도비",AF43)))</formula>
    </cfRule>
  </conditionalFormatting>
  <conditionalFormatting sqref="AB43:AE43 AI43 AK43 AO43 U43:X43">
    <cfRule type="containsText" dxfId="348" priority="31" operator="containsText" text="직접입력">
      <formula>NOT(ISERROR(SEARCH("직접입력",U43)))</formula>
    </cfRule>
  </conditionalFormatting>
  <conditionalFormatting sqref="AJ42 AF42 AL42:AN42 AQ42:AR42 AP37:AP42">
    <cfRule type="containsText" dxfId="347" priority="30" operator="containsText" text="국도비">
      <formula>NOT(ISERROR(SEARCH("국도비",AF37)))</formula>
    </cfRule>
  </conditionalFormatting>
  <conditionalFormatting sqref="AB42:AE42 AI42 AK42 AO42 U42:X42">
    <cfRule type="containsText" dxfId="346" priority="29" operator="containsText" text="직접입력">
      <formula>NOT(ISERROR(SEARCH("직접입력",U42)))</formula>
    </cfRule>
  </conditionalFormatting>
  <conditionalFormatting sqref="AJ41 AF41 AQ41:AR41 AL41:AN41">
    <cfRule type="containsText" dxfId="345" priority="28" operator="containsText" text="국도비">
      <formula>NOT(ISERROR(SEARCH("국도비",AF41)))</formula>
    </cfRule>
  </conditionalFormatting>
  <conditionalFormatting sqref="AB41:AE41 AI41 AK41 AO41 U41:X41">
    <cfRule type="containsText" dxfId="344" priority="27" operator="containsText" text="직접입력">
      <formula>NOT(ISERROR(SEARCH("직접입력",U41)))</formula>
    </cfRule>
  </conditionalFormatting>
  <conditionalFormatting sqref="AJ40 AF40 AQ40:AR40 AL40:AN40">
    <cfRule type="containsText" dxfId="343" priority="26" operator="containsText" text="국도비">
      <formula>NOT(ISERROR(SEARCH("국도비",AF40)))</formula>
    </cfRule>
  </conditionalFormatting>
  <conditionalFormatting sqref="AB40:AE40 AI40 AK40 AO40 U40:X40">
    <cfRule type="containsText" dxfId="342" priority="25" operator="containsText" text="직접입력">
      <formula>NOT(ISERROR(SEARCH("직접입력",U40)))</formula>
    </cfRule>
  </conditionalFormatting>
  <conditionalFormatting sqref="AJ39 AF39 AQ39:AR39 AL39:AN39">
    <cfRule type="containsText" dxfId="341" priority="24" operator="containsText" text="국도비">
      <formula>NOT(ISERROR(SEARCH("국도비",AF39)))</formula>
    </cfRule>
  </conditionalFormatting>
  <conditionalFormatting sqref="AB39:AE39 AI39 AK39 AO39 U39:X39">
    <cfRule type="containsText" dxfId="340" priority="23" operator="containsText" text="직접입력">
      <formula>NOT(ISERROR(SEARCH("직접입력",U39)))</formula>
    </cfRule>
  </conditionalFormatting>
  <conditionalFormatting sqref="AJ38 AF38 AQ38:AR38 AL38:AN38">
    <cfRule type="containsText" dxfId="339" priority="22" operator="containsText" text="국도비">
      <formula>NOT(ISERROR(SEARCH("국도비",AF38)))</formula>
    </cfRule>
  </conditionalFormatting>
  <conditionalFormatting sqref="AB38:AE38 AI38 AK38 AO38 U38:X38">
    <cfRule type="containsText" dxfId="338" priority="21" operator="containsText" text="직접입력">
      <formula>NOT(ISERROR(SEARCH("직접입력",U38)))</formula>
    </cfRule>
  </conditionalFormatting>
  <conditionalFormatting sqref="AJ37 AF37 AQ37:AR37 AL37:AN37">
    <cfRule type="containsText" dxfId="337" priority="20" operator="containsText" text="국도비">
      <formula>NOT(ISERROR(SEARCH("국도비",AF37)))</formula>
    </cfRule>
  </conditionalFormatting>
  <conditionalFormatting sqref="AB37:AE37 AI37 AK37 AO37 U37:X37">
    <cfRule type="containsText" dxfId="336" priority="19" operator="containsText" text="직접입력">
      <formula>NOT(ISERROR(SEARCH("직접입력",U37)))</formula>
    </cfRule>
  </conditionalFormatting>
  <conditionalFormatting sqref="AJ36 AF36 AL36:AN36 AQ36:AR36 AP31:AP36">
    <cfRule type="containsText" dxfId="335" priority="18" operator="containsText" text="국도비">
      <formula>NOT(ISERROR(SEARCH("국도비",AF31)))</formula>
    </cfRule>
  </conditionalFormatting>
  <conditionalFormatting sqref="AB36:AE36 AI36 AK36 AO36 U36:X36">
    <cfRule type="containsText" dxfId="334" priority="17" operator="containsText" text="직접입력">
      <formula>NOT(ISERROR(SEARCH("직접입력",U36)))</formula>
    </cfRule>
  </conditionalFormatting>
  <conditionalFormatting sqref="AJ35 AF35 AQ35:AR35 AL35:AN35">
    <cfRule type="containsText" dxfId="333" priority="16" operator="containsText" text="국도비">
      <formula>NOT(ISERROR(SEARCH("국도비",AF35)))</formula>
    </cfRule>
  </conditionalFormatting>
  <conditionalFormatting sqref="AB35:AE35 AI35 AK35 AO35 U35:X35">
    <cfRule type="containsText" dxfId="332" priority="15" operator="containsText" text="직접입력">
      <formula>NOT(ISERROR(SEARCH("직접입력",U35)))</formula>
    </cfRule>
  </conditionalFormatting>
  <conditionalFormatting sqref="AJ34 AF34 AQ34:AR34 AL34:AN34">
    <cfRule type="containsText" dxfId="331" priority="14" operator="containsText" text="국도비">
      <formula>NOT(ISERROR(SEARCH("국도비",AF34)))</formula>
    </cfRule>
  </conditionalFormatting>
  <conditionalFormatting sqref="AB34:AE34 AI34 AK34 AO34 U34:X34">
    <cfRule type="containsText" dxfId="330" priority="13" operator="containsText" text="직접입력">
      <formula>NOT(ISERROR(SEARCH("직접입력",U34)))</formula>
    </cfRule>
  </conditionalFormatting>
  <conditionalFormatting sqref="AJ33 AF33 AQ33:AR33 AL33:AN33">
    <cfRule type="containsText" dxfId="329" priority="12" operator="containsText" text="국도비">
      <formula>NOT(ISERROR(SEARCH("국도비",AF33)))</formula>
    </cfRule>
  </conditionalFormatting>
  <conditionalFormatting sqref="AB33:AE33 AI33 AK33 AO33 U33:X33">
    <cfRule type="containsText" dxfId="328" priority="11" operator="containsText" text="직접입력">
      <formula>NOT(ISERROR(SEARCH("직접입력",U33)))</formula>
    </cfRule>
  </conditionalFormatting>
  <conditionalFormatting sqref="AJ32 AF32 AQ32:AR32 AL32:AN32">
    <cfRule type="containsText" dxfId="327" priority="10" operator="containsText" text="국도비">
      <formula>NOT(ISERROR(SEARCH("국도비",AF32)))</formula>
    </cfRule>
  </conditionalFormatting>
  <conditionalFormatting sqref="AB32:AE32 AI32 AK32 AO32 U32:X32">
    <cfRule type="containsText" dxfId="326" priority="9" operator="containsText" text="직접입력">
      <formula>NOT(ISERROR(SEARCH("직접입력",U32)))</formula>
    </cfRule>
  </conditionalFormatting>
  <conditionalFormatting sqref="AJ31 AF31 AQ31:AR31 AL31:AN31">
    <cfRule type="containsText" dxfId="325" priority="8" operator="containsText" text="국도비">
      <formula>NOT(ISERROR(SEARCH("국도비",AF31)))</formula>
    </cfRule>
  </conditionalFormatting>
  <conditionalFormatting sqref="AB31:AE31 AI31 AK31 AO31 U31:X31">
    <cfRule type="containsText" dxfId="324" priority="7" operator="containsText" text="직접입력">
      <formula>NOT(ISERROR(SEARCH("직접입력",U31)))</formula>
    </cfRule>
  </conditionalFormatting>
  <conditionalFormatting sqref="AP48">
    <cfRule type="containsText" dxfId="323" priority="6" operator="containsText" text="국도비">
      <formula>NOT(ISERROR(SEARCH("국도비",AP48)))</formula>
    </cfRule>
  </conditionalFormatting>
  <conditionalFormatting sqref="AJ48 AF48 AQ48:AR48 AL48:AN48">
    <cfRule type="containsText" dxfId="322" priority="5" operator="containsText" text="국도비">
      <formula>NOT(ISERROR(SEARCH("국도비",AF48)))</formula>
    </cfRule>
  </conditionalFormatting>
  <conditionalFormatting sqref="AB48:AE48 AI48 AK48 AO48 U48:X48">
    <cfRule type="containsText" dxfId="321" priority="4" operator="containsText" text="직접입력">
      <formula>NOT(ISERROR(SEARCH("직접입력",U48)))</formula>
    </cfRule>
  </conditionalFormatting>
  <conditionalFormatting sqref="AP47">
    <cfRule type="containsText" dxfId="320" priority="3" operator="containsText" text="국도비">
      <formula>NOT(ISERROR(SEARCH("국도비",AP47)))</formula>
    </cfRule>
  </conditionalFormatting>
  <conditionalFormatting sqref="AJ47 AF47 AQ47:AR47 AL47:AN47">
    <cfRule type="containsText" dxfId="319" priority="2" operator="containsText" text="국도비">
      <formula>NOT(ISERROR(SEARCH("국도비",AF47)))</formula>
    </cfRule>
  </conditionalFormatting>
  <conditionalFormatting sqref="AB47:AE47 AI47 AK47 AO47 U47:X47">
    <cfRule type="containsText" dxfId="318" priority="1" operator="containsText" text="직접입력">
      <formula>NOT(ISERROR(SEARCH("직접입력",U47)))</formula>
    </cfRule>
  </conditionalFormatting>
  <dataValidations disablePrompts="1" count="1">
    <dataValidation type="list" allowBlank="1" showInputMessage="1" showErrorMessage="1" sqref="D7:D51">
      <formula1>"본예산,1회추경,2회추경,3회추경,신규"</formula1>
    </dataValidation>
  </dataValidations>
  <pageMargins left="0.23622047244094491" right="0.19685039370078741" top="0.35433070866141736" bottom="0.31496062992125984" header="0.31496062992125984" footer="0.15748031496062992"/>
  <pageSetup paperSize="8" scale="79" fitToHeight="0" orientation="landscape" horizontalDpi="4294967295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0">
        <x14:dataValidation type="list" allowBlank="1" showInputMessage="1" showErrorMessage="1">
          <x14:formula1>
            <xm:f>구분표!$L$2:$L$6</xm:f>
          </x14:formula1>
          <xm:sqref>AO24:AO25 AI24:AI25 AO28:AO51 AI28:AI51</xm:sqref>
        </x14:dataValidation>
        <x14:dataValidation type="list" allowBlank="1" showInputMessage="1" showErrorMessage="1">
          <x14:formula1>
            <xm:f>구분표!$M$2:$M$7</xm:f>
          </x14:formula1>
          <xm:sqref>V7:V9 V22:V25 V28:V51</xm:sqref>
        </x14:dataValidation>
        <x14:dataValidation type="list" allowBlank="1" showInputMessage="1" showErrorMessage="1">
          <x14:formula1>
            <xm:f>[1]구분표!#REF!</xm:f>
          </x14:formula1>
          <xm:sqref>AO9 AI9</xm:sqref>
        </x14:dataValidation>
        <x14:dataValidation type="list" allowBlank="1" showInputMessage="1" showErrorMessage="1">
          <x14:formula1>
            <xm:f>[2]구분표!#REF!</xm:f>
          </x14:formula1>
          <xm:sqref>AO7:AO8 AI7:AI8</xm:sqref>
        </x14:dataValidation>
        <x14:dataValidation type="list" allowBlank="1" showInputMessage="1" showErrorMessage="1">
          <x14:formula1>
            <xm:f>[3]구분표!#REF!</xm:f>
          </x14:formula1>
          <xm:sqref>V10 AO10 AI10</xm:sqref>
        </x14:dataValidation>
        <x14:dataValidation type="list" allowBlank="1" showInputMessage="1" showErrorMessage="1">
          <x14:formula1>
            <xm:f>[4]구분표!#REF!</xm:f>
          </x14:formula1>
          <xm:sqref>V11 AI11 AO11</xm:sqref>
        </x14:dataValidation>
        <x14:dataValidation type="list" allowBlank="1" showInputMessage="1" showErrorMessage="1">
          <x14:formula1>
            <xm:f>[5]구분표!#REF!</xm:f>
          </x14:formula1>
          <xm:sqref>V12:V15</xm:sqref>
        </x14:dataValidation>
        <x14:dataValidation type="list" allowBlank="1" showInputMessage="1" showErrorMessage="1">
          <x14:formula1>
            <xm:f>[6]구분표!#REF!</xm:f>
          </x14:formula1>
          <xm:sqref>AO26:AO27 V26:V27 AO22:AO23 AI22:AI23 AI26:AI27</xm:sqref>
        </x14:dataValidation>
        <x14:dataValidation type="list" allowBlank="1" showInputMessage="1" showErrorMessage="1">
          <x14:formula1>
            <xm:f>[7]구분표!#REF!</xm:f>
          </x14:formula1>
          <xm:sqref>AO13:AO16 AI13:AI16 V16</xm:sqref>
        </x14:dataValidation>
        <x14:dataValidation type="list" allowBlank="1" showInputMessage="1" showErrorMessage="1">
          <x14:formula1>
            <xm:f>[8]구분표!#REF!</xm:f>
          </x14:formula1>
          <xm:sqref>V17:V21 AO17:AO21 AI17:AI21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F0"/>
    <pageSetUpPr fitToPage="1"/>
  </sheetPr>
  <dimension ref="A1:AQ179"/>
  <sheetViews>
    <sheetView showGridLines="0" view="pageBreakPreview" zoomScale="70" zoomScaleNormal="80" zoomScaleSheetLayoutView="70" workbookViewId="0">
      <pane xSplit="3" ySplit="6" topLeftCell="D7" activePane="bottomRight" state="frozen"/>
      <selection activeCell="P3" sqref="P3"/>
      <selection pane="topRight" activeCell="P3" sqref="P3"/>
      <selection pane="bottomLeft" activeCell="P3" sqref="P3"/>
      <selection pane="bottomRight" sqref="A1:M1"/>
    </sheetView>
  </sheetViews>
  <sheetFormatPr defaultColWidth="8.75" defaultRowHeight="13.5"/>
  <cols>
    <col min="1" max="1" width="12.75" style="310" customWidth="1"/>
    <col min="2" max="2" width="12" style="310" customWidth="1"/>
    <col min="3" max="3" width="12.25" style="310" customWidth="1"/>
    <col min="4" max="4" width="7.625" style="312" bestFit="1" customWidth="1"/>
    <col min="5" max="5" width="7.625" style="312" customWidth="1"/>
    <col min="6" max="6" width="7.125" style="312" bestFit="1" customWidth="1"/>
    <col min="7" max="7" width="37.375" style="310" customWidth="1"/>
    <col min="8" max="16" width="11.625" style="310" customWidth="1"/>
    <col min="17" max="17" width="8.375" style="11" hidden="1" customWidth="1"/>
    <col min="18" max="18" width="27.25" style="139" hidden="1" customWidth="1"/>
    <col min="19" max="19" width="28.125" style="29" hidden="1" customWidth="1"/>
    <col min="20" max="20" width="28.125" style="310" customWidth="1"/>
    <col min="21" max="21" width="16.625" style="310" hidden="1" customWidth="1"/>
    <col min="22" max="22" width="6.125" style="11" hidden="1" customWidth="1"/>
    <col min="23" max="23" width="3" style="29" hidden="1" customWidth="1"/>
    <col min="24" max="24" width="6.125" style="18" hidden="1" customWidth="1"/>
    <col min="25" max="25" width="11.625" style="29" hidden="1" customWidth="1"/>
    <col min="26" max="26" width="11.125" style="29" hidden="1" customWidth="1"/>
    <col min="27" max="27" width="6" style="11" hidden="1" customWidth="1"/>
    <col min="28" max="28" width="3" style="29" hidden="1" customWidth="1"/>
    <col min="29" max="29" width="6.125" style="42" hidden="1" customWidth="1"/>
    <col min="30" max="30" width="11.625" style="29" hidden="1" customWidth="1"/>
    <col min="31" max="31" width="11.125" style="29" hidden="1" customWidth="1"/>
    <col min="32" max="32" width="6" style="11" hidden="1" customWidth="1"/>
    <col min="33" max="33" width="3" style="143" hidden="1" customWidth="1"/>
    <col min="34" max="34" width="9.375" style="150" hidden="1" customWidth="1"/>
    <col min="35" max="35" width="3" style="143" hidden="1" customWidth="1"/>
    <col min="36" max="37" width="5.625" style="139" hidden="1" customWidth="1"/>
    <col min="38" max="38" width="3" style="139" hidden="1" customWidth="1"/>
    <col min="39" max="39" width="11.625" style="29" hidden="1" customWidth="1"/>
    <col min="40" max="40" width="3" style="143" hidden="1" customWidth="1"/>
    <col min="41" max="41" width="8.5" style="139" hidden="1" customWidth="1"/>
    <col min="42" max="42" width="17.375" style="29" hidden="1" customWidth="1"/>
    <col min="43" max="43" width="0" style="29" hidden="1" customWidth="1"/>
    <col min="44" max="16384" width="8.75" style="310"/>
  </cols>
  <sheetData>
    <row r="1" spans="1:43" ht="32.25" customHeight="1">
      <c r="A1" s="557" t="s">
        <v>448</v>
      </c>
      <c r="B1" s="557"/>
      <c r="C1" s="557"/>
      <c r="D1" s="557"/>
      <c r="E1" s="557"/>
      <c r="F1" s="557"/>
      <c r="G1" s="557"/>
      <c r="H1" s="557"/>
      <c r="I1" s="557"/>
      <c r="J1" s="557"/>
      <c r="K1" s="557"/>
      <c r="L1" s="557"/>
      <c r="M1" s="557"/>
      <c r="N1" s="391"/>
      <c r="O1" s="391"/>
      <c r="P1" s="391"/>
      <c r="Q1" s="177"/>
      <c r="R1" s="177"/>
      <c r="S1" s="177"/>
      <c r="T1" s="391"/>
      <c r="U1" s="391"/>
      <c r="AD1" s="29">
        <f>AD6-'16년3추 일입'!AB6</f>
        <v>0</v>
      </c>
    </row>
    <row r="2" spans="1:43" ht="20.25">
      <c r="A2" s="317" t="s">
        <v>58</v>
      </c>
      <c r="B2" s="317"/>
      <c r="C2" s="317"/>
      <c r="D2" s="318"/>
      <c r="E2" s="318"/>
      <c r="F2" s="318"/>
      <c r="G2" s="317"/>
      <c r="M2" s="392">
        <f>SUM(K6:L6)</f>
        <v>3012689</v>
      </c>
      <c r="N2" s="319"/>
      <c r="O2" s="319"/>
      <c r="P2" s="311">
        <f>N6+O6</f>
        <v>64242035</v>
      </c>
      <c r="Y2" s="19" t="s">
        <v>71</v>
      </c>
      <c r="Z2" s="20"/>
      <c r="AD2" s="19" t="s">
        <v>71</v>
      </c>
      <c r="AE2" s="20"/>
    </row>
    <row r="3" spans="1:43" ht="21" thickBot="1">
      <c r="K3" s="321">
        <f>COUNTA(K7:K166)-10</f>
        <v>17</v>
      </c>
      <c r="L3" s="321">
        <f>COUNTA(L7:L166)-10</f>
        <v>45</v>
      </c>
      <c r="M3" s="392">
        <f>M6-H6</f>
        <v>3012689</v>
      </c>
      <c r="N3" s="321">
        <f>COUNTA(N7:N166)-10</f>
        <v>23</v>
      </c>
      <c r="O3" s="321">
        <f>COUNTA(O7:O166)-10</f>
        <v>95</v>
      </c>
      <c r="P3" s="311">
        <f>P6-H6</f>
        <v>64242035</v>
      </c>
      <c r="Q3" s="22"/>
      <c r="R3" s="141"/>
      <c r="S3" s="48" t="s">
        <v>8</v>
      </c>
      <c r="T3" s="324" t="s">
        <v>8</v>
      </c>
      <c r="U3" s="324"/>
      <c r="Y3" s="20" t="str">
        <f>IF(Y6='16년3추 일입'!$W$6,"OK","@@")</f>
        <v>OK</v>
      </c>
      <c r="Z3" s="29">
        <f>SUM(Y6:Z6)</f>
        <v>3012689</v>
      </c>
      <c r="AA3" s="20" t="str">
        <f>IF(COUNTIF(AA6:AA974,"@@")&gt;0,"@@","OK")</f>
        <v>OK</v>
      </c>
      <c r="AD3" s="20" t="str">
        <f>IF(AD6='16년3추 일입'!AB6,"OK","@@")</f>
        <v>OK</v>
      </c>
      <c r="AE3" s="29">
        <f>SUM(AD6:AE6)</f>
        <v>64242035</v>
      </c>
      <c r="AF3" s="20" t="str">
        <f>IF(COUNTIF(AF6:AF974,"@@")&gt;0,"@@","OK")</f>
        <v>OK</v>
      </c>
      <c r="AM3" s="49"/>
    </row>
    <row r="4" spans="1:43" ht="30" customHeight="1">
      <c r="A4" s="558" t="s">
        <v>362</v>
      </c>
      <c r="B4" s="558" t="s">
        <v>115</v>
      </c>
      <c r="C4" s="558" t="s">
        <v>4</v>
      </c>
      <c r="D4" s="555" t="s">
        <v>116</v>
      </c>
      <c r="E4" s="555" t="s">
        <v>403</v>
      </c>
      <c r="F4" s="561" t="s">
        <v>404</v>
      </c>
      <c r="G4" s="592" t="s">
        <v>117</v>
      </c>
      <c r="H4" s="594" t="s">
        <v>457</v>
      </c>
      <c r="I4" s="586" t="s">
        <v>440</v>
      </c>
      <c r="J4" s="555" t="s">
        <v>472</v>
      </c>
      <c r="K4" s="563" t="s">
        <v>612</v>
      </c>
      <c r="L4" s="564"/>
      <c r="M4" s="596" t="s">
        <v>613</v>
      </c>
      <c r="N4" s="598" t="s">
        <v>379</v>
      </c>
      <c r="O4" s="599"/>
      <c r="P4" s="600" t="s">
        <v>442</v>
      </c>
      <c r="Q4" s="602" t="s">
        <v>405</v>
      </c>
      <c r="R4" s="589" t="s">
        <v>1113</v>
      </c>
      <c r="S4" s="616" t="s">
        <v>1103</v>
      </c>
      <c r="T4" s="584" t="s">
        <v>1311</v>
      </c>
      <c r="U4" s="584" t="s">
        <v>33</v>
      </c>
      <c r="V4" s="604" t="s">
        <v>361</v>
      </c>
      <c r="W4" s="201"/>
      <c r="X4" s="608" t="s">
        <v>5</v>
      </c>
      <c r="Y4" s="610" t="s">
        <v>7</v>
      </c>
      <c r="Z4" s="611"/>
      <c r="AA4" s="611"/>
      <c r="AB4" s="201"/>
      <c r="AC4" s="612" t="s">
        <v>5</v>
      </c>
      <c r="AD4" s="606" t="s">
        <v>78</v>
      </c>
      <c r="AE4" s="606"/>
      <c r="AF4" s="606"/>
      <c r="AG4" s="201"/>
      <c r="AH4" s="614" t="s">
        <v>395</v>
      </c>
      <c r="AI4" s="201"/>
      <c r="AJ4" s="604" t="s">
        <v>396</v>
      </c>
      <c r="AK4" s="604" t="s">
        <v>397</v>
      </c>
      <c r="AL4" s="201"/>
      <c r="AM4" s="604" t="s">
        <v>118</v>
      </c>
      <c r="AN4" s="201"/>
      <c r="AO4" s="604" t="s">
        <v>392</v>
      </c>
    </row>
    <row r="5" spans="1:43" ht="18" customHeight="1">
      <c r="A5" s="591"/>
      <c r="B5" s="591"/>
      <c r="C5" s="591"/>
      <c r="D5" s="591"/>
      <c r="E5" s="583"/>
      <c r="F5" s="555"/>
      <c r="G5" s="593"/>
      <c r="H5" s="595"/>
      <c r="I5" s="587"/>
      <c r="J5" s="588"/>
      <c r="K5" s="393" t="s">
        <v>611</v>
      </c>
      <c r="L5" s="393" t="s">
        <v>1</v>
      </c>
      <c r="M5" s="597"/>
      <c r="N5" s="394" t="s">
        <v>0</v>
      </c>
      <c r="O5" s="395" t="s">
        <v>1</v>
      </c>
      <c r="P5" s="601"/>
      <c r="Q5" s="603"/>
      <c r="R5" s="590"/>
      <c r="S5" s="617"/>
      <c r="T5" s="585"/>
      <c r="U5" s="585"/>
      <c r="V5" s="607"/>
      <c r="W5" s="201"/>
      <c r="X5" s="609"/>
      <c r="Y5" s="185" t="s">
        <v>3</v>
      </c>
      <c r="Z5" s="185" t="s">
        <v>2</v>
      </c>
      <c r="AA5" s="185" t="s">
        <v>76</v>
      </c>
      <c r="AB5" s="201"/>
      <c r="AC5" s="613"/>
      <c r="AD5" s="186" t="s">
        <v>3</v>
      </c>
      <c r="AE5" s="186" t="s">
        <v>2</v>
      </c>
      <c r="AF5" s="186" t="s">
        <v>76</v>
      </c>
      <c r="AG5" s="201"/>
      <c r="AH5" s="615"/>
      <c r="AI5" s="201"/>
      <c r="AJ5" s="605"/>
      <c r="AK5" s="605"/>
      <c r="AL5" s="201"/>
      <c r="AM5" s="605"/>
      <c r="AN5" s="201"/>
      <c r="AO5" s="605"/>
    </row>
    <row r="6" spans="1:43" ht="60" customHeight="1">
      <c r="A6" s="330"/>
      <c r="B6" s="330"/>
      <c r="C6" s="331"/>
      <c r="D6" s="330"/>
      <c r="E6" s="330"/>
      <c r="F6" s="332"/>
      <c r="G6" s="396"/>
      <c r="H6" s="397">
        <f t="shared" ref="H6:P6" si="0">SUM(H7,H13,H22,H32,H43,H51,H76,H129,H137,H146)</f>
        <v>2947112335</v>
      </c>
      <c r="I6" s="398">
        <f t="shared" si="0"/>
        <v>2736015115</v>
      </c>
      <c r="J6" s="333">
        <f t="shared" si="0"/>
        <v>211097220</v>
      </c>
      <c r="K6" s="333">
        <f t="shared" si="0"/>
        <v>-13460921</v>
      </c>
      <c r="L6" s="333">
        <f t="shared" si="0"/>
        <v>16473610</v>
      </c>
      <c r="M6" s="399">
        <f t="shared" si="0"/>
        <v>2950125024</v>
      </c>
      <c r="N6" s="400">
        <f t="shared" si="0"/>
        <v>-28681606</v>
      </c>
      <c r="O6" s="333">
        <f t="shared" si="0"/>
        <v>92923641</v>
      </c>
      <c r="P6" s="401">
        <f t="shared" si="0"/>
        <v>3011354370</v>
      </c>
      <c r="Q6" s="231"/>
      <c r="R6" s="215"/>
      <c r="S6" s="187"/>
      <c r="T6" s="418"/>
      <c r="U6" s="418"/>
      <c r="V6" s="188"/>
      <c r="W6" s="201"/>
      <c r="X6" s="189"/>
      <c r="Y6" s="182">
        <f>SUM(Y7,Y13,Y22,Y32,Y43,Y51,Y76,Y129,Y137,Y146)</f>
        <v>10704901</v>
      </c>
      <c r="Z6" s="182">
        <f>SUM(Z7,Z13,Z22,Z32,Z43,Z51,Z76,Z129,Z137,Z146)</f>
        <v>-7692212</v>
      </c>
      <c r="AA6" s="183"/>
      <c r="AB6" s="201"/>
      <c r="AC6" s="190"/>
      <c r="AD6" s="182">
        <f>SUM(AD7,AD13,AD22,AD32,AD43,AD51,AD76,AD129,AD137,AD146)</f>
        <v>50683880</v>
      </c>
      <c r="AE6" s="182">
        <f>SUM(AE7,AE13,AE22,AE32,AE43,AE51,AE76,AE129,AE137,AE146)</f>
        <v>13558155</v>
      </c>
      <c r="AF6" s="183"/>
      <c r="AG6" s="201"/>
      <c r="AH6" s="191"/>
      <c r="AI6" s="201"/>
      <c r="AJ6" s="188"/>
      <c r="AK6" s="183"/>
      <c r="AL6" s="201"/>
      <c r="AM6" s="21"/>
      <c r="AN6" s="201"/>
      <c r="AO6" s="142"/>
    </row>
    <row r="7" spans="1:43" ht="60" customHeight="1">
      <c r="A7" s="402" t="s">
        <v>454</v>
      </c>
      <c r="B7" s="403"/>
      <c r="C7" s="403"/>
      <c r="D7" s="403"/>
      <c r="E7" s="403"/>
      <c r="F7" s="403"/>
      <c r="G7" s="404"/>
      <c r="H7" s="405">
        <f t="shared" ref="H7:P7" si="1">SUM(H8:H12)</f>
        <v>3218475</v>
      </c>
      <c r="I7" s="406">
        <f t="shared" si="1"/>
        <v>1828475</v>
      </c>
      <c r="J7" s="407">
        <f t="shared" si="1"/>
        <v>1390000</v>
      </c>
      <c r="K7" s="407">
        <f t="shared" si="1"/>
        <v>-170000</v>
      </c>
      <c r="L7" s="407">
        <f t="shared" si="1"/>
        <v>0</v>
      </c>
      <c r="M7" s="408">
        <f t="shared" si="1"/>
        <v>3048475</v>
      </c>
      <c r="N7" s="409">
        <f t="shared" si="1"/>
        <v>-70000</v>
      </c>
      <c r="O7" s="407">
        <f t="shared" si="1"/>
        <v>0</v>
      </c>
      <c r="P7" s="410">
        <f t="shared" si="1"/>
        <v>3148475</v>
      </c>
      <c r="Q7" s="232"/>
      <c r="R7" s="216"/>
      <c r="S7" s="224"/>
      <c r="T7" s="419"/>
      <c r="U7" s="419"/>
      <c r="V7" s="203"/>
      <c r="W7" s="201"/>
      <c r="X7" s="205"/>
      <c r="Y7" s="160">
        <f>SUM(Y8:Y12)</f>
        <v>0</v>
      </c>
      <c r="Z7" s="160">
        <f>SUM(Z8:Z12)</f>
        <v>-170000</v>
      </c>
      <c r="AA7" s="161" t="str">
        <f t="shared" ref="AA7:AA54" si="2">IFERROR(IF(($K7+$L7)=($Y7+$Z7),"ok","검토"),"검토")</f>
        <v>ok</v>
      </c>
      <c r="AB7" s="201"/>
      <c r="AC7" s="166" t="str">
        <f>IF(X7="","",$X7)</f>
        <v/>
      </c>
      <c r="AD7" s="160">
        <f>SUM(AD8:AD12)</f>
        <v>0</v>
      </c>
      <c r="AE7" s="160">
        <f>SUM(AE8:AE12)</f>
        <v>-70000</v>
      </c>
      <c r="AF7" s="161" t="str">
        <f>IFERROR(IF((N7+O7)=(AD7+AE7),"ok","검토"),"검토")</f>
        <v>ok</v>
      </c>
      <c r="AG7" s="201"/>
      <c r="AH7" s="206"/>
      <c r="AI7" s="201"/>
      <c r="AJ7" s="203" t="str">
        <f t="shared" ref="AJ7:AJ38" si="3">IF(AH7="","",COUNTIF($AH$7:$AH$10141,$AH7))</f>
        <v/>
      </c>
      <c r="AK7" s="161" t="str">
        <f t="shared" ref="AK7:AK54" si="4">IF(C7="","",IF(AND(X7="도비",AH7="세입없음"),"OK",IF(AND(X7&lt;&gt;"도비",AH7&lt;&gt;""),"Ok","@@")))</f>
        <v/>
      </c>
      <c r="AL7" s="201"/>
      <c r="AM7" s="140"/>
      <c r="AN7" s="201"/>
      <c r="AO7" s="142"/>
      <c r="AP7" s="144">
        <f>SUM(N7:O7)-SUM(AD7:AE7)</f>
        <v>0</v>
      </c>
      <c r="AQ7" s="144"/>
    </row>
    <row r="8" spans="1:43" ht="60" customHeight="1">
      <c r="A8" s="344" t="s">
        <v>546</v>
      </c>
      <c r="B8" s="344" t="s">
        <v>547</v>
      </c>
      <c r="C8" s="364" t="s">
        <v>548</v>
      </c>
      <c r="D8" s="363" t="s">
        <v>480</v>
      </c>
      <c r="E8" s="363">
        <v>257</v>
      </c>
      <c r="F8" s="363">
        <v>46</v>
      </c>
      <c r="G8" s="411" t="s">
        <v>1025</v>
      </c>
      <c r="H8" s="412">
        <v>540000</v>
      </c>
      <c r="I8" s="413">
        <v>300000</v>
      </c>
      <c r="J8" s="349">
        <f>IF(D8="","",H8-I8)</f>
        <v>240000</v>
      </c>
      <c r="K8" s="350">
        <v>-20000</v>
      </c>
      <c r="L8" s="350"/>
      <c r="M8" s="414">
        <f>H8+K8+L8</f>
        <v>520000</v>
      </c>
      <c r="N8" s="415">
        <v>-20000</v>
      </c>
      <c r="O8" s="350"/>
      <c r="P8" s="416">
        <f>H8+N8+O8</f>
        <v>520000</v>
      </c>
      <c r="Q8" s="234" t="str">
        <f t="shared" ref="Q8:Q12" si="5">IF(OR(AND(K8&lt;0,K8&lt;N8),AND(K8&lt;0,N8+O8=0),AND(K8&lt;0,O8&gt;0),AND(I8=0,M8=0,P8&gt;0)),"동의","")</f>
        <v/>
      </c>
      <c r="R8" s="211" t="s">
        <v>1077</v>
      </c>
      <c r="S8" s="223"/>
      <c r="T8" s="420"/>
      <c r="U8" s="420"/>
      <c r="V8" s="149" t="s">
        <v>490</v>
      </c>
      <c r="W8" s="201"/>
      <c r="X8" s="165" t="s">
        <v>490</v>
      </c>
      <c r="Y8" s="123">
        <f t="shared" ref="Y8:Y12" si="6">IF($X8&lt;&gt;"도비",IF($V8="국도비","직접입력",SUM($K8:$L8)),)</f>
        <v>0</v>
      </c>
      <c r="Z8" s="123">
        <f t="shared" ref="Z8:Z12" si="7">IF($X8="도비",SUM($K8:$L8),IF($V8="국도비","직접입력",SUM($K8:$L8)-$Y8))</f>
        <v>-20000</v>
      </c>
      <c r="AA8" s="145" t="str">
        <f t="shared" si="2"/>
        <v>ok</v>
      </c>
      <c r="AB8" s="201"/>
      <c r="AC8" s="166" t="str">
        <f t="shared" ref="AC8:AC130" si="8">IF(X8="","",$X8)</f>
        <v>도비</v>
      </c>
      <c r="AD8" s="123">
        <f>IF($X8&lt;&gt;"도비",IF($V8="국도비","직접입력",SUM(N8:O8)),)</f>
        <v>0</v>
      </c>
      <c r="AE8" s="123">
        <f>IF($X8="도비",SUM(N8:O8),IF($V8="국도비","직접입력",SUM(N8:O8)-AD8))</f>
        <v>-20000</v>
      </c>
      <c r="AF8" s="145" t="str">
        <f>IFERROR(IF((N8+O8)=(AD8+AE8),"ok","검토"),"검토")</f>
        <v>ok</v>
      </c>
      <c r="AG8" s="201"/>
      <c r="AH8" s="167" t="s">
        <v>1021</v>
      </c>
      <c r="AI8" s="201"/>
      <c r="AJ8" s="163">
        <f t="shared" si="3"/>
        <v>65</v>
      </c>
      <c r="AK8" s="145" t="str">
        <f t="shared" si="4"/>
        <v>OK</v>
      </c>
      <c r="AL8" s="201"/>
      <c r="AM8" s="140"/>
      <c r="AN8" s="201"/>
      <c r="AO8" s="142"/>
      <c r="AP8" s="219">
        <f t="shared" ref="AP8:AP11" si="9">SUM(N8:O8)-SUM(AD8:AE8)</f>
        <v>0</v>
      </c>
      <c r="AQ8" s="144"/>
    </row>
    <row r="9" spans="1:43" ht="60" customHeight="1">
      <c r="A9" s="344" t="s">
        <v>549</v>
      </c>
      <c r="B9" s="344" t="s">
        <v>550</v>
      </c>
      <c r="C9" s="364" t="s">
        <v>551</v>
      </c>
      <c r="D9" s="363" t="s">
        <v>480</v>
      </c>
      <c r="E9" s="363">
        <v>263</v>
      </c>
      <c r="F9" s="363">
        <v>6</v>
      </c>
      <c r="G9" s="411" t="s">
        <v>1026</v>
      </c>
      <c r="H9" s="412">
        <v>2500475</v>
      </c>
      <c r="I9" s="413">
        <v>1400475</v>
      </c>
      <c r="J9" s="349">
        <f>IF(D9="","",H9-I9)</f>
        <v>1100000</v>
      </c>
      <c r="K9" s="350">
        <v>-150000</v>
      </c>
      <c r="L9" s="350"/>
      <c r="M9" s="414">
        <f t="shared" ref="M9" si="10">H9+K9+L9</f>
        <v>2350475</v>
      </c>
      <c r="N9" s="415">
        <v>-50000</v>
      </c>
      <c r="O9" s="350"/>
      <c r="P9" s="416">
        <f t="shared" ref="P9:P11" si="11">H9+N9+O9</f>
        <v>2450475</v>
      </c>
      <c r="Q9" s="234" t="str">
        <f t="shared" si="5"/>
        <v>동의</v>
      </c>
      <c r="R9" s="212" t="s">
        <v>1078</v>
      </c>
      <c r="S9" s="223"/>
      <c r="T9" s="421"/>
      <c r="U9" s="421"/>
      <c r="V9" s="149" t="s">
        <v>490</v>
      </c>
      <c r="W9" s="201"/>
      <c r="X9" s="165" t="s">
        <v>490</v>
      </c>
      <c r="Y9" s="123">
        <f t="shared" si="6"/>
        <v>0</v>
      </c>
      <c r="Z9" s="123">
        <f t="shared" si="7"/>
        <v>-150000</v>
      </c>
      <c r="AA9" s="145" t="str">
        <f t="shared" si="2"/>
        <v>ok</v>
      </c>
      <c r="AB9" s="201"/>
      <c r="AC9" s="166" t="str">
        <f t="shared" si="8"/>
        <v>도비</v>
      </c>
      <c r="AD9" s="123">
        <f>IF($X9&lt;&gt;"도비",IF($V9="국도비","직접입력",SUM(N9:O9)),)</f>
        <v>0</v>
      </c>
      <c r="AE9" s="123">
        <f>IF($X9="도비",SUM(N9:O9),IF($V9="국도비","직접입력",SUM(N9:O9)-AD9))</f>
        <v>-50000</v>
      </c>
      <c r="AF9" s="145" t="str">
        <f>IFERROR(IF((N9+O9)=(AD9+AE9),"ok","검토"),"검토")</f>
        <v>ok</v>
      </c>
      <c r="AG9" s="201"/>
      <c r="AH9" s="167" t="s">
        <v>1021</v>
      </c>
      <c r="AI9" s="201"/>
      <c r="AJ9" s="163">
        <f t="shared" si="3"/>
        <v>65</v>
      </c>
      <c r="AK9" s="145" t="str">
        <f t="shared" si="4"/>
        <v>OK</v>
      </c>
      <c r="AL9" s="201"/>
      <c r="AM9" s="140"/>
      <c r="AN9" s="201"/>
      <c r="AO9" s="142"/>
      <c r="AP9" s="219">
        <f t="shared" si="9"/>
        <v>0</v>
      </c>
      <c r="AQ9" s="144"/>
    </row>
    <row r="10" spans="1:43" ht="60" customHeight="1">
      <c r="A10" s="417" t="s">
        <v>343</v>
      </c>
      <c r="B10" s="344" t="s">
        <v>547</v>
      </c>
      <c r="C10" s="364" t="s">
        <v>1116</v>
      </c>
      <c r="D10" s="363" t="s">
        <v>480</v>
      </c>
      <c r="E10" s="363">
        <v>253</v>
      </c>
      <c r="F10" s="363">
        <v>22</v>
      </c>
      <c r="G10" s="411" t="s">
        <v>1117</v>
      </c>
      <c r="H10" s="412">
        <v>158000</v>
      </c>
      <c r="I10" s="413">
        <v>128000</v>
      </c>
      <c r="J10" s="349">
        <f t="shared" ref="J10:J12" si="12">IF(D10="","",H10-I10)</f>
        <v>30000</v>
      </c>
      <c r="K10" s="350"/>
      <c r="L10" s="350"/>
      <c r="M10" s="414">
        <f t="shared" ref="M10:M12" si="13">H10+K10+L10</f>
        <v>158000</v>
      </c>
      <c r="N10" s="415"/>
      <c r="O10" s="350"/>
      <c r="P10" s="416">
        <f t="shared" si="11"/>
        <v>158000</v>
      </c>
      <c r="Q10" s="234" t="str">
        <f t="shared" si="5"/>
        <v/>
      </c>
      <c r="R10" s="211"/>
      <c r="S10" s="223"/>
      <c r="T10" s="421" t="s">
        <v>1312</v>
      </c>
      <c r="U10" s="421"/>
      <c r="V10" s="149" t="s">
        <v>1118</v>
      </c>
      <c r="W10" s="201"/>
      <c r="X10" s="165" t="s">
        <v>1118</v>
      </c>
      <c r="Y10" s="123">
        <f t="shared" si="6"/>
        <v>0</v>
      </c>
      <c r="Z10" s="123">
        <f t="shared" si="7"/>
        <v>0</v>
      </c>
      <c r="AA10" s="145" t="str">
        <f t="shared" si="2"/>
        <v>ok</v>
      </c>
      <c r="AB10" s="201"/>
      <c r="AC10" s="166" t="str">
        <f t="shared" ref="AC10:AC12" si="14">IF(X10="","",$X10)</f>
        <v>도비</v>
      </c>
      <c r="AD10" s="123">
        <f t="shared" ref="AD10:AD11" si="15">IF($X10&lt;&gt;"도비",IF($V10="국도비","직접입력",SUM(N10:O10)),)</f>
        <v>0</v>
      </c>
      <c r="AE10" s="123">
        <f t="shared" ref="AE10:AE11" si="16">IF($X10="도비",SUM(N10:O10),IF($V10="국도비","직접입력",SUM(N10:O10)-AD10))</f>
        <v>0</v>
      </c>
      <c r="AF10" s="145" t="str">
        <f t="shared" ref="AF10:AF11" si="17">IFERROR(IF((N10+O10)=(AD10+AE10),"ok","검토"),"검토")</f>
        <v>ok</v>
      </c>
      <c r="AG10" s="201"/>
      <c r="AH10" s="167" t="s">
        <v>604</v>
      </c>
      <c r="AI10" s="201"/>
      <c r="AJ10" s="163">
        <f t="shared" si="3"/>
        <v>65</v>
      </c>
      <c r="AK10" s="145" t="str">
        <f t="shared" ref="AK10:AK12" si="18">IF(C10="","",IF(AND(X10="도비",AH10="세입없음"),"OK",IF(AND(X10&lt;&gt;"도비",AH10&lt;&gt;""),"Ok","@@")))</f>
        <v>OK</v>
      </c>
      <c r="AL10" s="201"/>
      <c r="AM10" s="140"/>
      <c r="AN10" s="201"/>
      <c r="AO10" s="142"/>
      <c r="AP10" s="219">
        <f t="shared" si="9"/>
        <v>0</v>
      </c>
      <c r="AQ10" s="219"/>
    </row>
    <row r="11" spans="1:43" ht="60" customHeight="1">
      <c r="A11" s="344" t="s">
        <v>343</v>
      </c>
      <c r="B11" s="344" t="s">
        <v>547</v>
      </c>
      <c r="C11" s="364" t="s">
        <v>1116</v>
      </c>
      <c r="D11" s="363" t="s">
        <v>1178</v>
      </c>
      <c r="E11" s="363">
        <v>253</v>
      </c>
      <c r="F11" s="363">
        <v>15</v>
      </c>
      <c r="G11" s="411" t="s">
        <v>1179</v>
      </c>
      <c r="H11" s="412">
        <v>20000</v>
      </c>
      <c r="I11" s="413">
        <v>0</v>
      </c>
      <c r="J11" s="349">
        <f t="shared" si="12"/>
        <v>20000</v>
      </c>
      <c r="K11" s="350"/>
      <c r="L11" s="350"/>
      <c r="M11" s="414">
        <f t="shared" si="13"/>
        <v>20000</v>
      </c>
      <c r="N11" s="415"/>
      <c r="O11" s="350"/>
      <c r="P11" s="416">
        <f t="shared" si="11"/>
        <v>20000</v>
      </c>
      <c r="Q11" s="234" t="str">
        <f t="shared" si="5"/>
        <v/>
      </c>
      <c r="R11" s="211"/>
      <c r="S11" s="223"/>
      <c r="T11" s="421" t="s">
        <v>1180</v>
      </c>
      <c r="U11" s="421"/>
      <c r="V11" s="149" t="s">
        <v>1182</v>
      </c>
      <c r="W11" s="201"/>
      <c r="X11" s="165" t="s">
        <v>1182</v>
      </c>
      <c r="Y11" s="123">
        <f t="shared" si="6"/>
        <v>0</v>
      </c>
      <c r="Z11" s="123">
        <f t="shared" si="7"/>
        <v>0</v>
      </c>
      <c r="AA11" s="145" t="str">
        <f t="shared" si="2"/>
        <v>ok</v>
      </c>
      <c r="AB11" s="201"/>
      <c r="AC11" s="166" t="str">
        <f t="shared" si="14"/>
        <v>도비</v>
      </c>
      <c r="AD11" s="123">
        <f t="shared" si="15"/>
        <v>0</v>
      </c>
      <c r="AE11" s="123">
        <f t="shared" si="16"/>
        <v>0</v>
      </c>
      <c r="AF11" s="145" t="str">
        <f t="shared" si="17"/>
        <v>ok</v>
      </c>
      <c r="AG11" s="201"/>
      <c r="AH11" s="167" t="s">
        <v>1183</v>
      </c>
      <c r="AI11" s="201"/>
      <c r="AJ11" s="163">
        <f t="shared" si="3"/>
        <v>65</v>
      </c>
      <c r="AK11" s="145" t="str">
        <f t="shared" si="18"/>
        <v>OK</v>
      </c>
      <c r="AL11" s="201"/>
      <c r="AM11" s="140"/>
      <c r="AN11" s="201"/>
      <c r="AO11" s="142"/>
      <c r="AP11" s="219">
        <f t="shared" si="9"/>
        <v>0</v>
      </c>
      <c r="AQ11" s="219"/>
    </row>
    <row r="12" spans="1:43" s="219" customFormat="1" ht="60" hidden="1" customHeight="1">
      <c r="A12" s="146"/>
      <c r="B12" s="146"/>
      <c r="C12" s="148"/>
      <c r="D12" s="147"/>
      <c r="E12" s="147"/>
      <c r="F12" s="147"/>
      <c r="G12" s="241"/>
      <c r="H12" s="245"/>
      <c r="I12" s="243"/>
      <c r="J12" s="151" t="str">
        <f t="shared" si="12"/>
        <v/>
      </c>
      <c r="K12" s="123"/>
      <c r="L12" s="123"/>
      <c r="M12" s="229">
        <f t="shared" si="13"/>
        <v>0</v>
      </c>
      <c r="N12" s="236"/>
      <c r="O12" s="123"/>
      <c r="P12" s="237">
        <f t="shared" ref="P12" si="19">H12+N12+O12</f>
        <v>0</v>
      </c>
      <c r="Q12" s="234" t="str">
        <f t="shared" si="5"/>
        <v/>
      </c>
      <c r="R12" s="211"/>
      <c r="S12" s="223"/>
      <c r="T12" s="223"/>
      <c r="U12" s="419"/>
      <c r="V12" s="149"/>
      <c r="W12" s="201"/>
      <c r="X12" s="165"/>
      <c r="Y12" s="123">
        <f t="shared" si="6"/>
        <v>0</v>
      </c>
      <c r="Z12" s="123">
        <f t="shared" si="7"/>
        <v>0</v>
      </c>
      <c r="AA12" s="145" t="str">
        <f t="shared" si="2"/>
        <v>ok</v>
      </c>
      <c r="AB12" s="201"/>
      <c r="AC12" s="166" t="str">
        <f t="shared" si="14"/>
        <v/>
      </c>
      <c r="AD12" s="123">
        <f t="shared" ref="AD12" si="20">IF($X12&lt;&gt;"도비",IF($V12="국도비","직접입력",SUM(N12:O12)),)</f>
        <v>0</v>
      </c>
      <c r="AE12" s="123">
        <f t="shared" ref="AE12" si="21">IF($X12="도비",SUM(N12:O12),IF($V12="국도비","직접입력",SUM(N12:O12)-AD12))</f>
        <v>0</v>
      </c>
      <c r="AF12" s="145" t="str">
        <f t="shared" ref="AF12" si="22">IFERROR(IF((N12+O12)=(AD12+AE12),"ok","검토"),"검토")</f>
        <v>ok</v>
      </c>
      <c r="AG12" s="201"/>
      <c r="AH12" s="167"/>
      <c r="AI12" s="201"/>
      <c r="AJ12" s="163" t="str">
        <f t="shared" si="3"/>
        <v/>
      </c>
      <c r="AK12" s="145" t="str">
        <f t="shared" si="18"/>
        <v/>
      </c>
      <c r="AL12" s="201"/>
      <c r="AM12" s="140"/>
      <c r="AN12" s="201"/>
      <c r="AO12" s="142"/>
    </row>
    <row r="13" spans="1:43" ht="60" customHeight="1">
      <c r="A13" s="402" t="s">
        <v>455</v>
      </c>
      <c r="B13" s="403"/>
      <c r="C13" s="403"/>
      <c r="D13" s="403"/>
      <c r="E13" s="403"/>
      <c r="F13" s="403"/>
      <c r="G13" s="404"/>
      <c r="H13" s="405">
        <f t="shared" ref="H13:P13" si="23">SUM(H14:H21)</f>
        <v>97265832</v>
      </c>
      <c r="I13" s="406">
        <f t="shared" si="23"/>
        <v>55971170</v>
      </c>
      <c r="J13" s="407">
        <f t="shared" si="23"/>
        <v>41294662</v>
      </c>
      <c r="K13" s="407">
        <f t="shared" si="23"/>
        <v>-1073360</v>
      </c>
      <c r="L13" s="407">
        <f t="shared" si="23"/>
        <v>50000</v>
      </c>
      <c r="M13" s="408">
        <f t="shared" si="23"/>
        <v>96242472</v>
      </c>
      <c r="N13" s="409">
        <f t="shared" si="23"/>
        <v>-73360</v>
      </c>
      <c r="O13" s="407">
        <f t="shared" si="23"/>
        <v>21730772</v>
      </c>
      <c r="P13" s="410">
        <f t="shared" si="23"/>
        <v>118923244</v>
      </c>
      <c r="Q13" s="233"/>
      <c r="R13" s="216"/>
      <c r="S13" s="224"/>
      <c r="T13" s="419"/>
      <c r="U13" s="426"/>
      <c r="V13" s="203"/>
      <c r="W13" s="201"/>
      <c r="X13" s="205"/>
      <c r="Y13" s="160">
        <f>SUM(Y14:Y21)</f>
        <v>0</v>
      </c>
      <c r="Z13" s="160">
        <f>SUM(Z14:Z21)</f>
        <v>-1023360</v>
      </c>
      <c r="AA13" s="161" t="str">
        <f t="shared" si="2"/>
        <v>ok</v>
      </c>
      <c r="AB13" s="201"/>
      <c r="AC13" s="166" t="str">
        <f t="shared" si="8"/>
        <v/>
      </c>
      <c r="AD13" s="160">
        <f>SUM(AD14:AD21)</f>
        <v>0</v>
      </c>
      <c r="AE13" s="160">
        <f>SUM(AE14:AE21)</f>
        <v>21657412</v>
      </c>
      <c r="AF13" s="161" t="str">
        <f t="shared" ref="AF13:AF37" si="24">IFERROR(IF((N13+O13)=(AD13+AE13),"ok","검토"),"검토")</f>
        <v>ok</v>
      </c>
      <c r="AG13" s="201"/>
      <c r="AH13" s="206"/>
      <c r="AI13" s="201"/>
      <c r="AJ13" s="203" t="str">
        <f t="shared" si="3"/>
        <v/>
      </c>
      <c r="AK13" s="161" t="str">
        <f t="shared" si="4"/>
        <v/>
      </c>
      <c r="AL13" s="201"/>
      <c r="AM13" s="140"/>
      <c r="AN13" s="201"/>
      <c r="AO13" s="142"/>
      <c r="AP13" s="219">
        <f t="shared" ref="AP13:AP20" si="25">SUM(N13:O13)-SUM(AD13:AE13)</f>
        <v>0</v>
      </c>
      <c r="AQ13" s="144"/>
    </row>
    <row r="14" spans="1:43" ht="60" customHeight="1">
      <c r="A14" s="344" t="s">
        <v>477</v>
      </c>
      <c r="B14" s="422" t="s">
        <v>478</v>
      </c>
      <c r="C14" s="364" t="s">
        <v>479</v>
      </c>
      <c r="D14" s="363" t="s">
        <v>480</v>
      </c>
      <c r="E14" s="363">
        <v>292</v>
      </c>
      <c r="F14" s="363">
        <v>111</v>
      </c>
      <c r="G14" s="411" t="s">
        <v>481</v>
      </c>
      <c r="H14" s="412">
        <v>150000</v>
      </c>
      <c r="I14" s="413">
        <v>100000</v>
      </c>
      <c r="J14" s="349">
        <f t="shared" ref="J14:J21" si="26">IF(D14="","",H14-I14)</f>
        <v>50000</v>
      </c>
      <c r="K14" s="350">
        <v>-50000</v>
      </c>
      <c r="L14" s="350"/>
      <c r="M14" s="414">
        <f t="shared" ref="M14:M21" si="27">H14+K14+L14</f>
        <v>100000</v>
      </c>
      <c r="N14" s="415">
        <v>-50000</v>
      </c>
      <c r="O14" s="350"/>
      <c r="P14" s="416">
        <f t="shared" ref="P14:P42" si="28">H14+N14+O14</f>
        <v>100000</v>
      </c>
      <c r="Q14" s="234" t="str">
        <f t="shared" ref="Q14:Q21" si="29">IF(OR(AND(K14&lt;0,K14&lt;N14),AND(K14&lt;0,N14+O14=0),AND(K14&lt;0,O14&gt;0),AND(I14=0,M14=0,P14&gt;0)),"동의","")</f>
        <v/>
      </c>
      <c r="R14" s="214" t="s">
        <v>1099</v>
      </c>
      <c r="S14" s="223"/>
      <c r="T14" s="426"/>
      <c r="U14" s="426"/>
      <c r="V14" s="149" t="s">
        <v>490</v>
      </c>
      <c r="W14" s="201"/>
      <c r="X14" s="165" t="s">
        <v>490</v>
      </c>
      <c r="Y14" s="123">
        <f t="shared" ref="Y14:Y21" si="30">IF($X14&lt;&gt;"도비",IF($V14="국도비","직접입력",SUM($K14:$L14)),)</f>
        <v>0</v>
      </c>
      <c r="Z14" s="123">
        <f t="shared" ref="Z14:Z21" si="31">IF($X14="도비",SUM($K14:$L14),IF($V14="국도비","직접입력",SUM($K14:$L14)-$Y14))</f>
        <v>-50000</v>
      </c>
      <c r="AA14" s="145" t="str">
        <f t="shared" si="2"/>
        <v>ok</v>
      </c>
      <c r="AB14" s="201"/>
      <c r="AC14" s="166" t="str">
        <f t="shared" si="8"/>
        <v>도비</v>
      </c>
      <c r="AD14" s="123">
        <f t="shared" ref="AD14:AD18" si="32">IF($X14&lt;&gt;"도비",IF($V14="국도비","직접입력",SUM(N14:O14)),)</f>
        <v>0</v>
      </c>
      <c r="AE14" s="123">
        <f t="shared" ref="AE14:AE18" si="33">IF($X14="도비",SUM(N14:O14),IF($V14="국도비","직접입력",SUM(N14:O14)-AD14))</f>
        <v>-50000</v>
      </c>
      <c r="AF14" s="145" t="str">
        <f t="shared" si="24"/>
        <v>ok</v>
      </c>
      <c r="AG14" s="201"/>
      <c r="AH14" s="167" t="s">
        <v>1021</v>
      </c>
      <c r="AI14" s="201"/>
      <c r="AJ14" s="163">
        <f t="shared" si="3"/>
        <v>65</v>
      </c>
      <c r="AK14" s="145" t="str">
        <f t="shared" si="4"/>
        <v>OK</v>
      </c>
      <c r="AL14" s="201"/>
      <c r="AM14" s="140"/>
      <c r="AN14" s="201"/>
      <c r="AO14" s="142"/>
      <c r="AP14" s="219">
        <f t="shared" si="25"/>
        <v>0</v>
      </c>
      <c r="AQ14" s="144"/>
    </row>
    <row r="15" spans="1:43" ht="60" customHeight="1">
      <c r="A15" s="344" t="s">
        <v>477</v>
      </c>
      <c r="B15" s="422" t="s">
        <v>478</v>
      </c>
      <c r="C15" s="364" t="s">
        <v>479</v>
      </c>
      <c r="D15" s="363" t="s">
        <v>480</v>
      </c>
      <c r="E15" s="363">
        <v>292</v>
      </c>
      <c r="F15" s="363">
        <v>111</v>
      </c>
      <c r="G15" s="411" t="s">
        <v>482</v>
      </c>
      <c r="H15" s="412">
        <v>415000</v>
      </c>
      <c r="I15" s="413">
        <v>465000</v>
      </c>
      <c r="J15" s="349">
        <f t="shared" si="26"/>
        <v>-50000</v>
      </c>
      <c r="K15" s="350"/>
      <c r="L15" s="350">
        <v>50000</v>
      </c>
      <c r="M15" s="414">
        <f t="shared" si="27"/>
        <v>465000</v>
      </c>
      <c r="N15" s="415"/>
      <c r="O15" s="350">
        <v>50000</v>
      </c>
      <c r="P15" s="416">
        <f t="shared" si="28"/>
        <v>465000</v>
      </c>
      <c r="Q15" s="234" t="str">
        <f t="shared" si="29"/>
        <v/>
      </c>
      <c r="R15" s="214" t="s">
        <v>1099</v>
      </c>
      <c r="S15" s="223"/>
      <c r="T15" s="426"/>
      <c r="U15" s="421"/>
      <c r="V15" s="149" t="s">
        <v>490</v>
      </c>
      <c r="W15" s="201"/>
      <c r="X15" s="165" t="s">
        <v>490</v>
      </c>
      <c r="Y15" s="123">
        <f t="shared" si="30"/>
        <v>0</v>
      </c>
      <c r="Z15" s="123">
        <f t="shared" si="31"/>
        <v>50000</v>
      </c>
      <c r="AA15" s="145" t="str">
        <f t="shared" si="2"/>
        <v>ok</v>
      </c>
      <c r="AB15" s="201"/>
      <c r="AC15" s="166" t="str">
        <f t="shared" si="8"/>
        <v>도비</v>
      </c>
      <c r="AD15" s="123">
        <f t="shared" si="32"/>
        <v>0</v>
      </c>
      <c r="AE15" s="123">
        <f t="shared" si="33"/>
        <v>50000</v>
      </c>
      <c r="AF15" s="145" t="str">
        <f t="shared" si="24"/>
        <v>ok</v>
      </c>
      <c r="AG15" s="201"/>
      <c r="AH15" s="167" t="s">
        <v>1021</v>
      </c>
      <c r="AI15" s="201"/>
      <c r="AJ15" s="163">
        <f t="shared" si="3"/>
        <v>65</v>
      </c>
      <c r="AK15" s="145" t="str">
        <f t="shared" si="4"/>
        <v>OK</v>
      </c>
      <c r="AL15" s="201"/>
      <c r="AM15" s="140"/>
      <c r="AN15" s="201"/>
      <c r="AO15" s="142"/>
      <c r="AP15" s="219">
        <f t="shared" si="25"/>
        <v>0</v>
      </c>
    </row>
    <row r="16" spans="1:43" ht="60" customHeight="1">
      <c r="A16" s="344" t="s">
        <v>477</v>
      </c>
      <c r="B16" s="422" t="s">
        <v>483</v>
      </c>
      <c r="C16" s="423" t="s">
        <v>1166</v>
      </c>
      <c r="D16" s="347" t="s">
        <v>480</v>
      </c>
      <c r="E16" s="347">
        <v>304</v>
      </c>
      <c r="F16" s="347">
        <v>23</v>
      </c>
      <c r="G16" s="424" t="s">
        <v>485</v>
      </c>
      <c r="H16" s="412">
        <v>18000000</v>
      </c>
      <c r="I16" s="413">
        <v>0</v>
      </c>
      <c r="J16" s="349">
        <f t="shared" ref="J16" si="34">IF(D16="","",H16-I16)</f>
        <v>18000000</v>
      </c>
      <c r="K16" s="350">
        <v>-1000000</v>
      </c>
      <c r="L16" s="350"/>
      <c r="M16" s="414">
        <f t="shared" si="27"/>
        <v>17000000</v>
      </c>
      <c r="N16" s="415"/>
      <c r="O16" s="350"/>
      <c r="P16" s="416">
        <f t="shared" si="28"/>
        <v>18000000</v>
      </c>
      <c r="Q16" s="234" t="str">
        <f t="shared" si="29"/>
        <v>동의</v>
      </c>
      <c r="R16" s="214" t="s">
        <v>1100</v>
      </c>
      <c r="S16" s="223"/>
      <c r="T16" s="421"/>
      <c r="U16" s="426"/>
      <c r="V16" s="149" t="s">
        <v>490</v>
      </c>
      <c r="W16" s="201"/>
      <c r="X16" s="165" t="s">
        <v>490</v>
      </c>
      <c r="Y16" s="123">
        <f t="shared" si="30"/>
        <v>0</v>
      </c>
      <c r="Z16" s="123">
        <f t="shared" si="31"/>
        <v>-1000000</v>
      </c>
      <c r="AA16" s="145" t="str">
        <f t="shared" si="2"/>
        <v>ok</v>
      </c>
      <c r="AB16" s="201"/>
      <c r="AC16" s="166" t="str">
        <f t="shared" si="8"/>
        <v>도비</v>
      </c>
      <c r="AD16" s="123">
        <f t="shared" si="32"/>
        <v>0</v>
      </c>
      <c r="AE16" s="123">
        <f t="shared" si="33"/>
        <v>0</v>
      </c>
      <c r="AF16" s="145" t="str">
        <f t="shared" si="24"/>
        <v>ok</v>
      </c>
      <c r="AG16" s="201"/>
      <c r="AH16" s="167" t="s">
        <v>1021</v>
      </c>
      <c r="AI16" s="201"/>
      <c r="AJ16" s="163">
        <f t="shared" si="3"/>
        <v>65</v>
      </c>
      <c r="AK16" s="145" t="str">
        <f t="shared" si="4"/>
        <v>OK</v>
      </c>
      <c r="AL16" s="201"/>
      <c r="AM16" s="140"/>
      <c r="AN16" s="201"/>
      <c r="AO16" s="142"/>
      <c r="AP16" s="219">
        <f t="shared" si="25"/>
        <v>0</v>
      </c>
      <c r="AQ16" s="144"/>
    </row>
    <row r="17" spans="1:43" ht="60" customHeight="1">
      <c r="A17" s="344" t="s">
        <v>477</v>
      </c>
      <c r="B17" s="422" t="s">
        <v>483</v>
      </c>
      <c r="C17" s="348" t="s">
        <v>484</v>
      </c>
      <c r="D17" s="347" t="s">
        <v>480</v>
      </c>
      <c r="E17" s="347">
        <v>305</v>
      </c>
      <c r="F17" s="347">
        <v>38</v>
      </c>
      <c r="G17" s="424" t="s">
        <v>486</v>
      </c>
      <c r="H17" s="412">
        <v>20000</v>
      </c>
      <c r="I17" s="413">
        <v>0</v>
      </c>
      <c r="J17" s="349">
        <f t="shared" si="26"/>
        <v>20000</v>
      </c>
      <c r="K17" s="350">
        <v>-20000</v>
      </c>
      <c r="L17" s="350"/>
      <c r="M17" s="414">
        <f t="shared" si="27"/>
        <v>0</v>
      </c>
      <c r="N17" s="415">
        <v>-20000</v>
      </c>
      <c r="O17" s="350"/>
      <c r="P17" s="416">
        <f t="shared" si="28"/>
        <v>0</v>
      </c>
      <c r="Q17" s="234" t="str">
        <f t="shared" si="29"/>
        <v/>
      </c>
      <c r="R17" s="214" t="s">
        <v>1119</v>
      </c>
      <c r="S17" s="223"/>
      <c r="T17" s="426"/>
      <c r="U17" s="426"/>
      <c r="V17" s="149" t="s">
        <v>490</v>
      </c>
      <c r="W17" s="201"/>
      <c r="X17" s="165" t="s">
        <v>490</v>
      </c>
      <c r="Y17" s="123">
        <f t="shared" si="30"/>
        <v>0</v>
      </c>
      <c r="Z17" s="123">
        <f t="shared" si="31"/>
        <v>-20000</v>
      </c>
      <c r="AA17" s="145" t="str">
        <f t="shared" si="2"/>
        <v>ok</v>
      </c>
      <c r="AB17" s="201"/>
      <c r="AC17" s="166" t="str">
        <f t="shared" si="8"/>
        <v>도비</v>
      </c>
      <c r="AD17" s="123">
        <f t="shared" si="32"/>
        <v>0</v>
      </c>
      <c r="AE17" s="123">
        <f t="shared" si="33"/>
        <v>-20000</v>
      </c>
      <c r="AF17" s="145" t="str">
        <f t="shared" si="24"/>
        <v>ok</v>
      </c>
      <c r="AG17" s="201"/>
      <c r="AH17" s="167" t="s">
        <v>1021</v>
      </c>
      <c r="AI17" s="201"/>
      <c r="AJ17" s="163">
        <f t="shared" si="3"/>
        <v>65</v>
      </c>
      <c r="AK17" s="145" t="str">
        <f t="shared" si="4"/>
        <v>OK</v>
      </c>
      <c r="AL17" s="201"/>
      <c r="AM17" s="140"/>
      <c r="AN17" s="201"/>
      <c r="AO17" s="142"/>
      <c r="AP17" s="219">
        <f t="shared" si="25"/>
        <v>0</v>
      </c>
      <c r="AQ17" s="144"/>
    </row>
    <row r="18" spans="1:43" ht="60" customHeight="1">
      <c r="A18" s="344" t="s">
        <v>344</v>
      </c>
      <c r="B18" s="422" t="s">
        <v>487</v>
      </c>
      <c r="C18" s="364" t="s">
        <v>488</v>
      </c>
      <c r="D18" s="363" t="s">
        <v>480</v>
      </c>
      <c r="E18" s="363">
        <v>277</v>
      </c>
      <c r="F18" s="363">
        <v>29</v>
      </c>
      <c r="G18" s="425" t="s">
        <v>489</v>
      </c>
      <c r="H18" s="412">
        <v>20560</v>
      </c>
      <c r="I18" s="413">
        <v>17200</v>
      </c>
      <c r="J18" s="349">
        <f t="shared" si="26"/>
        <v>3360</v>
      </c>
      <c r="K18" s="350">
        <v>-3360</v>
      </c>
      <c r="L18" s="350"/>
      <c r="M18" s="414">
        <f t="shared" si="27"/>
        <v>17200</v>
      </c>
      <c r="N18" s="415">
        <v>-3360</v>
      </c>
      <c r="O18" s="350"/>
      <c r="P18" s="416">
        <f t="shared" si="28"/>
        <v>17200</v>
      </c>
      <c r="Q18" s="234" t="str">
        <f t="shared" si="29"/>
        <v/>
      </c>
      <c r="R18" s="214" t="s">
        <v>1101</v>
      </c>
      <c r="S18" s="223"/>
      <c r="T18" s="426"/>
      <c r="U18" s="421"/>
      <c r="V18" s="149" t="s">
        <v>490</v>
      </c>
      <c r="W18" s="201"/>
      <c r="X18" s="165" t="s">
        <v>490</v>
      </c>
      <c r="Y18" s="123">
        <f t="shared" si="30"/>
        <v>0</v>
      </c>
      <c r="Z18" s="123">
        <f t="shared" si="31"/>
        <v>-3360</v>
      </c>
      <c r="AA18" s="145" t="str">
        <f t="shared" si="2"/>
        <v>ok</v>
      </c>
      <c r="AB18" s="201"/>
      <c r="AC18" s="166" t="str">
        <f t="shared" si="8"/>
        <v>도비</v>
      </c>
      <c r="AD18" s="123">
        <f t="shared" si="32"/>
        <v>0</v>
      </c>
      <c r="AE18" s="123">
        <f t="shared" si="33"/>
        <v>-3360</v>
      </c>
      <c r="AF18" s="145" t="str">
        <f t="shared" si="24"/>
        <v>ok</v>
      </c>
      <c r="AG18" s="201"/>
      <c r="AH18" s="167" t="s">
        <v>1021</v>
      </c>
      <c r="AI18" s="201"/>
      <c r="AJ18" s="163">
        <f t="shared" si="3"/>
        <v>65</v>
      </c>
      <c r="AK18" s="145" t="str">
        <f t="shared" si="4"/>
        <v>OK</v>
      </c>
      <c r="AL18" s="201"/>
      <c r="AM18" s="140"/>
      <c r="AN18" s="201"/>
      <c r="AO18" s="142"/>
      <c r="AP18" s="219">
        <f t="shared" si="25"/>
        <v>0</v>
      </c>
      <c r="AQ18" s="144"/>
    </row>
    <row r="19" spans="1:43" ht="60" customHeight="1">
      <c r="A19" s="344" t="s">
        <v>344</v>
      </c>
      <c r="B19" s="344" t="s">
        <v>478</v>
      </c>
      <c r="C19" s="364" t="s">
        <v>1129</v>
      </c>
      <c r="D19" s="363" t="s">
        <v>1277</v>
      </c>
      <c r="E19" s="363"/>
      <c r="F19" s="363"/>
      <c r="G19" s="411" t="s">
        <v>1278</v>
      </c>
      <c r="H19" s="412">
        <v>0</v>
      </c>
      <c r="I19" s="413">
        <v>0</v>
      </c>
      <c r="J19" s="349">
        <f t="shared" si="26"/>
        <v>0</v>
      </c>
      <c r="K19" s="350"/>
      <c r="L19" s="350"/>
      <c r="M19" s="414">
        <f t="shared" si="27"/>
        <v>0</v>
      </c>
      <c r="N19" s="415"/>
      <c r="O19" s="350">
        <v>18800000</v>
      </c>
      <c r="P19" s="416">
        <f t="shared" si="28"/>
        <v>18800000</v>
      </c>
      <c r="Q19" s="234" t="str">
        <f t="shared" si="29"/>
        <v>동의</v>
      </c>
      <c r="R19" s="211"/>
      <c r="S19" s="223"/>
      <c r="T19" s="421" t="s">
        <v>1309</v>
      </c>
      <c r="U19" s="421"/>
      <c r="V19" s="149" t="s">
        <v>1293</v>
      </c>
      <c r="W19" s="201"/>
      <c r="X19" s="165" t="s">
        <v>1293</v>
      </c>
      <c r="Y19" s="123">
        <f t="shared" si="30"/>
        <v>0</v>
      </c>
      <c r="Z19" s="123">
        <f t="shared" si="31"/>
        <v>0</v>
      </c>
      <c r="AA19" s="145" t="str">
        <f t="shared" si="2"/>
        <v>ok</v>
      </c>
      <c r="AB19" s="201"/>
      <c r="AC19" s="166" t="str">
        <f t="shared" ref="AC19:AC21" si="35">IF(X19="","",$X19)</f>
        <v>도비</v>
      </c>
      <c r="AD19" s="123">
        <f t="shared" ref="AD19:AD21" si="36">IF($X19&lt;&gt;"도비",IF($V19="국도비","직접입력",SUM(N19:O19)),)</f>
        <v>0</v>
      </c>
      <c r="AE19" s="123">
        <f t="shared" ref="AE19:AE21" si="37">IF($X19="도비",SUM(N19:O19),IF($V19="국도비","직접입력",SUM(N19:O19)-AD19))</f>
        <v>18800000</v>
      </c>
      <c r="AF19" s="145" t="str">
        <f t="shared" ref="AF19:AF21" si="38">IFERROR(IF((N19+O19)=(AD19+AE19),"ok","검토"),"검토")</f>
        <v>ok</v>
      </c>
      <c r="AG19" s="201"/>
      <c r="AH19" s="167" t="s">
        <v>1021</v>
      </c>
      <c r="AI19" s="201"/>
      <c r="AJ19" s="163">
        <f t="shared" si="3"/>
        <v>65</v>
      </c>
      <c r="AK19" s="145" t="str">
        <f t="shared" si="4"/>
        <v>OK</v>
      </c>
      <c r="AL19" s="201"/>
      <c r="AM19" s="140"/>
      <c r="AN19" s="201"/>
      <c r="AO19" s="142"/>
      <c r="AP19" s="219">
        <f t="shared" si="25"/>
        <v>0</v>
      </c>
      <c r="AQ19" s="219"/>
    </row>
    <row r="20" spans="1:43" ht="60" customHeight="1">
      <c r="A20" s="344" t="s">
        <v>18</v>
      </c>
      <c r="B20" s="344" t="s">
        <v>102</v>
      </c>
      <c r="C20" s="364" t="s">
        <v>129</v>
      </c>
      <c r="D20" s="363" t="s">
        <v>480</v>
      </c>
      <c r="E20" s="363">
        <v>288</v>
      </c>
      <c r="F20" s="363"/>
      <c r="G20" s="411" t="s">
        <v>1300</v>
      </c>
      <c r="H20" s="412">
        <v>78660272</v>
      </c>
      <c r="I20" s="413">
        <v>55388970</v>
      </c>
      <c r="J20" s="349">
        <f t="shared" si="26"/>
        <v>23271302</v>
      </c>
      <c r="K20" s="350"/>
      <c r="L20" s="350"/>
      <c r="M20" s="414">
        <f t="shared" si="27"/>
        <v>78660272</v>
      </c>
      <c r="N20" s="415"/>
      <c r="O20" s="350">
        <v>2880772</v>
      </c>
      <c r="P20" s="416">
        <f t="shared" si="28"/>
        <v>81541044</v>
      </c>
      <c r="Q20" s="234" t="str">
        <f t="shared" si="29"/>
        <v/>
      </c>
      <c r="R20" s="211"/>
      <c r="S20" s="223"/>
      <c r="T20" s="421"/>
      <c r="U20" s="419"/>
      <c r="V20" s="149" t="s">
        <v>1308</v>
      </c>
      <c r="W20" s="201"/>
      <c r="X20" s="165" t="s">
        <v>1308</v>
      </c>
      <c r="Y20" s="123">
        <f t="shared" si="30"/>
        <v>0</v>
      </c>
      <c r="Z20" s="123">
        <f t="shared" si="31"/>
        <v>0</v>
      </c>
      <c r="AA20" s="145" t="str">
        <f t="shared" si="2"/>
        <v>ok</v>
      </c>
      <c r="AB20" s="201"/>
      <c r="AC20" s="166" t="str">
        <f t="shared" si="35"/>
        <v>도비</v>
      </c>
      <c r="AD20" s="123">
        <f t="shared" si="36"/>
        <v>0</v>
      </c>
      <c r="AE20" s="123">
        <f t="shared" si="37"/>
        <v>2880772</v>
      </c>
      <c r="AF20" s="145" t="str">
        <f t="shared" si="38"/>
        <v>ok</v>
      </c>
      <c r="AG20" s="201"/>
      <c r="AH20" s="167"/>
      <c r="AI20" s="201"/>
      <c r="AJ20" s="163" t="str">
        <f t="shared" si="3"/>
        <v/>
      </c>
      <c r="AK20" s="145" t="str">
        <f t="shared" si="4"/>
        <v>@@</v>
      </c>
      <c r="AL20" s="201"/>
      <c r="AM20" s="140"/>
      <c r="AN20" s="201"/>
      <c r="AO20" s="142"/>
      <c r="AP20" s="219">
        <f t="shared" si="25"/>
        <v>0</v>
      </c>
      <c r="AQ20" s="219"/>
    </row>
    <row r="21" spans="1:43" s="219" customFormat="1" ht="60" hidden="1" customHeight="1">
      <c r="A21" s="146"/>
      <c r="B21" s="146"/>
      <c r="C21" s="148"/>
      <c r="D21" s="147"/>
      <c r="E21" s="147"/>
      <c r="F21" s="147"/>
      <c r="G21" s="241"/>
      <c r="H21" s="245"/>
      <c r="I21" s="243"/>
      <c r="J21" s="151" t="str">
        <f t="shared" si="26"/>
        <v/>
      </c>
      <c r="K21" s="123"/>
      <c r="L21" s="123"/>
      <c r="M21" s="229">
        <f t="shared" si="27"/>
        <v>0</v>
      </c>
      <c r="N21" s="236"/>
      <c r="O21" s="123"/>
      <c r="P21" s="237">
        <f t="shared" si="28"/>
        <v>0</v>
      </c>
      <c r="Q21" s="234" t="str">
        <f t="shared" si="29"/>
        <v/>
      </c>
      <c r="R21" s="211"/>
      <c r="S21" s="223"/>
      <c r="T21" s="223"/>
      <c r="U21" s="421"/>
      <c r="V21" s="149"/>
      <c r="W21" s="201"/>
      <c r="X21" s="165"/>
      <c r="Y21" s="123">
        <f t="shared" si="30"/>
        <v>0</v>
      </c>
      <c r="Z21" s="123">
        <f t="shared" si="31"/>
        <v>0</v>
      </c>
      <c r="AA21" s="145" t="str">
        <f t="shared" si="2"/>
        <v>ok</v>
      </c>
      <c r="AB21" s="201"/>
      <c r="AC21" s="166" t="str">
        <f t="shared" si="35"/>
        <v/>
      </c>
      <c r="AD21" s="123">
        <f t="shared" si="36"/>
        <v>0</v>
      </c>
      <c r="AE21" s="123">
        <f t="shared" si="37"/>
        <v>0</v>
      </c>
      <c r="AF21" s="145" t="str">
        <f t="shared" si="38"/>
        <v>ok</v>
      </c>
      <c r="AG21" s="201"/>
      <c r="AH21" s="167"/>
      <c r="AI21" s="201"/>
      <c r="AJ21" s="163" t="str">
        <f t="shared" si="3"/>
        <v/>
      </c>
      <c r="AK21" s="145" t="str">
        <f t="shared" ref="AK21" si="39">IF(C21="","",IF(AND(X21="도비",AH21="세입없음"),"OK",IF(AND(X21&lt;&gt;"도비",AH21&lt;&gt;""),"Ok","@@")))</f>
        <v/>
      </c>
      <c r="AL21" s="201"/>
      <c r="AM21" s="140"/>
      <c r="AN21" s="201"/>
      <c r="AO21" s="142"/>
    </row>
    <row r="22" spans="1:43" ht="60" customHeight="1">
      <c r="A22" s="427" t="s">
        <v>449</v>
      </c>
      <c r="B22" s="403"/>
      <c r="C22" s="428"/>
      <c r="D22" s="403"/>
      <c r="E22" s="403"/>
      <c r="F22" s="428"/>
      <c r="G22" s="404"/>
      <c r="H22" s="405">
        <f t="shared" ref="H22:P22" si="40">SUM(H23:H31)</f>
        <v>11690000</v>
      </c>
      <c r="I22" s="406">
        <f t="shared" si="40"/>
        <v>5590000</v>
      </c>
      <c r="J22" s="407">
        <f t="shared" si="40"/>
        <v>6100000</v>
      </c>
      <c r="K22" s="407">
        <f t="shared" si="40"/>
        <v>0</v>
      </c>
      <c r="L22" s="407">
        <f t="shared" si="40"/>
        <v>0</v>
      </c>
      <c r="M22" s="408">
        <f t="shared" si="40"/>
        <v>11690000</v>
      </c>
      <c r="N22" s="409">
        <f t="shared" si="40"/>
        <v>-4000000</v>
      </c>
      <c r="O22" s="407">
        <f t="shared" si="40"/>
        <v>2650000</v>
      </c>
      <c r="P22" s="410">
        <f t="shared" si="40"/>
        <v>10340000</v>
      </c>
      <c r="Q22" s="232"/>
      <c r="R22" s="216"/>
      <c r="S22" s="224"/>
      <c r="T22" s="419"/>
      <c r="U22" s="421"/>
      <c r="V22" s="204"/>
      <c r="W22" s="201"/>
      <c r="X22" s="205"/>
      <c r="Y22" s="160">
        <f>SUM(Y23:Y31)</f>
        <v>0</v>
      </c>
      <c r="Z22" s="160">
        <f>SUM(Z23:Z31)</f>
        <v>0</v>
      </c>
      <c r="AA22" s="161" t="str">
        <f t="shared" si="2"/>
        <v>ok</v>
      </c>
      <c r="AB22" s="201"/>
      <c r="AC22" s="166" t="str">
        <f t="shared" si="8"/>
        <v/>
      </c>
      <c r="AD22" s="160">
        <f>SUM(AD23:AD31)</f>
        <v>0</v>
      </c>
      <c r="AE22" s="160">
        <f>SUM(AE23:AE31)</f>
        <v>-1350000</v>
      </c>
      <c r="AF22" s="161" t="str">
        <f t="shared" si="24"/>
        <v>ok</v>
      </c>
      <c r="AG22" s="201"/>
      <c r="AH22" s="206"/>
      <c r="AI22" s="201"/>
      <c r="AJ22" s="203" t="str">
        <f t="shared" si="3"/>
        <v/>
      </c>
      <c r="AK22" s="161" t="str">
        <f t="shared" si="4"/>
        <v/>
      </c>
      <c r="AL22" s="201"/>
      <c r="AM22" s="140"/>
      <c r="AN22" s="201"/>
      <c r="AO22" s="142"/>
      <c r="AP22" s="219">
        <f t="shared" ref="AP22:AP29" si="41">SUM(N22:O22)-SUM(AD22:AE22)</f>
        <v>0</v>
      </c>
      <c r="AQ22" s="144"/>
    </row>
    <row r="23" spans="1:43" ht="60" customHeight="1">
      <c r="A23" s="417" t="s">
        <v>345</v>
      </c>
      <c r="B23" s="344" t="s">
        <v>1120</v>
      </c>
      <c r="C23" s="364" t="s">
        <v>1121</v>
      </c>
      <c r="D23" s="347" t="s">
        <v>480</v>
      </c>
      <c r="E23" s="363">
        <v>331</v>
      </c>
      <c r="F23" s="363">
        <v>55</v>
      </c>
      <c r="G23" s="411" t="s">
        <v>1122</v>
      </c>
      <c r="H23" s="412">
        <v>500000</v>
      </c>
      <c r="I23" s="413">
        <v>400000</v>
      </c>
      <c r="J23" s="349">
        <f t="shared" ref="J23:J128" si="42">IF(D23="","",H23-I23)</f>
        <v>100000</v>
      </c>
      <c r="K23" s="350"/>
      <c r="L23" s="350"/>
      <c r="M23" s="414">
        <f t="shared" ref="M23:M31" si="43">H23+K23+L23</f>
        <v>500000</v>
      </c>
      <c r="N23" s="415"/>
      <c r="O23" s="350"/>
      <c r="P23" s="416">
        <f t="shared" si="28"/>
        <v>500000</v>
      </c>
      <c r="Q23" s="234" t="str">
        <f t="shared" ref="Q23:Q31" si="44">IF(OR(AND(K23&lt;0,K23&lt;N23),AND(K23&lt;0,N23+O23=0),AND(K23&lt;0,O23&gt;0),AND(I23=0,M23=0,P23&gt;0)),"동의","")</f>
        <v/>
      </c>
      <c r="R23" s="211"/>
      <c r="S23" s="223"/>
      <c r="T23" s="421"/>
      <c r="U23" s="429"/>
      <c r="V23" s="149" t="s">
        <v>1118</v>
      </c>
      <c r="W23" s="201"/>
      <c r="X23" s="165" t="s">
        <v>1118</v>
      </c>
      <c r="Y23" s="123">
        <f t="shared" ref="Y23:Y31" si="45">IF($X23&lt;&gt;"도비",IF($V23="국도비","직접입력",SUM($K23:$L23)),)</f>
        <v>0</v>
      </c>
      <c r="Z23" s="123">
        <f t="shared" ref="Z23:Z31" si="46">IF($X23="도비",SUM($K23:$L23),IF($V23="국도비","직접입력",SUM($K23:$L23)-$Y23))</f>
        <v>0</v>
      </c>
      <c r="AA23" s="145" t="str">
        <f t="shared" si="2"/>
        <v>ok</v>
      </c>
      <c r="AB23" s="201"/>
      <c r="AC23" s="166" t="str">
        <f t="shared" si="8"/>
        <v>도비</v>
      </c>
      <c r="AD23" s="123">
        <f t="shared" ref="AD23:AD31" si="47">IF($X23&lt;&gt;"도비",IF($V23="국도비","직접입력",SUM(N23:O23)),)</f>
        <v>0</v>
      </c>
      <c r="AE23" s="123">
        <f t="shared" ref="AE23:AE31" si="48">IF($X23="도비",SUM(N23:O23),IF($V23="국도비","직접입력",SUM(N23:O23)-AD23))</f>
        <v>0</v>
      </c>
      <c r="AF23" s="145" t="str">
        <f t="shared" si="24"/>
        <v>ok</v>
      </c>
      <c r="AG23" s="201"/>
      <c r="AH23" s="167" t="s">
        <v>1297</v>
      </c>
      <c r="AI23" s="201"/>
      <c r="AJ23" s="163">
        <f t="shared" si="3"/>
        <v>65</v>
      </c>
      <c r="AK23" s="145" t="str">
        <f t="shared" si="4"/>
        <v>OK</v>
      </c>
      <c r="AL23" s="201"/>
      <c r="AM23" s="140"/>
      <c r="AN23" s="201"/>
      <c r="AO23" s="142"/>
      <c r="AP23" s="219">
        <f t="shared" si="41"/>
        <v>0</v>
      </c>
      <c r="AQ23" s="144"/>
    </row>
    <row r="24" spans="1:43" ht="60" customHeight="1">
      <c r="A24" s="417" t="s">
        <v>345</v>
      </c>
      <c r="B24" s="344" t="s">
        <v>1120</v>
      </c>
      <c r="C24" s="364" t="s">
        <v>1123</v>
      </c>
      <c r="D24" s="347" t="s">
        <v>480</v>
      </c>
      <c r="E24" s="363">
        <v>343</v>
      </c>
      <c r="F24" s="363"/>
      <c r="G24" s="411" t="s">
        <v>1124</v>
      </c>
      <c r="H24" s="412">
        <v>3140000</v>
      </c>
      <c r="I24" s="413">
        <v>2340000</v>
      </c>
      <c r="J24" s="349">
        <f t="shared" si="42"/>
        <v>800000</v>
      </c>
      <c r="K24" s="350"/>
      <c r="L24" s="350"/>
      <c r="M24" s="414">
        <f t="shared" si="43"/>
        <v>3140000</v>
      </c>
      <c r="N24" s="415"/>
      <c r="O24" s="350"/>
      <c r="P24" s="416">
        <f t="shared" si="28"/>
        <v>3140000</v>
      </c>
      <c r="Q24" s="234" t="str">
        <f t="shared" si="44"/>
        <v/>
      </c>
      <c r="R24" s="211"/>
      <c r="S24" s="223"/>
      <c r="T24" s="421"/>
      <c r="U24" s="429"/>
      <c r="V24" s="149" t="s">
        <v>1118</v>
      </c>
      <c r="W24" s="201"/>
      <c r="X24" s="165" t="s">
        <v>1118</v>
      </c>
      <c r="Y24" s="123">
        <f t="shared" si="45"/>
        <v>0</v>
      </c>
      <c r="Z24" s="123">
        <f t="shared" si="46"/>
        <v>0</v>
      </c>
      <c r="AA24" s="145" t="str">
        <f t="shared" si="2"/>
        <v>ok</v>
      </c>
      <c r="AB24" s="201"/>
      <c r="AC24" s="166" t="str">
        <f t="shared" si="8"/>
        <v>도비</v>
      </c>
      <c r="AD24" s="123">
        <f t="shared" si="47"/>
        <v>0</v>
      </c>
      <c r="AE24" s="123">
        <f t="shared" si="48"/>
        <v>0</v>
      </c>
      <c r="AF24" s="145" t="str">
        <f t="shared" ref="AF24:AF30" si="49">IFERROR(IF((N24+O24)=(AD24+AE24),"ok","검토"),"검토")</f>
        <v>ok</v>
      </c>
      <c r="AG24" s="201"/>
      <c r="AH24" s="167" t="s">
        <v>1297</v>
      </c>
      <c r="AI24" s="201"/>
      <c r="AJ24" s="163">
        <f t="shared" si="3"/>
        <v>65</v>
      </c>
      <c r="AK24" s="145" t="str">
        <f t="shared" ref="AK24:AK30" si="50">IF(C24="","",IF(AND(X24="도비",AH24="세입없음"),"OK",IF(AND(X24&lt;&gt;"도비",AH24&lt;&gt;""),"Ok","@@")))</f>
        <v>OK</v>
      </c>
      <c r="AL24" s="201"/>
      <c r="AM24" s="140"/>
      <c r="AN24" s="201"/>
      <c r="AO24" s="142"/>
      <c r="AP24" s="219">
        <f t="shared" si="41"/>
        <v>0</v>
      </c>
      <c r="AQ24" s="219"/>
    </row>
    <row r="25" spans="1:43" ht="60" customHeight="1">
      <c r="A25" s="417" t="s">
        <v>345</v>
      </c>
      <c r="B25" s="344" t="s">
        <v>1120</v>
      </c>
      <c r="C25" s="364" t="s">
        <v>1125</v>
      </c>
      <c r="D25" s="347" t="s">
        <v>480</v>
      </c>
      <c r="E25" s="363">
        <v>336</v>
      </c>
      <c r="F25" s="363"/>
      <c r="G25" s="411" t="s">
        <v>1126</v>
      </c>
      <c r="H25" s="412">
        <v>1200000</v>
      </c>
      <c r="I25" s="413">
        <v>0</v>
      </c>
      <c r="J25" s="349">
        <f t="shared" si="42"/>
        <v>1200000</v>
      </c>
      <c r="K25" s="350"/>
      <c r="L25" s="350"/>
      <c r="M25" s="414">
        <f t="shared" si="43"/>
        <v>1200000</v>
      </c>
      <c r="N25" s="415"/>
      <c r="O25" s="350">
        <v>300000</v>
      </c>
      <c r="P25" s="416">
        <f t="shared" si="28"/>
        <v>1500000</v>
      </c>
      <c r="Q25" s="234" t="str">
        <f t="shared" si="44"/>
        <v/>
      </c>
      <c r="R25" s="211"/>
      <c r="S25" s="223"/>
      <c r="T25" s="429"/>
      <c r="U25" s="421"/>
      <c r="V25" s="149" t="s">
        <v>1118</v>
      </c>
      <c r="W25" s="201"/>
      <c r="X25" s="165" t="s">
        <v>1118</v>
      </c>
      <c r="Y25" s="123">
        <f t="shared" si="45"/>
        <v>0</v>
      </c>
      <c r="Z25" s="123">
        <f t="shared" si="46"/>
        <v>0</v>
      </c>
      <c r="AA25" s="145" t="str">
        <f t="shared" si="2"/>
        <v>ok</v>
      </c>
      <c r="AB25" s="201"/>
      <c r="AC25" s="166" t="str">
        <f t="shared" ref="AC25:AC30" si="51">IF(X25="","",$X25)</f>
        <v>도비</v>
      </c>
      <c r="AD25" s="123">
        <f t="shared" si="47"/>
        <v>0</v>
      </c>
      <c r="AE25" s="123">
        <f t="shared" si="48"/>
        <v>300000</v>
      </c>
      <c r="AF25" s="145" t="str">
        <f t="shared" si="49"/>
        <v>ok</v>
      </c>
      <c r="AG25" s="201"/>
      <c r="AH25" s="167" t="s">
        <v>1297</v>
      </c>
      <c r="AI25" s="201"/>
      <c r="AJ25" s="163">
        <f t="shared" si="3"/>
        <v>65</v>
      </c>
      <c r="AK25" s="145" t="str">
        <f t="shared" si="50"/>
        <v>OK</v>
      </c>
      <c r="AL25" s="201"/>
      <c r="AM25" s="140"/>
      <c r="AN25" s="201"/>
      <c r="AO25" s="142"/>
      <c r="AP25" s="219">
        <f t="shared" si="41"/>
        <v>0</v>
      </c>
      <c r="AQ25" s="219"/>
    </row>
    <row r="26" spans="1:43" ht="60" customHeight="1">
      <c r="A26" s="417" t="s">
        <v>345</v>
      </c>
      <c r="B26" s="344" t="s">
        <v>1120</v>
      </c>
      <c r="C26" s="364" t="s">
        <v>1125</v>
      </c>
      <c r="D26" s="347" t="s">
        <v>480</v>
      </c>
      <c r="E26" s="363">
        <v>336</v>
      </c>
      <c r="F26" s="363"/>
      <c r="G26" s="411" t="s">
        <v>1127</v>
      </c>
      <c r="H26" s="412">
        <v>4550000</v>
      </c>
      <c r="I26" s="413">
        <v>550000</v>
      </c>
      <c r="J26" s="349">
        <f t="shared" si="42"/>
        <v>4000000</v>
      </c>
      <c r="K26" s="350"/>
      <c r="L26" s="350"/>
      <c r="M26" s="414">
        <f t="shared" si="43"/>
        <v>4550000</v>
      </c>
      <c r="N26" s="415">
        <v>-4000000</v>
      </c>
      <c r="O26" s="350"/>
      <c r="P26" s="416">
        <f t="shared" si="28"/>
        <v>550000</v>
      </c>
      <c r="Q26" s="234" t="str">
        <f t="shared" si="44"/>
        <v/>
      </c>
      <c r="R26" s="211"/>
      <c r="S26" s="223"/>
      <c r="T26" s="429"/>
      <c r="U26" s="421"/>
      <c r="V26" s="149" t="s">
        <v>1118</v>
      </c>
      <c r="W26" s="201"/>
      <c r="X26" s="165" t="s">
        <v>1118</v>
      </c>
      <c r="Y26" s="123">
        <f t="shared" si="45"/>
        <v>0</v>
      </c>
      <c r="Z26" s="123">
        <f t="shared" si="46"/>
        <v>0</v>
      </c>
      <c r="AA26" s="145" t="str">
        <f t="shared" si="2"/>
        <v>ok</v>
      </c>
      <c r="AB26" s="201"/>
      <c r="AC26" s="166" t="str">
        <f t="shared" si="51"/>
        <v>도비</v>
      </c>
      <c r="AD26" s="123">
        <f t="shared" si="47"/>
        <v>0</v>
      </c>
      <c r="AE26" s="123">
        <f t="shared" si="48"/>
        <v>-4000000</v>
      </c>
      <c r="AF26" s="145" t="str">
        <f t="shared" si="49"/>
        <v>ok</v>
      </c>
      <c r="AG26" s="201"/>
      <c r="AH26" s="167" t="s">
        <v>1297</v>
      </c>
      <c r="AI26" s="201"/>
      <c r="AJ26" s="163">
        <f t="shared" si="3"/>
        <v>65</v>
      </c>
      <c r="AK26" s="145" t="str">
        <f t="shared" si="50"/>
        <v>OK</v>
      </c>
      <c r="AL26" s="201"/>
      <c r="AM26" s="140"/>
      <c r="AN26" s="201"/>
      <c r="AO26" s="142"/>
      <c r="AP26" s="219">
        <f t="shared" si="41"/>
        <v>0</v>
      </c>
      <c r="AQ26" s="219"/>
    </row>
    <row r="27" spans="1:43" ht="60" customHeight="1">
      <c r="A27" s="417" t="s">
        <v>345</v>
      </c>
      <c r="B27" s="344" t="s">
        <v>1120</v>
      </c>
      <c r="C27" s="364" t="s">
        <v>1121</v>
      </c>
      <c r="D27" s="363" t="s">
        <v>1296</v>
      </c>
      <c r="E27" s="363">
        <v>639</v>
      </c>
      <c r="F27" s="363"/>
      <c r="G27" s="411" t="s">
        <v>1315</v>
      </c>
      <c r="H27" s="412">
        <v>1800000</v>
      </c>
      <c r="I27" s="413">
        <v>1800000</v>
      </c>
      <c r="J27" s="349">
        <f t="shared" si="42"/>
        <v>0</v>
      </c>
      <c r="K27" s="350"/>
      <c r="L27" s="350"/>
      <c r="M27" s="414">
        <f t="shared" si="43"/>
        <v>1800000</v>
      </c>
      <c r="N27" s="415"/>
      <c r="O27" s="350">
        <v>750000</v>
      </c>
      <c r="P27" s="416">
        <f t="shared" si="28"/>
        <v>2550000</v>
      </c>
      <c r="Q27" s="234" t="str">
        <f t="shared" si="44"/>
        <v/>
      </c>
      <c r="R27" s="211"/>
      <c r="S27" s="223"/>
      <c r="T27" s="421"/>
      <c r="U27" s="421" t="s">
        <v>1327</v>
      </c>
      <c r="V27" s="149" t="s">
        <v>1293</v>
      </c>
      <c r="W27" s="201"/>
      <c r="X27" s="165" t="s">
        <v>1293</v>
      </c>
      <c r="Y27" s="123">
        <f t="shared" si="45"/>
        <v>0</v>
      </c>
      <c r="Z27" s="123">
        <f t="shared" si="46"/>
        <v>0</v>
      </c>
      <c r="AA27" s="145" t="str">
        <f t="shared" si="2"/>
        <v>ok</v>
      </c>
      <c r="AB27" s="201"/>
      <c r="AC27" s="166" t="str">
        <f t="shared" si="51"/>
        <v>도비</v>
      </c>
      <c r="AD27" s="123">
        <f t="shared" si="47"/>
        <v>0</v>
      </c>
      <c r="AE27" s="123">
        <f t="shared" si="48"/>
        <v>750000</v>
      </c>
      <c r="AF27" s="145" t="str">
        <f t="shared" si="49"/>
        <v>ok</v>
      </c>
      <c r="AG27" s="201"/>
      <c r="AH27" s="167" t="s">
        <v>1297</v>
      </c>
      <c r="AI27" s="201"/>
      <c r="AJ27" s="163">
        <f t="shared" si="3"/>
        <v>65</v>
      </c>
      <c r="AK27" s="145" t="str">
        <f t="shared" si="50"/>
        <v>OK</v>
      </c>
      <c r="AL27" s="201"/>
      <c r="AM27" s="140"/>
      <c r="AN27" s="201"/>
      <c r="AO27" s="142"/>
      <c r="AP27" s="219">
        <f t="shared" si="41"/>
        <v>0</v>
      </c>
      <c r="AQ27" s="219"/>
    </row>
    <row r="28" spans="1:43" ht="60" customHeight="1">
      <c r="A28" s="417" t="s">
        <v>345</v>
      </c>
      <c r="B28" s="344" t="s">
        <v>1120</v>
      </c>
      <c r="C28" s="364" t="s">
        <v>1294</v>
      </c>
      <c r="D28" s="363" t="s">
        <v>1277</v>
      </c>
      <c r="E28" s="363"/>
      <c r="F28" s="363"/>
      <c r="G28" s="411" t="s">
        <v>1298</v>
      </c>
      <c r="H28" s="412">
        <v>0</v>
      </c>
      <c r="I28" s="413">
        <v>0</v>
      </c>
      <c r="J28" s="349">
        <f t="shared" ref="J28" si="52">IF(D28="","",H28-I28)</f>
        <v>0</v>
      </c>
      <c r="K28" s="350"/>
      <c r="L28" s="350"/>
      <c r="M28" s="414">
        <f t="shared" ref="M28" si="53">H28+K28+L28</f>
        <v>0</v>
      </c>
      <c r="N28" s="415"/>
      <c r="O28" s="350">
        <v>1100000</v>
      </c>
      <c r="P28" s="416">
        <f t="shared" ref="P28" si="54">H28+N28+O28</f>
        <v>1100000</v>
      </c>
      <c r="Q28" s="234" t="str">
        <f t="shared" ref="Q28" si="55">IF(OR(AND(K28&lt;0,K28&lt;N28),AND(K28&lt;0,N28+O28=0),AND(K28&lt;0,O28&gt;0),AND(I28=0,M28=0,P28&gt;0)),"동의","")</f>
        <v>동의</v>
      </c>
      <c r="R28" s="211"/>
      <c r="S28" s="223"/>
      <c r="T28" s="421"/>
      <c r="U28" s="419"/>
      <c r="V28" s="149" t="s">
        <v>1293</v>
      </c>
      <c r="W28" s="201"/>
      <c r="X28" s="165" t="s">
        <v>1293</v>
      </c>
      <c r="Y28" s="123">
        <f t="shared" si="45"/>
        <v>0</v>
      </c>
      <c r="Z28" s="123">
        <f t="shared" si="46"/>
        <v>0</v>
      </c>
      <c r="AA28" s="145" t="str">
        <f t="shared" si="2"/>
        <v>ok</v>
      </c>
      <c r="AB28" s="201"/>
      <c r="AC28" s="166" t="str">
        <f t="shared" ref="AC28" si="56">IF(X28="","",$X28)</f>
        <v>도비</v>
      </c>
      <c r="AD28" s="123">
        <f t="shared" ref="AD28" si="57">IF($X28&lt;&gt;"도비",IF($V28="국도비","직접입력",SUM(N28:O28)),)</f>
        <v>0</v>
      </c>
      <c r="AE28" s="123">
        <f t="shared" ref="AE28" si="58">IF($X28="도비",SUM(N28:O28),IF($V28="국도비","직접입력",SUM(N28:O28)-AD28))</f>
        <v>1100000</v>
      </c>
      <c r="AF28" s="145" t="str">
        <f t="shared" ref="AF28" si="59">IFERROR(IF((N28+O28)=(AD28+AE28),"ok","검토"),"검토")</f>
        <v>ok</v>
      </c>
      <c r="AG28" s="201"/>
      <c r="AH28" s="167" t="s">
        <v>1297</v>
      </c>
      <c r="AI28" s="201"/>
      <c r="AJ28" s="163">
        <f t="shared" si="3"/>
        <v>65</v>
      </c>
      <c r="AK28" s="145" t="str">
        <f t="shared" ref="AK28" si="60">IF(C28="","",IF(AND(X28="도비",AH28="세입없음"),"OK",IF(AND(X28&lt;&gt;"도비",AH28&lt;&gt;""),"Ok","@@")))</f>
        <v>OK</v>
      </c>
      <c r="AL28" s="201"/>
      <c r="AM28" s="140"/>
      <c r="AN28" s="201"/>
      <c r="AO28" s="142"/>
      <c r="AP28" s="219">
        <f t="shared" si="41"/>
        <v>0</v>
      </c>
      <c r="AQ28" s="219"/>
    </row>
    <row r="29" spans="1:43" ht="60" customHeight="1">
      <c r="A29" s="417" t="s">
        <v>345</v>
      </c>
      <c r="B29" s="344" t="s">
        <v>1120</v>
      </c>
      <c r="C29" s="364" t="s">
        <v>1295</v>
      </c>
      <c r="D29" s="363" t="s">
        <v>1296</v>
      </c>
      <c r="E29" s="363">
        <v>673</v>
      </c>
      <c r="F29" s="363"/>
      <c r="G29" s="411" t="s">
        <v>1299</v>
      </c>
      <c r="H29" s="412">
        <v>500000</v>
      </c>
      <c r="I29" s="413">
        <v>500000</v>
      </c>
      <c r="J29" s="349">
        <f t="shared" ref="J29" si="61">IF(D29="","",H29-I29)</f>
        <v>0</v>
      </c>
      <c r="K29" s="350"/>
      <c r="L29" s="350"/>
      <c r="M29" s="414">
        <f t="shared" ref="M29" si="62">H29+K29+L29</f>
        <v>500000</v>
      </c>
      <c r="N29" s="415"/>
      <c r="O29" s="350">
        <v>500000</v>
      </c>
      <c r="P29" s="416">
        <f t="shared" ref="P29" si="63">H29+N29+O29</f>
        <v>1000000</v>
      </c>
      <c r="Q29" s="234" t="str">
        <f t="shared" ref="Q29" si="64">IF(OR(AND(K29&lt;0,K29&lt;N29),AND(K29&lt;0,N29+O29=0),AND(K29&lt;0,O29&gt;0),AND(I29=0,M29=0,P29&gt;0)),"동의","")</f>
        <v/>
      </c>
      <c r="R29" s="211"/>
      <c r="S29" s="223"/>
      <c r="T29" s="421"/>
      <c r="U29" s="420"/>
      <c r="V29" s="149" t="s">
        <v>357</v>
      </c>
      <c r="W29" s="201"/>
      <c r="X29" s="165" t="s">
        <v>1293</v>
      </c>
      <c r="Y29" s="123">
        <f t="shared" si="45"/>
        <v>0</v>
      </c>
      <c r="Z29" s="123">
        <f t="shared" si="46"/>
        <v>0</v>
      </c>
      <c r="AA29" s="145" t="str">
        <f t="shared" si="2"/>
        <v>ok</v>
      </c>
      <c r="AB29" s="201"/>
      <c r="AC29" s="166" t="str">
        <f t="shared" ref="AC29" si="65">IF(X29="","",$X29)</f>
        <v>도비</v>
      </c>
      <c r="AD29" s="123">
        <f t="shared" ref="AD29" si="66">IF($X29&lt;&gt;"도비",IF($V29="국도비","직접입력",SUM(N29:O29)),)</f>
        <v>0</v>
      </c>
      <c r="AE29" s="123">
        <f t="shared" ref="AE29" si="67">IF($X29="도비",SUM(N29:O29),IF($V29="국도비","직접입력",SUM(N29:O29)-AD29))</f>
        <v>500000</v>
      </c>
      <c r="AF29" s="145" t="str">
        <f t="shared" ref="AF29" si="68">IFERROR(IF((N29+O29)=(AD29+AE29),"ok","검토"),"검토")</f>
        <v>ok</v>
      </c>
      <c r="AG29" s="201"/>
      <c r="AH29" s="167" t="s">
        <v>1297</v>
      </c>
      <c r="AI29" s="201"/>
      <c r="AJ29" s="163">
        <f t="shared" si="3"/>
        <v>65</v>
      </c>
      <c r="AK29" s="145" t="str">
        <f t="shared" ref="AK29" si="69">IF(C29="","",IF(AND(X29="도비",AH29="세입없음"),"OK",IF(AND(X29&lt;&gt;"도비",AH29&lt;&gt;""),"Ok","@@")))</f>
        <v>OK</v>
      </c>
      <c r="AL29" s="201"/>
      <c r="AM29" s="140"/>
      <c r="AN29" s="201"/>
      <c r="AO29" s="142"/>
      <c r="AP29" s="219">
        <f t="shared" si="41"/>
        <v>0</v>
      </c>
      <c r="AQ29" s="219"/>
    </row>
    <row r="30" spans="1:43" s="219" customFormat="1" ht="60" hidden="1" customHeight="1">
      <c r="A30" s="146"/>
      <c r="B30" s="146"/>
      <c r="C30" s="148"/>
      <c r="D30" s="147"/>
      <c r="E30" s="147"/>
      <c r="F30" s="147"/>
      <c r="G30" s="241"/>
      <c r="H30" s="245"/>
      <c r="I30" s="243"/>
      <c r="J30" s="151" t="str">
        <f t="shared" si="42"/>
        <v/>
      </c>
      <c r="K30" s="123"/>
      <c r="L30" s="123"/>
      <c r="M30" s="229">
        <f t="shared" si="43"/>
        <v>0</v>
      </c>
      <c r="N30" s="236"/>
      <c r="O30" s="123"/>
      <c r="P30" s="237">
        <f t="shared" si="28"/>
        <v>0</v>
      </c>
      <c r="Q30" s="234" t="str">
        <f t="shared" si="44"/>
        <v/>
      </c>
      <c r="R30" s="211"/>
      <c r="S30" s="223"/>
      <c r="T30" s="223"/>
      <c r="U30" s="420"/>
      <c r="V30" s="149"/>
      <c r="W30" s="201"/>
      <c r="X30" s="165"/>
      <c r="Y30" s="123">
        <f t="shared" si="45"/>
        <v>0</v>
      </c>
      <c r="Z30" s="123">
        <f t="shared" si="46"/>
        <v>0</v>
      </c>
      <c r="AA30" s="145" t="str">
        <f t="shared" si="2"/>
        <v>ok</v>
      </c>
      <c r="AB30" s="201"/>
      <c r="AC30" s="166" t="str">
        <f t="shared" si="51"/>
        <v/>
      </c>
      <c r="AD30" s="123">
        <f t="shared" si="47"/>
        <v>0</v>
      </c>
      <c r="AE30" s="123">
        <f t="shared" si="48"/>
        <v>0</v>
      </c>
      <c r="AF30" s="145" t="str">
        <f t="shared" si="49"/>
        <v>ok</v>
      </c>
      <c r="AG30" s="201"/>
      <c r="AH30" s="167"/>
      <c r="AI30" s="201"/>
      <c r="AJ30" s="163" t="str">
        <f t="shared" si="3"/>
        <v/>
      </c>
      <c r="AK30" s="145" t="str">
        <f t="shared" si="50"/>
        <v/>
      </c>
      <c r="AL30" s="201"/>
      <c r="AM30" s="140"/>
      <c r="AN30" s="201"/>
      <c r="AO30" s="142"/>
    </row>
    <row r="31" spans="1:43" s="144" customFormat="1" ht="60" hidden="1" customHeight="1">
      <c r="A31" s="146"/>
      <c r="B31" s="146"/>
      <c r="C31" s="148"/>
      <c r="D31" s="147"/>
      <c r="E31" s="147"/>
      <c r="F31" s="147"/>
      <c r="G31" s="241"/>
      <c r="H31" s="245"/>
      <c r="I31" s="243"/>
      <c r="J31" s="151" t="str">
        <f t="shared" si="42"/>
        <v/>
      </c>
      <c r="K31" s="123"/>
      <c r="L31" s="123"/>
      <c r="M31" s="229">
        <f t="shared" si="43"/>
        <v>0</v>
      </c>
      <c r="N31" s="236"/>
      <c r="O31" s="123"/>
      <c r="P31" s="237">
        <f t="shared" si="28"/>
        <v>0</v>
      </c>
      <c r="Q31" s="234" t="str">
        <f t="shared" si="44"/>
        <v/>
      </c>
      <c r="R31" s="211"/>
      <c r="S31" s="223"/>
      <c r="T31" s="223"/>
      <c r="U31" s="421" t="s">
        <v>1181</v>
      </c>
      <c r="V31" s="149"/>
      <c r="W31" s="201"/>
      <c r="X31" s="165"/>
      <c r="Y31" s="123">
        <f t="shared" si="45"/>
        <v>0</v>
      </c>
      <c r="Z31" s="123">
        <f t="shared" si="46"/>
        <v>0</v>
      </c>
      <c r="AA31" s="145" t="str">
        <f t="shared" si="2"/>
        <v>ok</v>
      </c>
      <c r="AB31" s="201"/>
      <c r="AC31" s="166" t="str">
        <f t="shared" si="8"/>
        <v/>
      </c>
      <c r="AD31" s="123">
        <f t="shared" si="47"/>
        <v>0</v>
      </c>
      <c r="AE31" s="123">
        <f t="shared" si="48"/>
        <v>0</v>
      </c>
      <c r="AF31" s="145" t="str">
        <f t="shared" si="24"/>
        <v>ok</v>
      </c>
      <c r="AG31" s="201"/>
      <c r="AH31" s="167"/>
      <c r="AI31" s="201"/>
      <c r="AJ31" s="163" t="str">
        <f t="shared" si="3"/>
        <v/>
      </c>
      <c r="AK31" s="145" t="str">
        <f t="shared" si="4"/>
        <v/>
      </c>
      <c r="AL31" s="201"/>
      <c r="AM31" s="140"/>
      <c r="AN31" s="201"/>
      <c r="AO31" s="142"/>
    </row>
    <row r="32" spans="1:43" ht="60" customHeight="1">
      <c r="A32" s="427" t="s">
        <v>450</v>
      </c>
      <c r="B32" s="403"/>
      <c r="C32" s="428"/>
      <c r="D32" s="403"/>
      <c r="E32" s="403"/>
      <c r="F32" s="428"/>
      <c r="G32" s="404"/>
      <c r="H32" s="405">
        <f t="shared" ref="H32:P32" si="70">SUM(H33:H42)</f>
        <v>2795160</v>
      </c>
      <c r="I32" s="406">
        <f t="shared" si="70"/>
        <v>1800000</v>
      </c>
      <c r="J32" s="407">
        <f t="shared" si="70"/>
        <v>995160</v>
      </c>
      <c r="K32" s="407">
        <f t="shared" si="70"/>
        <v>-250000</v>
      </c>
      <c r="L32" s="407">
        <f t="shared" si="70"/>
        <v>821843</v>
      </c>
      <c r="M32" s="408">
        <f t="shared" si="70"/>
        <v>3367003</v>
      </c>
      <c r="N32" s="409">
        <f t="shared" si="70"/>
        <v>-250000</v>
      </c>
      <c r="O32" s="407">
        <f t="shared" si="70"/>
        <v>901843</v>
      </c>
      <c r="P32" s="410">
        <f t="shared" si="70"/>
        <v>3447003</v>
      </c>
      <c r="Q32" s="232"/>
      <c r="R32" s="216"/>
      <c r="S32" s="224"/>
      <c r="T32" s="419"/>
      <c r="U32" s="420"/>
      <c r="V32" s="204"/>
      <c r="W32" s="201"/>
      <c r="X32" s="205"/>
      <c r="Y32" s="160">
        <f>SUM(Y33:Y42)</f>
        <v>77000</v>
      </c>
      <c r="Z32" s="160">
        <f>SUM(Z33:Z42)</f>
        <v>494843</v>
      </c>
      <c r="AA32" s="161" t="str">
        <f t="shared" si="2"/>
        <v>ok</v>
      </c>
      <c r="AB32" s="201"/>
      <c r="AC32" s="166" t="str">
        <f t="shared" si="8"/>
        <v/>
      </c>
      <c r="AD32" s="160">
        <f>SUM(AD33:AD42)</f>
        <v>77000</v>
      </c>
      <c r="AE32" s="160">
        <f>SUM(AE33:AE42)</f>
        <v>574843</v>
      </c>
      <c r="AF32" s="161" t="str">
        <f t="shared" si="24"/>
        <v>ok</v>
      </c>
      <c r="AG32" s="201"/>
      <c r="AH32" s="206"/>
      <c r="AI32" s="201"/>
      <c r="AJ32" s="203" t="str">
        <f t="shared" si="3"/>
        <v/>
      </c>
      <c r="AK32" s="161" t="str">
        <f t="shared" si="4"/>
        <v/>
      </c>
      <c r="AL32" s="201"/>
      <c r="AM32" s="140"/>
      <c r="AN32" s="201"/>
      <c r="AO32" s="142"/>
      <c r="AP32" s="219">
        <f t="shared" ref="AP32:AP40" si="71">SUM(N32:O32)-SUM(AD32:AE32)</f>
        <v>0</v>
      </c>
      <c r="AQ32" s="144"/>
    </row>
    <row r="33" spans="1:43" ht="60" customHeight="1">
      <c r="A33" s="344" t="s">
        <v>503</v>
      </c>
      <c r="B33" s="430" t="s">
        <v>504</v>
      </c>
      <c r="C33" s="348" t="s">
        <v>505</v>
      </c>
      <c r="D33" s="347" t="s">
        <v>499</v>
      </c>
      <c r="E33" s="347"/>
      <c r="F33" s="347"/>
      <c r="G33" s="431" t="s">
        <v>1068</v>
      </c>
      <c r="H33" s="412">
        <v>0</v>
      </c>
      <c r="I33" s="413">
        <v>0</v>
      </c>
      <c r="J33" s="349">
        <f t="shared" si="42"/>
        <v>0</v>
      </c>
      <c r="K33" s="350"/>
      <c r="L33" s="350">
        <v>494843</v>
      </c>
      <c r="M33" s="414">
        <f t="shared" ref="M33:M42" si="72">H33+K33+L33</f>
        <v>494843</v>
      </c>
      <c r="N33" s="415"/>
      <c r="O33" s="350">
        <v>494843</v>
      </c>
      <c r="P33" s="416">
        <f t="shared" si="28"/>
        <v>494843</v>
      </c>
      <c r="Q33" s="234" t="str">
        <f t="shared" ref="Q33:Q42" si="73">IF(OR(AND(K33&lt;0,K33&lt;N33),AND(K33&lt;0,N33+O33=0),AND(K33&lt;0,O33&gt;0),AND(I33=0,M33=0,P33&gt;0)),"동의","")</f>
        <v/>
      </c>
      <c r="R33" s="211" t="s">
        <v>1102</v>
      </c>
      <c r="S33" s="223"/>
      <c r="T33" s="420"/>
      <c r="U33" s="420"/>
      <c r="V33" s="149" t="s">
        <v>490</v>
      </c>
      <c r="W33" s="201"/>
      <c r="X33" s="165" t="s">
        <v>490</v>
      </c>
      <c r="Y33" s="123">
        <f>IF($X33&lt;&gt;"도비",IF($V33="국도비","직접입력",SUM($K33:$L33)),)</f>
        <v>0</v>
      </c>
      <c r="Z33" s="123">
        <f>IF($X33="도비",SUM($K33:$L33),IF($V33="국도비","직접입력",SUM($K33:$L33)-$Y33))</f>
        <v>494843</v>
      </c>
      <c r="AA33" s="145" t="str">
        <f t="shared" si="2"/>
        <v>ok</v>
      </c>
      <c r="AB33" s="201"/>
      <c r="AC33" s="166" t="str">
        <f t="shared" si="8"/>
        <v>도비</v>
      </c>
      <c r="AD33" s="123">
        <f>IF($X33&lt;&gt;"도비",IF($V33="국도비","직접입력",SUM(N33:O33)),)</f>
        <v>0</v>
      </c>
      <c r="AE33" s="123">
        <f>IF($X33="도비",SUM(N33:O33),IF($V33="국도비","직접입력",SUM(N33:O33)-AD33))</f>
        <v>494843</v>
      </c>
      <c r="AF33" s="145" t="str">
        <f t="shared" si="24"/>
        <v>ok</v>
      </c>
      <c r="AG33" s="201"/>
      <c r="AH33" s="167" t="s">
        <v>1021</v>
      </c>
      <c r="AI33" s="201"/>
      <c r="AJ33" s="163">
        <f t="shared" si="3"/>
        <v>65</v>
      </c>
      <c r="AK33" s="145" t="str">
        <f t="shared" si="4"/>
        <v>OK</v>
      </c>
      <c r="AL33" s="201"/>
      <c r="AM33" s="140"/>
      <c r="AN33" s="201"/>
      <c r="AO33" s="142"/>
      <c r="AP33" s="219">
        <f t="shared" si="71"/>
        <v>0</v>
      </c>
      <c r="AQ33" s="144"/>
    </row>
    <row r="34" spans="1:43" ht="60" customHeight="1">
      <c r="A34" s="344" t="s">
        <v>506</v>
      </c>
      <c r="B34" s="430" t="s">
        <v>597</v>
      </c>
      <c r="C34" s="348" t="s">
        <v>507</v>
      </c>
      <c r="D34" s="347" t="s">
        <v>499</v>
      </c>
      <c r="E34" s="347"/>
      <c r="F34" s="347"/>
      <c r="G34" s="431" t="s">
        <v>1036</v>
      </c>
      <c r="H34" s="412">
        <v>0</v>
      </c>
      <c r="I34" s="413">
        <v>0</v>
      </c>
      <c r="J34" s="349">
        <f t="shared" si="42"/>
        <v>0</v>
      </c>
      <c r="K34" s="350"/>
      <c r="L34" s="350">
        <v>77000</v>
      </c>
      <c r="M34" s="414">
        <f t="shared" si="72"/>
        <v>77000</v>
      </c>
      <c r="N34" s="415"/>
      <c r="O34" s="350">
        <v>77000</v>
      </c>
      <c r="P34" s="416">
        <f t="shared" si="28"/>
        <v>77000</v>
      </c>
      <c r="Q34" s="234" t="str">
        <f t="shared" si="73"/>
        <v/>
      </c>
      <c r="R34" s="211" t="s">
        <v>1086</v>
      </c>
      <c r="S34" s="223"/>
      <c r="T34" s="420"/>
      <c r="U34" s="421"/>
      <c r="V34" s="149" t="s">
        <v>508</v>
      </c>
      <c r="W34" s="201"/>
      <c r="X34" s="165" t="s">
        <v>1016</v>
      </c>
      <c r="Y34" s="123">
        <v>77000</v>
      </c>
      <c r="Z34" s="123">
        <v>0</v>
      </c>
      <c r="AA34" s="145" t="str">
        <f t="shared" si="2"/>
        <v>ok</v>
      </c>
      <c r="AB34" s="201"/>
      <c r="AC34" s="166" t="str">
        <f t="shared" si="8"/>
        <v>특교</v>
      </c>
      <c r="AD34" s="123">
        <v>77000</v>
      </c>
      <c r="AE34" s="123">
        <v>0</v>
      </c>
      <c r="AF34" s="145" t="str">
        <f t="shared" si="24"/>
        <v>ok</v>
      </c>
      <c r="AG34" s="201"/>
      <c r="AH34" s="167" t="s">
        <v>1027</v>
      </c>
      <c r="AI34" s="201"/>
      <c r="AJ34" s="163">
        <f t="shared" si="3"/>
        <v>1</v>
      </c>
      <c r="AK34" s="145" t="str">
        <f t="shared" si="4"/>
        <v>Ok</v>
      </c>
      <c r="AL34" s="201"/>
      <c r="AM34" s="140"/>
      <c r="AN34" s="201"/>
      <c r="AO34" s="142"/>
      <c r="AP34" s="219">
        <f t="shared" si="71"/>
        <v>0</v>
      </c>
      <c r="AQ34" s="144"/>
    </row>
    <row r="35" spans="1:43" ht="60" customHeight="1">
      <c r="A35" s="344" t="s">
        <v>509</v>
      </c>
      <c r="B35" s="430" t="s">
        <v>597</v>
      </c>
      <c r="C35" s="348" t="s">
        <v>510</v>
      </c>
      <c r="D35" s="347" t="s">
        <v>480</v>
      </c>
      <c r="E35" s="347">
        <v>389</v>
      </c>
      <c r="F35" s="347">
        <v>56</v>
      </c>
      <c r="G35" s="431" t="s">
        <v>1028</v>
      </c>
      <c r="H35" s="412">
        <v>2765160</v>
      </c>
      <c r="I35" s="413">
        <v>1800000</v>
      </c>
      <c r="J35" s="349">
        <f t="shared" si="42"/>
        <v>965160</v>
      </c>
      <c r="K35" s="350">
        <v>-250000</v>
      </c>
      <c r="L35" s="350"/>
      <c r="M35" s="414">
        <f t="shared" si="72"/>
        <v>2515160</v>
      </c>
      <c r="N35" s="415">
        <v>-250000</v>
      </c>
      <c r="O35" s="350"/>
      <c r="P35" s="416">
        <f t="shared" si="28"/>
        <v>2515160</v>
      </c>
      <c r="Q35" s="234" t="str">
        <f t="shared" si="73"/>
        <v/>
      </c>
      <c r="R35" s="211"/>
      <c r="S35" s="223"/>
      <c r="T35" s="421" t="s">
        <v>1181</v>
      </c>
      <c r="U35" s="421"/>
      <c r="V35" s="149" t="s">
        <v>490</v>
      </c>
      <c r="W35" s="201"/>
      <c r="X35" s="165" t="s">
        <v>490</v>
      </c>
      <c r="Y35" s="123">
        <f t="shared" ref="Y35:Y42" si="74">IF($X35&lt;&gt;"도비",IF($V35="국도비","직접입력",SUM($K35:$L35)),)</f>
        <v>0</v>
      </c>
      <c r="Z35" s="123">
        <f t="shared" ref="Z35:Z42" si="75">IF($X35="도비",SUM($K35:$L35),IF($V35="국도비","직접입력",SUM($K35:$L35)-$Y35))</f>
        <v>-250000</v>
      </c>
      <c r="AA35" s="145" t="str">
        <f t="shared" si="2"/>
        <v>ok</v>
      </c>
      <c r="AB35" s="201"/>
      <c r="AC35" s="166" t="str">
        <f t="shared" si="8"/>
        <v>도비</v>
      </c>
      <c r="AD35" s="123">
        <f>IF($X35&lt;&gt;"도비",IF($V35="국도비","직접입력",SUM(N35:O35)),)</f>
        <v>0</v>
      </c>
      <c r="AE35" s="123">
        <f>IF($X35="도비",SUM(N35:O35),IF($V35="국도비","직접입력",SUM(N35:O35)-AD35))</f>
        <v>-250000</v>
      </c>
      <c r="AF35" s="145" t="str">
        <f t="shared" si="24"/>
        <v>ok</v>
      </c>
      <c r="AG35" s="201"/>
      <c r="AH35" s="167" t="s">
        <v>1021</v>
      </c>
      <c r="AI35" s="201"/>
      <c r="AJ35" s="163">
        <f t="shared" si="3"/>
        <v>65</v>
      </c>
      <c r="AK35" s="145" t="str">
        <f t="shared" si="4"/>
        <v>OK</v>
      </c>
      <c r="AL35" s="201"/>
      <c r="AM35" s="140"/>
      <c r="AN35" s="201"/>
      <c r="AO35" s="142"/>
      <c r="AP35" s="219">
        <f t="shared" si="71"/>
        <v>0</v>
      </c>
      <c r="AQ35" s="144"/>
    </row>
    <row r="36" spans="1:43" ht="60" customHeight="1">
      <c r="A36" s="344" t="s">
        <v>509</v>
      </c>
      <c r="B36" s="430" t="s">
        <v>597</v>
      </c>
      <c r="C36" s="348" t="s">
        <v>511</v>
      </c>
      <c r="D36" s="347" t="s">
        <v>499</v>
      </c>
      <c r="E36" s="347"/>
      <c r="F36" s="347"/>
      <c r="G36" s="431" t="s">
        <v>1037</v>
      </c>
      <c r="H36" s="412">
        <v>0</v>
      </c>
      <c r="I36" s="413">
        <v>0</v>
      </c>
      <c r="J36" s="349">
        <f t="shared" si="42"/>
        <v>0</v>
      </c>
      <c r="K36" s="350"/>
      <c r="L36" s="350">
        <v>150000</v>
      </c>
      <c r="M36" s="414">
        <f t="shared" si="72"/>
        <v>150000</v>
      </c>
      <c r="N36" s="415"/>
      <c r="O36" s="350">
        <v>150000</v>
      </c>
      <c r="P36" s="416">
        <f t="shared" si="28"/>
        <v>150000</v>
      </c>
      <c r="Q36" s="234" t="str">
        <f t="shared" si="73"/>
        <v/>
      </c>
      <c r="R36" s="211" t="s">
        <v>1087</v>
      </c>
      <c r="S36" s="223"/>
      <c r="T36" s="420"/>
      <c r="U36" s="421"/>
      <c r="V36" s="149" t="s">
        <v>490</v>
      </c>
      <c r="W36" s="201"/>
      <c r="X36" s="165" t="s">
        <v>490</v>
      </c>
      <c r="Y36" s="123">
        <f t="shared" si="74"/>
        <v>0</v>
      </c>
      <c r="Z36" s="123">
        <f t="shared" si="75"/>
        <v>150000</v>
      </c>
      <c r="AA36" s="145" t="str">
        <f t="shared" si="2"/>
        <v>ok</v>
      </c>
      <c r="AB36" s="201"/>
      <c r="AC36" s="166" t="str">
        <f t="shared" si="8"/>
        <v>도비</v>
      </c>
      <c r="AD36" s="123">
        <f>IF($X36&lt;&gt;"도비",IF($V36="국도비","직접입력",SUM(N36:O36)),)</f>
        <v>0</v>
      </c>
      <c r="AE36" s="123">
        <f>IF($X36="도비",SUM(N36:O36),IF($V36="국도비","직접입력",SUM(N36:O36)-AD36))</f>
        <v>150000</v>
      </c>
      <c r="AF36" s="145" t="str">
        <f t="shared" si="24"/>
        <v>ok</v>
      </c>
      <c r="AG36" s="201"/>
      <c r="AH36" s="167" t="s">
        <v>1021</v>
      </c>
      <c r="AI36" s="201"/>
      <c r="AJ36" s="163">
        <f t="shared" si="3"/>
        <v>65</v>
      </c>
      <c r="AK36" s="145" t="str">
        <f t="shared" si="4"/>
        <v>OK</v>
      </c>
      <c r="AL36" s="201"/>
      <c r="AM36" s="140"/>
      <c r="AN36" s="201"/>
      <c r="AO36" s="142"/>
      <c r="AP36" s="219">
        <f t="shared" si="71"/>
        <v>0</v>
      </c>
      <c r="AQ36" s="144"/>
    </row>
    <row r="37" spans="1:43" ht="60" customHeight="1">
      <c r="A37" s="344" t="s">
        <v>509</v>
      </c>
      <c r="B37" s="430" t="s">
        <v>597</v>
      </c>
      <c r="C37" s="348" t="s">
        <v>512</v>
      </c>
      <c r="D37" s="347" t="s">
        <v>499</v>
      </c>
      <c r="E37" s="347"/>
      <c r="F37" s="347"/>
      <c r="G37" s="431" t="s">
        <v>1038</v>
      </c>
      <c r="H37" s="412">
        <v>0</v>
      </c>
      <c r="I37" s="413">
        <v>0</v>
      </c>
      <c r="J37" s="349">
        <f t="shared" si="42"/>
        <v>0</v>
      </c>
      <c r="K37" s="350"/>
      <c r="L37" s="350">
        <v>100000</v>
      </c>
      <c r="M37" s="414">
        <f t="shared" si="72"/>
        <v>100000</v>
      </c>
      <c r="N37" s="415"/>
      <c r="O37" s="350">
        <v>100000</v>
      </c>
      <c r="P37" s="416">
        <f t="shared" si="28"/>
        <v>100000</v>
      </c>
      <c r="Q37" s="234" t="str">
        <f t="shared" si="73"/>
        <v/>
      </c>
      <c r="R37" s="211" t="s">
        <v>1088</v>
      </c>
      <c r="S37" s="223"/>
      <c r="T37" s="420"/>
      <c r="U37" s="419"/>
      <c r="V37" s="149" t="s">
        <v>490</v>
      </c>
      <c r="W37" s="201"/>
      <c r="X37" s="165" t="s">
        <v>490</v>
      </c>
      <c r="Y37" s="123">
        <f t="shared" si="74"/>
        <v>0</v>
      </c>
      <c r="Z37" s="123">
        <f t="shared" si="75"/>
        <v>100000</v>
      </c>
      <c r="AA37" s="145" t="str">
        <f t="shared" si="2"/>
        <v>ok</v>
      </c>
      <c r="AB37" s="201"/>
      <c r="AC37" s="166" t="str">
        <f t="shared" si="8"/>
        <v>도비</v>
      </c>
      <c r="AD37" s="123">
        <f>IF($X37&lt;&gt;"도비",IF($V37="국도비","직접입력",SUM(N37:O37)),)</f>
        <v>0</v>
      </c>
      <c r="AE37" s="123">
        <f>IF($X37="도비",SUM(N37:O37),IF($V37="국도비","직접입력",SUM(N37:O37)-AD37))</f>
        <v>100000</v>
      </c>
      <c r="AF37" s="145" t="str">
        <f t="shared" si="24"/>
        <v>ok</v>
      </c>
      <c r="AG37" s="201"/>
      <c r="AH37" s="167" t="s">
        <v>1021</v>
      </c>
      <c r="AI37" s="201"/>
      <c r="AJ37" s="163">
        <f t="shared" si="3"/>
        <v>65</v>
      </c>
      <c r="AK37" s="145" t="str">
        <f t="shared" si="4"/>
        <v>OK</v>
      </c>
      <c r="AL37" s="201"/>
      <c r="AM37" s="140"/>
      <c r="AN37" s="201"/>
      <c r="AO37" s="142"/>
      <c r="AP37" s="219">
        <f t="shared" si="71"/>
        <v>0</v>
      </c>
      <c r="AQ37" s="144"/>
    </row>
    <row r="38" spans="1:43" ht="60" customHeight="1">
      <c r="A38" s="417" t="s">
        <v>91</v>
      </c>
      <c r="B38" s="430" t="s">
        <v>513</v>
      </c>
      <c r="C38" s="364" t="s">
        <v>1132</v>
      </c>
      <c r="D38" s="363" t="s">
        <v>1128</v>
      </c>
      <c r="E38" s="363">
        <v>393</v>
      </c>
      <c r="F38" s="363"/>
      <c r="G38" s="411" t="s">
        <v>1164</v>
      </c>
      <c r="H38" s="412">
        <v>30000</v>
      </c>
      <c r="I38" s="413">
        <v>0</v>
      </c>
      <c r="J38" s="349">
        <f t="shared" si="42"/>
        <v>30000</v>
      </c>
      <c r="K38" s="350"/>
      <c r="L38" s="350"/>
      <c r="M38" s="414">
        <f t="shared" si="72"/>
        <v>30000</v>
      </c>
      <c r="N38" s="415"/>
      <c r="O38" s="350"/>
      <c r="P38" s="416">
        <f t="shared" si="28"/>
        <v>30000</v>
      </c>
      <c r="Q38" s="234" t="str">
        <f t="shared" si="73"/>
        <v/>
      </c>
      <c r="R38" s="211"/>
      <c r="S38" s="223"/>
      <c r="T38" s="421"/>
      <c r="U38" s="429"/>
      <c r="V38" s="149" t="s">
        <v>1157</v>
      </c>
      <c r="W38" s="201"/>
      <c r="X38" s="165" t="s">
        <v>1157</v>
      </c>
      <c r="Y38" s="123">
        <f t="shared" si="74"/>
        <v>0</v>
      </c>
      <c r="Z38" s="123">
        <f t="shared" si="75"/>
        <v>0</v>
      </c>
      <c r="AA38" s="145" t="str">
        <f t="shared" si="2"/>
        <v>ok</v>
      </c>
      <c r="AB38" s="201"/>
      <c r="AC38" s="166" t="str">
        <f t="shared" ref="AC38:AC42" si="76">IF(X38="","",$X38)</f>
        <v>도비</v>
      </c>
      <c r="AD38" s="123">
        <f t="shared" ref="AD38:AD42" si="77">IF($X38&lt;&gt;"도비",IF($V38="국도비","직접입력",SUM(N38:O38)),)</f>
        <v>0</v>
      </c>
      <c r="AE38" s="123">
        <f t="shared" ref="AE38:AE42" si="78">IF($X38="도비",SUM(N38:O38),IF($V38="국도비","직접입력",SUM(N38:O38)-AD38))</f>
        <v>0</v>
      </c>
      <c r="AF38" s="145" t="str">
        <f t="shared" ref="AF38:AF42" si="79">IFERROR(IF((N38+O38)=(AD38+AE38),"ok","검토"),"검토")</f>
        <v>ok</v>
      </c>
      <c r="AG38" s="201"/>
      <c r="AH38" s="167" t="s">
        <v>604</v>
      </c>
      <c r="AI38" s="201"/>
      <c r="AJ38" s="163">
        <f t="shared" si="3"/>
        <v>65</v>
      </c>
      <c r="AK38" s="145" t="str">
        <f t="shared" si="4"/>
        <v>OK</v>
      </c>
      <c r="AL38" s="201"/>
      <c r="AM38" s="140"/>
      <c r="AN38" s="201"/>
      <c r="AO38" s="142"/>
      <c r="AP38" s="219">
        <f t="shared" si="71"/>
        <v>0</v>
      </c>
      <c r="AQ38" s="219"/>
    </row>
    <row r="39" spans="1:43" ht="60" customHeight="1">
      <c r="A39" s="344" t="s">
        <v>433</v>
      </c>
      <c r="B39" s="430" t="s">
        <v>504</v>
      </c>
      <c r="C39" s="364" t="s">
        <v>1302</v>
      </c>
      <c r="D39" s="363" t="s">
        <v>1277</v>
      </c>
      <c r="E39" s="363"/>
      <c r="F39" s="363"/>
      <c r="G39" s="411" t="s">
        <v>1304</v>
      </c>
      <c r="H39" s="412">
        <v>0</v>
      </c>
      <c r="I39" s="413">
        <v>0</v>
      </c>
      <c r="J39" s="349">
        <f t="shared" ref="J39:J42" si="80">IF(D39="","",H39-I39)</f>
        <v>0</v>
      </c>
      <c r="K39" s="350"/>
      <c r="L39" s="350"/>
      <c r="M39" s="414">
        <f t="shared" si="72"/>
        <v>0</v>
      </c>
      <c r="N39" s="415"/>
      <c r="O39" s="350">
        <v>50000</v>
      </c>
      <c r="P39" s="416">
        <f t="shared" si="28"/>
        <v>50000</v>
      </c>
      <c r="Q39" s="234" t="str">
        <f t="shared" si="73"/>
        <v>동의</v>
      </c>
      <c r="R39" s="211"/>
      <c r="S39" s="223"/>
      <c r="T39" s="421"/>
      <c r="U39" s="429"/>
      <c r="V39" s="149" t="s">
        <v>1293</v>
      </c>
      <c r="W39" s="201"/>
      <c r="X39" s="165" t="s">
        <v>1293</v>
      </c>
      <c r="Y39" s="123">
        <f t="shared" si="74"/>
        <v>0</v>
      </c>
      <c r="Z39" s="123">
        <f t="shared" si="75"/>
        <v>0</v>
      </c>
      <c r="AA39" s="145" t="str">
        <f t="shared" si="2"/>
        <v>ok</v>
      </c>
      <c r="AB39" s="201"/>
      <c r="AC39" s="166" t="str">
        <f t="shared" si="76"/>
        <v>도비</v>
      </c>
      <c r="AD39" s="123">
        <f t="shared" si="77"/>
        <v>0</v>
      </c>
      <c r="AE39" s="123">
        <f t="shared" si="78"/>
        <v>50000</v>
      </c>
      <c r="AF39" s="145" t="str">
        <f t="shared" si="79"/>
        <v>ok</v>
      </c>
      <c r="AG39" s="201"/>
      <c r="AH39" s="167" t="s">
        <v>1021</v>
      </c>
      <c r="AI39" s="201"/>
      <c r="AJ39" s="163">
        <f t="shared" ref="AJ39:AJ70" si="81">IF(AH39="","",COUNTIF($AH$7:$AH$10141,$AH39))</f>
        <v>65</v>
      </c>
      <c r="AK39" s="145" t="str">
        <f t="shared" si="4"/>
        <v>OK</v>
      </c>
      <c r="AL39" s="201"/>
      <c r="AM39" s="140"/>
      <c r="AN39" s="201"/>
      <c r="AO39" s="142"/>
      <c r="AP39" s="219">
        <f t="shared" si="71"/>
        <v>0</v>
      </c>
      <c r="AQ39" s="219"/>
    </row>
    <row r="40" spans="1:43" ht="60" customHeight="1">
      <c r="A40" s="344" t="s">
        <v>433</v>
      </c>
      <c r="B40" s="430" t="s">
        <v>504</v>
      </c>
      <c r="C40" s="364" t="s">
        <v>1305</v>
      </c>
      <c r="D40" s="363" t="s">
        <v>1277</v>
      </c>
      <c r="E40" s="363"/>
      <c r="F40" s="363"/>
      <c r="G40" s="411" t="s">
        <v>1307</v>
      </c>
      <c r="H40" s="412">
        <v>0</v>
      </c>
      <c r="I40" s="413">
        <v>0</v>
      </c>
      <c r="J40" s="349">
        <f t="shared" ref="J40:J41" si="82">IF(D40="","",H40-I40)</f>
        <v>0</v>
      </c>
      <c r="K40" s="350"/>
      <c r="L40" s="350"/>
      <c r="M40" s="414">
        <f t="shared" ref="M40:M41" si="83">H40+K40+L40</f>
        <v>0</v>
      </c>
      <c r="N40" s="415"/>
      <c r="O40" s="350">
        <v>30000</v>
      </c>
      <c r="P40" s="416">
        <f t="shared" ref="P40:P41" si="84">H40+N40+O40</f>
        <v>30000</v>
      </c>
      <c r="Q40" s="234" t="str">
        <f t="shared" ref="Q40:Q41" si="85">IF(OR(AND(K40&lt;0,K40&lt;N40),AND(K40&lt;0,N40+O40=0),AND(K40&lt;0,O40&gt;0),AND(I40=0,M40=0,P40&gt;0)),"동의","")</f>
        <v>동의</v>
      </c>
      <c r="R40" s="211"/>
      <c r="S40" s="223"/>
      <c r="T40" s="421"/>
      <c r="U40" s="429"/>
      <c r="V40" s="149" t="s">
        <v>1293</v>
      </c>
      <c r="W40" s="201"/>
      <c r="X40" s="165" t="s">
        <v>1293</v>
      </c>
      <c r="Y40" s="123">
        <f t="shared" si="74"/>
        <v>0</v>
      </c>
      <c r="Z40" s="123">
        <f t="shared" si="75"/>
        <v>0</v>
      </c>
      <c r="AA40" s="145" t="str">
        <f t="shared" si="2"/>
        <v>ok</v>
      </c>
      <c r="AB40" s="201"/>
      <c r="AC40" s="166" t="str">
        <f t="shared" ref="AC40:AC41" si="86">IF(X40="","",$X40)</f>
        <v>도비</v>
      </c>
      <c r="AD40" s="123">
        <f t="shared" ref="AD40:AD41" si="87">IF($X40&lt;&gt;"도비",IF($V40="국도비","직접입력",SUM(N40:O40)),)</f>
        <v>0</v>
      </c>
      <c r="AE40" s="123">
        <f t="shared" ref="AE40:AE41" si="88">IF($X40="도비",SUM(N40:O40),IF($V40="국도비","직접입력",SUM(N40:O40)-AD40))</f>
        <v>30000</v>
      </c>
      <c r="AF40" s="145" t="str">
        <f t="shared" ref="AF40:AF41" si="89">IFERROR(IF((N40+O40)=(AD40+AE40),"ok","검토"),"검토")</f>
        <v>ok</v>
      </c>
      <c r="AG40" s="201"/>
      <c r="AH40" s="167" t="s">
        <v>1021</v>
      </c>
      <c r="AI40" s="201"/>
      <c r="AJ40" s="163">
        <f t="shared" si="81"/>
        <v>65</v>
      </c>
      <c r="AK40" s="145" t="str">
        <f t="shared" ref="AK40:AK41" si="90">IF(C40="","",IF(AND(X40="도비",AH40="세입없음"),"OK",IF(AND(X40&lt;&gt;"도비",AH40&lt;&gt;""),"Ok","@@")))</f>
        <v>OK</v>
      </c>
      <c r="AL40" s="201"/>
      <c r="AM40" s="140"/>
      <c r="AN40" s="201"/>
      <c r="AO40" s="142"/>
      <c r="AP40" s="219">
        <f t="shared" si="71"/>
        <v>0</v>
      </c>
      <c r="AQ40" s="219"/>
    </row>
    <row r="41" spans="1:43" s="219" customFormat="1" ht="60" hidden="1" customHeight="1">
      <c r="A41" s="146"/>
      <c r="B41" s="146"/>
      <c r="C41" s="148"/>
      <c r="D41" s="147"/>
      <c r="E41" s="147"/>
      <c r="F41" s="147"/>
      <c r="G41" s="241"/>
      <c r="H41" s="245"/>
      <c r="I41" s="243"/>
      <c r="J41" s="151" t="str">
        <f t="shared" si="82"/>
        <v/>
      </c>
      <c r="K41" s="123"/>
      <c r="L41" s="123"/>
      <c r="M41" s="229">
        <f t="shared" si="83"/>
        <v>0</v>
      </c>
      <c r="N41" s="236"/>
      <c r="O41" s="123"/>
      <c r="P41" s="237">
        <f t="shared" si="84"/>
        <v>0</v>
      </c>
      <c r="Q41" s="234" t="str">
        <f t="shared" si="85"/>
        <v/>
      </c>
      <c r="R41" s="211"/>
      <c r="S41" s="223"/>
      <c r="T41" s="223"/>
      <c r="U41" s="429" t="s">
        <v>530</v>
      </c>
      <c r="V41" s="149"/>
      <c r="W41" s="201"/>
      <c r="X41" s="165"/>
      <c r="Y41" s="123">
        <f t="shared" si="74"/>
        <v>0</v>
      </c>
      <c r="Z41" s="123">
        <f t="shared" si="75"/>
        <v>0</v>
      </c>
      <c r="AA41" s="145" t="str">
        <f t="shared" si="2"/>
        <v>ok</v>
      </c>
      <c r="AB41" s="201"/>
      <c r="AC41" s="166" t="str">
        <f t="shared" si="86"/>
        <v/>
      </c>
      <c r="AD41" s="123">
        <f t="shared" si="87"/>
        <v>0</v>
      </c>
      <c r="AE41" s="123">
        <f t="shared" si="88"/>
        <v>0</v>
      </c>
      <c r="AF41" s="145" t="str">
        <f t="shared" si="89"/>
        <v>ok</v>
      </c>
      <c r="AG41" s="201"/>
      <c r="AH41" s="167"/>
      <c r="AI41" s="201"/>
      <c r="AJ41" s="163" t="str">
        <f t="shared" si="81"/>
        <v/>
      </c>
      <c r="AK41" s="145" t="str">
        <f t="shared" si="90"/>
        <v/>
      </c>
      <c r="AL41" s="201"/>
      <c r="AM41" s="140"/>
      <c r="AN41" s="201"/>
      <c r="AO41" s="142"/>
    </row>
    <row r="42" spans="1:43" s="219" customFormat="1" ht="60" hidden="1" customHeight="1">
      <c r="A42" s="146"/>
      <c r="B42" s="146"/>
      <c r="C42" s="148"/>
      <c r="D42" s="147"/>
      <c r="E42" s="147"/>
      <c r="F42" s="147"/>
      <c r="G42" s="241"/>
      <c r="H42" s="245"/>
      <c r="I42" s="243"/>
      <c r="J42" s="151" t="str">
        <f t="shared" si="80"/>
        <v/>
      </c>
      <c r="K42" s="123"/>
      <c r="L42" s="123"/>
      <c r="M42" s="229">
        <f t="shared" si="72"/>
        <v>0</v>
      </c>
      <c r="N42" s="236"/>
      <c r="O42" s="123"/>
      <c r="P42" s="237">
        <f t="shared" si="28"/>
        <v>0</v>
      </c>
      <c r="Q42" s="234" t="str">
        <f t="shared" si="73"/>
        <v/>
      </c>
      <c r="R42" s="211"/>
      <c r="S42" s="223"/>
      <c r="T42" s="223"/>
      <c r="U42" s="421"/>
      <c r="V42" s="149"/>
      <c r="W42" s="201"/>
      <c r="X42" s="165"/>
      <c r="Y42" s="123">
        <f t="shared" si="74"/>
        <v>0</v>
      </c>
      <c r="Z42" s="123">
        <f t="shared" si="75"/>
        <v>0</v>
      </c>
      <c r="AA42" s="145" t="str">
        <f t="shared" si="2"/>
        <v>ok</v>
      </c>
      <c r="AB42" s="201"/>
      <c r="AC42" s="166" t="str">
        <f t="shared" si="76"/>
        <v/>
      </c>
      <c r="AD42" s="123">
        <f t="shared" si="77"/>
        <v>0</v>
      </c>
      <c r="AE42" s="123">
        <f t="shared" si="78"/>
        <v>0</v>
      </c>
      <c r="AF42" s="145" t="str">
        <f t="shared" si="79"/>
        <v>ok</v>
      </c>
      <c r="AG42" s="201"/>
      <c r="AH42" s="167"/>
      <c r="AI42" s="201"/>
      <c r="AJ42" s="163" t="str">
        <f t="shared" si="81"/>
        <v/>
      </c>
      <c r="AK42" s="145" t="str">
        <f t="shared" si="4"/>
        <v/>
      </c>
      <c r="AL42" s="201"/>
      <c r="AM42" s="140"/>
      <c r="AN42" s="201"/>
      <c r="AO42" s="142"/>
    </row>
    <row r="43" spans="1:43" ht="60" customHeight="1">
      <c r="A43" s="427" t="s">
        <v>451</v>
      </c>
      <c r="B43" s="403"/>
      <c r="C43" s="428"/>
      <c r="D43" s="403"/>
      <c r="E43" s="403"/>
      <c r="F43" s="428"/>
      <c r="G43" s="404"/>
      <c r="H43" s="405">
        <f t="shared" ref="H43:P43" si="91">SUM(H44:H50)</f>
        <v>37009000</v>
      </c>
      <c r="I43" s="406">
        <f t="shared" si="91"/>
        <v>35509000</v>
      </c>
      <c r="J43" s="407">
        <f t="shared" si="91"/>
        <v>1500000</v>
      </c>
      <c r="K43" s="407">
        <f t="shared" si="91"/>
        <v>-50000</v>
      </c>
      <c r="L43" s="407">
        <f t="shared" si="91"/>
        <v>180000</v>
      </c>
      <c r="M43" s="408">
        <f t="shared" si="91"/>
        <v>37139000</v>
      </c>
      <c r="N43" s="409">
        <f t="shared" si="91"/>
        <v>0</v>
      </c>
      <c r="O43" s="407">
        <f t="shared" si="91"/>
        <v>240000</v>
      </c>
      <c r="P43" s="410">
        <f t="shared" si="91"/>
        <v>37249000</v>
      </c>
      <c r="Q43" s="232"/>
      <c r="R43" s="216"/>
      <c r="S43" s="224"/>
      <c r="T43" s="419"/>
      <c r="U43" s="421"/>
      <c r="V43" s="204"/>
      <c r="W43" s="201"/>
      <c r="X43" s="205"/>
      <c r="Y43" s="160">
        <f>SUM(Y44:Y50)</f>
        <v>0</v>
      </c>
      <c r="Z43" s="160">
        <f>SUM(Z44:Z50)</f>
        <v>130000</v>
      </c>
      <c r="AA43" s="161" t="str">
        <f t="shared" si="2"/>
        <v>ok</v>
      </c>
      <c r="AB43" s="201"/>
      <c r="AC43" s="166" t="str">
        <f t="shared" si="8"/>
        <v/>
      </c>
      <c r="AD43" s="160">
        <f>SUM(AD44:AD50)</f>
        <v>0</v>
      </c>
      <c r="AE43" s="160">
        <f>SUM(AE44:AE50)</f>
        <v>240000</v>
      </c>
      <c r="AF43" s="161" t="str">
        <f t="shared" ref="AF43:AF50" si="92">IFERROR(IF((N43+O43)=(AD43+AE43),"ok","검토"),"검토")</f>
        <v>ok</v>
      </c>
      <c r="AG43" s="201"/>
      <c r="AH43" s="206"/>
      <c r="AI43" s="201"/>
      <c r="AJ43" s="203" t="str">
        <f t="shared" si="81"/>
        <v/>
      </c>
      <c r="AK43" s="161" t="str">
        <f t="shared" si="4"/>
        <v/>
      </c>
      <c r="AL43" s="201"/>
      <c r="AM43" s="140"/>
      <c r="AN43" s="201"/>
      <c r="AO43" s="142"/>
      <c r="AP43" s="219">
        <f t="shared" ref="AP43:AP49" si="93">SUM(N43:O43)-SUM(AD43:AE43)</f>
        <v>0</v>
      </c>
    </row>
    <row r="44" spans="1:43" ht="60" customHeight="1">
      <c r="A44" s="432" t="s">
        <v>518</v>
      </c>
      <c r="B44" s="422" t="s">
        <v>519</v>
      </c>
      <c r="C44" s="364" t="s">
        <v>520</v>
      </c>
      <c r="D44" s="363" t="s">
        <v>480</v>
      </c>
      <c r="E44" s="363">
        <v>465</v>
      </c>
      <c r="F44" s="363">
        <v>85</v>
      </c>
      <c r="G44" s="411" t="s">
        <v>521</v>
      </c>
      <c r="H44" s="412">
        <v>200000</v>
      </c>
      <c r="I44" s="413">
        <v>0</v>
      </c>
      <c r="J44" s="349">
        <f t="shared" ref="J44:J50" si="94">IF(D44="","",H44-I44)</f>
        <v>200000</v>
      </c>
      <c r="K44" s="350">
        <v>-50000</v>
      </c>
      <c r="L44" s="350"/>
      <c r="M44" s="414">
        <f t="shared" ref="M44:M50" si="95">H44+K44+L44</f>
        <v>150000</v>
      </c>
      <c r="N44" s="415"/>
      <c r="O44" s="350"/>
      <c r="P44" s="416">
        <f>H44+N44+O44</f>
        <v>200000</v>
      </c>
      <c r="Q44" s="234" t="str">
        <f t="shared" ref="Q44:Q50" si="96">IF(OR(AND(K44&lt;0,K44&lt;N44),AND(K44&lt;0,N44+O44=0),AND(K44&lt;0,O44&gt;0),AND(I44=0,M44=0,P44&gt;0)),"동의","")</f>
        <v>동의</v>
      </c>
      <c r="R44" s="211"/>
      <c r="S44" s="225"/>
      <c r="T44" s="429"/>
      <c r="U44" s="419"/>
      <c r="V44" s="149" t="s">
        <v>490</v>
      </c>
      <c r="W44" s="201"/>
      <c r="X44" s="165" t="s">
        <v>490</v>
      </c>
      <c r="Y44" s="123">
        <f>IF($X44&lt;&gt;"도비",IF($V44="국도비","직접입력",SUM($K44:$L44)),)</f>
        <v>0</v>
      </c>
      <c r="Z44" s="123">
        <f>IF($X44="도비",SUM($K44:$L44),IF($V44="국도비","직접입력",SUM($K44:$L44)-$Y44))</f>
        <v>-50000</v>
      </c>
      <c r="AA44" s="145" t="str">
        <f t="shared" si="2"/>
        <v>ok</v>
      </c>
      <c r="AB44" s="201"/>
      <c r="AC44" s="166" t="str">
        <f t="shared" si="8"/>
        <v>도비</v>
      </c>
      <c r="AD44" s="123">
        <f>IF($X44&lt;&gt;"도비",IF($V44="국도비","직접입력",SUM(N44:O44)),)</f>
        <v>0</v>
      </c>
      <c r="AE44" s="123">
        <f>IF($X44="도비",SUM(N44:O44),IF($V44="국도비","직접입력",SUM(N44:O44)-AD44))</f>
        <v>0</v>
      </c>
      <c r="AF44" s="145" t="str">
        <f t="shared" si="92"/>
        <v>ok</v>
      </c>
      <c r="AG44" s="201"/>
      <c r="AH44" s="167" t="s">
        <v>1021</v>
      </c>
      <c r="AI44" s="201"/>
      <c r="AJ44" s="163">
        <f t="shared" si="81"/>
        <v>65</v>
      </c>
      <c r="AK44" s="145" t="str">
        <f t="shared" si="4"/>
        <v>OK</v>
      </c>
      <c r="AL44" s="201"/>
      <c r="AM44" s="140"/>
      <c r="AN44" s="201"/>
      <c r="AO44" s="142"/>
      <c r="AP44" s="219">
        <f t="shared" si="93"/>
        <v>0</v>
      </c>
      <c r="AQ44" s="144"/>
    </row>
    <row r="45" spans="1:43" s="435" customFormat="1" ht="60" customHeight="1">
      <c r="A45" s="432" t="s">
        <v>518</v>
      </c>
      <c r="B45" s="433" t="s">
        <v>519</v>
      </c>
      <c r="C45" s="348" t="s">
        <v>522</v>
      </c>
      <c r="D45" s="347" t="s">
        <v>523</v>
      </c>
      <c r="E45" s="347">
        <v>472</v>
      </c>
      <c r="F45" s="347">
        <v>218</v>
      </c>
      <c r="G45" s="424" t="s">
        <v>524</v>
      </c>
      <c r="H45" s="412">
        <v>200000</v>
      </c>
      <c r="I45" s="413">
        <v>0</v>
      </c>
      <c r="J45" s="349">
        <f t="shared" si="94"/>
        <v>200000</v>
      </c>
      <c r="K45" s="350"/>
      <c r="L45" s="350"/>
      <c r="M45" s="414">
        <f t="shared" si="95"/>
        <v>200000</v>
      </c>
      <c r="N45" s="415"/>
      <c r="O45" s="350"/>
      <c r="P45" s="416">
        <f t="shared" ref="P45:P50" si="97">H45+N45+O45</f>
        <v>200000</v>
      </c>
      <c r="Q45" s="234" t="str">
        <f t="shared" si="96"/>
        <v/>
      </c>
      <c r="R45" s="211" t="s">
        <v>1022</v>
      </c>
      <c r="S45" s="225" t="s">
        <v>525</v>
      </c>
      <c r="T45" s="429" t="s">
        <v>525</v>
      </c>
      <c r="U45" s="420"/>
      <c r="V45" s="172" t="s">
        <v>508</v>
      </c>
      <c r="W45" s="202"/>
      <c r="X45" s="192" t="s">
        <v>526</v>
      </c>
      <c r="Y45" s="123">
        <v>0</v>
      </c>
      <c r="Z45" s="123">
        <v>0</v>
      </c>
      <c r="AA45" s="145" t="str">
        <f t="shared" si="2"/>
        <v>ok</v>
      </c>
      <c r="AB45" s="202"/>
      <c r="AC45" s="166" t="str">
        <f t="shared" si="8"/>
        <v>기금</v>
      </c>
      <c r="AD45" s="123">
        <v>0</v>
      </c>
      <c r="AE45" s="123">
        <v>0</v>
      </c>
      <c r="AF45" s="145" t="str">
        <f t="shared" si="92"/>
        <v>ok</v>
      </c>
      <c r="AG45" s="202"/>
      <c r="AH45" s="193" t="s">
        <v>1029</v>
      </c>
      <c r="AI45" s="202"/>
      <c r="AJ45" s="163">
        <f t="shared" si="81"/>
        <v>1</v>
      </c>
      <c r="AK45" s="145" t="str">
        <f t="shared" si="4"/>
        <v>Ok</v>
      </c>
      <c r="AL45" s="202"/>
      <c r="AM45" s="140"/>
      <c r="AN45" s="202"/>
      <c r="AO45" s="173"/>
      <c r="AP45" s="219">
        <f t="shared" si="93"/>
        <v>0</v>
      </c>
      <c r="AQ45" s="171"/>
    </row>
    <row r="46" spans="1:43" ht="60" customHeight="1">
      <c r="A46" s="432" t="s">
        <v>518</v>
      </c>
      <c r="B46" s="422" t="s">
        <v>519</v>
      </c>
      <c r="C46" s="364" t="s">
        <v>520</v>
      </c>
      <c r="D46" s="363" t="s">
        <v>499</v>
      </c>
      <c r="E46" s="363"/>
      <c r="F46" s="363"/>
      <c r="G46" s="411" t="s">
        <v>527</v>
      </c>
      <c r="H46" s="412">
        <v>0</v>
      </c>
      <c r="I46" s="413">
        <v>0</v>
      </c>
      <c r="J46" s="349">
        <f t="shared" si="94"/>
        <v>0</v>
      </c>
      <c r="K46" s="350"/>
      <c r="L46" s="350">
        <v>150000</v>
      </c>
      <c r="M46" s="414">
        <f t="shared" si="95"/>
        <v>150000</v>
      </c>
      <c r="N46" s="415"/>
      <c r="O46" s="350">
        <v>150000</v>
      </c>
      <c r="P46" s="416">
        <f t="shared" si="97"/>
        <v>150000</v>
      </c>
      <c r="Q46" s="234" t="str">
        <f t="shared" si="96"/>
        <v/>
      </c>
      <c r="R46" s="211" t="s">
        <v>1023</v>
      </c>
      <c r="S46" s="225" t="s">
        <v>528</v>
      </c>
      <c r="T46" s="429" t="s">
        <v>528</v>
      </c>
      <c r="U46" s="420"/>
      <c r="V46" s="149" t="s">
        <v>490</v>
      </c>
      <c r="W46" s="201"/>
      <c r="X46" s="165" t="s">
        <v>490</v>
      </c>
      <c r="Y46" s="123">
        <f t="shared" ref="Y46:Y50" si="98">IF($X46&lt;&gt;"도비",IF($V46="국도비","직접입력",SUM($K46:$L46)),)</f>
        <v>0</v>
      </c>
      <c r="Z46" s="123">
        <f t="shared" ref="Z46:Z50" si="99">IF($X46="도비",SUM($K46:$L46),IF($V46="국도비","직접입력",SUM($K46:$L46)-$Y46))</f>
        <v>150000</v>
      </c>
      <c r="AA46" s="145" t="str">
        <f t="shared" si="2"/>
        <v>ok</v>
      </c>
      <c r="AB46" s="201"/>
      <c r="AC46" s="166" t="str">
        <f t="shared" si="8"/>
        <v>도비</v>
      </c>
      <c r="AD46" s="123">
        <f t="shared" ref="AD46:AD50" si="100">IF($X46&lt;&gt;"도비",IF($V46="국도비","직접입력",SUM(N46:O46)),)</f>
        <v>0</v>
      </c>
      <c r="AE46" s="123">
        <f t="shared" ref="AE46:AE50" si="101">IF($X46="도비",SUM(N46:O46),IF($V46="국도비","직접입력",SUM(N46:O46)-AD46))</f>
        <v>150000</v>
      </c>
      <c r="AF46" s="145" t="str">
        <f t="shared" si="92"/>
        <v>ok</v>
      </c>
      <c r="AG46" s="201"/>
      <c r="AH46" s="167" t="s">
        <v>1021</v>
      </c>
      <c r="AI46" s="201"/>
      <c r="AJ46" s="163">
        <f t="shared" si="81"/>
        <v>65</v>
      </c>
      <c r="AK46" s="145" t="str">
        <f t="shared" si="4"/>
        <v>OK</v>
      </c>
      <c r="AL46" s="201"/>
      <c r="AM46" s="140"/>
      <c r="AN46" s="201"/>
      <c r="AO46" s="142"/>
      <c r="AP46" s="219">
        <f t="shared" si="93"/>
        <v>0</v>
      </c>
      <c r="AQ46" s="144"/>
    </row>
    <row r="47" spans="1:43" ht="60" customHeight="1">
      <c r="A47" s="432" t="s">
        <v>518</v>
      </c>
      <c r="B47" s="422" t="s">
        <v>519</v>
      </c>
      <c r="C47" s="364" t="s">
        <v>520</v>
      </c>
      <c r="D47" s="363" t="s">
        <v>501</v>
      </c>
      <c r="E47" s="363">
        <v>230</v>
      </c>
      <c r="F47" s="363"/>
      <c r="G47" s="411" t="s">
        <v>529</v>
      </c>
      <c r="H47" s="412">
        <v>2000000</v>
      </c>
      <c r="I47" s="413">
        <v>2000000</v>
      </c>
      <c r="J47" s="349">
        <f t="shared" si="94"/>
        <v>0</v>
      </c>
      <c r="K47" s="350"/>
      <c r="L47" s="350">
        <v>30000</v>
      </c>
      <c r="M47" s="414">
        <f t="shared" si="95"/>
        <v>2030000</v>
      </c>
      <c r="N47" s="415"/>
      <c r="O47" s="350">
        <v>30000</v>
      </c>
      <c r="P47" s="416">
        <f t="shared" si="97"/>
        <v>2030000</v>
      </c>
      <c r="Q47" s="234" t="str">
        <f t="shared" si="96"/>
        <v/>
      </c>
      <c r="R47" s="211" t="s">
        <v>1024</v>
      </c>
      <c r="S47" s="225" t="s">
        <v>530</v>
      </c>
      <c r="T47" s="429" t="s">
        <v>530</v>
      </c>
      <c r="U47" s="420"/>
      <c r="V47" s="149" t="s">
        <v>490</v>
      </c>
      <c r="W47" s="201"/>
      <c r="X47" s="165" t="s">
        <v>490</v>
      </c>
      <c r="Y47" s="123">
        <f t="shared" si="98"/>
        <v>0</v>
      </c>
      <c r="Z47" s="123">
        <f t="shared" si="99"/>
        <v>30000</v>
      </c>
      <c r="AA47" s="145" t="str">
        <f t="shared" si="2"/>
        <v>ok</v>
      </c>
      <c r="AB47" s="201"/>
      <c r="AC47" s="166" t="str">
        <f t="shared" si="8"/>
        <v>도비</v>
      </c>
      <c r="AD47" s="123">
        <f t="shared" si="100"/>
        <v>0</v>
      </c>
      <c r="AE47" s="123">
        <f t="shared" si="101"/>
        <v>30000</v>
      </c>
      <c r="AF47" s="145" t="str">
        <f t="shared" si="92"/>
        <v>ok</v>
      </c>
      <c r="AG47" s="201"/>
      <c r="AH47" s="167" t="s">
        <v>1021</v>
      </c>
      <c r="AI47" s="201"/>
      <c r="AJ47" s="163">
        <f t="shared" si="81"/>
        <v>65</v>
      </c>
      <c r="AK47" s="145" t="str">
        <f t="shared" si="4"/>
        <v>OK</v>
      </c>
      <c r="AL47" s="201"/>
      <c r="AM47" s="140"/>
      <c r="AN47" s="201"/>
      <c r="AO47" s="142"/>
      <c r="AP47" s="219">
        <f t="shared" si="93"/>
        <v>0</v>
      </c>
      <c r="AQ47" s="144"/>
    </row>
    <row r="48" spans="1:43" ht="60" customHeight="1">
      <c r="A48" s="434" t="s">
        <v>518</v>
      </c>
      <c r="B48" s="422" t="s">
        <v>519</v>
      </c>
      <c r="C48" s="364" t="s">
        <v>520</v>
      </c>
      <c r="D48" s="363" t="s">
        <v>1178</v>
      </c>
      <c r="E48" s="363">
        <v>464</v>
      </c>
      <c r="F48" s="363"/>
      <c r="G48" s="411" t="s">
        <v>1275</v>
      </c>
      <c r="H48" s="412">
        <v>34409000</v>
      </c>
      <c r="I48" s="413">
        <v>33309000</v>
      </c>
      <c r="J48" s="349">
        <f t="shared" si="94"/>
        <v>1100000</v>
      </c>
      <c r="K48" s="350"/>
      <c r="L48" s="350"/>
      <c r="M48" s="414">
        <f t="shared" si="95"/>
        <v>34409000</v>
      </c>
      <c r="N48" s="415"/>
      <c r="O48" s="350"/>
      <c r="P48" s="416">
        <f t="shared" si="97"/>
        <v>34409000</v>
      </c>
      <c r="Q48" s="234" t="str">
        <f t="shared" si="96"/>
        <v/>
      </c>
      <c r="R48" s="211"/>
      <c r="S48" s="223"/>
      <c r="T48" s="421"/>
      <c r="U48" s="420"/>
      <c r="V48" s="149"/>
      <c r="W48" s="201"/>
      <c r="X48" s="165"/>
      <c r="Y48" s="123">
        <f t="shared" si="98"/>
        <v>0</v>
      </c>
      <c r="Z48" s="123">
        <f t="shared" si="99"/>
        <v>0</v>
      </c>
      <c r="AA48" s="145" t="str">
        <f t="shared" si="2"/>
        <v>ok</v>
      </c>
      <c r="AB48" s="201"/>
      <c r="AC48" s="166" t="str">
        <f t="shared" ref="AC48:AC50" si="102">IF(X48="","",$X48)</f>
        <v/>
      </c>
      <c r="AD48" s="123">
        <f t="shared" si="100"/>
        <v>0</v>
      </c>
      <c r="AE48" s="123">
        <f t="shared" si="101"/>
        <v>0</v>
      </c>
      <c r="AF48" s="145" t="str">
        <f t="shared" si="92"/>
        <v>ok</v>
      </c>
      <c r="AG48" s="201"/>
      <c r="AH48" s="167"/>
      <c r="AI48" s="201"/>
      <c r="AJ48" s="163" t="str">
        <f t="shared" si="81"/>
        <v/>
      </c>
      <c r="AK48" s="145" t="str">
        <f t="shared" ref="AK48:AK50" si="103">IF(C48="","",IF(AND(X48="도비",AH48="세입없음"),"OK",IF(AND(X48&lt;&gt;"도비",AH48&lt;&gt;""),"Ok","@@")))</f>
        <v>@@</v>
      </c>
      <c r="AL48" s="201"/>
      <c r="AM48" s="140"/>
      <c r="AN48" s="201"/>
      <c r="AO48" s="142"/>
      <c r="AP48" s="219">
        <f t="shared" si="93"/>
        <v>0</v>
      </c>
      <c r="AQ48" s="219"/>
    </row>
    <row r="49" spans="1:43" ht="60" customHeight="1">
      <c r="A49" s="432" t="s">
        <v>518</v>
      </c>
      <c r="B49" s="422" t="s">
        <v>519</v>
      </c>
      <c r="C49" s="364" t="s">
        <v>520</v>
      </c>
      <c r="D49" s="363" t="s">
        <v>501</v>
      </c>
      <c r="E49" s="363">
        <v>230</v>
      </c>
      <c r="F49" s="363"/>
      <c r="G49" s="411" t="s">
        <v>1303</v>
      </c>
      <c r="H49" s="412">
        <v>200000</v>
      </c>
      <c r="I49" s="413">
        <v>200000</v>
      </c>
      <c r="J49" s="349">
        <f t="shared" si="94"/>
        <v>0</v>
      </c>
      <c r="K49" s="350"/>
      <c r="L49" s="350"/>
      <c r="M49" s="414">
        <f t="shared" si="95"/>
        <v>200000</v>
      </c>
      <c r="N49" s="415"/>
      <c r="O49" s="350">
        <v>60000</v>
      </c>
      <c r="P49" s="416">
        <f t="shared" si="97"/>
        <v>260000</v>
      </c>
      <c r="Q49" s="234" t="str">
        <f t="shared" si="96"/>
        <v/>
      </c>
      <c r="R49" s="211"/>
      <c r="S49" s="223"/>
      <c r="T49" s="421"/>
      <c r="U49" s="420"/>
      <c r="V49" s="149" t="s">
        <v>1293</v>
      </c>
      <c r="W49" s="201"/>
      <c r="X49" s="165" t="s">
        <v>1293</v>
      </c>
      <c r="Y49" s="123">
        <f t="shared" si="98"/>
        <v>0</v>
      </c>
      <c r="Z49" s="123">
        <f t="shared" si="99"/>
        <v>0</v>
      </c>
      <c r="AA49" s="145" t="str">
        <f t="shared" si="2"/>
        <v>ok</v>
      </c>
      <c r="AB49" s="201"/>
      <c r="AC49" s="166" t="str">
        <f t="shared" si="102"/>
        <v>도비</v>
      </c>
      <c r="AD49" s="123">
        <f t="shared" si="100"/>
        <v>0</v>
      </c>
      <c r="AE49" s="123">
        <f t="shared" si="101"/>
        <v>60000</v>
      </c>
      <c r="AF49" s="145" t="str">
        <f t="shared" si="92"/>
        <v>ok</v>
      </c>
      <c r="AG49" s="201"/>
      <c r="AH49" s="167" t="s">
        <v>1297</v>
      </c>
      <c r="AI49" s="201"/>
      <c r="AJ49" s="163">
        <f t="shared" si="81"/>
        <v>65</v>
      </c>
      <c r="AK49" s="145" t="str">
        <f t="shared" si="103"/>
        <v>OK</v>
      </c>
      <c r="AL49" s="201"/>
      <c r="AM49" s="140"/>
      <c r="AN49" s="201"/>
      <c r="AO49" s="142"/>
      <c r="AP49" s="219">
        <f t="shared" si="93"/>
        <v>0</v>
      </c>
      <c r="AQ49" s="219"/>
    </row>
    <row r="50" spans="1:43" s="219" customFormat="1" ht="60" hidden="1" customHeight="1">
      <c r="A50" s="146"/>
      <c r="B50" s="146"/>
      <c r="C50" s="148"/>
      <c r="D50" s="147"/>
      <c r="E50" s="147"/>
      <c r="F50" s="147"/>
      <c r="G50" s="241"/>
      <c r="H50" s="245"/>
      <c r="I50" s="243"/>
      <c r="J50" s="151" t="str">
        <f t="shared" si="94"/>
        <v/>
      </c>
      <c r="K50" s="123"/>
      <c r="L50" s="123"/>
      <c r="M50" s="229">
        <f t="shared" si="95"/>
        <v>0</v>
      </c>
      <c r="N50" s="236"/>
      <c r="O50" s="123"/>
      <c r="P50" s="237">
        <f t="shared" si="97"/>
        <v>0</v>
      </c>
      <c r="Q50" s="234" t="str">
        <f t="shared" si="96"/>
        <v/>
      </c>
      <c r="R50" s="211"/>
      <c r="S50" s="223"/>
      <c r="T50" s="223"/>
      <c r="U50" s="420"/>
      <c r="V50" s="149"/>
      <c r="W50" s="201"/>
      <c r="X50" s="165"/>
      <c r="Y50" s="123">
        <f t="shared" si="98"/>
        <v>0</v>
      </c>
      <c r="Z50" s="123">
        <f t="shared" si="99"/>
        <v>0</v>
      </c>
      <c r="AA50" s="145" t="str">
        <f t="shared" si="2"/>
        <v>ok</v>
      </c>
      <c r="AB50" s="201"/>
      <c r="AC50" s="166" t="str">
        <f t="shared" si="102"/>
        <v/>
      </c>
      <c r="AD50" s="123">
        <f t="shared" si="100"/>
        <v>0</v>
      </c>
      <c r="AE50" s="123">
        <f t="shared" si="101"/>
        <v>0</v>
      </c>
      <c r="AF50" s="145" t="str">
        <f t="shared" si="92"/>
        <v>ok</v>
      </c>
      <c r="AG50" s="201"/>
      <c r="AH50" s="167"/>
      <c r="AI50" s="201"/>
      <c r="AJ50" s="163" t="str">
        <f t="shared" si="81"/>
        <v/>
      </c>
      <c r="AK50" s="145" t="str">
        <f t="shared" si="103"/>
        <v/>
      </c>
      <c r="AL50" s="201"/>
      <c r="AM50" s="140"/>
      <c r="AN50" s="201"/>
      <c r="AO50" s="142"/>
    </row>
    <row r="51" spans="1:43" ht="60" customHeight="1">
      <c r="A51" s="427" t="s">
        <v>458</v>
      </c>
      <c r="B51" s="403"/>
      <c r="C51" s="428"/>
      <c r="D51" s="403"/>
      <c r="E51" s="403"/>
      <c r="F51" s="428"/>
      <c r="G51" s="404"/>
      <c r="H51" s="405">
        <f>SUM(H52:H75)</f>
        <v>24614447</v>
      </c>
      <c r="I51" s="406">
        <f t="shared" ref="I51:P51" si="104">SUM(I52:I75)</f>
        <v>23046880</v>
      </c>
      <c r="J51" s="407">
        <f t="shared" si="104"/>
        <v>1567567</v>
      </c>
      <c r="K51" s="407">
        <f t="shared" si="104"/>
        <v>-26594</v>
      </c>
      <c r="L51" s="407">
        <f t="shared" si="104"/>
        <v>212764</v>
      </c>
      <c r="M51" s="408">
        <f t="shared" si="104"/>
        <v>24800617</v>
      </c>
      <c r="N51" s="409">
        <f t="shared" si="104"/>
        <v>-126594</v>
      </c>
      <c r="O51" s="407">
        <f t="shared" si="104"/>
        <v>4320157</v>
      </c>
      <c r="P51" s="410">
        <f t="shared" si="104"/>
        <v>28808010</v>
      </c>
      <c r="Q51" s="232"/>
      <c r="R51" s="216"/>
      <c r="S51" s="224"/>
      <c r="T51" s="419"/>
      <c r="U51" s="420"/>
      <c r="V51" s="204"/>
      <c r="W51" s="201"/>
      <c r="X51" s="205"/>
      <c r="Y51" s="160">
        <f>SUM(Y52:Y75)</f>
        <v>203200</v>
      </c>
      <c r="Z51" s="160">
        <f t="shared" ref="Z51" si="105">SUM(Z52:Z75)</f>
        <v>-17030</v>
      </c>
      <c r="AA51" s="161" t="str">
        <f t="shared" si="2"/>
        <v>ok</v>
      </c>
      <c r="AB51" s="201"/>
      <c r="AC51" s="166" t="str">
        <f t="shared" si="8"/>
        <v/>
      </c>
      <c r="AD51" s="160">
        <f>SUM(AD52:AD75)</f>
        <v>3646108</v>
      </c>
      <c r="AE51" s="160">
        <f t="shared" ref="AE51" si="106">SUM(AE52:AE75)</f>
        <v>547455</v>
      </c>
      <c r="AF51" s="161" t="str">
        <f t="shared" ref="AF51:AF95" si="107">IFERROR(IF((N51+O51)=(AD51+AE51),"ok","검토"),"검토")</f>
        <v>ok</v>
      </c>
      <c r="AG51" s="201"/>
      <c r="AH51" s="206"/>
      <c r="AI51" s="201"/>
      <c r="AJ51" s="203" t="str">
        <f t="shared" si="81"/>
        <v/>
      </c>
      <c r="AK51" s="161" t="str">
        <f t="shared" si="4"/>
        <v/>
      </c>
      <c r="AL51" s="201"/>
      <c r="AM51" s="140"/>
      <c r="AN51" s="201"/>
      <c r="AO51" s="142"/>
      <c r="AP51" s="219">
        <f t="shared" ref="AP51:AP72" si="108">SUM(N51:O51)-SUM(AD51:AE51)</f>
        <v>0</v>
      </c>
      <c r="AQ51" s="144"/>
    </row>
    <row r="52" spans="1:43" ht="60" customHeight="1">
      <c r="A52" s="344" t="s">
        <v>63</v>
      </c>
      <c r="B52" s="344" t="s">
        <v>66</v>
      </c>
      <c r="C52" s="364" t="s">
        <v>295</v>
      </c>
      <c r="D52" s="363" t="s">
        <v>480</v>
      </c>
      <c r="E52" s="363">
        <v>519</v>
      </c>
      <c r="F52" s="363">
        <v>92</v>
      </c>
      <c r="G52" s="411" t="s">
        <v>1105</v>
      </c>
      <c r="H52" s="412">
        <v>211115</v>
      </c>
      <c r="I52" s="413">
        <v>0</v>
      </c>
      <c r="J52" s="349">
        <f t="shared" si="42"/>
        <v>211115</v>
      </c>
      <c r="K52" s="350"/>
      <c r="L52" s="350">
        <v>1</v>
      </c>
      <c r="M52" s="414">
        <f t="shared" ref="M52" si="109">H52+K52+L52</f>
        <v>211116</v>
      </c>
      <c r="N52" s="415"/>
      <c r="O52" s="350">
        <v>1</v>
      </c>
      <c r="P52" s="416">
        <f t="shared" ref="P52" si="110">H52+N52+O52</f>
        <v>211116</v>
      </c>
      <c r="Q52" s="234" t="str">
        <f t="shared" ref="Q52:Q75" si="111">IF(OR(AND(K52&lt;0,K52&lt;N52),AND(K52&lt;0,N52+O52=0),AND(K52&lt;0,O52&gt;0),AND(I52=0,M52=0,P52&gt;0)),"동의","")</f>
        <v/>
      </c>
      <c r="R52" s="211" t="s">
        <v>1081</v>
      </c>
      <c r="S52" s="225"/>
      <c r="T52" s="420"/>
      <c r="U52" s="420"/>
      <c r="V52" s="149" t="s">
        <v>1020</v>
      </c>
      <c r="W52" s="201"/>
      <c r="X52" s="165" t="s">
        <v>1020</v>
      </c>
      <c r="Y52" s="123"/>
      <c r="Z52" s="123">
        <v>1</v>
      </c>
      <c r="AA52" s="145" t="str">
        <f t="shared" si="2"/>
        <v>ok</v>
      </c>
      <c r="AB52" s="201"/>
      <c r="AC52" s="166" t="str">
        <f t="shared" si="8"/>
        <v>도비</v>
      </c>
      <c r="AD52" s="123">
        <f t="shared" ref="AD52:AD75" si="112">IF($X52&lt;&gt;"도비",IF($V52="국도비","직접입력",SUM(N52:O52)),)</f>
        <v>0</v>
      </c>
      <c r="AE52" s="123">
        <f t="shared" ref="AE52:AE75" si="113">IF($X52="도비",SUM(N52:O52),IF($V52="국도비","직접입력",SUM(N52:O52)-AD52))</f>
        <v>1</v>
      </c>
      <c r="AF52" s="145" t="str">
        <f t="shared" si="107"/>
        <v>ok</v>
      </c>
      <c r="AG52" s="201"/>
      <c r="AH52" s="167" t="s">
        <v>1021</v>
      </c>
      <c r="AI52" s="201"/>
      <c r="AJ52" s="163">
        <f t="shared" si="81"/>
        <v>65</v>
      </c>
      <c r="AK52" s="145" t="str">
        <f t="shared" si="4"/>
        <v>OK</v>
      </c>
      <c r="AL52" s="201"/>
      <c r="AM52" s="140"/>
      <c r="AN52" s="201"/>
      <c r="AO52" s="142"/>
      <c r="AP52" s="219">
        <f t="shared" si="108"/>
        <v>0</v>
      </c>
      <c r="AQ52" s="144"/>
    </row>
    <row r="53" spans="1:43" ht="60" customHeight="1">
      <c r="A53" s="344" t="s">
        <v>63</v>
      </c>
      <c r="B53" s="344" t="s">
        <v>66</v>
      </c>
      <c r="C53" s="364" t="s">
        <v>67</v>
      </c>
      <c r="D53" s="363" t="s">
        <v>480</v>
      </c>
      <c r="E53" s="363">
        <v>521</v>
      </c>
      <c r="F53" s="363">
        <v>121</v>
      </c>
      <c r="G53" s="411" t="s">
        <v>578</v>
      </c>
      <c r="H53" s="412">
        <v>60800</v>
      </c>
      <c r="I53" s="413">
        <v>48000</v>
      </c>
      <c r="J53" s="349">
        <f t="shared" ref="J53:J121" si="114">IF(D53="","",H53-I53)</f>
        <v>12800</v>
      </c>
      <c r="K53" s="350"/>
      <c r="L53" s="350">
        <v>3200</v>
      </c>
      <c r="M53" s="414">
        <f t="shared" ref="M53:M128" si="115">H53+K53+L53</f>
        <v>64000</v>
      </c>
      <c r="N53" s="415"/>
      <c r="O53" s="350">
        <v>3200</v>
      </c>
      <c r="P53" s="416">
        <f t="shared" ref="P53:P128" si="116">H53+N53+O53</f>
        <v>64000</v>
      </c>
      <c r="Q53" s="234" t="str">
        <f t="shared" si="111"/>
        <v/>
      </c>
      <c r="R53" s="211" t="s">
        <v>1082</v>
      </c>
      <c r="S53" s="211" t="s">
        <v>1082</v>
      </c>
      <c r="T53" s="420" t="s">
        <v>1082</v>
      </c>
      <c r="U53" s="420"/>
      <c r="V53" s="149" t="s">
        <v>508</v>
      </c>
      <c r="W53" s="201"/>
      <c r="X53" s="165" t="s">
        <v>491</v>
      </c>
      <c r="Y53" s="123">
        <v>3200</v>
      </c>
      <c r="Z53" s="123">
        <v>0</v>
      </c>
      <c r="AA53" s="145" t="str">
        <f t="shared" si="2"/>
        <v>ok</v>
      </c>
      <c r="AB53" s="201"/>
      <c r="AC53" s="166" t="str">
        <f t="shared" si="8"/>
        <v>국비</v>
      </c>
      <c r="AD53" s="123">
        <v>3200</v>
      </c>
      <c r="AE53" s="123">
        <v>0</v>
      </c>
      <c r="AF53" s="145" t="str">
        <f t="shared" si="107"/>
        <v>ok</v>
      </c>
      <c r="AG53" s="201"/>
      <c r="AH53" s="167" t="s">
        <v>1030</v>
      </c>
      <c r="AI53" s="201"/>
      <c r="AJ53" s="163">
        <f t="shared" si="81"/>
        <v>1</v>
      </c>
      <c r="AK53" s="145" t="str">
        <f t="shared" si="4"/>
        <v>Ok</v>
      </c>
      <c r="AL53" s="201"/>
      <c r="AM53" s="140"/>
      <c r="AN53" s="201"/>
      <c r="AO53" s="142"/>
      <c r="AP53" s="219">
        <f t="shared" si="108"/>
        <v>0</v>
      </c>
      <c r="AQ53" s="144"/>
    </row>
    <row r="54" spans="1:43" ht="60" customHeight="1">
      <c r="A54" s="344" t="s">
        <v>63</v>
      </c>
      <c r="B54" s="344" t="s">
        <v>66</v>
      </c>
      <c r="C54" s="364" t="s">
        <v>67</v>
      </c>
      <c r="D54" s="363" t="s">
        <v>480</v>
      </c>
      <c r="E54" s="363">
        <v>522</v>
      </c>
      <c r="F54" s="363">
        <v>129</v>
      </c>
      <c r="G54" s="411" t="s">
        <v>1106</v>
      </c>
      <c r="H54" s="412">
        <v>48611</v>
      </c>
      <c r="I54" s="413">
        <v>31901</v>
      </c>
      <c r="J54" s="349">
        <f t="shared" si="114"/>
        <v>16710</v>
      </c>
      <c r="K54" s="350"/>
      <c r="L54" s="350">
        <v>6017</v>
      </c>
      <c r="M54" s="414">
        <f t="shared" si="115"/>
        <v>54628</v>
      </c>
      <c r="N54" s="415"/>
      <c r="O54" s="350">
        <v>6107</v>
      </c>
      <c r="P54" s="416">
        <f t="shared" si="116"/>
        <v>54718</v>
      </c>
      <c r="Q54" s="234" t="str">
        <f t="shared" si="111"/>
        <v/>
      </c>
      <c r="R54" s="211" t="s">
        <v>1083</v>
      </c>
      <c r="S54" s="225"/>
      <c r="T54" s="420"/>
      <c r="U54" s="420"/>
      <c r="V54" s="149" t="s">
        <v>490</v>
      </c>
      <c r="W54" s="201"/>
      <c r="X54" s="165" t="s">
        <v>490</v>
      </c>
      <c r="Y54" s="123"/>
      <c r="Z54" s="123">
        <v>6017</v>
      </c>
      <c r="AA54" s="145" t="str">
        <f t="shared" si="2"/>
        <v>ok</v>
      </c>
      <c r="AB54" s="201"/>
      <c r="AC54" s="166" t="str">
        <f t="shared" si="8"/>
        <v>도비</v>
      </c>
      <c r="AD54" s="123">
        <f t="shared" si="112"/>
        <v>0</v>
      </c>
      <c r="AE54" s="123">
        <f t="shared" si="113"/>
        <v>6107</v>
      </c>
      <c r="AF54" s="145" t="str">
        <f t="shared" si="107"/>
        <v>ok</v>
      </c>
      <c r="AG54" s="201"/>
      <c r="AH54" s="167" t="s">
        <v>1021</v>
      </c>
      <c r="AI54" s="201"/>
      <c r="AJ54" s="163">
        <f t="shared" si="81"/>
        <v>65</v>
      </c>
      <c r="AK54" s="145" t="str">
        <f t="shared" si="4"/>
        <v>OK</v>
      </c>
      <c r="AL54" s="201"/>
      <c r="AM54" s="140"/>
      <c r="AN54" s="201"/>
      <c r="AO54" s="142"/>
      <c r="AP54" s="219">
        <f t="shared" si="108"/>
        <v>0</v>
      </c>
      <c r="AQ54" s="144"/>
    </row>
    <row r="55" spans="1:43" ht="63.75" customHeight="1">
      <c r="A55" s="344" t="s">
        <v>63</v>
      </c>
      <c r="B55" s="344" t="s">
        <v>66</v>
      </c>
      <c r="C55" s="364" t="s">
        <v>67</v>
      </c>
      <c r="D55" s="363" t="s">
        <v>480</v>
      </c>
      <c r="E55" s="363">
        <v>522</v>
      </c>
      <c r="F55" s="363">
        <v>129</v>
      </c>
      <c r="G55" s="411" t="s">
        <v>1107</v>
      </c>
      <c r="H55" s="412">
        <v>2326</v>
      </c>
      <c r="I55" s="413">
        <v>1699</v>
      </c>
      <c r="J55" s="349">
        <f t="shared" si="114"/>
        <v>627</v>
      </c>
      <c r="K55" s="350"/>
      <c r="L55" s="350">
        <v>231</v>
      </c>
      <c r="M55" s="414">
        <f t="shared" si="115"/>
        <v>2557</v>
      </c>
      <c r="N55" s="415"/>
      <c r="O55" s="350">
        <v>231</v>
      </c>
      <c r="P55" s="416">
        <f t="shared" si="116"/>
        <v>2557</v>
      </c>
      <c r="Q55" s="234" t="str">
        <f t="shared" si="111"/>
        <v/>
      </c>
      <c r="R55" s="211" t="s">
        <v>1083</v>
      </c>
      <c r="S55" s="225"/>
      <c r="T55" s="420"/>
      <c r="U55" s="421"/>
      <c r="V55" s="149" t="s">
        <v>490</v>
      </c>
      <c r="W55" s="201"/>
      <c r="X55" s="165" t="s">
        <v>490</v>
      </c>
      <c r="Y55" s="123"/>
      <c r="Z55" s="123">
        <v>231</v>
      </c>
      <c r="AA55" s="145" t="str">
        <f t="shared" ref="AA55:AA129" si="117">IFERROR(IF(($K55+$L55)=($Y55+$Z55),"ok","검토"),"검토")</f>
        <v>ok</v>
      </c>
      <c r="AB55" s="201"/>
      <c r="AC55" s="166" t="str">
        <f t="shared" si="8"/>
        <v>도비</v>
      </c>
      <c r="AD55" s="123">
        <f t="shared" si="112"/>
        <v>0</v>
      </c>
      <c r="AE55" s="123">
        <f t="shared" si="113"/>
        <v>231</v>
      </c>
      <c r="AF55" s="145" t="str">
        <f t="shared" si="107"/>
        <v>ok</v>
      </c>
      <c r="AG55" s="201"/>
      <c r="AH55" s="167" t="s">
        <v>1021</v>
      </c>
      <c r="AI55" s="201"/>
      <c r="AJ55" s="163">
        <f t="shared" si="81"/>
        <v>65</v>
      </c>
      <c r="AK55" s="145" t="str">
        <f t="shared" ref="AK55:AK129" si="118">IF(C55="","",IF(AND(X55="도비",AH55="세입없음"),"OK",IF(AND(X55&lt;&gt;"도비",AH55&lt;&gt;""),"Ok","@@")))</f>
        <v>OK</v>
      </c>
      <c r="AL55" s="201"/>
      <c r="AM55" s="140"/>
      <c r="AN55" s="201"/>
      <c r="AO55" s="142"/>
      <c r="AP55" s="219">
        <f t="shared" si="108"/>
        <v>0</v>
      </c>
      <c r="AQ55" s="144"/>
    </row>
    <row r="56" spans="1:43" ht="60" customHeight="1">
      <c r="A56" s="344" t="s">
        <v>63</v>
      </c>
      <c r="B56" s="344" t="s">
        <v>66</v>
      </c>
      <c r="C56" s="364" t="s">
        <v>67</v>
      </c>
      <c r="D56" s="363" t="s">
        <v>480</v>
      </c>
      <c r="E56" s="363">
        <v>522</v>
      </c>
      <c r="F56" s="363">
        <v>129</v>
      </c>
      <c r="G56" s="411" t="s">
        <v>1111</v>
      </c>
      <c r="H56" s="412">
        <v>13310</v>
      </c>
      <c r="I56" s="413">
        <v>10192</v>
      </c>
      <c r="J56" s="349">
        <f t="shared" si="114"/>
        <v>3118</v>
      </c>
      <c r="K56" s="350"/>
      <c r="L56" s="350">
        <v>1645</v>
      </c>
      <c r="M56" s="414">
        <f t="shared" si="115"/>
        <v>14955</v>
      </c>
      <c r="N56" s="415"/>
      <c r="O56" s="350">
        <v>1645</v>
      </c>
      <c r="P56" s="416">
        <f t="shared" si="116"/>
        <v>14955</v>
      </c>
      <c r="Q56" s="234" t="str">
        <f t="shared" si="111"/>
        <v/>
      </c>
      <c r="R56" s="211" t="s">
        <v>1083</v>
      </c>
      <c r="S56" s="225"/>
      <c r="T56" s="420"/>
      <c r="U56" s="421"/>
      <c r="V56" s="149" t="s">
        <v>490</v>
      </c>
      <c r="W56" s="201"/>
      <c r="X56" s="165" t="s">
        <v>490</v>
      </c>
      <c r="Y56" s="123"/>
      <c r="Z56" s="123">
        <v>1645</v>
      </c>
      <c r="AA56" s="145" t="str">
        <f t="shared" si="117"/>
        <v>ok</v>
      </c>
      <c r="AB56" s="201"/>
      <c r="AC56" s="166" t="str">
        <f t="shared" si="8"/>
        <v>도비</v>
      </c>
      <c r="AD56" s="123">
        <f t="shared" si="112"/>
        <v>0</v>
      </c>
      <c r="AE56" s="123">
        <f t="shared" si="113"/>
        <v>1645</v>
      </c>
      <c r="AF56" s="145" t="str">
        <f t="shared" si="107"/>
        <v>ok</v>
      </c>
      <c r="AG56" s="201"/>
      <c r="AH56" s="167" t="s">
        <v>1021</v>
      </c>
      <c r="AI56" s="201"/>
      <c r="AJ56" s="163">
        <f t="shared" si="81"/>
        <v>65</v>
      </c>
      <c r="AK56" s="145" t="str">
        <f t="shared" si="118"/>
        <v>OK</v>
      </c>
      <c r="AL56" s="201"/>
      <c r="AM56" s="140"/>
      <c r="AN56" s="201"/>
      <c r="AO56" s="142"/>
      <c r="AP56" s="219">
        <f t="shared" si="108"/>
        <v>0</v>
      </c>
      <c r="AQ56" s="144"/>
    </row>
    <row r="57" spans="1:43" ht="60" customHeight="1">
      <c r="A57" s="344" t="s">
        <v>63</v>
      </c>
      <c r="B57" s="344" t="s">
        <v>66</v>
      </c>
      <c r="C57" s="364" t="s">
        <v>67</v>
      </c>
      <c r="D57" s="363" t="s">
        <v>480</v>
      </c>
      <c r="E57" s="363">
        <v>522</v>
      </c>
      <c r="F57" s="363">
        <v>129</v>
      </c>
      <c r="G57" s="411" t="s">
        <v>1108</v>
      </c>
      <c r="H57" s="412">
        <v>3120</v>
      </c>
      <c r="I57" s="413">
        <v>0</v>
      </c>
      <c r="J57" s="349">
        <f t="shared" si="114"/>
        <v>3120</v>
      </c>
      <c r="K57" s="350"/>
      <c r="L57" s="350">
        <v>390</v>
      </c>
      <c r="M57" s="414">
        <f t="shared" si="115"/>
        <v>3510</v>
      </c>
      <c r="N57" s="415"/>
      <c r="O57" s="350">
        <v>390</v>
      </c>
      <c r="P57" s="416">
        <f t="shared" si="116"/>
        <v>3510</v>
      </c>
      <c r="Q57" s="234" t="str">
        <f t="shared" si="111"/>
        <v/>
      </c>
      <c r="R57" s="211" t="s">
        <v>1083</v>
      </c>
      <c r="S57" s="225"/>
      <c r="T57" s="420"/>
      <c r="U57" s="421"/>
      <c r="V57" s="149" t="s">
        <v>490</v>
      </c>
      <c r="W57" s="201"/>
      <c r="X57" s="165" t="s">
        <v>490</v>
      </c>
      <c r="Y57" s="123"/>
      <c r="Z57" s="123">
        <v>390</v>
      </c>
      <c r="AA57" s="145" t="str">
        <f t="shared" si="117"/>
        <v>ok</v>
      </c>
      <c r="AB57" s="201"/>
      <c r="AC57" s="166" t="str">
        <f t="shared" si="8"/>
        <v>도비</v>
      </c>
      <c r="AD57" s="123">
        <f t="shared" si="112"/>
        <v>0</v>
      </c>
      <c r="AE57" s="123">
        <f t="shared" si="113"/>
        <v>390</v>
      </c>
      <c r="AF57" s="145" t="str">
        <f t="shared" si="107"/>
        <v>ok</v>
      </c>
      <c r="AG57" s="201"/>
      <c r="AH57" s="167" t="s">
        <v>1021</v>
      </c>
      <c r="AI57" s="201"/>
      <c r="AJ57" s="163">
        <f t="shared" si="81"/>
        <v>65</v>
      </c>
      <c r="AK57" s="145" t="str">
        <f t="shared" si="118"/>
        <v>OK</v>
      </c>
      <c r="AL57" s="201"/>
      <c r="AM57" s="140"/>
      <c r="AN57" s="201"/>
      <c r="AO57" s="142"/>
      <c r="AP57" s="219">
        <f t="shared" si="108"/>
        <v>0</v>
      </c>
      <c r="AQ57" s="144"/>
    </row>
    <row r="58" spans="1:43" ht="60" customHeight="1">
      <c r="A58" s="344" t="s">
        <v>63</v>
      </c>
      <c r="B58" s="344" t="s">
        <v>66</v>
      </c>
      <c r="C58" s="364" t="s">
        <v>67</v>
      </c>
      <c r="D58" s="363" t="s">
        <v>480</v>
      </c>
      <c r="E58" s="363">
        <v>522</v>
      </c>
      <c r="F58" s="363">
        <v>129</v>
      </c>
      <c r="G58" s="411" t="s">
        <v>1110</v>
      </c>
      <c r="H58" s="412">
        <v>3600</v>
      </c>
      <c r="I58" s="413">
        <v>3600</v>
      </c>
      <c r="J58" s="349">
        <f t="shared" si="114"/>
        <v>0</v>
      </c>
      <c r="K58" s="350"/>
      <c r="L58" s="350">
        <v>1080</v>
      </c>
      <c r="M58" s="414">
        <f t="shared" si="115"/>
        <v>4680</v>
      </c>
      <c r="N58" s="415"/>
      <c r="O58" s="350">
        <v>1080</v>
      </c>
      <c r="P58" s="416">
        <f t="shared" si="116"/>
        <v>4680</v>
      </c>
      <c r="Q58" s="234" t="str">
        <f t="shared" si="111"/>
        <v/>
      </c>
      <c r="R58" s="211" t="s">
        <v>1083</v>
      </c>
      <c r="S58" s="225"/>
      <c r="T58" s="420"/>
      <c r="U58" s="421"/>
      <c r="V58" s="149" t="s">
        <v>490</v>
      </c>
      <c r="W58" s="201"/>
      <c r="X58" s="165" t="s">
        <v>490</v>
      </c>
      <c r="Y58" s="123"/>
      <c r="Z58" s="123">
        <v>1080</v>
      </c>
      <c r="AA58" s="145" t="str">
        <f t="shared" si="117"/>
        <v>ok</v>
      </c>
      <c r="AB58" s="201"/>
      <c r="AC58" s="166" t="str">
        <f t="shared" si="8"/>
        <v>도비</v>
      </c>
      <c r="AD58" s="123">
        <f t="shared" si="112"/>
        <v>0</v>
      </c>
      <c r="AE58" s="123">
        <f t="shared" si="113"/>
        <v>1080</v>
      </c>
      <c r="AF58" s="145" t="str">
        <f t="shared" si="107"/>
        <v>ok</v>
      </c>
      <c r="AG58" s="201"/>
      <c r="AH58" s="167" t="s">
        <v>1021</v>
      </c>
      <c r="AI58" s="201"/>
      <c r="AJ58" s="163">
        <f t="shared" si="81"/>
        <v>65</v>
      </c>
      <c r="AK58" s="145" t="str">
        <f t="shared" si="118"/>
        <v>OK</v>
      </c>
      <c r="AL58" s="201"/>
      <c r="AM58" s="140"/>
      <c r="AN58" s="201"/>
      <c r="AO58" s="142"/>
      <c r="AP58" s="219">
        <f t="shared" si="108"/>
        <v>0</v>
      </c>
      <c r="AQ58" s="144"/>
    </row>
    <row r="59" spans="1:43" ht="60" customHeight="1">
      <c r="A59" s="344" t="s">
        <v>63</v>
      </c>
      <c r="B59" s="344" t="s">
        <v>66</v>
      </c>
      <c r="C59" s="364" t="s">
        <v>67</v>
      </c>
      <c r="D59" s="363" t="s">
        <v>480</v>
      </c>
      <c r="E59" s="363">
        <v>522</v>
      </c>
      <c r="F59" s="363">
        <v>129</v>
      </c>
      <c r="G59" s="411" t="s">
        <v>1109</v>
      </c>
      <c r="H59" s="412">
        <v>400</v>
      </c>
      <c r="I59" s="413">
        <v>400</v>
      </c>
      <c r="J59" s="349">
        <f t="shared" si="114"/>
        <v>0</v>
      </c>
      <c r="K59" s="350"/>
      <c r="L59" s="350">
        <v>200</v>
      </c>
      <c r="M59" s="414">
        <f t="shared" si="115"/>
        <v>600</v>
      </c>
      <c r="N59" s="415"/>
      <c r="O59" s="350">
        <v>200</v>
      </c>
      <c r="P59" s="416">
        <f t="shared" si="116"/>
        <v>600</v>
      </c>
      <c r="Q59" s="234" t="str">
        <f t="shared" si="111"/>
        <v/>
      </c>
      <c r="R59" s="211" t="s">
        <v>1083</v>
      </c>
      <c r="S59" s="225"/>
      <c r="T59" s="420"/>
      <c r="U59" s="421"/>
      <c r="V59" s="149" t="s">
        <v>490</v>
      </c>
      <c r="W59" s="201"/>
      <c r="X59" s="165" t="s">
        <v>490</v>
      </c>
      <c r="Y59" s="123"/>
      <c r="Z59" s="123">
        <v>200</v>
      </c>
      <c r="AA59" s="145" t="str">
        <f t="shared" si="117"/>
        <v>ok</v>
      </c>
      <c r="AB59" s="201"/>
      <c r="AC59" s="166" t="str">
        <f t="shared" si="8"/>
        <v>도비</v>
      </c>
      <c r="AD59" s="123">
        <f t="shared" si="112"/>
        <v>0</v>
      </c>
      <c r="AE59" s="123">
        <f t="shared" si="113"/>
        <v>200</v>
      </c>
      <c r="AF59" s="145" t="str">
        <f t="shared" si="107"/>
        <v>ok</v>
      </c>
      <c r="AG59" s="201"/>
      <c r="AH59" s="167" t="s">
        <v>1021</v>
      </c>
      <c r="AI59" s="201"/>
      <c r="AJ59" s="163">
        <f t="shared" si="81"/>
        <v>65</v>
      </c>
      <c r="AK59" s="145" t="str">
        <f t="shared" si="118"/>
        <v>OK</v>
      </c>
      <c r="AL59" s="201"/>
      <c r="AM59" s="140"/>
      <c r="AN59" s="201"/>
      <c r="AO59" s="142"/>
      <c r="AP59" s="219">
        <f t="shared" si="108"/>
        <v>0</v>
      </c>
      <c r="AQ59" s="144"/>
    </row>
    <row r="60" spans="1:43" ht="60" customHeight="1">
      <c r="A60" s="344" t="s">
        <v>63</v>
      </c>
      <c r="B60" s="344" t="s">
        <v>66</v>
      </c>
      <c r="C60" s="364" t="s">
        <v>300</v>
      </c>
      <c r="D60" s="363" t="s">
        <v>480</v>
      </c>
      <c r="E60" s="363" t="s">
        <v>499</v>
      </c>
      <c r="F60" s="363" t="s">
        <v>499</v>
      </c>
      <c r="G60" s="411" t="s">
        <v>1034</v>
      </c>
      <c r="H60" s="412">
        <v>0</v>
      </c>
      <c r="I60" s="413">
        <v>0</v>
      </c>
      <c r="J60" s="349">
        <f t="shared" si="114"/>
        <v>0</v>
      </c>
      <c r="K60" s="350"/>
      <c r="L60" s="350">
        <v>200000</v>
      </c>
      <c r="M60" s="414">
        <f t="shared" si="115"/>
        <v>200000</v>
      </c>
      <c r="N60" s="415"/>
      <c r="O60" s="350">
        <v>200000</v>
      </c>
      <c r="P60" s="416">
        <f t="shared" si="116"/>
        <v>200000</v>
      </c>
      <c r="Q60" s="234" t="str">
        <f t="shared" si="111"/>
        <v/>
      </c>
      <c r="R60" s="211" t="s">
        <v>1084</v>
      </c>
      <c r="S60" s="211" t="s">
        <v>1084</v>
      </c>
      <c r="T60" s="420" t="s">
        <v>1084</v>
      </c>
      <c r="U60" s="421"/>
      <c r="V60" s="149" t="s">
        <v>508</v>
      </c>
      <c r="W60" s="201"/>
      <c r="X60" s="165" t="s">
        <v>1016</v>
      </c>
      <c r="Y60" s="123">
        <v>200000</v>
      </c>
      <c r="Z60" s="123"/>
      <c r="AA60" s="145" t="str">
        <f t="shared" si="117"/>
        <v>ok</v>
      </c>
      <c r="AB60" s="201"/>
      <c r="AC60" s="166" t="str">
        <f t="shared" si="8"/>
        <v>특교</v>
      </c>
      <c r="AD60" s="123">
        <v>200000</v>
      </c>
      <c r="AE60" s="123">
        <v>0</v>
      </c>
      <c r="AF60" s="145" t="str">
        <f t="shared" si="107"/>
        <v>ok</v>
      </c>
      <c r="AG60" s="201"/>
      <c r="AH60" s="167" t="s">
        <v>1033</v>
      </c>
      <c r="AI60" s="201"/>
      <c r="AJ60" s="163">
        <f t="shared" si="81"/>
        <v>1</v>
      </c>
      <c r="AK60" s="145" t="str">
        <f t="shared" si="118"/>
        <v>Ok</v>
      </c>
      <c r="AL60" s="201"/>
      <c r="AM60" s="140"/>
      <c r="AN60" s="201"/>
      <c r="AO60" s="142"/>
      <c r="AP60" s="219">
        <f t="shared" si="108"/>
        <v>0</v>
      </c>
      <c r="AQ60" s="144"/>
    </row>
    <row r="61" spans="1:43" ht="60" customHeight="1">
      <c r="A61" s="344" t="s">
        <v>63</v>
      </c>
      <c r="B61" s="344" t="s">
        <v>312</v>
      </c>
      <c r="C61" s="364" t="s">
        <v>149</v>
      </c>
      <c r="D61" s="363" t="s">
        <v>480</v>
      </c>
      <c r="E61" s="363">
        <v>545</v>
      </c>
      <c r="F61" s="363">
        <v>16</v>
      </c>
      <c r="G61" s="411" t="s">
        <v>1035</v>
      </c>
      <c r="H61" s="412">
        <v>26594</v>
      </c>
      <c r="I61" s="413">
        <v>0</v>
      </c>
      <c r="J61" s="349">
        <f t="shared" si="114"/>
        <v>26594</v>
      </c>
      <c r="K61" s="350">
        <v>-26594</v>
      </c>
      <c r="L61" s="350"/>
      <c r="M61" s="414">
        <f t="shared" si="115"/>
        <v>0</v>
      </c>
      <c r="N61" s="415">
        <v>-26594</v>
      </c>
      <c r="O61" s="350"/>
      <c r="P61" s="416">
        <f t="shared" si="116"/>
        <v>0</v>
      </c>
      <c r="Q61" s="234" t="str">
        <f t="shared" si="111"/>
        <v/>
      </c>
      <c r="R61" s="211" t="s">
        <v>1085</v>
      </c>
      <c r="S61" s="225"/>
      <c r="T61" s="420"/>
      <c r="U61" s="421"/>
      <c r="V61" s="149" t="s">
        <v>490</v>
      </c>
      <c r="W61" s="201"/>
      <c r="X61" s="165" t="s">
        <v>490</v>
      </c>
      <c r="Y61" s="123"/>
      <c r="Z61" s="123">
        <v>-26594</v>
      </c>
      <c r="AA61" s="145" t="str">
        <f t="shared" si="117"/>
        <v>ok</v>
      </c>
      <c r="AB61" s="201"/>
      <c r="AC61" s="166" t="str">
        <f t="shared" si="8"/>
        <v>도비</v>
      </c>
      <c r="AD61" s="123">
        <f t="shared" si="112"/>
        <v>0</v>
      </c>
      <c r="AE61" s="123">
        <f t="shared" si="113"/>
        <v>-26594</v>
      </c>
      <c r="AF61" s="145" t="str">
        <f t="shared" si="107"/>
        <v>ok</v>
      </c>
      <c r="AG61" s="201"/>
      <c r="AH61" s="167" t="s">
        <v>1021</v>
      </c>
      <c r="AI61" s="201"/>
      <c r="AJ61" s="163">
        <f t="shared" si="81"/>
        <v>65</v>
      </c>
      <c r="AK61" s="145" t="str">
        <f t="shared" si="118"/>
        <v>OK</v>
      </c>
      <c r="AL61" s="201"/>
      <c r="AM61" s="140"/>
      <c r="AN61" s="201"/>
      <c r="AO61" s="142"/>
      <c r="AP61" s="219">
        <f t="shared" si="108"/>
        <v>0</v>
      </c>
      <c r="AQ61" s="144"/>
    </row>
    <row r="62" spans="1:43" ht="60" customHeight="1">
      <c r="A62" s="417" t="s">
        <v>63</v>
      </c>
      <c r="B62" s="344" t="s">
        <v>66</v>
      </c>
      <c r="C62" s="364" t="s">
        <v>300</v>
      </c>
      <c r="D62" s="363" t="s">
        <v>480</v>
      </c>
      <c r="E62" s="363">
        <v>537</v>
      </c>
      <c r="F62" s="363"/>
      <c r="G62" s="411" t="s">
        <v>1133</v>
      </c>
      <c r="H62" s="412">
        <v>40000</v>
      </c>
      <c r="I62" s="413">
        <v>0</v>
      </c>
      <c r="J62" s="349">
        <f t="shared" si="114"/>
        <v>40000</v>
      </c>
      <c r="K62" s="350"/>
      <c r="L62" s="350"/>
      <c r="M62" s="414">
        <f t="shared" si="115"/>
        <v>40000</v>
      </c>
      <c r="N62" s="415"/>
      <c r="O62" s="350"/>
      <c r="P62" s="416">
        <f t="shared" si="116"/>
        <v>40000</v>
      </c>
      <c r="Q62" s="234" t="str">
        <f t="shared" si="111"/>
        <v/>
      </c>
      <c r="R62" s="211"/>
      <c r="S62" s="223"/>
      <c r="T62" s="421"/>
      <c r="U62" s="429"/>
      <c r="V62" s="149" t="s">
        <v>1118</v>
      </c>
      <c r="W62" s="201"/>
      <c r="X62" s="165" t="s">
        <v>1118</v>
      </c>
      <c r="Y62" s="123">
        <f>IF($X62&lt;&gt;"도비",IF($V62="국도비","직접입력",SUM($K62:$L62)),)</f>
        <v>0</v>
      </c>
      <c r="Z62" s="123">
        <f>IF($X62="도비",SUM($K62:$L62),IF($V62="국도비","직접입력",SUM($K62:$L62)-$Y62))</f>
        <v>0</v>
      </c>
      <c r="AA62" s="145" t="str">
        <f t="shared" si="117"/>
        <v>ok</v>
      </c>
      <c r="AB62" s="201"/>
      <c r="AC62" s="166" t="str">
        <f t="shared" ref="AC62:AC74" si="119">IF(X62="","",$X62)</f>
        <v>도비</v>
      </c>
      <c r="AD62" s="123">
        <f t="shared" ref="AD62" si="120">IF($X62&lt;&gt;"도비",IF($V62="국도비","직접입력",SUM(N62:O62)),)</f>
        <v>0</v>
      </c>
      <c r="AE62" s="123">
        <f t="shared" si="113"/>
        <v>0</v>
      </c>
      <c r="AF62" s="145" t="str">
        <f t="shared" si="107"/>
        <v>ok</v>
      </c>
      <c r="AG62" s="201"/>
      <c r="AH62" s="167" t="s">
        <v>604</v>
      </c>
      <c r="AI62" s="201"/>
      <c r="AJ62" s="163">
        <f t="shared" si="81"/>
        <v>65</v>
      </c>
      <c r="AK62" s="145" t="str">
        <f t="shared" si="118"/>
        <v>OK</v>
      </c>
      <c r="AL62" s="201"/>
      <c r="AM62" s="140"/>
      <c r="AN62" s="201"/>
      <c r="AO62" s="142"/>
      <c r="AP62" s="219">
        <f t="shared" si="108"/>
        <v>0</v>
      </c>
      <c r="AQ62" s="219"/>
    </row>
    <row r="63" spans="1:43" ht="60" customHeight="1">
      <c r="A63" s="344" t="s">
        <v>63</v>
      </c>
      <c r="B63" s="344" t="s">
        <v>66</v>
      </c>
      <c r="C63" s="364" t="s">
        <v>296</v>
      </c>
      <c r="D63" s="363" t="s">
        <v>501</v>
      </c>
      <c r="E63" s="363"/>
      <c r="F63" s="363"/>
      <c r="G63" s="411" t="s">
        <v>1144</v>
      </c>
      <c r="H63" s="412">
        <v>9839773</v>
      </c>
      <c r="I63" s="413">
        <v>9839773</v>
      </c>
      <c r="J63" s="349">
        <f t="shared" ref="J63:J65" si="121">IF(D63="","",H63-I63)</f>
        <v>0</v>
      </c>
      <c r="K63" s="350"/>
      <c r="L63" s="350"/>
      <c r="M63" s="414">
        <f t="shared" ref="M63:M65" si="122">H63+K63+L63</f>
        <v>9839773</v>
      </c>
      <c r="N63" s="415"/>
      <c r="O63" s="350">
        <v>69465</v>
      </c>
      <c r="P63" s="416">
        <f t="shared" ref="P63:P65" si="123">H63+N63+O63</f>
        <v>9909238</v>
      </c>
      <c r="Q63" s="234" t="str">
        <f t="shared" si="111"/>
        <v/>
      </c>
      <c r="R63" s="211"/>
      <c r="S63" s="223"/>
      <c r="T63" s="421" t="s">
        <v>1150</v>
      </c>
      <c r="U63" s="429"/>
      <c r="V63" s="149" t="s">
        <v>1156</v>
      </c>
      <c r="W63" s="201"/>
      <c r="X63" s="165" t="s">
        <v>1143</v>
      </c>
      <c r="Y63" s="123"/>
      <c r="Z63" s="123"/>
      <c r="AA63" s="145" t="str">
        <f t="shared" si="117"/>
        <v>ok</v>
      </c>
      <c r="AB63" s="201"/>
      <c r="AC63" s="166" t="str">
        <f t="shared" ref="AC63:AC65" si="124">IF(X63="","",$X63)</f>
        <v>국비</v>
      </c>
      <c r="AD63" s="123">
        <v>53435</v>
      </c>
      <c r="AE63" s="123">
        <v>16030</v>
      </c>
      <c r="AF63" s="145" t="str">
        <f t="shared" ref="AF63:AF65" si="125">IFERROR(IF((N63+O63)=(AD63+AE63),"ok","검토"),"검토")</f>
        <v>ok</v>
      </c>
      <c r="AG63" s="201"/>
      <c r="AH63" s="167" t="s">
        <v>1160</v>
      </c>
      <c r="AI63" s="201"/>
      <c r="AJ63" s="163">
        <f t="shared" si="81"/>
        <v>4</v>
      </c>
      <c r="AK63" s="145" t="str">
        <f t="shared" ref="AK63:AK65" si="126">IF(C63="","",IF(AND(X63="도비",AH63="세입없음"),"OK",IF(AND(X63&lt;&gt;"도비",AH63&lt;&gt;""),"Ok","@@")))</f>
        <v>Ok</v>
      </c>
      <c r="AL63" s="201"/>
      <c r="AM63" s="140"/>
      <c r="AN63" s="201"/>
      <c r="AO63" s="142" t="s">
        <v>1142</v>
      </c>
      <c r="AP63" s="219">
        <f t="shared" si="108"/>
        <v>0</v>
      </c>
      <c r="AQ63" s="219"/>
    </row>
    <row r="64" spans="1:43" ht="60" customHeight="1">
      <c r="A64" s="344" t="s">
        <v>63</v>
      </c>
      <c r="B64" s="344" t="s">
        <v>66</v>
      </c>
      <c r="C64" s="364" t="s">
        <v>300</v>
      </c>
      <c r="D64" s="363" t="s">
        <v>480</v>
      </c>
      <c r="E64" s="363">
        <v>536</v>
      </c>
      <c r="F64" s="363"/>
      <c r="G64" s="411" t="s">
        <v>1145</v>
      </c>
      <c r="H64" s="412">
        <v>775921</v>
      </c>
      <c r="I64" s="413">
        <v>778391</v>
      </c>
      <c r="J64" s="349">
        <f t="shared" si="121"/>
        <v>-2470</v>
      </c>
      <c r="K64" s="350"/>
      <c r="L64" s="350"/>
      <c r="M64" s="414">
        <f t="shared" si="122"/>
        <v>775921</v>
      </c>
      <c r="N64" s="415"/>
      <c r="O64" s="350">
        <v>89638</v>
      </c>
      <c r="P64" s="416">
        <f t="shared" si="123"/>
        <v>865559</v>
      </c>
      <c r="Q64" s="234" t="str">
        <f t="shared" si="111"/>
        <v/>
      </c>
      <c r="R64" s="211"/>
      <c r="S64" s="223"/>
      <c r="T64" s="421" t="s">
        <v>1151</v>
      </c>
      <c r="U64" s="429"/>
      <c r="V64" s="149" t="s">
        <v>1156</v>
      </c>
      <c r="W64" s="201"/>
      <c r="X64" s="165" t="s">
        <v>1143</v>
      </c>
      <c r="Y64" s="123"/>
      <c r="Z64" s="123"/>
      <c r="AA64" s="145" t="str">
        <f t="shared" si="117"/>
        <v>ok</v>
      </c>
      <c r="AB64" s="201"/>
      <c r="AC64" s="166" t="str">
        <f t="shared" si="124"/>
        <v>국비</v>
      </c>
      <c r="AD64" s="123">
        <v>44819</v>
      </c>
      <c r="AE64" s="123">
        <v>44819</v>
      </c>
      <c r="AF64" s="145" t="str">
        <f t="shared" si="125"/>
        <v>ok</v>
      </c>
      <c r="AG64" s="201"/>
      <c r="AH64" s="167" t="s">
        <v>1160</v>
      </c>
      <c r="AI64" s="201"/>
      <c r="AJ64" s="163">
        <f t="shared" si="81"/>
        <v>4</v>
      </c>
      <c r="AK64" s="145" t="str">
        <f t="shared" si="126"/>
        <v>Ok</v>
      </c>
      <c r="AL64" s="201"/>
      <c r="AM64" s="140"/>
      <c r="AN64" s="201"/>
      <c r="AO64" s="142" t="s">
        <v>1142</v>
      </c>
      <c r="AP64" s="219">
        <f t="shared" si="108"/>
        <v>0</v>
      </c>
      <c r="AQ64" s="219"/>
    </row>
    <row r="65" spans="1:43" ht="60" customHeight="1">
      <c r="A65" s="344" t="s">
        <v>63</v>
      </c>
      <c r="B65" s="344" t="s">
        <v>66</v>
      </c>
      <c r="C65" s="364" t="s">
        <v>300</v>
      </c>
      <c r="D65" s="363" t="s">
        <v>480</v>
      </c>
      <c r="E65" s="363">
        <v>536</v>
      </c>
      <c r="F65" s="363"/>
      <c r="G65" s="411" t="s">
        <v>1146</v>
      </c>
      <c r="H65" s="412">
        <v>13182</v>
      </c>
      <c r="I65" s="413">
        <v>13224</v>
      </c>
      <c r="J65" s="349">
        <f t="shared" si="121"/>
        <v>-42</v>
      </c>
      <c r="K65" s="350"/>
      <c r="L65" s="350"/>
      <c r="M65" s="414">
        <f t="shared" si="122"/>
        <v>13182</v>
      </c>
      <c r="N65" s="415"/>
      <c r="O65" s="350">
        <v>2654</v>
      </c>
      <c r="P65" s="416">
        <f t="shared" si="123"/>
        <v>15836</v>
      </c>
      <c r="Q65" s="234" t="str">
        <f t="shared" si="111"/>
        <v/>
      </c>
      <c r="R65" s="211"/>
      <c r="S65" s="223"/>
      <c r="T65" s="421" t="s">
        <v>1152</v>
      </c>
      <c r="U65" s="429"/>
      <c r="V65" s="149" t="s">
        <v>1156</v>
      </c>
      <c r="W65" s="201"/>
      <c r="X65" s="165" t="s">
        <v>1143</v>
      </c>
      <c r="Y65" s="123"/>
      <c r="Z65" s="123"/>
      <c r="AA65" s="145" t="str">
        <f t="shared" si="117"/>
        <v>ok</v>
      </c>
      <c r="AB65" s="201"/>
      <c r="AC65" s="166" t="str">
        <f t="shared" si="124"/>
        <v>국비</v>
      </c>
      <c r="AD65" s="123">
        <v>1327</v>
      </c>
      <c r="AE65" s="123">
        <v>1327</v>
      </c>
      <c r="AF65" s="145" t="str">
        <f t="shared" si="125"/>
        <v>ok</v>
      </c>
      <c r="AG65" s="201"/>
      <c r="AH65" s="167" t="s">
        <v>1160</v>
      </c>
      <c r="AI65" s="201"/>
      <c r="AJ65" s="163">
        <f t="shared" si="81"/>
        <v>4</v>
      </c>
      <c r="AK65" s="145" t="str">
        <f t="shared" si="126"/>
        <v>Ok</v>
      </c>
      <c r="AL65" s="201"/>
      <c r="AM65" s="140"/>
      <c r="AN65" s="201"/>
      <c r="AO65" s="142" t="s">
        <v>1142</v>
      </c>
      <c r="AP65" s="219">
        <f t="shared" si="108"/>
        <v>0</v>
      </c>
      <c r="AQ65" s="219"/>
    </row>
    <row r="66" spans="1:43" ht="60" customHeight="1">
      <c r="A66" s="344" t="s">
        <v>63</v>
      </c>
      <c r="B66" s="344" t="s">
        <v>66</v>
      </c>
      <c r="C66" s="364" t="s">
        <v>300</v>
      </c>
      <c r="D66" s="363" t="s">
        <v>480</v>
      </c>
      <c r="E66" s="363">
        <v>536</v>
      </c>
      <c r="F66" s="363"/>
      <c r="G66" s="411" t="s">
        <v>1147</v>
      </c>
      <c r="H66" s="412">
        <v>5002</v>
      </c>
      <c r="I66" s="413">
        <v>5018</v>
      </c>
      <c r="J66" s="349">
        <f t="shared" si="114"/>
        <v>-16</v>
      </c>
      <c r="K66" s="350"/>
      <c r="L66" s="350"/>
      <c r="M66" s="414">
        <f t="shared" si="115"/>
        <v>5002</v>
      </c>
      <c r="N66" s="415"/>
      <c r="O66" s="350">
        <v>838</v>
      </c>
      <c r="P66" s="416">
        <f t="shared" si="116"/>
        <v>5840</v>
      </c>
      <c r="Q66" s="234" t="str">
        <f t="shared" si="111"/>
        <v/>
      </c>
      <c r="R66" s="211"/>
      <c r="S66" s="223"/>
      <c r="T66" s="421" t="s">
        <v>1153</v>
      </c>
      <c r="U66" s="419"/>
      <c r="V66" s="149" t="s">
        <v>1156</v>
      </c>
      <c r="W66" s="201"/>
      <c r="X66" s="165" t="s">
        <v>1143</v>
      </c>
      <c r="Y66" s="123"/>
      <c r="Z66" s="123"/>
      <c r="AA66" s="145" t="str">
        <f t="shared" si="117"/>
        <v>ok</v>
      </c>
      <c r="AB66" s="201"/>
      <c r="AC66" s="166" t="str">
        <f t="shared" si="119"/>
        <v>국비</v>
      </c>
      <c r="AD66" s="123">
        <v>419</v>
      </c>
      <c r="AE66" s="123">
        <v>419</v>
      </c>
      <c r="AF66" s="145" t="str">
        <f t="shared" si="107"/>
        <v>ok</v>
      </c>
      <c r="AG66" s="201"/>
      <c r="AH66" s="167" t="s">
        <v>1160</v>
      </c>
      <c r="AI66" s="201"/>
      <c r="AJ66" s="163">
        <f t="shared" si="81"/>
        <v>4</v>
      </c>
      <c r="AK66" s="145" t="str">
        <f t="shared" si="118"/>
        <v>Ok</v>
      </c>
      <c r="AL66" s="201"/>
      <c r="AM66" s="140"/>
      <c r="AN66" s="201"/>
      <c r="AO66" s="142" t="s">
        <v>1142</v>
      </c>
      <c r="AP66" s="219">
        <f t="shared" si="108"/>
        <v>0</v>
      </c>
      <c r="AQ66" s="219"/>
    </row>
    <row r="67" spans="1:43" ht="60" customHeight="1">
      <c r="A67" s="344" t="s">
        <v>63</v>
      </c>
      <c r="B67" s="344" t="s">
        <v>66</v>
      </c>
      <c r="C67" s="364" t="s">
        <v>296</v>
      </c>
      <c r="D67" s="363" t="s">
        <v>480</v>
      </c>
      <c r="E67" s="363">
        <v>524</v>
      </c>
      <c r="F67" s="363"/>
      <c r="G67" s="411" t="s">
        <v>1148</v>
      </c>
      <c r="H67" s="412">
        <v>9680653</v>
      </c>
      <c r="I67" s="413">
        <v>8627082</v>
      </c>
      <c r="J67" s="349">
        <f t="shared" si="114"/>
        <v>1053571</v>
      </c>
      <c r="K67" s="350"/>
      <c r="L67" s="350"/>
      <c r="M67" s="414">
        <f t="shared" si="115"/>
        <v>9680653</v>
      </c>
      <c r="N67" s="415"/>
      <c r="O67" s="350">
        <v>1918800</v>
      </c>
      <c r="P67" s="416">
        <f t="shared" si="116"/>
        <v>11599453</v>
      </c>
      <c r="Q67" s="234" t="str">
        <f t="shared" si="111"/>
        <v/>
      </c>
      <c r="R67" s="211"/>
      <c r="S67" s="223"/>
      <c r="T67" s="421" t="s">
        <v>1154</v>
      </c>
      <c r="U67" s="420"/>
      <c r="V67" s="149" t="s">
        <v>1156</v>
      </c>
      <c r="W67" s="201"/>
      <c r="X67" s="165" t="s">
        <v>1143</v>
      </c>
      <c r="Y67" s="123"/>
      <c r="Z67" s="123"/>
      <c r="AA67" s="145" t="str">
        <f t="shared" si="117"/>
        <v>ok</v>
      </c>
      <c r="AB67" s="201"/>
      <c r="AC67" s="166" t="str">
        <f t="shared" si="119"/>
        <v>국비</v>
      </c>
      <c r="AD67" s="123">
        <v>1476000</v>
      </c>
      <c r="AE67" s="123">
        <v>442800</v>
      </c>
      <c r="AF67" s="145" t="str">
        <f t="shared" si="107"/>
        <v>ok</v>
      </c>
      <c r="AG67" s="201"/>
      <c r="AH67" s="167" t="s">
        <v>1161</v>
      </c>
      <c r="AI67" s="201"/>
      <c r="AJ67" s="163">
        <f t="shared" si="81"/>
        <v>2</v>
      </c>
      <c r="AK67" s="145" t="str">
        <f t="shared" si="118"/>
        <v>Ok</v>
      </c>
      <c r="AL67" s="201"/>
      <c r="AM67" s="140"/>
      <c r="AN67" s="201"/>
      <c r="AO67" s="142" t="s">
        <v>1142</v>
      </c>
      <c r="AP67" s="219">
        <f t="shared" si="108"/>
        <v>0</v>
      </c>
      <c r="AQ67" s="219"/>
    </row>
    <row r="68" spans="1:43" ht="60" customHeight="1">
      <c r="A68" s="344" t="s">
        <v>63</v>
      </c>
      <c r="B68" s="344" t="s">
        <v>66</v>
      </c>
      <c r="C68" s="364" t="s">
        <v>300</v>
      </c>
      <c r="D68" s="363" t="s">
        <v>499</v>
      </c>
      <c r="E68" s="363"/>
      <c r="F68" s="363"/>
      <c r="G68" s="411" t="s">
        <v>1149</v>
      </c>
      <c r="H68" s="412">
        <v>0</v>
      </c>
      <c r="I68" s="413">
        <v>0</v>
      </c>
      <c r="J68" s="349">
        <f t="shared" si="114"/>
        <v>0</v>
      </c>
      <c r="K68" s="350"/>
      <c r="L68" s="350"/>
      <c r="M68" s="414">
        <f t="shared" si="115"/>
        <v>0</v>
      </c>
      <c r="N68" s="415"/>
      <c r="O68" s="350">
        <v>118000</v>
      </c>
      <c r="P68" s="416">
        <f t="shared" si="116"/>
        <v>118000</v>
      </c>
      <c r="Q68" s="234" t="str">
        <f t="shared" si="111"/>
        <v>동의</v>
      </c>
      <c r="R68" s="211"/>
      <c r="S68" s="223"/>
      <c r="T68" s="421" t="s">
        <v>1155</v>
      </c>
      <c r="U68" s="429"/>
      <c r="V68" s="149" t="s">
        <v>1156</v>
      </c>
      <c r="W68" s="201"/>
      <c r="X68" s="165" t="s">
        <v>1143</v>
      </c>
      <c r="Y68" s="123"/>
      <c r="Z68" s="123"/>
      <c r="AA68" s="145" t="str">
        <f t="shared" si="117"/>
        <v>ok</v>
      </c>
      <c r="AB68" s="201"/>
      <c r="AC68" s="166" t="str">
        <f t="shared" si="119"/>
        <v>국비</v>
      </c>
      <c r="AD68" s="123">
        <v>59000</v>
      </c>
      <c r="AE68" s="123">
        <v>59000</v>
      </c>
      <c r="AF68" s="145" t="str">
        <f t="shared" si="107"/>
        <v>ok</v>
      </c>
      <c r="AG68" s="201"/>
      <c r="AH68" s="167" t="s">
        <v>1161</v>
      </c>
      <c r="AI68" s="201"/>
      <c r="AJ68" s="163">
        <f t="shared" si="81"/>
        <v>2</v>
      </c>
      <c r="AK68" s="145" t="str">
        <f t="shared" si="118"/>
        <v>Ok</v>
      </c>
      <c r="AL68" s="201"/>
      <c r="AM68" s="140"/>
      <c r="AN68" s="201"/>
      <c r="AO68" s="142" t="s">
        <v>1142</v>
      </c>
      <c r="AP68" s="219">
        <f t="shared" si="108"/>
        <v>0</v>
      </c>
      <c r="AQ68" s="219"/>
    </row>
    <row r="69" spans="1:43" ht="60" customHeight="1">
      <c r="A69" s="344" t="s">
        <v>63</v>
      </c>
      <c r="B69" s="344" t="s">
        <v>1168</v>
      </c>
      <c r="C69" s="364" t="s">
        <v>1169</v>
      </c>
      <c r="D69" s="363" t="s">
        <v>1170</v>
      </c>
      <c r="E69" s="363">
        <v>374</v>
      </c>
      <c r="F69" s="363"/>
      <c r="G69" s="411" t="s">
        <v>1172</v>
      </c>
      <c r="H69" s="412">
        <v>100000</v>
      </c>
      <c r="I69" s="413">
        <v>100000</v>
      </c>
      <c r="J69" s="349">
        <f t="shared" ref="J69:J72" si="127">IF(D69="","",H69-I69)</f>
        <v>0</v>
      </c>
      <c r="K69" s="350"/>
      <c r="L69" s="350"/>
      <c r="M69" s="414">
        <f t="shared" ref="M69:M72" si="128">H69+K69+L69</f>
        <v>100000</v>
      </c>
      <c r="N69" s="415">
        <v>-100000</v>
      </c>
      <c r="O69" s="350"/>
      <c r="P69" s="416">
        <f t="shared" ref="P69:P72" si="129">H69+N69+O69</f>
        <v>0</v>
      </c>
      <c r="Q69" s="234" t="str">
        <f t="shared" si="111"/>
        <v/>
      </c>
      <c r="R69" s="211"/>
      <c r="S69" s="225"/>
      <c r="T69" s="429"/>
      <c r="U69" s="429"/>
      <c r="V69" s="149" t="s">
        <v>1182</v>
      </c>
      <c r="W69" s="201"/>
      <c r="X69" s="165" t="s">
        <v>1182</v>
      </c>
      <c r="Y69" s="123">
        <f>IF($X69&lt;&gt;"도비",IF($V69="국도비","직접입력",SUM($K69:$L69)),)</f>
        <v>0</v>
      </c>
      <c r="Z69" s="123">
        <f>IF($X69="도비",SUM($K69:$L69),IF($V69="국도비","직접입력",SUM($K69:$L69)-$Y69))</f>
        <v>0</v>
      </c>
      <c r="AA69" s="145" t="str">
        <f t="shared" si="117"/>
        <v>ok</v>
      </c>
      <c r="AB69" s="201"/>
      <c r="AC69" s="166" t="str">
        <f t="shared" si="119"/>
        <v>도비</v>
      </c>
      <c r="AD69" s="123">
        <f t="shared" ref="AD69:AD70" si="130">IF($X69&lt;&gt;"도비",IF($V69="국도비","직접입력",SUM(N69:O69)),)</f>
        <v>0</v>
      </c>
      <c r="AE69" s="123">
        <f t="shared" ref="AE69:AE70" si="131">IF($X69="도비",SUM(N69:O69),IF($V69="국도비","직접입력",SUM(N69:O69)-AD69))</f>
        <v>-100000</v>
      </c>
      <c r="AF69" s="145" t="str">
        <f t="shared" ref="AF69:AF72" si="132">IFERROR(IF((N69+O69)=(AD69+AE69),"ok","검토"),"검토")</f>
        <v>ok</v>
      </c>
      <c r="AG69" s="201"/>
      <c r="AH69" s="167" t="s">
        <v>1183</v>
      </c>
      <c r="AI69" s="201"/>
      <c r="AJ69" s="163">
        <f t="shared" si="81"/>
        <v>65</v>
      </c>
      <c r="AK69" s="145" t="str">
        <f t="shared" ref="AK69:AK72" si="133">IF(C69="","",IF(AND(X69="도비",AH69="세입없음"),"OK",IF(AND(X69&lt;&gt;"도비",AH69&lt;&gt;""),"Ok","@@")))</f>
        <v>OK</v>
      </c>
      <c r="AL69" s="201"/>
      <c r="AM69" s="140"/>
      <c r="AN69" s="201"/>
      <c r="AO69" s="142"/>
      <c r="AP69" s="219">
        <f t="shared" si="108"/>
        <v>0</v>
      </c>
      <c r="AQ69" s="219"/>
    </row>
    <row r="70" spans="1:43" ht="60" customHeight="1">
      <c r="A70" s="344" t="s">
        <v>63</v>
      </c>
      <c r="B70" s="344" t="s">
        <v>1168</v>
      </c>
      <c r="C70" s="364" t="s">
        <v>1169</v>
      </c>
      <c r="D70" s="363" t="s">
        <v>1171</v>
      </c>
      <c r="E70" s="363"/>
      <c r="F70" s="363"/>
      <c r="G70" s="411" t="s">
        <v>1276</v>
      </c>
      <c r="H70" s="412">
        <v>0</v>
      </c>
      <c r="I70" s="413">
        <v>0</v>
      </c>
      <c r="J70" s="349">
        <f t="shared" si="127"/>
        <v>0</v>
      </c>
      <c r="K70" s="350"/>
      <c r="L70" s="350"/>
      <c r="M70" s="414">
        <f t="shared" si="128"/>
        <v>0</v>
      </c>
      <c r="N70" s="415"/>
      <c r="O70" s="350">
        <v>100000</v>
      </c>
      <c r="P70" s="416">
        <f t="shared" si="129"/>
        <v>100000</v>
      </c>
      <c r="Q70" s="234" t="str">
        <f t="shared" si="111"/>
        <v>동의</v>
      </c>
      <c r="R70" s="211"/>
      <c r="S70" s="225"/>
      <c r="T70" s="429"/>
      <c r="U70" s="436"/>
      <c r="V70" s="149" t="s">
        <v>357</v>
      </c>
      <c r="W70" s="201"/>
      <c r="X70" s="165" t="s">
        <v>1182</v>
      </c>
      <c r="Y70" s="123">
        <f>IF($X70&lt;&gt;"도비",IF($V70="국도비","직접입력",SUM($K70:$L70)),)</f>
        <v>0</v>
      </c>
      <c r="Z70" s="123">
        <f>IF($X70="도비",SUM($K70:$L70),IF($V70="국도비","직접입력",SUM($K70:$L70)-$Y70))</f>
        <v>0</v>
      </c>
      <c r="AA70" s="145" t="str">
        <f t="shared" si="117"/>
        <v>ok</v>
      </c>
      <c r="AB70" s="201"/>
      <c r="AC70" s="166" t="str">
        <f t="shared" ref="AC70:AC72" si="134">IF(X70="","",$X70)</f>
        <v>도비</v>
      </c>
      <c r="AD70" s="123">
        <f t="shared" si="130"/>
        <v>0</v>
      </c>
      <c r="AE70" s="123">
        <f t="shared" si="131"/>
        <v>100000</v>
      </c>
      <c r="AF70" s="145" t="str">
        <f t="shared" si="132"/>
        <v>ok</v>
      </c>
      <c r="AG70" s="201"/>
      <c r="AH70" s="167" t="s">
        <v>1183</v>
      </c>
      <c r="AI70" s="201"/>
      <c r="AJ70" s="163">
        <f t="shared" si="81"/>
        <v>65</v>
      </c>
      <c r="AK70" s="145" t="str">
        <f t="shared" si="133"/>
        <v>OK</v>
      </c>
      <c r="AL70" s="201"/>
      <c r="AM70" s="140"/>
      <c r="AN70" s="201"/>
      <c r="AO70" s="142"/>
      <c r="AP70" s="219">
        <f t="shared" si="108"/>
        <v>0</v>
      </c>
      <c r="AQ70" s="219"/>
    </row>
    <row r="71" spans="1:43" ht="60" customHeight="1">
      <c r="A71" s="344" t="s">
        <v>63</v>
      </c>
      <c r="B71" s="344" t="s">
        <v>66</v>
      </c>
      <c r="C71" s="364" t="s">
        <v>295</v>
      </c>
      <c r="D71" s="363" t="s">
        <v>480</v>
      </c>
      <c r="E71" s="363">
        <v>515</v>
      </c>
      <c r="F71" s="363"/>
      <c r="G71" s="411" t="s">
        <v>1204</v>
      </c>
      <c r="H71" s="412">
        <v>3790040</v>
      </c>
      <c r="I71" s="413">
        <v>3587600</v>
      </c>
      <c r="J71" s="349">
        <f t="shared" si="127"/>
        <v>202440</v>
      </c>
      <c r="K71" s="350"/>
      <c r="L71" s="350"/>
      <c r="M71" s="414">
        <f t="shared" si="128"/>
        <v>3790040</v>
      </c>
      <c r="N71" s="415"/>
      <c r="O71" s="350">
        <v>307908</v>
      </c>
      <c r="P71" s="416">
        <f t="shared" si="129"/>
        <v>4097948</v>
      </c>
      <c r="Q71" s="234" t="str">
        <f t="shared" si="111"/>
        <v/>
      </c>
      <c r="R71" s="211"/>
      <c r="S71" s="225"/>
      <c r="T71" s="429" t="s">
        <v>1203</v>
      </c>
      <c r="U71" s="436"/>
      <c r="V71" s="149" t="s">
        <v>1205</v>
      </c>
      <c r="W71" s="201"/>
      <c r="X71" s="165" t="s">
        <v>1197</v>
      </c>
      <c r="Y71" s="123"/>
      <c r="Z71" s="123"/>
      <c r="AA71" s="145" t="str">
        <f t="shared" si="117"/>
        <v>ok</v>
      </c>
      <c r="AB71" s="201"/>
      <c r="AC71" s="166" t="str">
        <f t="shared" si="134"/>
        <v>기금</v>
      </c>
      <c r="AD71" s="123">
        <v>307908</v>
      </c>
      <c r="AE71" s="123">
        <v>0</v>
      </c>
      <c r="AF71" s="145" t="str">
        <f t="shared" si="132"/>
        <v>ok</v>
      </c>
      <c r="AG71" s="201"/>
      <c r="AH71" s="167" t="s">
        <v>1206</v>
      </c>
      <c r="AI71" s="201"/>
      <c r="AJ71" s="163">
        <f t="shared" ref="AJ71:AJ102" si="135">IF(AH71="","",COUNTIF($AH$7:$AH$10141,$AH71))</f>
        <v>1</v>
      </c>
      <c r="AK71" s="145" t="str">
        <f t="shared" si="133"/>
        <v>Ok</v>
      </c>
      <c r="AL71" s="201"/>
      <c r="AM71" s="140"/>
      <c r="AN71" s="201"/>
      <c r="AO71" s="142"/>
      <c r="AP71" s="219">
        <f t="shared" si="108"/>
        <v>0</v>
      </c>
      <c r="AQ71" s="219"/>
    </row>
    <row r="72" spans="1:43" ht="60" customHeight="1">
      <c r="A72" s="344" t="s">
        <v>1284</v>
      </c>
      <c r="B72" s="344" t="s">
        <v>1168</v>
      </c>
      <c r="C72" s="364" t="s">
        <v>1280</v>
      </c>
      <c r="D72" s="363" t="s">
        <v>1277</v>
      </c>
      <c r="E72" s="363"/>
      <c r="F72" s="363"/>
      <c r="G72" s="411" t="s">
        <v>1285</v>
      </c>
      <c r="H72" s="412">
        <v>0</v>
      </c>
      <c r="I72" s="413">
        <v>0</v>
      </c>
      <c r="J72" s="349">
        <f t="shared" si="127"/>
        <v>0</v>
      </c>
      <c r="K72" s="350"/>
      <c r="L72" s="350"/>
      <c r="M72" s="414">
        <f t="shared" si="128"/>
        <v>0</v>
      </c>
      <c r="N72" s="415"/>
      <c r="O72" s="350">
        <v>1500000</v>
      </c>
      <c r="P72" s="416">
        <f t="shared" si="129"/>
        <v>1500000</v>
      </c>
      <c r="Q72" s="234" t="str">
        <f t="shared" si="111"/>
        <v>동의</v>
      </c>
      <c r="R72" s="211"/>
      <c r="S72" s="225"/>
      <c r="T72" s="429" t="s">
        <v>1316</v>
      </c>
      <c r="U72" s="436"/>
      <c r="V72" s="149" t="s">
        <v>1286</v>
      </c>
      <c r="W72" s="201"/>
      <c r="X72" s="165" t="s">
        <v>1283</v>
      </c>
      <c r="Y72" s="123"/>
      <c r="Z72" s="123"/>
      <c r="AA72" s="145" t="str">
        <f t="shared" si="117"/>
        <v>ok</v>
      </c>
      <c r="AB72" s="201"/>
      <c r="AC72" s="166" t="str">
        <f t="shared" si="134"/>
        <v>국비</v>
      </c>
      <c r="AD72" s="123">
        <v>1500000</v>
      </c>
      <c r="AE72" s="123">
        <v>0</v>
      </c>
      <c r="AF72" s="145" t="str">
        <f t="shared" si="132"/>
        <v>ok</v>
      </c>
      <c r="AG72" s="201"/>
      <c r="AH72" s="167" t="s">
        <v>1287</v>
      </c>
      <c r="AI72" s="201"/>
      <c r="AJ72" s="163">
        <f t="shared" si="135"/>
        <v>1</v>
      </c>
      <c r="AK72" s="145" t="str">
        <f t="shared" si="133"/>
        <v>Ok</v>
      </c>
      <c r="AL72" s="201"/>
      <c r="AM72" s="140"/>
      <c r="AN72" s="201"/>
      <c r="AO72" s="142"/>
      <c r="AP72" s="219">
        <f t="shared" si="108"/>
        <v>0</v>
      </c>
      <c r="AQ72" s="219"/>
    </row>
    <row r="73" spans="1:43" s="219" customFormat="1" ht="60" hidden="1" customHeight="1">
      <c r="A73" s="146"/>
      <c r="B73" s="146"/>
      <c r="C73" s="148"/>
      <c r="D73" s="147"/>
      <c r="E73" s="147"/>
      <c r="F73" s="147"/>
      <c r="G73" s="241"/>
      <c r="H73" s="245"/>
      <c r="I73" s="243"/>
      <c r="J73" s="151" t="str">
        <f t="shared" si="114"/>
        <v/>
      </c>
      <c r="K73" s="123"/>
      <c r="L73" s="123"/>
      <c r="M73" s="229">
        <f t="shared" si="115"/>
        <v>0</v>
      </c>
      <c r="N73" s="236"/>
      <c r="O73" s="123"/>
      <c r="P73" s="237">
        <f t="shared" si="116"/>
        <v>0</v>
      </c>
      <c r="Q73" s="234" t="str">
        <f t="shared" si="111"/>
        <v/>
      </c>
      <c r="R73" s="211"/>
      <c r="S73" s="225"/>
      <c r="T73" s="225"/>
      <c r="U73" s="436"/>
      <c r="V73" s="149"/>
      <c r="W73" s="201"/>
      <c r="X73" s="165"/>
      <c r="Y73" s="123">
        <f>IF($X73&lt;&gt;"도비",IF($V73="국도비","직접입력",SUM($K73:$L73)),)</f>
        <v>0</v>
      </c>
      <c r="Z73" s="123">
        <f>IF($X73="도비",SUM($K73:$L73),IF($V73="국도비","직접입력",SUM($K73:$L73)-$Y73))</f>
        <v>0</v>
      </c>
      <c r="AA73" s="145" t="str">
        <f t="shared" si="117"/>
        <v>ok</v>
      </c>
      <c r="AB73" s="201"/>
      <c r="AC73" s="166" t="str">
        <f t="shared" ref="AC73" si="136">IF(X73="","",$X73)</f>
        <v/>
      </c>
      <c r="AD73" s="123">
        <f t="shared" ref="AD73" si="137">IF($X73&lt;&gt;"도비",IF($V73="국도비","직접입력",SUM(N73:O73)),)</f>
        <v>0</v>
      </c>
      <c r="AE73" s="123">
        <f t="shared" ref="AE73" si="138">IF($X73="도비",SUM(N73:O73),IF($V73="국도비","직접입력",SUM(N73:O73)-AD73))</f>
        <v>0</v>
      </c>
      <c r="AF73" s="145" t="str">
        <f t="shared" si="107"/>
        <v>ok</v>
      </c>
      <c r="AG73" s="201"/>
      <c r="AH73" s="167"/>
      <c r="AI73" s="201"/>
      <c r="AJ73" s="163" t="str">
        <f t="shared" si="135"/>
        <v/>
      </c>
      <c r="AK73" s="145" t="str">
        <f t="shared" si="118"/>
        <v/>
      </c>
      <c r="AL73" s="201"/>
      <c r="AM73" s="140"/>
      <c r="AN73" s="201"/>
      <c r="AO73" s="142"/>
    </row>
    <row r="74" spans="1:43" s="219" customFormat="1" ht="60" hidden="1" customHeight="1">
      <c r="A74" s="146"/>
      <c r="B74" s="146"/>
      <c r="C74" s="148"/>
      <c r="D74" s="147"/>
      <c r="E74" s="147"/>
      <c r="F74" s="147"/>
      <c r="G74" s="241"/>
      <c r="H74" s="245"/>
      <c r="I74" s="243"/>
      <c r="J74" s="151" t="str">
        <f t="shared" ref="J74" si="139">IF(D74="","",H74-I74)</f>
        <v/>
      </c>
      <c r="K74" s="123"/>
      <c r="L74" s="123"/>
      <c r="M74" s="229">
        <f t="shared" ref="M74" si="140">H74+K74+L74</f>
        <v>0</v>
      </c>
      <c r="N74" s="236"/>
      <c r="O74" s="123"/>
      <c r="P74" s="237">
        <f t="shared" ref="P74" si="141">H74+N74+O74</f>
        <v>0</v>
      </c>
      <c r="Q74" s="234" t="str">
        <f t="shared" si="111"/>
        <v/>
      </c>
      <c r="R74" s="211"/>
      <c r="S74" s="225"/>
      <c r="T74" s="225"/>
      <c r="U74" s="420"/>
      <c r="V74" s="149"/>
      <c r="W74" s="201"/>
      <c r="X74" s="165"/>
      <c r="Y74" s="123">
        <f>IF($X74&lt;&gt;"도비",IF($V74="국도비","직접입력",SUM($K74:$L74)),)</f>
        <v>0</v>
      </c>
      <c r="Z74" s="123">
        <f>IF($X74="도비",SUM($K74:$L74),IF($V74="국도비","직접입력",SUM($K74:$L74)-$Y74))</f>
        <v>0</v>
      </c>
      <c r="AA74" s="145" t="str">
        <f t="shared" si="117"/>
        <v>ok</v>
      </c>
      <c r="AB74" s="201"/>
      <c r="AC74" s="166" t="str">
        <f t="shared" si="119"/>
        <v/>
      </c>
      <c r="AD74" s="123">
        <f t="shared" ref="AD74" si="142">IF($X74&lt;&gt;"도비",IF($V74="국도비","직접입력",SUM(N74:O74)),)</f>
        <v>0</v>
      </c>
      <c r="AE74" s="123">
        <f t="shared" ref="AE74" si="143">IF($X74="도비",SUM(N74:O74),IF($V74="국도비","직접입력",SUM(N74:O74)-AD74))</f>
        <v>0</v>
      </c>
      <c r="AF74" s="145" t="str">
        <f t="shared" ref="AF74" si="144">IFERROR(IF((N74+O74)=(AD74+AE74),"ok","검토"),"검토")</f>
        <v>ok</v>
      </c>
      <c r="AG74" s="201"/>
      <c r="AH74" s="167"/>
      <c r="AI74" s="201"/>
      <c r="AJ74" s="163" t="str">
        <f t="shared" si="135"/>
        <v/>
      </c>
      <c r="AK74" s="145" t="str">
        <f t="shared" ref="AK74" si="145">IF(C74="","",IF(AND(X74="도비",AH74="세입없음"),"OK",IF(AND(X74&lt;&gt;"도비",AH74&lt;&gt;""),"Ok","@@")))</f>
        <v/>
      </c>
      <c r="AL74" s="201"/>
      <c r="AM74" s="140"/>
      <c r="AN74" s="201"/>
      <c r="AO74" s="142"/>
    </row>
    <row r="75" spans="1:43" s="144" customFormat="1" ht="60" hidden="1" customHeight="1">
      <c r="A75" s="146"/>
      <c r="B75" s="146"/>
      <c r="C75" s="148"/>
      <c r="D75" s="147"/>
      <c r="E75" s="147"/>
      <c r="F75" s="147"/>
      <c r="G75" s="241"/>
      <c r="H75" s="245"/>
      <c r="I75" s="243"/>
      <c r="J75" s="151" t="str">
        <f t="shared" si="114"/>
        <v/>
      </c>
      <c r="K75" s="123"/>
      <c r="L75" s="123"/>
      <c r="M75" s="229">
        <f t="shared" si="115"/>
        <v>0</v>
      </c>
      <c r="N75" s="236"/>
      <c r="O75" s="123"/>
      <c r="P75" s="237">
        <f t="shared" si="116"/>
        <v>0</v>
      </c>
      <c r="Q75" s="234" t="str">
        <f t="shared" si="111"/>
        <v/>
      </c>
      <c r="R75" s="211"/>
      <c r="S75" s="225"/>
      <c r="T75" s="225"/>
      <c r="U75" s="420"/>
      <c r="V75" s="149"/>
      <c r="W75" s="201"/>
      <c r="X75" s="165"/>
      <c r="Y75" s="123">
        <f>IF($X75&lt;&gt;"도비",IF($V75="국도비","직접입력",SUM($K75:$L75)),)</f>
        <v>0</v>
      </c>
      <c r="Z75" s="123">
        <f>IF($X75="도비",SUM($K75:$L75),IF($V75="국도비","직접입력",SUM($K75:$L75)-$Y75))</f>
        <v>0</v>
      </c>
      <c r="AA75" s="145" t="str">
        <f t="shared" si="117"/>
        <v>ok</v>
      </c>
      <c r="AB75" s="201"/>
      <c r="AC75" s="166" t="str">
        <f t="shared" si="8"/>
        <v/>
      </c>
      <c r="AD75" s="123">
        <f t="shared" si="112"/>
        <v>0</v>
      </c>
      <c r="AE75" s="123">
        <f t="shared" si="113"/>
        <v>0</v>
      </c>
      <c r="AF75" s="145" t="str">
        <f t="shared" si="107"/>
        <v>ok</v>
      </c>
      <c r="AG75" s="201"/>
      <c r="AH75" s="167"/>
      <c r="AI75" s="201"/>
      <c r="AJ75" s="163" t="str">
        <f t="shared" si="135"/>
        <v/>
      </c>
      <c r="AK75" s="145" t="str">
        <f t="shared" si="118"/>
        <v/>
      </c>
      <c r="AL75" s="201"/>
      <c r="AM75" s="140"/>
      <c r="AN75" s="201"/>
      <c r="AO75" s="142"/>
    </row>
    <row r="76" spans="1:43" ht="60" customHeight="1">
      <c r="A76" s="427" t="s">
        <v>459</v>
      </c>
      <c r="B76" s="403"/>
      <c r="C76" s="428"/>
      <c r="D76" s="403"/>
      <c r="E76" s="403"/>
      <c r="F76" s="428"/>
      <c r="G76" s="404"/>
      <c r="H76" s="405">
        <f t="shared" ref="H76:P76" si="146">SUM(H77:H128)</f>
        <v>1181220111</v>
      </c>
      <c r="I76" s="406">
        <f t="shared" si="146"/>
        <v>1151854045</v>
      </c>
      <c r="J76" s="407">
        <f t="shared" si="146"/>
        <v>29366066</v>
      </c>
      <c r="K76" s="407">
        <f t="shared" si="146"/>
        <v>-484000</v>
      </c>
      <c r="L76" s="407">
        <f t="shared" si="146"/>
        <v>10761891</v>
      </c>
      <c r="M76" s="408">
        <f t="shared" si="146"/>
        <v>1191498002</v>
      </c>
      <c r="N76" s="409">
        <f t="shared" si="146"/>
        <v>-474685</v>
      </c>
      <c r="O76" s="407">
        <f t="shared" si="146"/>
        <v>33422682</v>
      </c>
      <c r="P76" s="410">
        <f t="shared" si="146"/>
        <v>1214168108</v>
      </c>
      <c r="Q76" s="232"/>
      <c r="R76" s="216"/>
      <c r="S76" s="224"/>
      <c r="T76" s="419"/>
      <c r="U76" s="420"/>
      <c r="V76" s="204"/>
      <c r="W76" s="201"/>
      <c r="X76" s="205"/>
      <c r="Y76" s="160">
        <f>SUM(Y77:Y128)</f>
        <v>9577350</v>
      </c>
      <c r="Z76" s="160">
        <f>SUM(Z77:Z128)</f>
        <v>700541</v>
      </c>
      <c r="AA76" s="161" t="str">
        <f t="shared" si="117"/>
        <v>ok</v>
      </c>
      <c r="AB76" s="201"/>
      <c r="AC76" s="166" t="str">
        <f t="shared" si="8"/>
        <v/>
      </c>
      <c r="AD76" s="160">
        <f>SUM(AD77:AD128)</f>
        <v>26345229</v>
      </c>
      <c r="AE76" s="160">
        <f>SUM(AE77:AE128)</f>
        <v>6602768</v>
      </c>
      <c r="AF76" s="161" t="str">
        <f t="shared" si="107"/>
        <v>ok</v>
      </c>
      <c r="AG76" s="201"/>
      <c r="AH76" s="206"/>
      <c r="AI76" s="201"/>
      <c r="AJ76" s="203" t="str">
        <f t="shared" si="135"/>
        <v/>
      </c>
      <c r="AK76" s="161" t="str">
        <f t="shared" si="118"/>
        <v/>
      </c>
      <c r="AL76" s="201"/>
      <c r="AM76" s="140"/>
      <c r="AN76" s="201"/>
      <c r="AO76" s="142"/>
      <c r="AP76" s="219">
        <f t="shared" ref="AP76:AP125" si="147">SUM(N76:O76)-SUM(AD76:AE76)</f>
        <v>0</v>
      </c>
      <c r="AQ76" s="144"/>
    </row>
    <row r="77" spans="1:43" ht="60" customHeight="1">
      <c r="A77" s="344" t="s">
        <v>321</v>
      </c>
      <c r="B77" s="344" t="s">
        <v>106</v>
      </c>
      <c r="C77" s="364" t="s">
        <v>598</v>
      </c>
      <c r="D77" s="363" t="s">
        <v>480</v>
      </c>
      <c r="E77" s="363">
        <v>578579</v>
      </c>
      <c r="F77" s="363">
        <v>156</v>
      </c>
      <c r="G77" s="411" t="s">
        <v>1317</v>
      </c>
      <c r="H77" s="412">
        <v>726000</v>
      </c>
      <c r="I77" s="413">
        <v>0</v>
      </c>
      <c r="J77" s="349">
        <f t="shared" si="114"/>
        <v>726000</v>
      </c>
      <c r="K77" s="350"/>
      <c r="L77" s="350">
        <v>36000</v>
      </c>
      <c r="M77" s="414">
        <f t="shared" si="115"/>
        <v>762000</v>
      </c>
      <c r="N77" s="415"/>
      <c r="O77" s="350">
        <v>36000</v>
      </c>
      <c r="P77" s="416">
        <f t="shared" si="116"/>
        <v>762000</v>
      </c>
      <c r="Q77" s="234" t="str">
        <f t="shared" ref="Q77:Q128" si="148">IF(OR(AND(K77&lt;0,K77&lt;N77),AND(K77&lt;0,N77+O77=0),AND(K77&lt;0,O77&gt;0),AND(I77=0,M77=0,P77&gt;0)),"동의","")</f>
        <v/>
      </c>
      <c r="R77" s="211" t="s">
        <v>1093</v>
      </c>
      <c r="S77" s="225"/>
      <c r="T77" s="420"/>
      <c r="U77" s="429"/>
      <c r="V77" s="149" t="s">
        <v>357</v>
      </c>
      <c r="W77" s="201"/>
      <c r="X77" s="165" t="s">
        <v>490</v>
      </c>
      <c r="Y77" s="123"/>
      <c r="Z77" s="123">
        <v>36000</v>
      </c>
      <c r="AA77" s="145" t="str">
        <f t="shared" si="117"/>
        <v>ok</v>
      </c>
      <c r="AB77" s="201"/>
      <c r="AC77" s="166" t="str">
        <f t="shared" si="8"/>
        <v>도비</v>
      </c>
      <c r="AD77" s="123">
        <f t="shared" ref="AD77:AD128" si="149">IF($X77&lt;&gt;"도비",IF($V77="국도비","직접입력",SUM(N77:O77)),)</f>
        <v>0</v>
      </c>
      <c r="AE77" s="123">
        <f t="shared" ref="AE77:AE128" si="150">IF($X77="도비",SUM(N77:O77),IF($V77="국도비","직접입력",SUM(N77:O77)-AD77))</f>
        <v>36000</v>
      </c>
      <c r="AF77" s="145" t="str">
        <f t="shared" si="107"/>
        <v>ok</v>
      </c>
      <c r="AG77" s="201"/>
      <c r="AH77" s="167" t="s">
        <v>604</v>
      </c>
      <c r="AI77" s="201"/>
      <c r="AJ77" s="163">
        <f t="shared" si="135"/>
        <v>65</v>
      </c>
      <c r="AK77" s="145" t="str">
        <f t="shared" si="118"/>
        <v>OK</v>
      </c>
      <c r="AL77" s="201"/>
      <c r="AM77" s="140"/>
      <c r="AN77" s="201"/>
      <c r="AO77" s="142"/>
      <c r="AP77" s="219">
        <f t="shared" si="147"/>
        <v>0</v>
      </c>
      <c r="AQ77" s="144"/>
    </row>
    <row r="78" spans="1:43" ht="60" customHeight="1">
      <c r="A78" s="344" t="s">
        <v>321</v>
      </c>
      <c r="B78" s="344" t="s">
        <v>106</v>
      </c>
      <c r="C78" s="364" t="s">
        <v>598</v>
      </c>
      <c r="D78" s="363" t="s">
        <v>480</v>
      </c>
      <c r="E78" s="363">
        <v>579</v>
      </c>
      <c r="F78" s="363">
        <v>181</v>
      </c>
      <c r="G78" s="425" t="s">
        <v>1040</v>
      </c>
      <c r="H78" s="412">
        <v>30000</v>
      </c>
      <c r="I78" s="413">
        <v>0</v>
      </c>
      <c r="J78" s="349">
        <f t="shared" si="114"/>
        <v>30000</v>
      </c>
      <c r="K78" s="350">
        <v>-30000</v>
      </c>
      <c r="L78" s="350"/>
      <c r="M78" s="414">
        <f t="shared" si="115"/>
        <v>0</v>
      </c>
      <c r="N78" s="415">
        <v>-30000</v>
      </c>
      <c r="O78" s="350"/>
      <c r="P78" s="416">
        <f t="shared" si="116"/>
        <v>0</v>
      </c>
      <c r="Q78" s="234" t="str">
        <f t="shared" si="148"/>
        <v/>
      </c>
      <c r="R78" s="221" t="s">
        <v>1104</v>
      </c>
      <c r="S78" s="225"/>
      <c r="T78" s="429"/>
      <c r="U78" s="429"/>
      <c r="V78" s="149" t="s">
        <v>357</v>
      </c>
      <c r="W78" s="201"/>
      <c r="X78" s="165" t="s">
        <v>490</v>
      </c>
      <c r="Y78" s="123"/>
      <c r="Z78" s="123">
        <v>-30000</v>
      </c>
      <c r="AA78" s="145" t="str">
        <f t="shared" si="117"/>
        <v>ok</v>
      </c>
      <c r="AB78" s="201"/>
      <c r="AC78" s="166" t="str">
        <f t="shared" si="8"/>
        <v>도비</v>
      </c>
      <c r="AD78" s="123">
        <f t="shared" si="149"/>
        <v>0</v>
      </c>
      <c r="AE78" s="123">
        <f t="shared" si="150"/>
        <v>-30000</v>
      </c>
      <c r="AF78" s="145" t="str">
        <f t="shared" si="107"/>
        <v>ok</v>
      </c>
      <c r="AG78" s="201"/>
      <c r="AH78" s="167" t="s">
        <v>604</v>
      </c>
      <c r="AI78" s="201"/>
      <c r="AJ78" s="163">
        <f t="shared" si="135"/>
        <v>65</v>
      </c>
      <c r="AK78" s="145" t="str">
        <f t="shared" si="118"/>
        <v>OK</v>
      </c>
      <c r="AL78" s="201"/>
      <c r="AM78" s="140"/>
      <c r="AN78" s="201"/>
      <c r="AO78" s="142"/>
      <c r="AP78" s="219">
        <f t="shared" si="147"/>
        <v>0</v>
      </c>
      <c r="AQ78" s="144"/>
    </row>
    <row r="79" spans="1:43" ht="60" customHeight="1">
      <c r="A79" s="344" t="s">
        <v>321</v>
      </c>
      <c r="B79" s="344" t="s">
        <v>106</v>
      </c>
      <c r="C79" s="364" t="s">
        <v>598</v>
      </c>
      <c r="D79" s="363" t="s">
        <v>480</v>
      </c>
      <c r="E79" s="363">
        <v>579</v>
      </c>
      <c r="F79" s="363">
        <v>184</v>
      </c>
      <c r="G79" s="411" t="s">
        <v>1039</v>
      </c>
      <c r="H79" s="412">
        <v>30000</v>
      </c>
      <c r="I79" s="413">
        <v>0</v>
      </c>
      <c r="J79" s="349">
        <f t="shared" si="114"/>
        <v>30000</v>
      </c>
      <c r="K79" s="350">
        <v>-30000</v>
      </c>
      <c r="L79" s="350"/>
      <c r="M79" s="414">
        <f t="shared" si="115"/>
        <v>0</v>
      </c>
      <c r="N79" s="415">
        <v>-30000</v>
      </c>
      <c r="O79" s="350"/>
      <c r="P79" s="416">
        <f t="shared" si="116"/>
        <v>0</v>
      </c>
      <c r="Q79" s="234" t="str">
        <f t="shared" si="148"/>
        <v/>
      </c>
      <c r="R79" s="221" t="s">
        <v>1104</v>
      </c>
      <c r="S79" s="225"/>
      <c r="T79" s="429"/>
      <c r="U79" s="429"/>
      <c r="V79" s="149" t="s">
        <v>357</v>
      </c>
      <c r="W79" s="201"/>
      <c r="X79" s="165" t="s">
        <v>490</v>
      </c>
      <c r="Y79" s="123"/>
      <c r="Z79" s="123">
        <v>-30000</v>
      </c>
      <c r="AA79" s="145" t="str">
        <f t="shared" si="117"/>
        <v>ok</v>
      </c>
      <c r="AB79" s="201"/>
      <c r="AC79" s="166" t="str">
        <f t="shared" si="8"/>
        <v>도비</v>
      </c>
      <c r="AD79" s="123">
        <f t="shared" si="149"/>
        <v>0</v>
      </c>
      <c r="AE79" s="123">
        <f t="shared" si="150"/>
        <v>-30000</v>
      </c>
      <c r="AF79" s="145" t="str">
        <f t="shared" si="107"/>
        <v>ok</v>
      </c>
      <c r="AG79" s="201"/>
      <c r="AH79" s="167" t="s">
        <v>604</v>
      </c>
      <c r="AI79" s="201"/>
      <c r="AJ79" s="163">
        <f t="shared" si="135"/>
        <v>65</v>
      </c>
      <c r="AK79" s="145" t="str">
        <f t="shared" si="118"/>
        <v>OK</v>
      </c>
      <c r="AL79" s="201"/>
      <c r="AM79" s="140"/>
      <c r="AN79" s="201"/>
      <c r="AO79" s="142"/>
      <c r="AP79" s="219">
        <f t="shared" si="147"/>
        <v>0</v>
      </c>
      <c r="AQ79" s="144"/>
    </row>
    <row r="80" spans="1:43" ht="60" customHeight="1">
      <c r="A80" s="344" t="s">
        <v>321</v>
      </c>
      <c r="B80" s="344" t="s">
        <v>106</v>
      </c>
      <c r="C80" s="364" t="s">
        <v>256</v>
      </c>
      <c r="D80" s="363" t="s">
        <v>480</v>
      </c>
      <c r="E80" s="363">
        <v>583</v>
      </c>
      <c r="F80" s="363">
        <v>240</v>
      </c>
      <c r="G80" s="411" t="s">
        <v>1041</v>
      </c>
      <c r="H80" s="412">
        <v>444000</v>
      </c>
      <c r="I80" s="413">
        <v>0</v>
      </c>
      <c r="J80" s="349">
        <f t="shared" si="114"/>
        <v>444000</v>
      </c>
      <c r="K80" s="350">
        <v>-308000</v>
      </c>
      <c r="L80" s="350"/>
      <c r="M80" s="414">
        <f t="shared" si="115"/>
        <v>136000</v>
      </c>
      <c r="N80" s="415">
        <v>-222000</v>
      </c>
      <c r="O80" s="350"/>
      <c r="P80" s="416">
        <f t="shared" si="116"/>
        <v>222000</v>
      </c>
      <c r="Q80" s="234" t="str">
        <f t="shared" si="148"/>
        <v>동의</v>
      </c>
      <c r="R80" s="221" t="s">
        <v>1094</v>
      </c>
      <c r="S80" s="225"/>
      <c r="T80" s="436"/>
      <c r="U80" s="429"/>
      <c r="V80" s="149" t="s">
        <v>357</v>
      </c>
      <c r="W80" s="201"/>
      <c r="X80" s="165" t="s">
        <v>490</v>
      </c>
      <c r="Y80" s="123"/>
      <c r="Z80" s="123">
        <v>-308000</v>
      </c>
      <c r="AA80" s="145" t="str">
        <f t="shared" si="117"/>
        <v>ok</v>
      </c>
      <c r="AB80" s="201"/>
      <c r="AC80" s="166" t="str">
        <f t="shared" si="8"/>
        <v>도비</v>
      </c>
      <c r="AD80" s="123">
        <f t="shared" si="149"/>
        <v>0</v>
      </c>
      <c r="AE80" s="123">
        <f t="shared" si="150"/>
        <v>-222000</v>
      </c>
      <c r="AF80" s="145" t="str">
        <f t="shared" si="107"/>
        <v>ok</v>
      </c>
      <c r="AG80" s="201"/>
      <c r="AH80" s="167" t="s">
        <v>604</v>
      </c>
      <c r="AI80" s="201"/>
      <c r="AJ80" s="163">
        <f t="shared" si="135"/>
        <v>65</v>
      </c>
      <c r="AK80" s="145" t="str">
        <f t="shared" si="118"/>
        <v>OK</v>
      </c>
      <c r="AL80" s="201"/>
      <c r="AM80" s="140"/>
      <c r="AN80" s="201"/>
      <c r="AO80" s="142"/>
      <c r="AP80" s="219">
        <f t="shared" si="147"/>
        <v>0</v>
      </c>
      <c r="AQ80" s="144"/>
    </row>
    <row r="81" spans="1:43" ht="54.95" customHeight="1">
      <c r="A81" s="344" t="s">
        <v>321</v>
      </c>
      <c r="B81" s="344" t="s">
        <v>106</v>
      </c>
      <c r="C81" s="364" t="s">
        <v>81</v>
      </c>
      <c r="D81" s="363" t="s">
        <v>480</v>
      </c>
      <c r="E81" s="363">
        <v>592</v>
      </c>
      <c r="F81" s="363">
        <v>363</v>
      </c>
      <c r="G81" s="411" t="s">
        <v>1042</v>
      </c>
      <c r="H81" s="412">
        <v>3070000</v>
      </c>
      <c r="I81" s="413">
        <v>2800000</v>
      </c>
      <c r="J81" s="349">
        <f t="shared" si="114"/>
        <v>270000</v>
      </c>
      <c r="K81" s="350">
        <v>-40000</v>
      </c>
      <c r="L81" s="350"/>
      <c r="M81" s="414">
        <f t="shared" si="115"/>
        <v>3030000</v>
      </c>
      <c r="N81" s="415">
        <v>-40000</v>
      </c>
      <c r="O81" s="350"/>
      <c r="P81" s="416">
        <f t="shared" si="116"/>
        <v>3030000</v>
      </c>
      <c r="Q81" s="234" t="str">
        <f t="shared" si="148"/>
        <v/>
      </c>
      <c r="R81" s="221" t="s">
        <v>1095</v>
      </c>
      <c r="S81" s="225"/>
      <c r="T81" s="436"/>
      <c r="U81" s="429"/>
      <c r="V81" s="149" t="s">
        <v>357</v>
      </c>
      <c r="W81" s="201"/>
      <c r="X81" s="165" t="s">
        <v>490</v>
      </c>
      <c r="Y81" s="123"/>
      <c r="Z81" s="123">
        <v>-40000</v>
      </c>
      <c r="AA81" s="145" t="str">
        <f t="shared" si="117"/>
        <v>ok</v>
      </c>
      <c r="AB81" s="201"/>
      <c r="AC81" s="166" t="str">
        <f t="shared" si="8"/>
        <v>도비</v>
      </c>
      <c r="AD81" s="123">
        <f t="shared" si="149"/>
        <v>0</v>
      </c>
      <c r="AE81" s="123">
        <f t="shared" si="150"/>
        <v>-40000</v>
      </c>
      <c r="AF81" s="145" t="str">
        <f t="shared" si="107"/>
        <v>ok</v>
      </c>
      <c r="AG81" s="201"/>
      <c r="AH81" s="167" t="s">
        <v>604</v>
      </c>
      <c r="AI81" s="201"/>
      <c r="AJ81" s="163">
        <f t="shared" si="135"/>
        <v>65</v>
      </c>
      <c r="AK81" s="145" t="str">
        <f t="shared" si="118"/>
        <v>OK</v>
      </c>
      <c r="AL81" s="201"/>
      <c r="AM81" s="140"/>
      <c r="AN81" s="201"/>
      <c r="AO81" s="142"/>
      <c r="AP81" s="219">
        <f t="shared" si="147"/>
        <v>0</v>
      </c>
      <c r="AQ81" s="144"/>
    </row>
    <row r="82" spans="1:43" ht="54.95" customHeight="1">
      <c r="A82" s="344" t="s">
        <v>321</v>
      </c>
      <c r="B82" s="344" t="s">
        <v>106</v>
      </c>
      <c r="C82" s="364" t="s">
        <v>259</v>
      </c>
      <c r="D82" s="363" t="s">
        <v>480</v>
      </c>
      <c r="E82" s="363">
        <v>604605</v>
      </c>
      <c r="F82" s="363">
        <v>527</v>
      </c>
      <c r="G82" s="411" t="s">
        <v>1043</v>
      </c>
      <c r="H82" s="412">
        <v>270000</v>
      </c>
      <c r="I82" s="413">
        <v>0</v>
      </c>
      <c r="J82" s="349">
        <f t="shared" si="114"/>
        <v>270000</v>
      </c>
      <c r="K82" s="350">
        <v>-76000</v>
      </c>
      <c r="L82" s="350"/>
      <c r="M82" s="414">
        <f t="shared" si="115"/>
        <v>194000</v>
      </c>
      <c r="N82" s="415">
        <v>-76000</v>
      </c>
      <c r="O82" s="350"/>
      <c r="P82" s="416">
        <f t="shared" si="116"/>
        <v>194000</v>
      </c>
      <c r="Q82" s="234" t="str">
        <f t="shared" si="148"/>
        <v/>
      </c>
      <c r="R82" s="221" t="s">
        <v>1096</v>
      </c>
      <c r="S82" s="225"/>
      <c r="T82" s="436"/>
      <c r="U82" s="429"/>
      <c r="V82" s="149" t="s">
        <v>357</v>
      </c>
      <c r="W82" s="201"/>
      <c r="X82" s="165" t="s">
        <v>490</v>
      </c>
      <c r="Y82" s="123"/>
      <c r="Z82" s="123">
        <v>-76000</v>
      </c>
      <c r="AA82" s="145" t="str">
        <f t="shared" si="117"/>
        <v>ok</v>
      </c>
      <c r="AB82" s="201"/>
      <c r="AC82" s="166" t="str">
        <f t="shared" si="8"/>
        <v>도비</v>
      </c>
      <c r="AD82" s="123">
        <f t="shared" si="149"/>
        <v>0</v>
      </c>
      <c r="AE82" s="123">
        <f t="shared" si="150"/>
        <v>-76000</v>
      </c>
      <c r="AF82" s="145" t="str">
        <f t="shared" si="107"/>
        <v>ok</v>
      </c>
      <c r="AG82" s="201"/>
      <c r="AH82" s="167" t="s">
        <v>604</v>
      </c>
      <c r="AI82" s="201"/>
      <c r="AJ82" s="163">
        <f t="shared" si="135"/>
        <v>65</v>
      </c>
      <c r="AK82" s="145" t="str">
        <f t="shared" si="118"/>
        <v>OK</v>
      </c>
      <c r="AL82" s="201"/>
      <c r="AM82" s="140"/>
      <c r="AN82" s="201"/>
      <c r="AO82" s="142"/>
      <c r="AP82" s="219">
        <f t="shared" si="147"/>
        <v>0</v>
      </c>
      <c r="AQ82" s="144"/>
    </row>
    <row r="83" spans="1:43" ht="90.75" customHeight="1">
      <c r="A83" s="344" t="s">
        <v>321</v>
      </c>
      <c r="B83" s="344" t="s">
        <v>106</v>
      </c>
      <c r="C83" s="364" t="s">
        <v>257</v>
      </c>
      <c r="D83" s="363" t="s">
        <v>499</v>
      </c>
      <c r="E83" s="363"/>
      <c r="F83" s="363"/>
      <c r="G83" s="425" t="s">
        <v>1075</v>
      </c>
      <c r="H83" s="412">
        <v>0</v>
      </c>
      <c r="I83" s="413">
        <v>0</v>
      </c>
      <c r="J83" s="349">
        <f t="shared" si="114"/>
        <v>0</v>
      </c>
      <c r="K83" s="350"/>
      <c r="L83" s="350">
        <v>39042</v>
      </c>
      <c r="M83" s="414">
        <f t="shared" si="115"/>
        <v>39042</v>
      </c>
      <c r="N83" s="415"/>
      <c r="O83" s="350">
        <v>39042</v>
      </c>
      <c r="P83" s="416">
        <f t="shared" si="116"/>
        <v>39042</v>
      </c>
      <c r="Q83" s="234" t="str">
        <f t="shared" si="148"/>
        <v/>
      </c>
      <c r="R83" s="221" t="s">
        <v>1097</v>
      </c>
      <c r="S83" s="225"/>
      <c r="T83" s="436"/>
      <c r="U83" s="429"/>
      <c r="V83" s="149" t="s">
        <v>357</v>
      </c>
      <c r="W83" s="201"/>
      <c r="X83" s="165" t="s">
        <v>490</v>
      </c>
      <c r="Y83" s="123"/>
      <c r="Z83" s="123">
        <v>39042</v>
      </c>
      <c r="AA83" s="145" t="str">
        <f t="shared" si="117"/>
        <v>ok</v>
      </c>
      <c r="AB83" s="201"/>
      <c r="AC83" s="166" t="str">
        <f t="shared" si="8"/>
        <v>도비</v>
      </c>
      <c r="AD83" s="123">
        <f t="shared" si="149"/>
        <v>0</v>
      </c>
      <c r="AE83" s="123">
        <f t="shared" si="150"/>
        <v>39042</v>
      </c>
      <c r="AF83" s="145" t="str">
        <f t="shared" si="107"/>
        <v>ok</v>
      </c>
      <c r="AG83" s="201"/>
      <c r="AH83" s="167" t="s">
        <v>604</v>
      </c>
      <c r="AI83" s="201"/>
      <c r="AJ83" s="163">
        <f t="shared" si="135"/>
        <v>65</v>
      </c>
      <c r="AK83" s="145" t="str">
        <f t="shared" si="118"/>
        <v>OK</v>
      </c>
      <c r="AL83" s="201"/>
      <c r="AM83" s="140"/>
      <c r="AN83" s="201"/>
      <c r="AO83" s="142"/>
      <c r="AP83" s="219">
        <f t="shared" si="147"/>
        <v>0</v>
      </c>
      <c r="AQ83" s="144"/>
    </row>
    <row r="84" spans="1:43" ht="96.75" customHeight="1">
      <c r="A84" s="344" t="s">
        <v>321</v>
      </c>
      <c r="B84" s="344" t="s">
        <v>567</v>
      </c>
      <c r="C84" s="364" t="s">
        <v>82</v>
      </c>
      <c r="D84" s="363" t="s">
        <v>499</v>
      </c>
      <c r="E84" s="363"/>
      <c r="F84" s="363"/>
      <c r="G84" s="431" t="s">
        <v>1075</v>
      </c>
      <c r="H84" s="412">
        <v>0</v>
      </c>
      <c r="I84" s="413">
        <v>0</v>
      </c>
      <c r="J84" s="349">
        <f t="shared" si="114"/>
        <v>0</v>
      </c>
      <c r="K84" s="350"/>
      <c r="L84" s="350">
        <v>18423</v>
      </c>
      <c r="M84" s="414">
        <f t="shared" si="115"/>
        <v>18423</v>
      </c>
      <c r="N84" s="415"/>
      <c r="O84" s="350">
        <v>18423</v>
      </c>
      <c r="P84" s="416">
        <f t="shared" si="116"/>
        <v>18423</v>
      </c>
      <c r="Q84" s="234" t="str">
        <f t="shared" si="148"/>
        <v/>
      </c>
      <c r="R84" s="211" t="s">
        <v>1097</v>
      </c>
      <c r="S84" s="225"/>
      <c r="T84" s="420"/>
      <c r="U84" s="429"/>
      <c r="V84" s="149" t="s">
        <v>490</v>
      </c>
      <c r="W84" s="201"/>
      <c r="X84" s="165" t="s">
        <v>490</v>
      </c>
      <c r="Y84" s="123"/>
      <c r="Z84" s="123">
        <v>18423</v>
      </c>
      <c r="AA84" s="145" t="str">
        <f t="shared" si="117"/>
        <v>ok</v>
      </c>
      <c r="AB84" s="201"/>
      <c r="AC84" s="166" t="str">
        <f t="shared" si="8"/>
        <v>도비</v>
      </c>
      <c r="AD84" s="123">
        <f t="shared" si="149"/>
        <v>0</v>
      </c>
      <c r="AE84" s="123">
        <f t="shared" si="150"/>
        <v>18423</v>
      </c>
      <c r="AF84" s="145" t="str">
        <f t="shared" si="107"/>
        <v>ok</v>
      </c>
      <c r="AG84" s="201"/>
      <c r="AH84" s="167" t="s">
        <v>604</v>
      </c>
      <c r="AI84" s="201"/>
      <c r="AJ84" s="163">
        <f t="shared" si="135"/>
        <v>65</v>
      </c>
      <c r="AK84" s="145" t="str">
        <f t="shared" si="118"/>
        <v>OK</v>
      </c>
      <c r="AL84" s="201"/>
      <c r="AM84" s="140"/>
      <c r="AN84" s="201"/>
      <c r="AO84" s="142"/>
      <c r="AP84" s="219">
        <f t="shared" si="147"/>
        <v>0</v>
      </c>
      <c r="AQ84" s="144"/>
    </row>
    <row r="85" spans="1:43" ht="58.5" customHeight="1">
      <c r="A85" s="344" t="s">
        <v>321</v>
      </c>
      <c r="B85" s="344" t="s">
        <v>106</v>
      </c>
      <c r="C85" s="364" t="s">
        <v>257</v>
      </c>
      <c r="D85" s="363" t="s">
        <v>499</v>
      </c>
      <c r="E85" s="363"/>
      <c r="F85" s="363"/>
      <c r="G85" s="431" t="s">
        <v>1076</v>
      </c>
      <c r="H85" s="412">
        <v>0</v>
      </c>
      <c r="I85" s="413">
        <v>0</v>
      </c>
      <c r="J85" s="349">
        <f t="shared" si="114"/>
        <v>0</v>
      </c>
      <c r="K85" s="350"/>
      <c r="L85" s="350">
        <v>350000</v>
      </c>
      <c r="M85" s="414">
        <f t="shared" si="115"/>
        <v>350000</v>
      </c>
      <c r="N85" s="415"/>
      <c r="O85" s="350">
        <v>350000</v>
      </c>
      <c r="P85" s="416">
        <f t="shared" si="116"/>
        <v>350000</v>
      </c>
      <c r="Q85" s="234" t="str">
        <f t="shared" si="148"/>
        <v/>
      </c>
      <c r="R85" s="211" t="s">
        <v>1112</v>
      </c>
      <c r="S85" s="225"/>
      <c r="T85" s="420"/>
      <c r="U85" s="429"/>
      <c r="V85" s="149" t="s">
        <v>357</v>
      </c>
      <c r="W85" s="201"/>
      <c r="X85" s="165" t="s">
        <v>490</v>
      </c>
      <c r="Y85" s="123"/>
      <c r="Z85" s="123">
        <v>350000</v>
      </c>
      <c r="AA85" s="145" t="str">
        <f t="shared" si="117"/>
        <v>ok</v>
      </c>
      <c r="AB85" s="201"/>
      <c r="AC85" s="166" t="str">
        <f t="shared" si="8"/>
        <v>도비</v>
      </c>
      <c r="AD85" s="123">
        <f t="shared" si="149"/>
        <v>0</v>
      </c>
      <c r="AE85" s="123">
        <f t="shared" si="150"/>
        <v>350000</v>
      </c>
      <c r="AF85" s="145" t="str">
        <f t="shared" si="107"/>
        <v>ok</v>
      </c>
      <c r="AG85" s="201"/>
      <c r="AH85" s="167" t="s">
        <v>604</v>
      </c>
      <c r="AI85" s="201"/>
      <c r="AJ85" s="163">
        <f t="shared" si="135"/>
        <v>65</v>
      </c>
      <c r="AK85" s="145" t="str">
        <f t="shared" si="118"/>
        <v>OK</v>
      </c>
      <c r="AL85" s="201"/>
      <c r="AM85" s="140"/>
      <c r="AN85" s="201"/>
      <c r="AO85" s="142"/>
      <c r="AP85" s="219">
        <f t="shared" si="147"/>
        <v>0</v>
      </c>
      <c r="AQ85" s="144"/>
    </row>
    <row r="86" spans="1:43" ht="54.95" customHeight="1">
      <c r="A86" s="344" t="s">
        <v>321</v>
      </c>
      <c r="B86" s="344" t="s">
        <v>567</v>
      </c>
      <c r="C86" s="364" t="s">
        <v>82</v>
      </c>
      <c r="D86" s="363" t="s">
        <v>499</v>
      </c>
      <c r="E86" s="363"/>
      <c r="F86" s="363"/>
      <c r="G86" s="431" t="s">
        <v>1076</v>
      </c>
      <c r="H86" s="412">
        <v>0</v>
      </c>
      <c r="I86" s="413">
        <v>0</v>
      </c>
      <c r="J86" s="349">
        <f t="shared" si="114"/>
        <v>0</v>
      </c>
      <c r="K86" s="350"/>
      <c r="L86" s="350">
        <v>150000</v>
      </c>
      <c r="M86" s="414">
        <f t="shared" si="115"/>
        <v>150000</v>
      </c>
      <c r="N86" s="415"/>
      <c r="O86" s="350">
        <v>150000</v>
      </c>
      <c r="P86" s="416">
        <f t="shared" si="116"/>
        <v>150000</v>
      </c>
      <c r="Q86" s="234" t="str">
        <f t="shared" si="148"/>
        <v/>
      </c>
      <c r="R86" s="211" t="s">
        <v>1098</v>
      </c>
      <c r="S86" s="225"/>
      <c r="T86" s="420"/>
      <c r="U86" s="429"/>
      <c r="V86" s="149" t="s">
        <v>357</v>
      </c>
      <c r="W86" s="201"/>
      <c r="X86" s="165" t="s">
        <v>490</v>
      </c>
      <c r="Y86" s="123"/>
      <c r="Z86" s="123">
        <v>150000</v>
      </c>
      <c r="AA86" s="145" t="str">
        <f t="shared" si="117"/>
        <v>ok</v>
      </c>
      <c r="AB86" s="201"/>
      <c r="AC86" s="166" t="str">
        <f t="shared" si="8"/>
        <v>도비</v>
      </c>
      <c r="AD86" s="123">
        <f t="shared" si="149"/>
        <v>0</v>
      </c>
      <c r="AE86" s="123">
        <f t="shared" si="150"/>
        <v>150000</v>
      </c>
      <c r="AF86" s="145" t="str">
        <f t="shared" si="107"/>
        <v>ok</v>
      </c>
      <c r="AG86" s="201"/>
      <c r="AH86" s="167" t="s">
        <v>604</v>
      </c>
      <c r="AI86" s="201"/>
      <c r="AJ86" s="163">
        <f t="shared" si="135"/>
        <v>65</v>
      </c>
      <c r="AK86" s="145" t="str">
        <f t="shared" si="118"/>
        <v>OK</v>
      </c>
      <c r="AL86" s="201"/>
      <c r="AM86" s="140"/>
      <c r="AN86" s="201"/>
      <c r="AO86" s="142"/>
      <c r="AP86" s="219">
        <f t="shared" si="147"/>
        <v>0</v>
      </c>
      <c r="AQ86" s="144"/>
    </row>
    <row r="87" spans="1:43" ht="54.95" customHeight="1">
      <c r="A87" s="344" t="s">
        <v>321</v>
      </c>
      <c r="B87" s="344" t="s">
        <v>605</v>
      </c>
      <c r="C87" s="364" t="s">
        <v>256</v>
      </c>
      <c r="D87" s="363" t="s">
        <v>480</v>
      </c>
      <c r="E87" s="363">
        <v>582</v>
      </c>
      <c r="F87" s="363">
        <v>225</v>
      </c>
      <c r="G87" s="411" t="s">
        <v>1044</v>
      </c>
      <c r="H87" s="412">
        <v>3208922</v>
      </c>
      <c r="I87" s="413">
        <v>2826834</v>
      </c>
      <c r="J87" s="349">
        <f t="shared" si="114"/>
        <v>382088</v>
      </c>
      <c r="K87" s="350"/>
      <c r="L87" s="350">
        <v>21370</v>
      </c>
      <c r="M87" s="414">
        <f t="shared" si="115"/>
        <v>3230292</v>
      </c>
      <c r="N87" s="415"/>
      <c r="O87" s="350">
        <v>21370</v>
      </c>
      <c r="P87" s="416">
        <f t="shared" si="116"/>
        <v>3230292</v>
      </c>
      <c r="Q87" s="234" t="str">
        <f t="shared" si="148"/>
        <v/>
      </c>
      <c r="R87" s="221" t="s">
        <v>1046</v>
      </c>
      <c r="S87" s="225" t="s">
        <v>1046</v>
      </c>
      <c r="T87" s="429" t="s">
        <v>1046</v>
      </c>
      <c r="U87" s="429"/>
      <c r="V87" s="149" t="s">
        <v>508</v>
      </c>
      <c r="W87" s="201"/>
      <c r="X87" s="165" t="s">
        <v>491</v>
      </c>
      <c r="Y87" s="123">
        <v>21254</v>
      </c>
      <c r="Z87" s="123">
        <v>116</v>
      </c>
      <c r="AA87" s="145" t="str">
        <f t="shared" si="117"/>
        <v>ok</v>
      </c>
      <c r="AB87" s="201"/>
      <c r="AC87" s="166" t="str">
        <f t="shared" si="8"/>
        <v>국비</v>
      </c>
      <c r="AD87" s="123">
        <v>21254</v>
      </c>
      <c r="AE87" s="123">
        <v>116</v>
      </c>
      <c r="AF87" s="145" t="str">
        <f t="shared" si="107"/>
        <v>ok</v>
      </c>
      <c r="AG87" s="201"/>
      <c r="AH87" s="167" t="s">
        <v>1045</v>
      </c>
      <c r="AI87" s="201"/>
      <c r="AJ87" s="163">
        <f t="shared" si="135"/>
        <v>4</v>
      </c>
      <c r="AK87" s="145" t="str">
        <f t="shared" si="118"/>
        <v>Ok</v>
      </c>
      <c r="AL87" s="201"/>
      <c r="AM87" s="140"/>
      <c r="AN87" s="201"/>
      <c r="AO87" s="142"/>
      <c r="AP87" s="219">
        <f t="shared" si="147"/>
        <v>0</v>
      </c>
      <c r="AQ87" s="144"/>
    </row>
    <row r="88" spans="1:43" ht="54.95" customHeight="1">
      <c r="A88" s="344" t="s">
        <v>321</v>
      </c>
      <c r="B88" s="344" t="s">
        <v>106</v>
      </c>
      <c r="C88" s="364" t="s">
        <v>256</v>
      </c>
      <c r="D88" s="363" t="s">
        <v>480</v>
      </c>
      <c r="E88" s="363">
        <v>582</v>
      </c>
      <c r="F88" s="363">
        <v>228</v>
      </c>
      <c r="G88" s="411" t="s">
        <v>1047</v>
      </c>
      <c r="H88" s="412">
        <v>7796044</v>
      </c>
      <c r="I88" s="413">
        <v>8321614</v>
      </c>
      <c r="J88" s="349">
        <f t="shared" si="114"/>
        <v>-525570</v>
      </c>
      <c r="K88" s="350"/>
      <c r="L88" s="350">
        <v>808675</v>
      </c>
      <c r="M88" s="414">
        <f t="shared" si="115"/>
        <v>8604719</v>
      </c>
      <c r="N88" s="415"/>
      <c r="O88" s="350">
        <v>808675</v>
      </c>
      <c r="P88" s="416">
        <f t="shared" si="116"/>
        <v>8604719</v>
      </c>
      <c r="Q88" s="234" t="str">
        <f t="shared" si="148"/>
        <v/>
      </c>
      <c r="R88" s="221" t="s">
        <v>1046</v>
      </c>
      <c r="S88" s="225" t="s">
        <v>1046</v>
      </c>
      <c r="T88" s="429" t="s">
        <v>1046</v>
      </c>
      <c r="U88" s="421"/>
      <c r="V88" s="149" t="s">
        <v>508</v>
      </c>
      <c r="W88" s="201"/>
      <c r="X88" s="165" t="s">
        <v>491</v>
      </c>
      <c r="Y88" s="123">
        <v>646940</v>
      </c>
      <c r="Z88" s="123">
        <v>161735</v>
      </c>
      <c r="AA88" s="145" t="str">
        <f t="shared" si="117"/>
        <v>ok</v>
      </c>
      <c r="AB88" s="201"/>
      <c r="AC88" s="166" t="str">
        <f t="shared" si="8"/>
        <v>국비</v>
      </c>
      <c r="AD88" s="123">
        <v>646940</v>
      </c>
      <c r="AE88" s="123">
        <v>161735</v>
      </c>
      <c r="AF88" s="145" t="str">
        <f t="shared" si="107"/>
        <v>ok</v>
      </c>
      <c r="AG88" s="201"/>
      <c r="AH88" s="167" t="s">
        <v>1045</v>
      </c>
      <c r="AI88" s="201"/>
      <c r="AJ88" s="163">
        <f t="shared" si="135"/>
        <v>4</v>
      </c>
      <c r="AK88" s="145" t="str">
        <f t="shared" si="118"/>
        <v>Ok</v>
      </c>
      <c r="AL88" s="201"/>
      <c r="AM88" s="140"/>
      <c r="AN88" s="201"/>
      <c r="AO88" s="142"/>
      <c r="AP88" s="219">
        <f t="shared" si="147"/>
        <v>0</v>
      </c>
      <c r="AQ88" s="144"/>
    </row>
    <row r="89" spans="1:43" ht="54.95" customHeight="1">
      <c r="A89" s="344" t="s">
        <v>321</v>
      </c>
      <c r="B89" s="344" t="s">
        <v>106</v>
      </c>
      <c r="C89" s="364" t="s">
        <v>256</v>
      </c>
      <c r="D89" s="363" t="s">
        <v>480</v>
      </c>
      <c r="E89" s="363">
        <v>583</v>
      </c>
      <c r="F89" s="363">
        <v>237</v>
      </c>
      <c r="G89" s="411" t="s">
        <v>1048</v>
      </c>
      <c r="H89" s="412">
        <v>681211</v>
      </c>
      <c r="I89" s="413">
        <v>586591</v>
      </c>
      <c r="J89" s="349">
        <f t="shared" si="114"/>
        <v>94620</v>
      </c>
      <c r="K89" s="350"/>
      <c r="L89" s="350">
        <v>1048</v>
      </c>
      <c r="M89" s="414">
        <f t="shared" si="115"/>
        <v>682259</v>
      </c>
      <c r="N89" s="415"/>
      <c r="O89" s="350">
        <v>1048</v>
      </c>
      <c r="P89" s="416">
        <f t="shared" si="116"/>
        <v>682259</v>
      </c>
      <c r="Q89" s="234" t="str">
        <f t="shared" si="148"/>
        <v/>
      </c>
      <c r="R89" s="221" t="s">
        <v>1046</v>
      </c>
      <c r="S89" s="225" t="s">
        <v>1046</v>
      </c>
      <c r="T89" s="429" t="s">
        <v>1046</v>
      </c>
      <c r="U89" s="421"/>
      <c r="V89" s="149" t="s">
        <v>508</v>
      </c>
      <c r="W89" s="201"/>
      <c r="X89" s="165" t="s">
        <v>491</v>
      </c>
      <c r="Y89" s="123">
        <v>1008</v>
      </c>
      <c r="Z89" s="123">
        <v>40</v>
      </c>
      <c r="AA89" s="145" t="str">
        <f t="shared" si="117"/>
        <v>ok</v>
      </c>
      <c r="AB89" s="201"/>
      <c r="AC89" s="166" t="str">
        <f t="shared" si="8"/>
        <v>국비</v>
      </c>
      <c r="AD89" s="123">
        <v>1008</v>
      </c>
      <c r="AE89" s="123">
        <v>40</v>
      </c>
      <c r="AF89" s="145" t="str">
        <f t="shared" si="107"/>
        <v>ok</v>
      </c>
      <c r="AG89" s="201"/>
      <c r="AH89" s="167" t="s">
        <v>1045</v>
      </c>
      <c r="AI89" s="201"/>
      <c r="AJ89" s="163">
        <f t="shared" si="135"/>
        <v>4</v>
      </c>
      <c r="AK89" s="145" t="str">
        <f t="shared" si="118"/>
        <v>Ok</v>
      </c>
      <c r="AL89" s="201"/>
      <c r="AM89" s="140"/>
      <c r="AN89" s="201"/>
      <c r="AO89" s="142"/>
      <c r="AP89" s="219">
        <f t="shared" si="147"/>
        <v>0</v>
      </c>
      <c r="AQ89" s="144"/>
    </row>
    <row r="90" spans="1:43" ht="54.95" customHeight="1">
      <c r="A90" s="344" t="s">
        <v>321</v>
      </c>
      <c r="B90" s="344" t="s">
        <v>106</v>
      </c>
      <c r="C90" s="364" t="s">
        <v>81</v>
      </c>
      <c r="D90" s="363" t="s">
        <v>1052</v>
      </c>
      <c r="E90" s="363"/>
      <c r="F90" s="363"/>
      <c r="G90" s="411" t="s">
        <v>1049</v>
      </c>
      <c r="H90" s="412">
        <v>7779364</v>
      </c>
      <c r="I90" s="413">
        <v>7779364</v>
      </c>
      <c r="J90" s="349">
        <f t="shared" si="114"/>
        <v>0</v>
      </c>
      <c r="K90" s="350"/>
      <c r="L90" s="350">
        <v>1332494</v>
      </c>
      <c r="M90" s="414">
        <f t="shared" si="115"/>
        <v>9111858</v>
      </c>
      <c r="N90" s="415"/>
      <c r="O90" s="350">
        <v>1332494</v>
      </c>
      <c r="P90" s="416">
        <f t="shared" si="116"/>
        <v>9111858</v>
      </c>
      <c r="Q90" s="234" t="str">
        <f t="shared" si="148"/>
        <v/>
      </c>
      <c r="R90" s="221" t="s">
        <v>600</v>
      </c>
      <c r="S90" s="225" t="s">
        <v>600</v>
      </c>
      <c r="T90" s="429" t="s">
        <v>600</v>
      </c>
      <c r="U90" s="421"/>
      <c r="V90" s="149" t="s">
        <v>508</v>
      </c>
      <c r="W90" s="201"/>
      <c r="X90" s="165" t="s">
        <v>491</v>
      </c>
      <c r="Y90" s="123">
        <v>1252008</v>
      </c>
      <c r="Z90" s="123">
        <v>80486</v>
      </c>
      <c r="AA90" s="145" t="str">
        <f t="shared" si="117"/>
        <v>ok</v>
      </c>
      <c r="AB90" s="201"/>
      <c r="AC90" s="166" t="str">
        <f t="shared" si="8"/>
        <v>국비</v>
      </c>
      <c r="AD90" s="123">
        <v>1252008</v>
      </c>
      <c r="AE90" s="123">
        <v>80486</v>
      </c>
      <c r="AF90" s="145" t="str">
        <f t="shared" si="107"/>
        <v>ok</v>
      </c>
      <c r="AG90" s="201"/>
      <c r="AH90" s="167" t="s">
        <v>1053</v>
      </c>
      <c r="AI90" s="201"/>
      <c r="AJ90" s="163">
        <f t="shared" si="135"/>
        <v>2</v>
      </c>
      <c r="AK90" s="145" t="str">
        <f t="shared" si="118"/>
        <v>Ok</v>
      </c>
      <c r="AL90" s="201"/>
      <c r="AM90" s="140"/>
      <c r="AN90" s="201"/>
      <c r="AO90" s="142"/>
      <c r="AP90" s="219">
        <f t="shared" si="147"/>
        <v>0</v>
      </c>
      <c r="AQ90" s="144"/>
    </row>
    <row r="91" spans="1:43" ht="54.95" customHeight="1">
      <c r="A91" s="344" t="s">
        <v>321</v>
      </c>
      <c r="B91" s="344" t="s">
        <v>567</v>
      </c>
      <c r="C91" s="364" t="s">
        <v>82</v>
      </c>
      <c r="D91" s="363" t="s">
        <v>1052</v>
      </c>
      <c r="E91" s="363"/>
      <c r="F91" s="363"/>
      <c r="G91" s="411" t="s">
        <v>1049</v>
      </c>
      <c r="H91" s="412">
        <v>3745287</v>
      </c>
      <c r="I91" s="413">
        <v>3745287</v>
      </c>
      <c r="J91" s="349">
        <f t="shared" si="114"/>
        <v>0</v>
      </c>
      <c r="K91" s="350"/>
      <c r="L91" s="350">
        <v>638764</v>
      </c>
      <c r="M91" s="414">
        <f t="shared" si="115"/>
        <v>4384051</v>
      </c>
      <c r="N91" s="415"/>
      <c r="O91" s="350">
        <v>638764</v>
      </c>
      <c r="P91" s="416">
        <f t="shared" si="116"/>
        <v>4384051</v>
      </c>
      <c r="Q91" s="234" t="str">
        <f t="shared" si="148"/>
        <v/>
      </c>
      <c r="R91" s="221" t="s">
        <v>600</v>
      </c>
      <c r="S91" s="225" t="s">
        <v>600</v>
      </c>
      <c r="T91" s="429" t="s">
        <v>600</v>
      </c>
      <c r="U91" s="421"/>
      <c r="V91" s="149" t="s">
        <v>508</v>
      </c>
      <c r="W91" s="201"/>
      <c r="X91" s="165" t="s">
        <v>491</v>
      </c>
      <c r="Y91" s="194">
        <v>600180</v>
      </c>
      <c r="Z91" s="123">
        <v>38584</v>
      </c>
      <c r="AA91" s="145" t="str">
        <f t="shared" si="117"/>
        <v>ok</v>
      </c>
      <c r="AB91" s="201"/>
      <c r="AC91" s="166" t="str">
        <f t="shared" si="8"/>
        <v>국비</v>
      </c>
      <c r="AD91" s="123">
        <v>600180</v>
      </c>
      <c r="AE91" s="123">
        <v>38584</v>
      </c>
      <c r="AF91" s="145" t="str">
        <f t="shared" si="107"/>
        <v>ok</v>
      </c>
      <c r="AG91" s="201"/>
      <c r="AH91" s="167" t="s">
        <v>1053</v>
      </c>
      <c r="AI91" s="201"/>
      <c r="AJ91" s="163">
        <f t="shared" si="135"/>
        <v>2</v>
      </c>
      <c r="AK91" s="145" t="str">
        <f t="shared" si="118"/>
        <v>Ok</v>
      </c>
      <c r="AL91" s="201"/>
      <c r="AM91" s="140"/>
      <c r="AN91" s="201"/>
      <c r="AO91" s="142"/>
      <c r="AP91" s="219">
        <f t="shared" si="147"/>
        <v>0</v>
      </c>
      <c r="AQ91" s="144"/>
    </row>
    <row r="92" spans="1:43" ht="54.95" customHeight="1">
      <c r="A92" s="344" t="s">
        <v>321</v>
      </c>
      <c r="B92" s="344" t="s">
        <v>106</v>
      </c>
      <c r="C92" s="364" t="s">
        <v>81</v>
      </c>
      <c r="D92" s="363" t="s">
        <v>1052</v>
      </c>
      <c r="E92" s="363"/>
      <c r="F92" s="363"/>
      <c r="G92" s="411" t="s">
        <v>1050</v>
      </c>
      <c r="H92" s="412">
        <v>74414279</v>
      </c>
      <c r="I92" s="413">
        <v>74414279</v>
      </c>
      <c r="J92" s="349">
        <f t="shared" si="114"/>
        <v>0</v>
      </c>
      <c r="K92" s="350"/>
      <c r="L92" s="350">
        <v>2226052</v>
      </c>
      <c r="M92" s="414">
        <f t="shared" si="115"/>
        <v>76640331</v>
      </c>
      <c r="N92" s="415"/>
      <c r="O92" s="350">
        <v>2226052</v>
      </c>
      <c r="P92" s="416">
        <f t="shared" si="116"/>
        <v>76640331</v>
      </c>
      <c r="Q92" s="234" t="str">
        <f t="shared" si="148"/>
        <v/>
      </c>
      <c r="R92" s="221" t="s">
        <v>601</v>
      </c>
      <c r="S92" s="225" t="s">
        <v>601</v>
      </c>
      <c r="T92" s="429" t="s">
        <v>601</v>
      </c>
      <c r="U92" s="421"/>
      <c r="V92" s="149" t="s">
        <v>508</v>
      </c>
      <c r="W92" s="201"/>
      <c r="X92" s="165" t="s">
        <v>491</v>
      </c>
      <c r="Y92" s="123">
        <v>2091592</v>
      </c>
      <c r="Z92" s="123">
        <v>134460</v>
      </c>
      <c r="AA92" s="145" t="str">
        <f t="shared" si="117"/>
        <v>ok</v>
      </c>
      <c r="AB92" s="201"/>
      <c r="AC92" s="166" t="str">
        <f t="shared" si="8"/>
        <v>국비</v>
      </c>
      <c r="AD92" s="123">
        <v>2091592</v>
      </c>
      <c r="AE92" s="123">
        <v>134460</v>
      </c>
      <c r="AF92" s="145" t="str">
        <f t="shared" si="107"/>
        <v>ok</v>
      </c>
      <c r="AG92" s="201"/>
      <c r="AH92" s="167" t="s">
        <v>1054</v>
      </c>
      <c r="AI92" s="201"/>
      <c r="AJ92" s="163">
        <f t="shared" si="135"/>
        <v>2</v>
      </c>
      <c r="AK92" s="145" t="str">
        <f t="shared" si="118"/>
        <v>Ok</v>
      </c>
      <c r="AL92" s="201"/>
      <c r="AM92" s="140"/>
      <c r="AN92" s="201"/>
      <c r="AO92" s="142"/>
      <c r="AP92" s="219">
        <f t="shared" si="147"/>
        <v>0</v>
      </c>
      <c r="AQ92" s="144"/>
    </row>
    <row r="93" spans="1:43" ht="54.95" customHeight="1">
      <c r="A93" s="344" t="s">
        <v>321</v>
      </c>
      <c r="B93" s="344" t="s">
        <v>567</v>
      </c>
      <c r="C93" s="364" t="s">
        <v>82</v>
      </c>
      <c r="D93" s="363" t="s">
        <v>1052</v>
      </c>
      <c r="E93" s="363"/>
      <c r="F93" s="363"/>
      <c r="G93" s="411" t="s">
        <v>1050</v>
      </c>
      <c r="H93" s="412">
        <v>33381899</v>
      </c>
      <c r="I93" s="413">
        <v>33381899</v>
      </c>
      <c r="J93" s="349">
        <f t="shared" si="114"/>
        <v>0</v>
      </c>
      <c r="K93" s="350"/>
      <c r="L93" s="350">
        <v>726277</v>
      </c>
      <c r="M93" s="414">
        <f t="shared" si="115"/>
        <v>34108176</v>
      </c>
      <c r="N93" s="415"/>
      <c r="O93" s="350">
        <v>726277</v>
      </c>
      <c r="P93" s="416">
        <f t="shared" si="116"/>
        <v>34108176</v>
      </c>
      <c r="Q93" s="234" t="str">
        <f t="shared" si="148"/>
        <v/>
      </c>
      <c r="R93" s="221" t="s">
        <v>601</v>
      </c>
      <c r="S93" s="225" t="s">
        <v>601</v>
      </c>
      <c r="T93" s="429" t="s">
        <v>601</v>
      </c>
      <c r="U93" s="421"/>
      <c r="V93" s="149" t="s">
        <v>508</v>
      </c>
      <c r="W93" s="201"/>
      <c r="X93" s="165" t="s">
        <v>491</v>
      </c>
      <c r="Y93" s="123">
        <v>682408</v>
      </c>
      <c r="Z93" s="123">
        <v>43869</v>
      </c>
      <c r="AA93" s="145" t="str">
        <f t="shared" si="117"/>
        <v>ok</v>
      </c>
      <c r="AB93" s="201"/>
      <c r="AC93" s="166" t="str">
        <f t="shared" si="8"/>
        <v>국비</v>
      </c>
      <c r="AD93" s="123">
        <v>682408</v>
      </c>
      <c r="AE93" s="123">
        <v>43869</v>
      </c>
      <c r="AF93" s="145" t="str">
        <f t="shared" si="107"/>
        <v>ok</v>
      </c>
      <c r="AG93" s="201"/>
      <c r="AH93" s="167" t="s">
        <v>1054</v>
      </c>
      <c r="AI93" s="201"/>
      <c r="AJ93" s="163">
        <f t="shared" si="135"/>
        <v>2</v>
      </c>
      <c r="AK93" s="145" t="str">
        <f t="shared" si="118"/>
        <v>Ok</v>
      </c>
      <c r="AL93" s="201"/>
      <c r="AM93" s="140"/>
      <c r="AN93" s="201"/>
      <c r="AO93" s="142"/>
      <c r="AP93" s="219">
        <f t="shared" si="147"/>
        <v>0</v>
      </c>
      <c r="AQ93" s="144"/>
    </row>
    <row r="94" spans="1:43" ht="54.95" customHeight="1">
      <c r="A94" s="344" t="s">
        <v>321</v>
      </c>
      <c r="B94" s="344" t="s">
        <v>106</v>
      </c>
      <c r="C94" s="364" t="s">
        <v>81</v>
      </c>
      <c r="D94" s="363" t="s">
        <v>1052</v>
      </c>
      <c r="E94" s="363"/>
      <c r="F94" s="363"/>
      <c r="G94" s="411" t="s">
        <v>1051</v>
      </c>
      <c r="H94" s="412">
        <v>2826195</v>
      </c>
      <c r="I94" s="413">
        <v>2826195</v>
      </c>
      <c r="J94" s="349">
        <f t="shared" si="114"/>
        <v>0</v>
      </c>
      <c r="K94" s="350"/>
      <c r="L94" s="350">
        <v>1322029</v>
      </c>
      <c r="M94" s="414">
        <f t="shared" si="115"/>
        <v>4148224</v>
      </c>
      <c r="N94" s="415"/>
      <c r="O94" s="350">
        <v>1322029</v>
      </c>
      <c r="P94" s="416">
        <f t="shared" si="116"/>
        <v>4148224</v>
      </c>
      <c r="Q94" s="234" t="str">
        <f t="shared" si="148"/>
        <v/>
      </c>
      <c r="R94" s="221" t="s">
        <v>602</v>
      </c>
      <c r="S94" s="225" t="s">
        <v>602</v>
      </c>
      <c r="T94" s="429" t="s">
        <v>602</v>
      </c>
      <c r="U94" s="421"/>
      <c r="V94" s="149" t="s">
        <v>508</v>
      </c>
      <c r="W94" s="201"/>
      <c r="X94" s="165" t="s">
        <v>491</v>
      </c>
      <c r="Y94" s="123">
        <v>1322029</v>
      </c>
      <c r="Z94" s="123"/>
      <c r="AA94" s="145" t="str">
        <f t="shared" si="117"/>
        <v>ok</v>
      </c>
      <c r="AB94" s="201"/>
      <c r="AC94" s="166" t="str">
        <f t="shared" si="8"/>
        <v>국비</v>
      </c>
      <c r="AD94" s="123">
        <v>1322029</v>
      </c>
      <c r="AE94" s="123"/>
      <c r="AF94" s="145" t="str">
        <f t="shared" si="107"/>
        <v>ok</v>
      </c>
      <c r="AG94" s="201"/>
      <c r="AH94" s="167" t="s">
        <v>1055</v>
      </c>
      <c r="AI94" s="201"/>
      <c r="AJ94" s="163">
        <f t="shared" si="135"/>
        <v>2</v>
      </c>
      <c r="AK94" s="145" t="str">
        <f t="shared" si="118"/>
        <v>Ok</v>
      </c>
      <c r="AL94" s="201"/>
      <c r="AM94" s="140"/>
      <c r="AN94" s="201"/>
      <c r="AO94" s="142"/>
      <c r="AP94" s="219">
        <f t="shared" si="147"/>
        <v>0</v>
      </c>
      <c r="AQ94" s="144"/>
    </row>
    <row r="95" spans="1:43" ht="56.25" customHeight="1">
      <c r="A95" s="344" t="s">
        <v>321</v>
      </c>
      <c r="B95" s="344" t="s">
        <v>567</v>
      </c>
      <c r="C95" s="364" t="s">
        <v>82</v>
      </c>
      <c r="D95" s="363" t="s">
        <v>1052</v>
      </c>
      <c r="E95" s="363"/>
      <c r="F95" s="363"/>
      <c r="G95" s="411" t="s">
        <v>1051</v>
      </c>
      <c r="H95" s="412">
        <v>1099805</v>
      </c>
      <c r="I95" s="413">
        <v>1099805</v>
      </c>
      <c r="J95" s="349">
        <f t="shared" si="114"/>
        <v>0</v>
      </c>
      <c r="K95" s="350"/>
      <c r="L95" s="350">
        <v>909931</v>
      </c>
      <c r="M95" s="414">
        <f t="shared" si="115"/>
        <v>2009736</v>
      </c>
      <c r="N95" s="415"/>
      <c r="O95" s="350">
        <v>909931</v>
      </c>
      <c r="P95" s="416">
        <f t="shared" si="116"/>
        <v>2009736</v>
      </c>
      <c r="Q95" s="234" t="str">
        <f t="shared" si="148"/>
        <v/>
      </c>
      <c r="R95" s="221" t="s">
        <v>602</v>
      </c>
      <c r="S95" s="225" t="s">
        <v>602</v>
      </c>
      <c r="T95" s="429" t="s">
        <v>602</v>
      </c>
      <c r="U95" s="421"/>
      <c r="V95" s="149" t="s">
        <v>508</v>
      </c>
      <c r="W95" s="201"/>
      <c r="X95" s="165" t="s">
        <v>491</v>
      </c>
      <c r="Y95" s="123">
        <v>909931</v>
      </c>
      <c r="Z95" s="123"/>
      <c r="AA95" s="145" t="str">
        <f t="shared" si="117"/>
        <v>ok</v>
      </c>
      <c r="AB95" s="201"/>
      <c r="AC95" s="166" t="str">
        <f t="shared" si="8"/>
        <v>국비</v>
      </c>
      <c r="AD95" s="123">
        <v>909931</v>
      </c>
      <c r="AE95" s="123"/>
      <c r="AF95" s="145" t="str">
        <f t="shared" si="107"/>
        <v>ok</v>
      </c>
      <c r="AG95" s="201"/>
      <c r="AH95" s="167" t="s">
        <v>1055</v>
      </c>
      <c r="AI95" s="201"/>
      <c r="AJ95" s="163">
        <f t="shared" si="135"/>
        <v>2</v>
      </c>
      <c r="AK95" s="145" t="str">
        <f t="shared" si="118"/>
        <v>Ok</v>
      </c>
      <c r="AL95" s="201"/>
      <c r="AM95" s="140"/>
      <c r="AN95" s="201"/>
      <c r="AO95" s="142"/>
      <c r="AP95" s="219">
        <f t="shared" si="147"/>
        <v>0</v>
      </c>
      <c r="AQ95" s="144"/>
    </row>
    <row r="96" spans="1:43" ht="67.5">
      <c r="A96" s="344" t="s">
        <v>321</v>
      </c>
      <c r="B96" s="344" t="s">
        <v>106</v>
      </c>
      <c r="C96" s="364" t="s">
        <v>81</v>
      </c>
      <c r="D96" s="363" t="s">
        <v>480</v>
      </c>
      <c r="E96" s="363">
        <v>590</v>
      </c>
      <c r="F96" s="363">
        <v>324</v>
      </c>
      <c r="G96" s="411" t="s">
        <v>1318</v>
      </c>
      <c r="H96" s="412">
        <v>74229904</v>
      </c>
      <c r="I96" s="413">
        <v>74203287</v>
      </c>
      <c r="J96" s="349">
        <f t="shared" si="114"/>
        <v>26617</v>
      </c>
      <c r="K96" s="350"/>
      <c r="L96" s="350">
        <v>1645991</v>
      </c>
      <c r="M96" s="414">
        <f t="shared" si="115"/>
        <v>75875895</v>
      </c>
      <c r="N96" s="415"/>
      <c r="O96" s="350">
        <v>1645991</v>
      </c>
      <c r="P96" s="416">
        <f t="shared" si="116"/>
        <v>75875895</v>
      </c>
      <c r="Q96" s="234" t="str">
        <f t="shared" si="148"/>
        <v/>
      </c>
      <c r="R96" s="221" t="s">
        <v>603</v>
      </c>
      <c r="S96" s="225" t="s">
        <v>603</v>
      </c>
      <c r="T96" s="429" t="s">
        <v>603</v>
      </c>
      <c r="U96" s="421"/>
      <c r="V96" s="149" t="s">
        <v>508</v>
      </c>
      <c r="W96" s="201"/>
      <c r="X96" s="165" t="s">
        <v>491</v>
      </c>
      <c r="Y96" s="123">
        <v>1546567</v>
      </c>
      <c r="Z96" s="123">
        <v>99424</v>
      </c>
      <c r="AA96" s="145" t="str">
        <f t="shared" si="117"/>
        <v>ok</v>
      </c>
      <c r="AB96" s="201"/>
      <c r="AC96" s="166" t="str">
        <f t="shared" si="8"/>
        <v>국비</v>
      </c>
      <c r="AD96" s="123">
        <v>1546567</v>
      </c>
      <c r="AE96" s="123">
        <v>99424</v>
      </c>
      <c r="AF96" s="145" t="str">
        <f t="shared" ref="AF96:AF166" si="151">IFERROR(IF((N96+O96)=(AD96+AE96),"ok","검토"),"검토")</f>
        <v>ok</v>
      </c>
      <c r="AG96" s="201"/>
      <c r="AH96" s="167" t="s">
        <v>1056</v>
      </c>
      <c r="AI96" s="201"/>
      <c r="AJ96" s="163">
        <f t="shared" si="135"/>
        <v>2</v>
      </c>
      <c r="AK96" s="145" t="str">
        <f t="shared" si="118"/>
        <v>Ok</v>
      </c>
      <c r="AL96" s="201"/>
      <c r="AM96" s="140"/>
      <c r="AN96" s="201"/>
      <c r="AO96" s="142"/>
      <c r="AP96" s="219">
        <f t="shared" si="147"/>
        <v>0</v>
      </c>
      <c r="AQ96" s="144"/>
    </row>
    <row r="97" spans="1:43" ht="67.5">
      <c r="A97" s="344" t="s">
        <v>321</v>
      </c>
      <c r="B97" s="344" t="s">
        <v>567</v>
      </c>
      <c r="C97" s="364" t="s">
        <v>82</v>
      </c>
      <c r="D97" s="363" t="s">
        <v>1052</v>
      </c>
      <c r="E97" s="363">
        <v>565</v>
      </c>
      <c r="F97" s="363"/>
      <c r="G97" s="411" t="s">
        <v>1319</v>
      </c>
      <c r="H97" s="412">
        <v>31622849</v>
      </c>
      <c r="I97" s="413">
        <v>31622849</v>
      </c>
      <c r="J97" s="349">
        <f t="shared" si="114"/>
        <v>0</v>
      </c>
      <c r="K97" s="350"/>
      <c r="L97" s="350">
        <v>535795</v>
      </c>
      <c r="M97" s="414">
        <f t="shared" si="115"/>
        <v>32158644</v>
      </c>
      <c r="N97" s="415"/>
      <c r="O97" s="350">
        <v>535795</v>
      </c>
      <c r="P97" s="416">
        <f t="shared" si="116"/>
        <v>32158644</v>
      </c>
      <c r="Q97" s="234" t="str">
        <f t="shared" si="148"/>
        <v/>
      </c>
      <c r="R97" s="221" t="s">
        <v>603</v>
      </c>
      <c r="S97" s="225" t="s">
        <v>603</v>
      </c>
      <c r="T97" s="429" t="s">
        <v>603</v>
      </c>
      <c r="U97" s="421" t="s">
        <v>1328</v>
      </c>
      <c r="V97" s="149" t="s">
        <v>508</v>
      </c>
      <c r="W97" s="201"/>
      <c r="X97" s="165" t="s">
        <v>491</v>
      </c>
      <c r="Y97" s="123">
        <v>503433</v>
      </c>
      <c r="Z97" s="123">
        <v>32362</v>
      </c>
      <c r="AA97" s="145" t="str">
        <f t="shared" si="117"/>
        <v>ok</v>
      </c>
      <c r="AB97" s="201"/>
      <c r="AC97" s="166" t="str">
        <f t="shared" si="8"/>
        <v>국비</v>
      </c>
      <c r="AD97" s="123">
        <v>503433</v>
      </c>
      <c r="AE97" s="123">
        <v>32362</v>
      </c>
      <c r="AF97" s="145" t="str">
        <f t="shared" si="151"/>
        <v>ok</v>
      </c>
      <c r="AG97" s="201"/>
      <c r="AH97" s="167" t="s">
        <v>1056</v>
      </c>
      <c r="AI97" s="201"/>
      <c r="AJ97" s="163">
        <f t="shared" si="135"/>
        <v>2</v>
      </c>
      <c r="AK97" s="145" t="str">
        <f t="shared" si="118"/>
        <v>Ok</v>
      </c>
      <c r="AL97" s="201"/>
      <c r="AM97" s="140"/>
      <c r="AN97" s="201"/>
      <c r="AO97" s="142"/>
      <c r="AP97" s="219">
        <f t="shared" si="147"/>
        <v>0</v>
      </c>
      <c r="AQ97" s="144"/>
    </row>
    <row r="98" spans="1:43" ht="60" customHeight="1">
      <c r="A98" s="344" t="s">
        <v>321</v>
      </c>
      <c r="B98" s="344" t="s">
        <v>106</v>
      </c>
      <c r="C98" s="364" t="s">
        <v>259</v>
      </c>
      <c r="D98" s="363" t="s">
        <v>480</v>
      </c>
      <c r="E98" s="363">
        <v>605</v>
      </c>
      <c r="F98" s="363"/>
      <c r="G98" s="411" t="s">
        <v>1215</v>
      </c>
      <c r="H98" s="412">
        <v>4399121</v>
      </c>
      <c r="I98" s="413">
        <v>4398142</v>
      </c>
      <c r="J98" s="349">
        <f t="shared" si="114"/>
        <v>979</v>
      </c>
      <c r="K98" s="350"/>
      <c r="L98" s="350"/>
      <c r="M98" s="414">
        <f t="shared" si="115"/>
        <v>4399121</v>
      </c>
      <c r="N98" s="415">
        <v>-58535</v>
      </c>
      <c r="O98" s="350"/>
      <c r="P98" s="416">
        <f t="shared" ref="P98:P105" si="152">H98+N98+O98</f>
        <v>4340586</v>
      </c>
      <c r="Q98" s="234" t="str">
        <f t="shared" ref="Q98:Q105" si="153">IF(OR(AND(K98&lt;0,K98&lt;N98),AND(K98&lt;0,N98+O98=0),AND(K98&lt;0,O98&gt;0),AND(I98=0,M98=0,P98&gt;0)),"동의","")</f>
        <v/>
      </c>
      <c r="R98" s="211"/>
      <c r="S98" s="223"/>
      <c r="T98" s="421" t="s">
        <v>1234</v>
      </c>
      <c r="U98" s="421"/>
      <c r="V98" s="149" t="s">
        <v>1205</v>
      </c>
      <c r="W98" s="201"/>
      <c r="X98" s="165" t="s">
        <v>1200</v>
      </c>
      <c r="Y98" s="123"/>
      <c r="Z98" s="123"/>
      <c r="AA98" s="145" t="str">
        <f t="shared" si="117"/>
        <v>ok</v>
      </c>
      <c r="AB98" s="201"/>
      <c r="AC98" s="166" t="str">
        <f t="shared" si="8"/>
        <v>국비</v>
      </c>
      <c r="AD98" s="123">
        <v>-55000</v>
      </c>
      <c r="AE98" s="123">
        <v>-3535</v>
      </c>
      <c r="AF98" s="145" t="str">
        <f t="shared" ref="AF98:AF105" si="154">IFERROR(IF((N98+O98)=(AD98+AE98),"ok","검토"),"검토")</f>
        <v>ok</v>
      </c>
      <c r="AG98" s="201"/>
      <c r="AH98" s="167" t="s">
        <v>1253</v>
      </c>
      <c r="AI98" s="201"/>
      <c r="AJ98" s="163">
        <f t="shared" si="135"/>
        <v>1</v>
      </c>
      <c r="AK98" s="145" t="str">
        <f t="shared" si="118"/>
        <v>Ok</v>
      </c>
      <c r="AL98" s="201"/>
      <c r="AM98" s="140"/>
      <c r="AN98" s="201"/>
      <c r="AO98" s="142"/>
      <c r="AP98" s="219">
        <f t="shared" si="147"/>
        <v>0</v>
      </c>
      <c r="AQ98" s="219"/>
    </row>
    <row r="99" spans="1:43" ht="80.25" customHeight="1">
      <c r="A99" s="344" t="s">
        <v>321</v>
      </c>
      <c r="B99" s="344" t="s">
        <v>106</v>
      </c>
      <c r="C99" s="364" t="s">
        <v>257</v>
      </c>
      <c r="D99" s="363" t="s">
        <v>1320</v>
      </c>
      <c r="E99" s="363"/>
      <c r="F99" s="363"/>
      <c r="G99" s="411" t="s">
        <v>1216</v>
      </c>
      <c r="H99" s="412">
        <v>100650</v>
      </c>
      <c r="I99" s="413">
        <v>100650</v>
      </c>
      <c r="J99" s="349">
        <f t="shared" si="114"/>
        <v>0</v>
      </c>
      <c r="K99" s="350"/>
      <c r="L99" s="350"/>
      <c r="M99" s="414">
        <f t="shared" si="115"/>
        <v>100650</v>
      </c>
      <c r="N99" s="415"/>
      <c r="O99" s="350">
        <v>18150</v>
      </c>
      <c r="P99" s="416">
        <f t="shared" si="152"/>
        <v>118800</v>
      </c>
      <c r="Q99" s="234" t="str">
        <f t="shared" si="153"/>
        <v/>
      </c>
      <c r="R99" s="211"/>
      <c r="S99" s="223"/>
      <c r="T99" s="421" t="s">
        <v>1235</v>
      </c>
      <c r="U99" s="421"/>
      <c r="V99" s="149" t="s">
        <v>1205</v>
      </c>
      <c r="W99" s="201"/>
      <c r="X99" s="165" t="s">
        <v>1197</v>
      </c>
      <c r="Y99" s="123"/>
      <c r="Z99" s="123"/>
      <c r="AA99" s="145" t="str">
        <f t="shared" si="117"/>
        <v>ok</v>
      </c>
      <c r="AB99" s="201"/>
      <c r="AC99" s="166" t="str">
        <f t="shared" si="8"/>
        <v>기금</v>
      </c>
      <c r="AD99" s="123">
        <v>18150</v>
      </c>
      <c r="AE99" s="123">
        <v>0</v>
      </c>
      <c r="AF99" s="145" t="str">
        <f t="shared" si="154"/>
        <v>ok</v>
      </c>
      <c r="AG99" s="201"/>
      <c r="AH99" s="167" t="s">
        <v>1254</v>
      </c>
      <c r="AI99" s="201"/>
      <c r="AJ99" s="163">
        <f t="shared" si="135"/>
        <v>2</v>
      </c>
      <c r="AK99" s="145" t="str">
        <f t="shared" si="118"/>
        <v>Ok</v>
      </c>
      <c r="AL99" s="201"/>
      <c r="AM99" s="140"/>
      <c r="AN99" s="201"/>
      <c r="AO99" s="142"/>
      <c r="AP99" s="219">
        <f t="shared" si="147"/>
        <v>0</v>
      </c>
      <c r="AQ99" s="219"/>
    </row>
    <row r="100" spans="1:43" ht="80.25" customHeight="1">
      <c r="A100" s="344" t="s">
        <v>321</v>
      </c>
      <c r="B100" s="344" t="s">
        <v>69</v>
      </c>
      <c r="C100" s="364" t="s">
        <v>82</v>
      </c>
      <c r="D100" s="363" t="s">
        <v>1320</v>
      </c>
      <c r="E100" s="363"/>
      <c r="F100" s="363"/>
      <c r="G100" s="411" t="s">
        <v>1217</v>
      </c>
      <c r="H100" s="412">
        <v>18150</v>
      </c>
      <c r="I100" s="413">
        <v>18150</v>
      </c>
      <c r="J100" s="349">
        <f t="shared" si="114"/>
        <v>0</v>
      </c>
      <c r="K100" s="350"/>
      <c r="L100" s="350"/>
      <c r="M100" s="414">
        <f t="shared" si="115"/>
        <v>18150</v>
      </c>
      <c r="N100" s="415">
        <v>-18150</v>
      </c>
      <c r="O100" s="350"/>
      <c r="P100" s="416">
        <f t="shared" si="152"/>
        <v>0</v>
      </c>
      <c r="Q100" s="234" t="str">
        <f t="shared" si="153"/>
        <v/>
      </c>
      <c r="R100" s="211"/>
      <c r="S100" s="223"/>
      <c r="T100" s="421" t="s">
        <v>1235</v>
      </c>
      <c r="U100" s="421"/>
      <c r="V100" s="149" t="s">
        <v>1205</v>
      </c>
      <c r="W100" s="201"/>
      <c r="X100" s="165" t="s">
        <v>1197</v>
      </c>
      <c r="Y100" s="123"/>
      <c r="Z100" s="123"/>
      <c r="AA100" s="145" t="str">
        <f t="shared" si="117"/>
        <v>ok</v>
      </c>
      <c r="AB100" s="201"/>
      <c r="AC100" s="166" t="str">
        <f t="shared" si="8"/>
        <v>기금</v>
      </c>
      <c r="AD100" s="123">
        <v>-18150</v>
      </c>
      <c r="AE100" s="123">
        <v>0</v>
      </c>
      <c r="AF100" s="145" t="str">
        <f t="shared" si="154"/>
        <v>ok</v>
      </c>
      <c r="AG100" s="201"/>
      <c r="AH100" s="167" t="s">
        <v>1254</v>
      </c>
      <c r="AI100" s="201"/>
      <c r="AJ100" s="163">
        <f t="shared" si="135"/>
        <v>2</v>
      </c>
      <c r="AK100" s="145" t="str">
        <f t="shared" si="118"/>
        <v>Ok</v>
      </c>
      <c r="AL100" s="201"/>
      <c r="AM100" s="140"/>
      <c r="AN100" s="201"/>
      <c r="AO100" s="142"/>
      <c r="AP100" s="219">
        <f t="shared" si="147"/>
        <v>0</v>
      </c>
      <c r="AQ100" s="219"/>
    </row>
    <row r="101" spans="1:43" ht="60" customHeight="1">
      <c r="A101" s="344" t="s">
        <v>321</v>
      </c>
      <c r="B101" s="344" t="s">
        <v>106</v>
      </c>
      <c r="C101" s="364" t="s">
        <v>256</v>
      </c>
      <c r="D101" s="363" t="s">
        <v>480</v>
      </c>
      <c r="E101" s="363">
        <v>582</v>
      </c>
      <c r="F101" s="363"/>
      <c r="G101" s="411" t="s">
        <v>1218</v>
      </c>
      <c r="H101" s="412">
        <v>65894</v>
      </c>
      <c r="I101" s="413">
        <v>57298</v>
      </c>
      <c r="J101" s="349">
        <f t="shared" si="114"/>
        <v>8596</v>
      </c>
      <c r="K101" s="350"/>
      <c r="L101" s="350"/>
      <c r="M101" s="414">
        <f t="shared" si="115"/>
        <v>65894</v>
      </c>
      <c r="N101" s="415"/>
      <c r="O101" s="350">
        <v>15403</v>
      </c>
      <c r="P101" s="416">
        <f t="shared" si="152"/>
        <v>81297</v>
      </c>
      <c r="Q101" s="234" t="str">
        <f t="shared" si="153"/>
        <v/>
      </c>
      <c r="R101" s="211"/>
      <c r="S101" s="223"/>
      <c r="T101" s="421" t="s">
        <v>1236</v>
      </c>
      <c r="U101" s="421"/>
      <c r="V101" s="149" t="s">
        <v>1205</v>
      </c>
      <c r="W101" s="201"/>
      <c r="X101" s="165" t="s">
        <v>1200</v>
      </c>
      <c r="Y101" s="123"/>
      <c r="Z101" s="123"/>
      <c r="AA101" s="145" t="str">
        <f t="shared" si="117"/>
        <v>ok</v>
      </c>
      <c r="AB101" s="201"/>
      <c r="AC101" s="166" t="str">
        <f t="shared" si="8"/>
        <v>국비</v>
      </c>
      <c r="AD101" s="123">
        <v>14473</v>
      </c>
      <c r="AE101" s="123">
        <v>930</v>
      </c>
      <c r="AF101" s="145" t="str">
        <f t="shared" si="154"/>
        <v>ok</v>
      </c>
      <c r="AG101" s="201"/>
      <c r="AH101" s="167" t="s">
        <v>1045</v>
      </c>
      <c r="AI101" s="201"/>
      <c r="AJ101" s="163">
        <f t="shared" si="135"/>
        <v>4</v>
      </c>
      <c r="AK101" s="145" t="str">
        <f t="shared" si="118"/>
        <v>Ok</v>
      </c>
      <c r="AL101" s="201"/>
      <c r="AM101" s="140"/>
      <c r="AN101" s="201"/>
      <c r="AO101" s="142"/>
      <c r="AP101" s="219">
        <f t="shared" si="147"/>
        <v>0</v>
      </c>
      <c r="AQ101" s="219"/>
    </row>
    <row r="102" spans="1:43" ht="84" customHeight="1">
      <c r="A102" s="344" t="s">
        <v>321</v>
      </c>
      <c r="B102" s="344" t="s">
        <v>106</v>
      </c>
      <c r="C102" s="364" t="s">
        <v>257</v>
      </c>
      <c r="D102" s="363" t="s">
        <v>480</v>
      </c>
      <c r="E102" s="363">
        <v>586</v>
      </c>
      <c r="F102" s="363"/>
      <c r="G102" s="411" t="s">
        <v>1219</v>
      </c>
      <c r="H102" s="412">
        <v>6857011</v>
      </c>
      <c r="I102" s="413">
        <v>6706946</v>
      </c>
      <c r="J102" s="349">
        <f t="shared" si="114"/>
        <v>150065</v>
      </c>
      <c r="K102" s="350"/>
      <c r="L102" s="350"/>
      <c r="M102" s="414">
        <f t="shared" si="115"/>
        <v>6857011</v>
      </c>
      <c r="N102" s="415"/>
      <c r="O102" s="350">
        <v>349107</v>
      </c>
      <c r="P102" s="416">
        <f t="shared" si="152"/>
        <v>7206118</v>
      </c>
      <c r="Q102" s="234" t="str">
        <f t="shared" si="153"/>
        <v/>
      </c>
      <c r="R102" s="211"/>
      <c r="S102" s="223"/>
      <c r="T102" s="421" t="s">
        <v>1237</v>
      </c>
      <c r="U102" s="421"/>
      <c r="V102" s="149" t="s">
        <v>1205</v>
      </c>
      <c r="W102" s="201"/>
      <c r="X102" s="165" t="s">
        <v>1200</v>
      </c>
      <c r="Y102" s="123"/>
      <c r="Z102" s="123"/>
      <c r="AA102" s="145" t="str">
        <f t="shared" si="117"/>
        <v>ok</v>
      </c>
      <c r="AB102" s="201"/>
      <c r="AC102" s="166" t="str">
        <f t="shared" si="8"/>
        <v>국비</v>
      </c>
      <c r="AD102" s="123">
        <v>328020</v>
      </c>
      <c r="AE102" s="123">
        <v>21087</v>
      </c>
      <c r="AF102" s="145" t="str">
        <f t="shared" si="154"/>
        <v>ok</v>
      </c>
      <c r="AG102" s="201"/>
      <c r="AH102" s="167" t="s">
        <v>1255</v>
      </c>
      <c r="AI102" s="201"/>
      <c r="AJ102" s="163">
        <f t="shared" si="135"/>
        <v>2</v>
      </c>
      <c r="AK102" s="145" t="str">
        <f t="shared" si="118"/>
        <v>Ok</v>
      </c>
      <c r="AL102" s="201"/>
      <c r="AM102" s="140"/>
      <c r="AN102" s="201"/>
      <c r="AO102" s="142"/>
      <c r="AP102" s="219">
        <f t="shared" si="147"/>
        <v>0</v>
      </c>
      <c r="AQ102" s="219"/>
    </row>
    <row r="103" spans="1:43" ht="60" customHeight="1">
      <c r="A103" s="344" t="s">
        <v>321</v>
      </c>
      <c r="B103" s="344" t="s">
        <v>69</v>
      </c>
      <c r="C103" s="364" t="s">
        <v>82</v>
      </c>
      <c r="D103" s="363" t="s">
        <v>480</v>
      </c>
      <c r="E103" s="363">
        <v>586</v>
      </c>
      <c r="F103" s="363"/>
      <c r="G103" s="411" t="s">
        <v>1219</v>
      </c>
      <c r="H103" s="412">
        <v>3192252</v>
      </c>
      <c r="I103" s="413">
        <v>3192252</v>
      </c>
      <c r="J103" s="349">
        <f t="shared" si="114"/>
        <v>0</v>
      </c>
      <c r="K103" s="350"/>
      <c r="L103" s="350"/>
      <c r="M103" s="414">
        <f t="shared" si="115"/>
        <v>3192252</v>
      </c>
      <c r="N103" s="415"/>
      <c r="O103" s="350">
        <v>149617</v>
      </c>
      <c r="P103" s="416">
        <f t="shared" si="152"/>
        <v>3341869</v>
      </c>
      <c r="Q103" s="234" t="str">
        <f t="shared" si="153"/>
        <v/>
      </c>
      <c r="R103" s="211"/>
      <c r="S103" s="223"/>
      <c r="T103" s="421" t="s">
        <v>1238</v>
      </c>
      <c r="U103" s="421"/>
      <c r="V103" s="149" t="s">
        <v>1205</v>
      </c>
      <c r="W103" s="201"/>
      <c r="X103" s="165" t="s">
        <v>1200</v>
      </c>
      <c r="Y103" s="123"/>
      <c r="Z103" s="123"/>
      <c r="AA103" s="145" t="str">
        <f t="shared" si="117"/>
        <v>ok</v>
      </c>
      <c r="AB103" s="201"/>
      <c r="AC103" s="166" t="str">
        <f t="shared" si="8"/>
        <v>국비</v>
      </c>
      <c r="AD103" s="123">
        <v>140580</v>
      </c>
      <c r="AE103" s="123">
        <v>9037</v>
      </c>
      <c r="AF103" s="145" t="str">
        <f t="shared" si="154"/>
        <v>ok</v>
      </c>
      <c r="AG103" s="201"/>
      <c r="AH103" s="167" t="s">
        <v>1255</v>
      </c>
      <c r="AI103" s="201"/>
      <c r="AJ103" s="163">
        <f t="shared" ref="AJ103:AJ134" si="155">IF(AH103="","",COUNTIF($AH$7:$AH$10141,$AH103))</f>
        <v>2</v>
      </c>
      <c r="AK103" s="145" t="str">
        <f t="shared" si="118"/>
        <v>Ok</v>
      </c>
      <c r="AL103" s="201"/>
      <c r="AM103" s="140"/>
      <c r="AN103" s="201"/>
      <c r="AO103" s="142"/>
      <c r="AP103" s="219">
        <f t="shared" si="147"/>
        <v>0</v>
      </c>
      <c r="AQ103" s="219"/>
    </row>
    <row r="104" spans="1:43" ht="60" customHeight="1">
      <c r="A104" s="344" t="s">
        <v>321</v>
      </c>
      <c r="B104" s="344" t="s">
        <v>106</v>
      </c>
      <c r="C104" s="364" t="s">
        <v>598</v>
      </c>
      <c r="D104" s="363" t="s">
        <v>480</v>
      </c>
      <c r="E104" s="363">
        <v>580</v>
      </c>
      <c r="F104" s="363"/>
      <c r="G104" s="411" t="s">
        <v>1220</v>
      </c>
      <c r="H104" s="412">
        <v>130284825</v>
      </c>
      <c r="I104" s="413">
        <v>125520932</v>
      </c>
      <c r="J104" s="349">
        <f t="shared" si="114"/>
        <v>4763893</v>
      </c>
      <c r="K104" s="350"/>
      <c r="L104" s="350"/>
      <c r="M104" s="414">
        <f t="shared" si="115"/>
        <v>130284825</v>
      </c>
      <c r="N104" s="415"/>
      <c r="O104" s="350">
        <v>3509065</v>
      </c>
      <c r="P104" s="416">
        <f t="shared" si="152"/>
        <v>133793890</v>
      </c>
      <c r="Q104" s="234" t="str">
        <f t="shared" si="153"/>
        <v/>
      </c>
      <c r="R104" s="211"/>
      <c r="S104" s="223"/>
      <c r="T104" s="421" t="s">
        <v>1239</v>
      </c>
      <c r="U104" s="421"/>
      <c r="V104" s="149" t="s">
        <v>357</v>
      </c>
      <c r="W104" s="201"/>
      <c r="X104" s="165" t="s">
        <v>1182</v>
      </c>
      <c r="Y104" s="123"/>
      <c r="Z104" s="123"/>
      <c r="AA104" s="145" t="str">
        <f t="shared" si="117"/>
        <v>ok</v>
      </c>
      <c r="AB104" s="201"/>
      <c r="AC104" s="166" t="str">
        <f t="shared" si="8"/>
        <v>도비</v>
      </c>
      <c r="AD104" s="123">
        <v>0</v>
      </c>
      <c r="AE104" s="123">
        <v>3509065</v>
      </c>
      <c r="AF104" s="145" t="str">
        <f t="shared" si="154"/>
        <v>ok</v>
      </c>
      <c r="AG104" s="201"/>
      <c r="AH104" s="167" t="s">
        <v>1021</v>
      </c>
      <c r="AI104" s="201"/>
      <c r="AJ104" s="163">
        <f t="shared" si="155"/>
        <v>65</v>
      </c>
      <c r="AK104" s="145" t="str">
        <f t="shared" si="118"/>
        <v>OK</v>
      </c>
      <c r="AL104" s="201"/>
      <c r="AM104" s="140"/>
      <c r="AN104" s="201"/>
      <c r="AO104" s="142"/>
      <c r="AP104" s="219">
        <f t="shared" si="147"/>
        <v>0</v>
      </c>
      <c r="AQ104" s="219"/>
    </row>
    <row r="105" spans="1:43" ht="60" customHeight="1">
      <c r="A105" s="344" t="s">
        <v>321</v>
      </c>
      <c r="B105" s="344" t="s">
        <v>106</v>
      </c>
      <c r="C105" s="364" t="s">
        <v>256</v>
      </c>
      <c r="D105" s="363" t="s">
        <v>480</v>
      </c>
      <c r="E105" s="363">
        <v>583</v>
      </c>
      <c r="F105" s="363"/>
      <c r="G105" s="411" t="s">
        <v>1221</v>
      </c>
      <c r="H105" s="412">
        <v>30797052</v>
      </c>
      <c r="I105" s="413">
        <v>34266027</v>
      </c>
      <c r="J105" s="349">
        <f t="shared" si="114"/>
        <v>-3468975</v>
      </c>
      <c r="K105" s="350"/>
      <c r="L105" s="350"/>
      <c r="M105" s="414">
        <f t="shared" si="115"/>
        <v>30797052</v>
      </c>
      <c r="N105" s="415"/>
      <c r="O105" s="350">
        <v>1772771</v>
      </c>
      <c r="P105" s="416">
        <f t="shared" si="152"/>
        <v>32569823</v>
      </c>
      <c r="Q105" s="234" t="str">
        <f t="shared" si="153"/>
        <v/>
      </c>
      <c r="R105" s="211"/>
      <c r="S105" s="223"/>
      <c r="T105" s="421" t="s">
        <v>1240</v>
      </c>
      <c r="U105" s="421"/>
      <c r="V105" s="149" t="s">
        <v>1205</v>
      </c>
      <c r="W105" s="201"/>
      <c r="X105" s="165" t="s">
        <v>59</v>
      </c>
      <c r="Y105" s="123"/>
      <c r="Z105" s="123"/>
      <c r="AA105" s="145" t="str">
        <f t="shared" si="117"/>
        <v>ok</v>
      </c>
      <c r="AB105" s="201"/>
      <c r="AC105" s="166" t="str">
        <f t="shared" si="8"/>
        <v>국비</v>
      </c>
      <c r="AD105" s="123">
        <v>1541540</v>
      </c>
      <c r="AE105" s="123">
        <v>231231</v>
      </c>
      <c r="AF105" s="145" t="str">
        <f t="shared" si="154"/>
        <v>ok</v>
      </c>
      <c r="AG105" s="201"/>
      <c r="AH105" s="167" t="s">
        <v>1256</v>
      </c>
      <c r="AI105" s="201"/>
      <c r="AJ105" s="163">
        <f t="shared" si="155"/>
        <v>2</v>
      </c>
      <c r="AK105" s="145" t="str">
        <f t="shared" si="118"/>
        <v>Ok</v>
      </c>
      <c r="AL105" s="201"/>
      <c r="AM105" s="140"/>
      <c r="AN105" s="201"/>
      <c r="AO105" s="142"/>
      <c r="AP105" s="219">
        <f t="shared" si="147"/>
        <v>0</v>
      </c>
      <c r="AQ105" s="219"/>
    </row>
    <row r="106" spans="1:43" ht="60" customHeight="1">
      <c r="A106" s="344" t="s">
        <v>321</v>
      </c>
      <c r="B106" s="344" t="s">
        <v>69</v>
      </c>
      <c r="C106" s="364" t="s">
        <v>82</v>
      </c>
      <c r="D106" s="363" t="s">
        <v>1321</v>
      </c>
      <c r="E106" s="363"/>
      <c r="F106" s="363"/>
      <c r="G106" s="411" t="s">
        <v>1221</v>
      </c>
      <c r="H106" s="412">
        <v>13119371</v>
      </c>
      <c r="I106" s="413">
        <v>14488338</v>
      </c>
      <c r="J106" s="349">
        <f t="shared" ref="J106:J113" si="156">IF(D106="","",H106-I106)</f>
        <v>-1368967</v>
      </c>
      <c r="K106" s="350"/>
      <c r="L106" s="350"/>
      <c r="M106" s="414">
        <f t="shared" ref="M106:M113" si="157">H106+K106+L106</f>
        <v>13119371</v>
      </c>
      <c r="N106" s="415"/>
      <c r="O106" s="350">
        <v>759759</v>
      </c>
      <c r="P106" s="416">
        <f t="shared" si="116"/>
        <v>13879130</v>
      </c>
      <c r="Q106" s="234" t="str">
        <f t="shared" si="148"/>
        <v/>
      </c>
      <c r="R106" s="211"/>
      <c r="S106" s="223"/>
      <c r="T106" s="421" t="s">
        <v>1240</v>
      </c>
      <c r="U106" s="421"/>
      <c r="V106" s="149" t="s">
        <v>1205</v>
      </c>
      <c r="W106" s="201"/>
      <c r="X106" s="165" t="s">
        <v>59</v>
      </c>
      <c r="Y106" s="123"/>
      <c r="Z106" s="123"/>
      <c r="AA106" s="145" t="str">
        <f t="shared" si="117"/>
        <v>ok</v>
      </c>
      <c r="AB106" s="201"/>
      <c r="AC106" s="166" t="str">
        <f t="shared" ref="AC106:AC113" si="158">IF(X106="","",$X106)</f>
        <v>국비</v>
      </c>
      <c r="AD106" s="123">
        <v>660660</v>
      </c>
      <c r="AE106" s="123">
        <v>99099</v>
      </c>
      <c r="AF106" s="145" t="str">
        <f t="shared" si="151"/>
        <v>ok</v>
      </c>
      <c r="AG106" s="201"/>
      <c r="AH106" s="167" t="s">
        <v>1256</v>
      </c>
      <c r="AI106" s="201"/>
      <c r="AJ106" s="163">
        <f t="shared" si="155"/>
        <v>2</v>
      </c>
      <c r="AK106" s="145" t="str">
        <f t="shared" ref="AK106:AK113" si="159">IF(C106="","",IF(AND(X106="도비",AH106="세입없음"),"OK",IF(AND(X106&lt;&gt;"도비",AH106&lt;&gt;""),"Ok","@@")))</f>
        <v>Ok</v>
      </c>
      <c r="AL106" s="201"/>
      <c r="AM106" s="140"/>
      <c r="AN106" s="201"/>
      <c r="AO106" s="142"/>
      <c r="AP106" s="219">
        <f t="shared" si="147"/>
        <v>0</v>
      </c>
      <c r="AQ106" s="219"/>
    </row>
    <row r="107" spans="1:43" ht="60" customHeight="1">
      <c r="A107" s="344" t="s">
        <v>321</v>
      </c>
      <c r="B107" s="344" t="s">
        <v>106</v>
      </c>
      <c r="C107" s="364" t="s">
        <v>259</v>
      </c>
      <c r="D107" s="363" t="s">
        <v>501</v>
      </c>
      <c r="E107" s="363"/>
      <c r="F107" s="363"/>
      <c r="G107" s="411" t="s">
        <v>1222</v>
      </c>
      <c r="H107" s="412">
        <v>11530350</v>
      </c>
      <c r="I107" s="413">
        <v>11530350</v>
      </c>
      <c r="J107" s="349">
        <f t="shared" si="156"/>
        <v>0</v>
      </c>
      <c r="K107" s="350"/>
      <c r="L107" s="350"/>
      <c r="M107" s="414">
        <f t="shared" si="157"/>
        <v>11530350</v>
      </c>
      <c r="N107" s="415"/>
      <c r="O107" s="350">
        <v>3103100</v>
      </c>
      <c r="P107" s="416">
        <f t="shared" si="116"/>
        <v>14633450</v>
      </c>
      <c r="Q107" s="234" t="str">
        <f t="shared" si="148"/>
        <v/>
      </c>
      <c r="R107" s="211"/>
      <c r="S107" s="223"/>
      <c r="T107" s="421" t="s">
        <v>1241</v>
      </c>
      <c r="U107" s="421"/>
      <c r="V107" s="149" t="s">
        <v>1205</v>
      </c>
      <c r="W107" s="201"/>
      <c r="X107" s="165" t="s">
        <v>1197</v>
      </c>
      <c r="Y107" s="123"/>
      <c r="Z107" s="123"/>
      <c r="AA107" s="145" t="str">
        <f t="shared" si="117"/>
        <v>ok</v>
      </c>
      <c r="AB107" s="201"/>
      <c r="AC107" s="166" t="str">
        <f t="shared" si="158"/>
        <v>기금</v>
      </c>
      <c r="AD107" s="123">
        <v>2387000</v>
      </c>
      <c r="AE107" s="123">
        <v>716100</v>
      </c>
      <c r="AF107" s="145" t="str">
        <f t="shared" si="151"/>
        <v>ok</v>
      </c>
      <c r="AG107" s="201"/>
      <c r="AH107" s="167" t="s">
        <v>1257</v>
      </c>
      <c r="AI107" s="201"/>
      <c r="AJ107" s="163">
        <f t="shared" si="155"/>
        <v>2</v>
      </c>
      <c r="AK107" s="145" t="str">
        <f t="shared" si="159"/>
        <v>Ok</v>
      </c>
      <c r="AL107" s="201"/>
      <c r="AM107" s="140"/>
      <c r="AN107" s="201"/>
      <c r="AO107" s="142"/>
      <c r="AP107" s="219">
        <f t="shared" si="147"/>
        <v>0</v>
      </c>
      <c r="AQ107" s="219"/>
    </row>
    <row r="108" spans="1:43" ht="60" customHeight="1">
      <c r="A108" s="344" t="s">
        <v>321</v>
      </c>
      <c r="B108" s="344" t="s">
        <v>69</v>
      </c>
      <c r="C108" s="364" t="s">
        <v>273</v>
      </c>
      <c r="D108" s="363" t="s">
        <v>501</v>
      </c>
      <c r="E108" s="363"/>
      <c r="F108" s="363"/>
      <c r="G108" s="411" t="s">
        <v>1222</v>
      </c>
      <c r="H108" s="412">
        <v>3843450</v>
      </c>
      <c r="I108" s="413">
        <v>3843450</v>
      </c>
      <c r="J108" s="349">
        <f t="shared" si="156"/>
        <v>0</v>
      </c>
      <c r="K108" s="350"/>
      <c r="L108" s="350"/>
      <c r="M108" s="414">
        <f t="shared" si="157"/>
        <v>3843450</v>
      </c>
      <c r="N108" s="415"/>
      <c r="O108" s="350">
        <v>598000</v>
      </c>
      <c r="P108" s="416">
        <f t="shared" si="116"/>
        <v>4441450</v>
      </c>
      <c r="Q108" s="234" t="str">
        <f t="shared" si="148"/>
        <v/>
      </c>
      <c r="R108" s="211"/>
      <c r="S108" s="223"/>
      <c r="T108" s="421" t="s">
        <v>1242</v>
      </c>
      <c r="U108" s="421"/>
      <c r="V108" s="149" t="s">
        <v>1205</v>
      </c>
      <c r="W108" s="201"/>
      <c r="X108" s="165" t="s">
        <v>1197</v>
      </c>
      <c r="Y108" s="123"/>
      <c r="Z108" s="123"/>
      <c r="AA108" s="145" t="str">
        <f t="shared" si="117"/>
        <v>ok</v>
      </c>
      <c r="AB108" s="201"/>
      <c r="AC108" s="166" t="str">
        <f t="shared" si="158"/>
        <v>기금</v>
      </c>
      <c r="AD108" s="123">
        <v>460000</v>
      </c>
      <c r="AE108" s="123">
        <v>138000</v>
      </c>
      <c r="AF108" s="145" t="str">
        <f t="shared" si="151"/>
        <v>ok</v>
      </c>
      <c r="AG108" s="201"/>
      <c r="AH108" s="167" t="s">
        <v>1257</v>
      </c>
      <c r="AI108" s="201"/>
      <c r="AJ108" s="163">
        <f t="shared" si="155"/>
        <v>2</v>
      </c>
      <c r="AK108" s="145" t="str">
        <f t="shared" si="159"/>
        <v>Ok</v>
      </c>
      <c r="AL108" s="201"/>
      <c r="AM108" s="140"/>
      <c r="AN108" s="201"/>
      <c r="AO108" s="142"/>
      <c r="AP108" s="219">
        <f t="shared" si="147"/>
        <v>0</v>
      </c>
      <c r="AQ108" s="219"/>
    </row>
    <row r="109" spans="1:43" ht="60" customHeight="1">
      <c r="A109" s="344" t="s">
        <v>321</v>
      </c>
      <c r="B109" s="344" t="s">
        <v>106</v>
      </c>
      <c r="C109" s="364" t="s">
        <v>259</v>
      </c>
      <c r="D109" s="363" t="s">
        <v>501</v>
      </c>
      <c r="E109" s="363"/>
      <c r="F109" s="363"/>
      <c r="G109" s="411" t="s">
        <v>1223</v>
      </c>
      <c r="H109" s="412">
        <v>2601300</v>
      </c>
      <c r="I109" s="413">
        <v>2601300</v>
      </c>
      <c r="J109" s="349">
        <f t="shared" si="156"/>
        <v>0</v>
      </c>
      <c r="K109" s="350"/>
      <c r="L109" s="350"/>
      <c r="M109" s="414">
        <f t="shared" si="157"/>
        <v>2601300</v>
      </c>
      <c r="N109" s="415"/>
      <c r="O109" s="350">
        <v>949559</v>
      </c>
      <c r="P109" s="416">
        <f t="shared" si="116"/>
        <v>3550859</v>
      </c>
      <c r="Q109" s="234" t="str">
        <f t="shared" si="148"/>
        <v/>
      </c>
      <c r="R109" s="211"/>
      <c r="S109" s="223"/>
      <c r="T109" s="421" t="s">
        <v>1243</v>
      </c>
      <c r="U109" s="421"/>
      <c r="V109" s="149" t="s">
        <v>1205</v>
      </c>
      <c r="W109" s="201"/>
      <c r="X109" s="165" t="s">
        <v>1197</v>
      </c>
      <c r="Y109" s="123"/>
      <c r="Z109" s="123"/>
      <c r="AA109" s="145" t="str">
        <f t="shared" si="117"/>
        <v>ok</v>
      </c>
      <c r="AB109" s="201"/>
      <c r="AC109" s="166" t="str">
        <f t="shared" si="158"/>
        <v>기금</v>
      </c>
      <c r="AD109" s="123">
        <v>730430</v>
      </c>
      <c r="AE109" s="123">
        <v>219129</v>
      </c>
      <c r="AF109" s="145" t="str">
        <f t="shared" si="151"/>
        <v>ok</v>
      </c>
      <c r="AG109" s="201"/>
      <c r="AH109" s="167" t="s">
        <v>1258</v>
      </c>
      <c r="AI109" s="201"/>
      <c r="AJ109" s="163">
        <f t="shared" si="155"/>
        <v>6</v>
      </c>
      <c r="AK109" s="145" t="str">
        <f t="shared" si="159"/>
        <v>Ok</v>
      </c>
      <c r="AL109" s="201"/>
      <c r="AM109" s="140"/>
      <c r="AN109" s="201"/>
      <c r="AO109" s="142"/>
      <c r="AP109" s="219">
        <f t="shared" si="147"/>
        <v>0</v>
      </c>
      <c r="AQ109" s="219"/>
    </row>
    <row r="110" spans="1:43" ht="60" customHeight="1">
      <c r="A110" s="344" t="s">
        <v>321</v>
      </c>
      <c r="B110" s="344" t="s">
        <v>69</v>
      </c>
      <c r="C110" s="364" t="s">
        <v>273</v>
      </c>
      <c r="D110" s="363" t="s">
        <v>501</v>
      </c>
      <c r="E110" s="363"/>
      <c r="F110" s="363"/>
      <c r="G110" s="411" t="s">
        <v>1223</v>
      </c>
      <c r="H110" s="412">
        <v>1040650</v>
      </c>
      <c r="I110" s="413">
        <v>1040650</v>
      </c>
      <c r="J110" s="349">
        <f t="shared" si="156"/>
        <v>0</v>
      </c>
      <c r="K110" s="350"/>
      <c r="L110" s="350"/>
      <c r="M110" s="414">
        <f t="shared" si="157"/>
        <v>1040650</v>
      </c>
      <c r="N110" s="415"/>
      <c r="O110" s="350">
        <v>363584</v>
      </c>
      <c r="P110" s="416">
        <f t="shared" si="116"/>
        <v>1404234</v>
      </c>
      <c r="Q110" s="234" t="str">
        <f t="shared" si="148"/>
        <v/>
      </c>
      <c r="R110" s="211"/>
      <c r="S110" s="223"/>
      <c r="T110" s="421" t="s">
        <v>1243</v>
      </c>
      <c r="U110" s="421"/>
      <c r="V110" s="149" t="s">
        <v>1205</v>
      </c>
      <c r="W110" s="201"/>
      <c r="X110" s="165" t="s">
        <v>1197</v>
      </c>
      <c r="Y110" s="123"/>
      <c r="Z110" s="123"/>
      <c r="AA110" s="145" t="str">
        <f t="shared" si="117"/>
        <v>ok</v>
      </c>
      <c r="AB110" s="201"/>
      <c r="AC110" s="166" t="str">
        <f t="shared" si="158"/>
        <v>기금</v>
      </c>
      <c r="AD110" s="123">
        <v>279680</v>
      </c>
      <c r="AE110" s="123">
        <v>83904</v>
      </c>
      <c r="AF110" s="145" t="str">
        <f t="shared" si="151"/>
        <v>ok</v>
      </c>
      <c r="AG110" s="201"/>
      <c r="AH110" s="167" t="s">
        <v>1258</v>
      </c>
      <c r="AI110" s="201"/>
      <c r="AJ110" s="163">
        <f t="shared" si="155"/>
        <v>6</v>
      </c>
      <c r="AK110" s="145" t="str">
        <f t="shared" si="159"/>
        <v>Ok</v>
      </c>
      <c r="AL110" s="201"/>
      <c r="AM110" s="140"/>
      <c r="AN110" s="201"/>
      <c r="AO110" s="142"/>
      <c r="AP110" s="219">
        <f t="shared" si="147"/>
        <v>0</v>
      </c>
      <c r="AQ110" s="219"/>
    </row>
    <row r="111" spans="1:43" ht="60" customHeight="1">
      <c r="A111" s="344" t="s">
        <v>321</v>
      </c>
      <c r="B111" s="344" t="s">
        <v>106</v>
      </c>
      <c r="C111" s="364" t="s">
        <v>259</v>
      </c>
      <c r="D111" s="363" t="s">
        <v>501</v>
      </c>
      <c r="E111" s="363"/>
      <c r="F111" s="363"/>
      <c r="G111" s="411" t="s">
        <v>1224</v>
      </c>
      <c r="H111" s="412">
        <v>1431300</v>
      </c>
      <c r="I111" s="413">
        <v>1431300</v>
      </c>
      <c r="J111" s="349">
        <f t="shared" si="156"/>
        <v>0</v>
      </c>
      <c r="K111" s="350"/>
      <c r="L111" s="350"/>
      <c r="M111" s="414">
        <f t="shared" si="157"/>
        <v>1431300</v>
      </c>
      <c r="N111" s="415"/>
      <c r="O111" s="350">
        <v>312910</v>
      </c>
      <c r="P111" s="416">
        <f t="shared" si="116"/>
        <v>1744210</v>
      </c>
      <c r="Q111" s="234" t="str">
        <f t="shared" si="148"/>
        <v/>
      </c>
      <c r="R111" s="211"/>
      <c r="S111" s="223"/>
      <c r="T111" s="421" t="s">
        <v>1243</v>
      </c>
      <c r="U111" s="421"/>
      <c r="V111" s="149" t="s">
        <v>1205</v>
      </c>
      <c r="W111" s="201"/>
      <c r="X111" s="165" t="s">
        <v>1197</v>
      </c>
      <c r="Y111" s="123"/>
      <c r="Z111" s="123"/>
      <c r="AA111" s="145" t="str">
        <f t="shared" si="117"/>
        <v>ok</v>
      </c>
      <c r="AB111" s="201"/>
      <c r="AC111" s="166" t="str">
        <f t="shared" si="158"/>
        <v>기금</v>
      </c>
      <c r="AD111" s="123">
        <v>240700</v>
      </c>
      <c r="AE111" s="123">
        <v>72210</v>
      </c>
      <c r="AF111" s="145" t="str">
        <f t="shared" si="151"/>
        <v>ok</v>
      </c>
      <c r="AG111" s="201"/>
      <c r="AH111" s="167" t="s">
        <v>1258</v>
      </c>
      <c r="AI111" s="201"/>
      <c r="AJ111" s="163">
        <f t="shared" si="155"/>
        <v>6</v>
      </c>
      <c r="AK111" s="145" t="str">
        <f t="shared" si="159"/>
        <v>Ok</v>
      </c>
      <c r="AL111" s="201"/>
      <c r="AM111" s="140"/>
      <c r="AN111" s="201"/>
      <c r="AO111" s="142"/>
      <c r="AP111" s="219">
        <f t="shared" si="147"/>
        <v>0</v>
      </c>
      <c r="AQ111" s="219"/>
    </row>
    <row r="112" spans="1:43" ht="60" customHeight="1">
      <c r="A112" s="344" t="s">
        <v>321</v>
      </c>
      <c r="B112" s="344" t="s">
        <v>69</v>
      </c>
      <c r="C112" s="364" t="s">
        <v>273</v>
      </c>
      <c r="D112" s="363" t="s">
        <v>501</v>
      </c>
      <c r="E112" s="363"/>
      <c r="F112" s="363"/>
      <c r="G112" s="411" t="s">
        <v>1224</v>
      </c>
      <c r="H112" s="412">
        <v>477100</v>
      </c>
      <c r="I112" s="413">
        <v>477100</v>
      </c>
      <c r="J112" s="349">
        <f t="shared" si="156"/>
        <v>0</v>
      </c>
      <c r="K112" s="350"/>
      <c r="L112" s="350"/>
      <c r="M112" s="414">
        <f t="shared" si="157"/>
        <v>477100</v>
      </c>
      <c r="N112" s="415"/>
      <c r="O112" s="350">
        <v>80686</v>
      </c>
      <c r="P112" s="416">
        <f t="shared" si="116"/>
        <v>557786</v>
      </c>
      <c r="Q112" s="234" t="str">
        <f t="shared" si="148"/>
        <v/>
      </c>
      <c r="R112" s="211"/>
      <c r="S112" s="223"/>
      <c r="T112" s="421" t="s">
        <v>1243</v>
      </c>
      <c r="U112" s="421"/>
      <c r="V112" s="149" t="s">
        <v>1205</v>
      </c>
      <c r="W112" s="201"/>
      <c r="X112" s="165" t="s">
        <v>1197</v>
      </c>
      <c r="Y112" s="123"/>
      <c r="Z112" s="123"/>
      <c r="AA112" s="145" t="str">
        <f t="shared" si="117"/>
        <v>ok</v>
      </c>
      <c r="AB112" s="201"/>
      <c r="AC112" s="166" t="str">
        <f t="shared" si="158"/>
        <v>기금</v>
      </c>
      <c r="AD112" s="123">
        <v>62066</v>
      </c>
      <c r="AE112" s="123">
        <v>18620</v>
      </c>
      <c r="AF112" s="145" t="str">
        <f t="shared" si="151"/>
        <v>ok</v>
      </c>
      <c r="AG112" s="201"/>
      <c r="AH112" s="167" t="s">
        <v>1258</v>
      </c>
      <c r="AI112" s="201"/>
      <c r="AJ112" s="163">
        <f t="shared" si="155"/>
        <v>6</v>
      </c>
      <c r="AK112" s="145" t="str">
        <f t="shared" si="159"/>
        <v>Ok</v>
      </c>
      <c r="AL112" s="201"/>
      <c r="AM112" s="140"/>
      <c r="AN112" s="201"/>
      <c r="AO112" s="142"/>
      <c r="AP112" s="219">
        <f t="shared" si="147"/>
        <v>0</v>
      </c>
      <c r="AQ112" s="219"/>
    </row>
    <row r="113" spans="1:43" ht="60" customHeight="1">
      <c r="A113" s="344" t="s">
        <v>321</v>
      </c>
      <c r="B113" s="344" t="s">
        <v>106</v>
      </c>
      <c r="C113" s="364" t="s">
        <v>259</v>
      </c>
      <c r="D113" s="363" t="s">
        <v>501</v>
      </c>
      <c r="E113" s="363"/>
      <c r="F113" s="363"/>
      <c r="G113" s="411" t="s">
        <v>1225</v>
      </c>
      <c r="H113" s="412">
        <v>127145</v>
      </c>
      <c r="I113" s="413">
        <v>127145</v>
      </c>
      <c r="J113" s="349">
        <f t="shared" si="156"/>
        <v>0</v>
      </c>
      <c r="K113" s="350"/>
      <c r="L113" s="350"/>
      <c r="M113" s="414">
        <f t="shared" si="157"/>
        <v>127145</v>
      </c>
      <c r="N113" s="415"/>
      <c r="O113" s="350">
        <v>67739</v>
      </c>
      <c r="P113" s="416">
        <f t="shared" si="116"/>
        <v>194884</v>
      </c>
      <c r="Q113" s="234" t="str">
        <f t="shared" si="148"/>
        <v/>
      </c>
      <c r="R113" s="211"/>
      <c r="S113" s="223"/>
      <c r="T113" s="421" t="s">
        <v>1243</v>
      </c>
      <c r="U113" s="421"/>
      <c r="V113" s="149" t="s">
        <v>1205</v>
      </c>
      <c r="W113" s="201"/>
      <c r="X113" s="165" t="s">
        <v>1197</v>
      </c>
      <c r="Y113" s="123"/>
      <c r="Z113" s="123"/>
      <c r="AA113" s="145" t="str">
        <f t="shared" si="117"/>
        <v>ok</v>
      </c>
      <c r="AB113" s="201"/>
      <c r="AC113" s="166" t="str">
        <f t="shared" si="158"/>
        <v>기금</v>
      </c>
      <c r="AD113" s="123">
        <v>52110</v>
      </c>
      <c r="AE113" s="123">
        <v>15629</v>
      </c>
      <c r="AF113" s="145" t="str">
        <f t="shared" si="151"/>
        <v>ok</v>
      </c>
      <c r="AG113" s="201"/>
      <c r="AH113" s="167" t="s">
        <v>1258</v>
      </c>
      <c r="AI113" s="201"/>
      <c r="AJ113" s="163">
        <f t="shared" si="155"/>
        <v>6</v>
      </c>
      <c r="AK113" s="145" t="str">
        <f t="shared" si="159"/>
        <v>Ok</v>
      </c>
      <c r="AL113" s="201"/>
      <c r="AM113" s="140"/>
      <c r="AN113" s="201"/>
      <c r="AO113" s="142"/>
      <c r="AP113" s="219">
        <f t="shared" si="147"/>
        <v>0</v>
      </c>
      <c r="AQ113" s="219"/>
    </row>
    <row r="114" spans="1:43" ht="60" customHeight="1">
      <c r="A114" s="344" t="s">
        <v>321</v>
      </c>
      <c r="B114" s="344" t="s">
        <v>69</v>
      </c>
      <c r="C114" s="364" t="s">
        <v>273</v>
      </c>
      <c r="D114" s="363" t="s">
        <v>501</v>
      </c>
      <c r="E114" s="363"/>
      <c r="F114" s="363"/>
      <c r="G114" s="411" t="s">
        <v>1225</v>
      </c>
      <c r="H114" s="412">
        <v>47060</v>
      </c>
      <c r="I114" s="413">
        <v>47060</v>
      </c>
      <c r="J114" s="349">
        <f t="shared" si="114"/>
        <v>0</v>
      </c>
      <c r="K114" s="350"/>
      <c r="L114" s="350"/>
      <c r="M114" s="414">
        <f t="shared" si="115"/>
        <v>47060</v>
      </c>
      <c r="N114" s="415"/>
      <c r="O114" s="350">
        <v>45518</v>
      </c>
      <c r="P114" s="416">
        <f t="shared" ref="P114:P121" si="160">H114+N114+O114</f>
        <v>92578</v>
      </c>
      <c r="Q114" s="234" t="str">
        <f t="shared" ref="Q114:Q121" si="161">IF(OR(AND(K114&lt;0,K114&lt;N114),AND(K114&lt;0,N114+O114=0),AND(K114&lt;0,O114&gt;0),AND(I114=0,M114=0,P114&gt;0)),"동의","")</f>
        <v/>
      </c>
      <c r="R114" s="211"/>
      <c r="S114" s="223"/>
      <c r="T114" s="421" t="s">
        <v>1243</v>
      </c>
      <c r="U114" s="421"/>
      <c r="V114" s="149" t="s">
        <v>1205</v>
      </c>
      <c r="W114" s="201"/>
      <c r="X114" s="165" t="s">
        <v>1197</v>
      </c>
      <c r="Y114" s="123"/>
      <c r="Z114" s="123"/>
      <c r="AA114" s="145" t="str">
        <f t="shared" si="117"/>
        <v>ok</v>
      </c>
      <c r="AB114" s="201"/>
      <c r="AC114" s="166" t="str">
        <f t="shared" si="8"/>
        <v>기금</v>
      </c>
      <c r="AD114" s="123">
        <v>35014</v>
      </c>
      <c r="AE114" s="123">
        <v>10504</v>
      </c>
      <c r="AF114" s="145" t="str">
        <f t="shared" ref="AF114:AF121" si="162">IFERROR(IF((N114+O114)=(AD114+AE114),"ok","검토"),"검토")</f>
        <v>ok</v>
      </c>
      <c r="AG114" s="201"/>
      <c r="AH114" s="167" t="s">
        <v>1258</v>
      </c>
      <c r="AI114" s="201"/>
      <c r="AJ114" s="163">
        <f t="shared" si="155"/>
        <v>6</v>
      </c>
      <c r="AK114" s="145" t="str">
        <f t="shared" si="118"/>
        <v>Ok</v>
      </c>
      <c r="AL114" s="201"/>
      <c r="AM114" s="140"/>
      <c r="AN114" s="201"/>
      <c r="AO114" s="142"/>
      <c r="AP114" s="219">
        <f t="shared" si="147"/>
        <v>0</v>
      </c>
      <c r="AQ114" s="219"/>
    </row>
    <row r="115" spans="1:43" ht="138.75" customHeight="1">
      <c r="A115" s="344" t="s">
        <v>321</v>
      </c>
      <c r="B115" s="344" t="s">
        <v>106</v>
      </c>
      <c r="C115" s="364" t="s">
        <v>81</v>
      </c>
      <c r="D115" s="363" t="s">
        <v>480</v>
      </c>
      <c r="E115" s="363">
        <v>590</v>
      </c>
      <c r="F115" s="363"/>
      <c r="G115" s="411" t="s">
        <v>1226</v>
      </c>
      <c r="H115" s="412">
        <v>74229904</v>
      </c>
      <c r="I115" s="413">
        <v>74203287</v>
      </c>
      <c r="J115" s="349">
        <f t="shared" si="114"/>
        <v>26617</v>
      </c>
      <c r="K115" s="350"/>
      <c r="L115" s="350"/>
      <c r="M115" s="414">
        <f t="shared" si="115"/>
        <v>74229904</v>
      </c>
      <c r="N115" s="415"/>
      <c r="O115" s="350">
        <v>5174209</v>
      </c>
      <c r="P115" s="416">
        <f t="shared" si="160"/>
        <v>79404113</v>
      </c>
      <c r="Q115" s="234" t="str">
        <f t="shared" si="161"/>
        <v/>
      </c>
      <c r="R115" s="211"/>
      <c r="S115" s="223"/>
      <c r="T115" s="421" t="s">
        <v>1252</v>
      </c>
      <c r="U115" s="421"/>
      <c r="V115" s="149" t="s">
        <v>1205</v>
      </c>
      <c r="W115" s="201"/>
      <c r="X115" s="165" t="s">
        <v>59</v>
      </c>
      <c r="Y115" s="123"/>
      <c r="Z115" s="123"/>
      <c r="AA115" s="145" t="str">
        <f t="shared" si="117"/>
        <v>ok</v>
      </c>
      <c r="AB115" s="201"/>
      <c r="AC115" s="166" t="str">
        <f t="shared" si="8"/>
        <v>국비</v>
      </c>
      <c r="AD115" s="123">
        <v>4861673</v>
      </c>
      <c r="AE115" s="123">
        <v>312536</v>
      </c>
      <c r="AF115" s="145" t="str">
        <f t="shared" si="162"/>
        <v>ok</v>
      </c>
      <c r="AG115" s="201"/>
      <c r="AH115" s="167" t="s">
        <v>1259</v>
      </c>
      <c r="AI115" s="201"/>
      <c r="AJ115" s="163">
        <f t="shared" si="155"/>
        <v>2</v>
      </c>
      <c r="AK115" s="145" t="str">
        <f t="shared" si="118"/>
        <v>Ok</v>
      </c>
      <c r="AL115" s="201"/>
      <c r="AM115" s="140"/>
      <c r="AN115" s="201"/>
      <c r="AO115" s="142"/>
      <c r="AP115" s="219">
        <f t="shared" si="147"/>
        <v>0</v>
      </c>
      <c r="AQ115" s="219"/>
    </row>
    <row r="116" spans="1:43" ht="60" customHeight="1">
      <c r="A116" s="344" t="s">
        <v>321</v>
      </c>
      <c r="B116" s="344" t="s">
        <v>69</v>
      </c>
      <c r="C116" s="364" t="s">
        <v>82</v>
      </c>
      <c r="D116" s="363" t="s">
        <v>501</v>
      </c>
      <c r="E116" s="363">
        <v>0</v>
      </c>
      <c r="F116" s="363"/>
      <c r="G116" s="411" t="s">
        <v>1227</v>
      </c>
      <c r="H116" s="412">
        <v>31622849</v>
      </c>
      <c r="I116" s="413">
        <v>31622849</v>
      </c>
      <c r="J116" s="349">
        <f t="shared" si="114"/>
        <v>0</v>
      </c>
      <c r="K116" s="350"/>
      <c r="L116" s="350"/>
      <c r="M116" s="414">
        <f t="shared" si="115"/>
        <v>31622849</v>
      </c>
      <c r="N116" s="415">
        <v>0</v>
      </c>
      <c r="O116" s="350">
        <v>1530791</v>
      </c>
      <c r="P116" s="416">
        <f t="shared" si="160"/>
        <v>33153640</v>
      </c>
      <c r="Q116" s="234" t="str">
        <f t="shared" si="161"/>
        <v/>
      </c>
      <c r="R116" s="211"/>
      <c r="S116" s="223"/>
      <c r="T116" s="421" t="s">
        <v>1244</v>
      </c>
      <c r="U116" s="419"/>
      <c r="V116" s="149" t="s">
        <v>1205</v>
      </c>
      <c r="W116" s="201"/>
      <c r="X116" s="165" t="s">
        <v>59</v>
      </c>
      <c r="Y116" s="123"/>
      <c r="Z116" s="123"/>
      <c r="AA116" s="145" t="str">
        <f t="shared" si="117"/>
        <v>ok</v>
      </c>
      <c r="AB116" s="201"/>
      <c r="AC116" s="166" t="str">
        <f t="shared" si="8"/>
        <v>국비</v>
      </c>
      <c r="AD116" s="123">
        <v>1438327</v>
      </c>
      <c r="AE116" s="123">
        <v>92464</v>
      </c>
      <c r="AF116" s="145" t="str">
        <f t="shared" si="162"/>
        <v>ok</v>
      </c>
      <c r="AG116" s="201"/>
      <c r="AH116" s="167" t="s">
        <v>1259</v>
      </c>
      <c r="AI116" s="201"/>
      <c r="AJ116" s="163">
        <f t="shared" si="155"/>
        <v>2</v>
      </c>
      <c r="AK116" s="145" t="str">
        <f t="shared" si="118"/>
        <v>Ok</v>
      </c>
      <c r="AL116" s="201"/>
      <c r="AM116" s="140"/>
      <c r="AN116" s="201"/>
      <c r="AO116" s="142"/>
      <c r="AP116" s="219">
        <f t="shared" si="147"/>
        <v>0</v>
      </c>
      <c r="AQ116" s="219"/>
    </row>
    <row r="117" spans="1:43" ht="60" customHeight="1">
      <c r="A117" s="344" t="s">
        <v>321</v>
      </c>
      <c r="B117" s="344" t="s">
        <v>69</v>
      </c>
      <c r="C117" s="364" t="s">
        <v>273</v>
      </c>
      <c r="D117" s="363" t="s">
        <v>501</v>
      </c>
      <c r="E117" s="363"/>
      <c r="F117" s="363"/>
      <c r="G117" s="411" t="s">
        <v>1228</v>
      </c>
      <c r="H117" s="412">
        <v>15000</v>
      </c>
      <c r="I117" s="413">
        <v>15000</v>
      </c>
      <c r="J117" s="349">
        <f t="shared" si="114"/>
        <v>0</v>
      </c>
      <c r="K117" s="350"/>
      <c r="L117" s="350"/>
      <c r="M117" s="414">
        <f t="shared" si="115"/>
        <v>15000</v>
      </c>
      <c r="N117" s="415"/>
      <c r="O117" s="350">
        <v>3000</v>
      </c>
      <c r="P117" s="416">
        <f t="shared" si="160"/>
        <v>18000</v>
      </c>
      <c r="Q117" s="234" t="str">
        <f t="shared" si="161"/>
        <v/>
      </c>
      <c r="R117" s="211"/>
      <c r="S117" s="223"/>
      <c r="T117" s="421" t="s">
        <v>1245</v>
      </c>
      <c r="U117" s="421"/>
      <c r="V117" s="149" t="s">
        <v>1205</v>
      </c>
      <c r="W117" s="201"/>
      <c r="X117" s="165" t="s">
        <v>59</v>
      </c>
      <c r="Y117" s="123"/>
      <c r="Z117" s="123"/>
      <c r="AA117" s="145" t="str">
        <f t="shared" si="117"/>
        <v>ok</v>
      </c>
      <c r="AB117" s="201"/>
      <c r="AC117" s="166" t="str">
        <f t="shared" si="8"/>
        <v>국비</v>
      </c>
      <c r="AD117" s="123">
        <v>1500</v>
      </c>
      <c r="AE117" s="123">
        <v>1500</v>
      </c>
      <c r="AF117" s="145" t="str">
        <f t="shared" si="162"/>
        <v>ok</v>
      </c>
      <c r="AG117" s="201"/>
      <c r="AH117" s="167" t="s">
        <v>1260</v>
      </c>
      <c r="AI117" s="201"/>
      <c r="AJ117" s="163">
        <f t="shared" si="155"/>
        <v>1</v>
      </c>
      <c r="AK117" s="145" t="str">
        <f t="shared" si="118"/>
        <v>Ok</v>
      </c>
      <c r="AL117" s="201"/>
      <c r="AM117" s="140"/>
      <c r="AN117" s="201"/>
      <c r="AO117" s="142"/>
      <c r="AP117" s="219">
        <f t="shared" si="147"/>
        <v>0</v>
      </c>
      <c r="AQ117" s="219"/>
    </row>
    <row r="118" spans="1:43" ht="60" customHeight="1">
      <c r="A118" s="344" t="s">
        <v>321</v>
      </c>
      <c r="B118" s="344" t="s">
        <v>106</v>
      </c>
      <c r="C118" s="364" t="s">
        <v>598</v>
      </c>
      <c r="D118" s="363" t="s">
        <v>480</v>
      </c>
      <c r="E118" s="363">
        <v>577</v>
      </c>
      <c r="F118" s="363"/>
      <c r="G118" s="411" t="s">
        <v>1229</v>
      </c>
      <c r="H118" s="412">
        <v>400521248</v>
      </c>
      <c r="I118" s="413">
        <v>382236810</v>
      </c>
      <c r="J118" s="349">
        <f t="shared" si="114"/>
        <v>18284438</v>
      </c>
      <c r="K118" s="350"/>
      <c r="L118" s="350"/>
      <c r="M118" s="414">
        <f t="shared" si="115"/>
        <v>400521248</v>
      </c>
      <c r="N118" s="415"/>
      <c r="O118" s="350">
        <v>953643</v>
      </c>
      <c r="P118" s="416">
        <f t="shared" si="160"/>
        <v>401474891</v>
      </c>
      <c r="Q118" s="234" t="str">
        <f t="shared" si="161"/>
        <v/>
      </c>
      <c r="R118" s="211"/>
      <c r="S118" s="223"/>
      <c r="T118" s="421" t="s">
        <v>1246</v>
      </c>
      <c r="U118" s="437"/>
      <c r="V118" s="149" t="s">
        <v>1205</v>
      </c>
      <c r="W118" s="201"/>
      <c r="X118" s="165" t="s">
        <v>59</v>
      </c>
      <c r="Y118" s="123"/>
      <c r="Z118" s="123"/>
      <c r="AA118" s="145" t="str">
        <f t="shared" si="117"/>
        <v>ok</v>
      </c>
      <c r="AB118" s="201"/>
      <c r="AC118" s="166" t="str">
        <f t="shared" si="8"/>
        <v>국비</v>
      </c>
      <c r="AD118" s="123">
        <v>868949</v>
      </c>
      <c r="AE118" s="123">
        <v>84694</v>
      </c>
      <c r="AF118" s="145" t="str">
        <f t="shared" si="162"/>
        <v>ok</v>
      </c>
      <c r="AG118" s="201"/>
      <c r="AH118" s="167" t="s">
        <v>1261</v>
      </c>
      <c r="AI118" s="201"/>
      <c r="AJ118" s="163">
        <f t="shared" si="155"/>
        <v>2</v>
      </c>
      <c r="AK118" s="145" t="str">
        <f t="shared" si="118"/>
        <v>Ok</v>
      </c>
      <c r="AL118" s="201"/>
      <c r="AM118" s="140"/>
      <c r="AN118" s="201"/>
      <c r="AO118" s="142"/>
      <c r="AP118" s="219">
        <f t="shared" si="147"/>
        <v>0</v>
      </c>
      <c r="AQ118" s="219"/>
    </row>
    <row r="119" spans="1:43" ht="60" customHeight="1">
      <c r="A119" s="344" t="s">
        <v>321</v>
      </c>
      <c r="B119" s="344" t="s">
        <v>69</v>
      </c>
      <c r="C119" s="364" t="s">
        <v>82</v>
      </c>
      <c r="D119" s="363" t="s">
        <v>480</v>
      </c>
      <c r="E119" s="363"/>
      <c r="F119" s="363"/>
      <c r="G119" s="411" t="s">
        <v>1229</v>
      </c>
      <c r="H119" s="412">
        <v>199551821</v>
      </c>
      <c r="I119" s="413">
        <v>190446379</v>
      </c>
      <c r="J119" s="349">
        <f t="shared" si="114"/>
        <v>9105442</v>
      </c>
      <c r="K119" s="350"/>
      <c r="L119" s="350"/>
      <c r="M119" s="414">
        <f t="shared" si="115"/>
        <v>199551821</v>
      </c>
      <c r="N119" s="415"/>
      <c r="O119" s="350">
        <v>475134</v>
      </c>
      <c r="P119" s="416">
        <f t="shared" si="160"/>
        <v>200026955</v>
      </c>
      <c r="Q119" s="234" t="str">
        <f t="shared" si="161"/>
        <v/>
      </c>
      <c r="R119" s="211"/>
      <c r="S119" s="223"/>
      <c r="T119" s="421" t="s">
        <v>1246</v>
      </c>
      <c r="U119" s="438"/>
      <c r="V119" s="149" t="s">
        <v>1205</v>
      </c>
      <c r="W119" s="201"/>
      <c r="X119" s="165" t="s">
        <v>59</v>
      </c>
      <c r="Y119" s="123"/>
      <c r="Z119" s="123"/>
      <c r="AA119" s="145" t="str">
        <f t="shared" si="117"/>
        <v>ok</v>
      </c>
      <c r="AB119" s="201"/>
      <c r="AC119" s="166" t="str">
        <f t="shared" si="8"/>
        <v>국비</v>
      </c>
      <c r="AD119" s="123">
        <v>436051</v>
      </c>
      <c r="AE119" s="123">
        <v>39083</v>
      </c>
      <c r="AF119" s="145" t="str">
        <f t="shared" si="162"/>
        <v>ok</v>
      </c>
      <c r="AG119" s="201"/>
      <c r="AH119" s="167" t="s">
        <v>1261</v>
      </c>
      <c r="AI119" s="201"/>
      <c r="AJ119" s="163">
        <f t="shared" si="155"/>
        <v>2</v>
      </c>
      <c r="AK119" s="145" t="str">
        <f t="shared" si="118"/>
        <v>Ok</v>
      </c>
      <c r="AL119" s="201"/>
      <c r="AM119" s="140"/>
      <c r="AN119" s="201"/>
      <c r="AO119" s="142"/>
      <c r="AP119" s="219">
        <f t="shared" si="147"/>
        <v>0</v>
      </c>
      <c r="AQ119" s="219"/>
    </row>
    <row r="120" spans="1:43" ht="60" customHeight="1">
      <c r="A120" s="344" t="s">
        <v>321</v>
      </c>
      <c r="B120" s="344" t="s">
        <v>106</v>
      </c>
      <c r="C120" s="364" t="s">
        <v>598</v>
      </c>
      <c r="D120" s="363" t="s">
        <v>480</v>
      </c>
      <c r="E120" s="363">
        <v>577</v>
      </c>
      <c r="F120" s="363"/>
      <c r="G120" s="411" t="s">
        <v>1230</v>
      </c>
      <c r="H120" s="412">
        <v>2561601</v>
      </c>
      <c r="I120" s="413">
        <v>2499566</v>
      </c>
      <c r="J120" s="349">
        <f t="shared" si="114"/>
        <v>62035</v>
      </c>
      <c r="K120" s="350"/>
      <c r="L120" s="350"/>
      <c r="M120" s="414">
        <f t="shared" si="115"/>
        <v>2561601</v>
      </c>
      <c r="N120" s="415"/>
      <c r="O120" s="350">
        <v>63284</v>
      </c>
      <c r="P120" s="416">
        <f t="shared" si="160"/>
        <v>2624885</v>
      </c>
      <c r="Q120" s="234" t="str">
        <f t="shared" si="161"/>
        <v/>
      </c>
      <c r="R120" s="211"/>
      <c r="S120" s="223"/>
      <c r="T120" s="421" t="s">
        <v>1247</v>
      </c>
      <c r="U120" s="438"/>
      <c r="V120" s="149" t="s">
        <v>1205</v>
      </c>
      <c r="W120" s="201"/>
      <c r="X120" s="165" t="s">
        <v>59</v>
      </c>
      <c r="Y120" s="123"/>
      <c r="Z120" s="123"/>
      <c r="AA120" s="145" t="str">
        <f t="shared" si="117"/>
        <v>ok</v>
      </c>
      <c r="AB120" s="201"/>
      <c r="AC120" s="166" t="str">
        <f t="shared" si="8"/>
        <v>국비</v>
      </c>
      <c r="AD120" s="123">
        <v>60219</v>
      </c>
      <c r="AE120" s="123">
        <v>3065</v>
      </c>
      <c r="AF120" s="145" t="str">
        <f t="shared" si="162"/>
        <v>ok</v>
      </c>
      <c r="AG120" s="201"/>
      <c r="AH120" s="167" t="s">
        <v>1262</v>
      </c>
      <c r="AI120" s="201"/>
      <c r="AJ120" s="163">
        <f t="shared" si="155"/>
        <v>2</v>
      </c>
      <c r="AK120" s="145" t="str">
        <f t="shared" si="118"/>
        <v>Ok</v>
      </c>
      <c r="AL120" s="201"/>
      <c r="AM120" s="140"/>
      <c r="AN120" s="201"/>
      <c r="AO120" s="142"/>
      <c r="AP120" s="219">
        <f t="shared" si="147"/>
        <v>0</v>
      </c>
      <c r="AQ120" s="219"/>
    </row>
    <row r="121" spans="1:43" ht="60" customHeight="1">
      <c r="A121" s="344" t="s">
        <v>321</v>
      </c>
      <c r="B121" s="344" t="s">
        <v>69</v>
      </c>
      <c r="C121" s="364" t="s">
        <v>82</v>
      </c>
      <c r="D121" s="363" t="s">
        <v>480</v>
      </c>
      <c r="E121" s="363"/>
      <c r="F121" s="363"/>
      <c r="G121" s="411" t="s">
        <v>1230</v>
      </c>
      <c r="H121" s="412">
        <v>1344457</v>
      </c>
      <c r="I121" s="413">
        <v>1315469</v>
      </c>
      <c r="J121" s="349">
        <f t="shared" si="114"/>
        <v>28988</v>
      </c>
      <c r="K121" s="350"/>
      <c r="L121" s="350"/>
      <c r="M121" s="414">
        <f t="shared" si="115"/>
        <v>1344457</v>
      </c>
      <c r="N121" s="415"/>
      <c r="O121" s="350">
        <v>33212</v>
      </c>
      <c r="P121" s="416">
        <f t="shared" si="160"/>
        <v>1377669</v>
      </c>
      <c r="Q121" s="234" t="str">
        <f t="shared" si="161"/>
        <v/>
      </c>
      <c r="R121" s="211"/>
      <c r="S121" s="223"/>
      <c r="T121" s="421" t="s">
        <v>1248</v>
      </c>
      <c r="U121" s="421"/>
      <c r="V121" s="149" t="s">
        <v>1205</v>
      </c>
      <c r="W121" s="201"/>
      <c r="X121" s="165" t="s">
        <v>59</v>
      </c>
      <c r="Y121" s="123"/>
      <c r="Z121" s="123"/>
      <c r="AA121" s="145" t="str">
        <f t="shared" si="117"/>
        <v>ok</v>
      </c>
      <c r="AB121" s="201"/>
      <c r="AC121" s="166" t="str">
        <f t="shared" si="8"/>
        <v>국비</v>
      </c>
      <c r="AD121" s="123">
        <v>31781</v>
      </c>
      <c r="AE121" s="123">
        <v>1431</v>
      </c>
      <c r="AF121" s="145" t="str">
        <f t="shared" si="162"/>
        <v>ok</v>
      </c>
      <c r="AG121" s="201"/>
      <c r="AH121" s="167" t="s">
        <v>1262</v>
      </c>
      <c r="AI121" s="201"/>
      <c r="AJ121" s="163">
        <f t="shared" si="155"/>
        <v>2</v>
      </c>
      <c r="AK121" s="145" t="str">
        <f t="shared" si="118"/>
        <v>Ok</v>
      </c>
      <c r="AL121" s="201"/>
      <c r="AM121" s="140"/>
      <c r="AN121" s="201"/>
      <c r="AO121" s="142"/>
      <c r="AP121" s="219">
        <f t="shared" si="147"/>
        <v>0</v>
      </c>
      <c r="AQ121" s="219"/>
    </row>
    <row r="122" spans="1:43" ht="60" customHeight="1">
      <c r="A122" s="344" t="s">
        <v>321</v>
      </c>
      <c r="B122" s="344" t="s">
        <v>106</v>
      </c>
      <c r="C122" s="364" t="s">
        <v>598</v>
      </c>
      <c r="D122" s="363" t="s">
        <v>480</v>
      </c>
      <c r="E122" s="363">
        <v>578</v>
      </c>
      <c r="F122" s="363"/>
      <c r="G122" s="411" t="s">
        <v>1231</v>
      </c>
      <c r="H122" s="412">
        <v>25200</v>
      </c>
      <c r="I122" s="413">
        <v>0</v>
      </c>
      <c r="J122" s="349">
        <f t="shared" ref="J122:J127" si="163">IF(D122="","",H122-I122)</f>
        <v>25200</v>
      </c>
      <c r="K122" s="350"/>
      <c r="L122" s="350"/>
      <c r="M122" s="414">
        <f t="shared" ref="M122:M127" si="164">H122+K122+L122</f>
        <v>25200</v>
      </c>
      <c r="N122" s="415"/>
      <c r="O122" s="350">
        <v>7420</v>
      </c>
      <c r="P122" s="416">
        <f t="shared" si="116"/>
        <v>32620</v>
      </c>
      <c r="Q122" s="234" t="str">
        <f t="shared" si="148"/>
        <v/>
      </c>
      <c r="R122" s="211"/>
      <c r="S122" s="223"/>
      <c r="T122" s="421" t="s">
        <v>1249</v>
      </c>
      <c r="U122" s="419"/>
      <c r="V122" s="149" t="s">
        <v>1205</v>
      </c>
      <c r="W122" s="201"/>
      <c r="X122" s="165" t="s">
        <v>59</v>
      </c>
      <c r="Y122" s="123"/>
      <c r="Z122" s="123"/>
      <c r="AA122" s="145" t="str">
        <f t="shared" si="117"/>
        <v>ok</v>
      </c>
      <c r="AB122" s="201"/>
      <c r="AC122" s="166" t="str">
        <f t="shared" ref="AC122:AC127" si="165">IF(X122="","",$X122)</f>
        <v>국비</v>
      </c>
      <c r="AD122" s="123">
        <v>7420</v>
      </c>
      <c r="AE122" s="123">
        <v>0</v>
      </c>
      <c r="AF122" s="145" t="str">
        <f t="shared" si="151"/>
        <v>ok</v>
      </c>
      <c r="AG122" s="201"/>
      <c r="AH122" s="167" t="s">
        <v>1263</v>
      </c>
      <c r="AI122" s="201"/>
      <c r="AJ122" s="163">
        <f t="shared" si="155"/>
        <v>1</v>
      </c>
      <c r="AK122" s="145" t="str">
        <f t="shared" ref="AK122:AK127" si="166">IF(C122="","",IF(AND(X122="도비",AH122="세입없음"),"OK",IF(AND(X122&lt;&gt;"도비",AH122&lt;&gt;""),"Ok","@@")))</f>
        <v>Ok</v>
      </c>
      <c r="AL122" s="201"/>
      <c r="AM122" s="140"/>
      <c r="AN122" s="201"/>
      <c r="AO122" s="142"/>
      <c r="AP122" s="219">
        <f t="shared" si="147"/>
        <v>0</v>
      </c>
      <c r="AQ122" s="219"/>
    </row>
    <row r="123" spans="1:43" ht="60" customHeight="1">
      <c r="A123" s="344" t="s">
        <v>321</v>
      </c>
      <c r="B123" s="344" t="s">
        <v>106</v>
      </c>
      <c r="C123" s="364" t="s">
        <v>81</v>
      </c>
      <c r="D123" s="363" t="s">
        <v>501</v>
      </c>
      <c r="E123" s="363">
        <v>359</v>
      </c>
      <c r="F123" s="363"/>
      <c r="G123" s="411" t="s">
        <v>1232</v>
      </c>
      <c r="H123" s="412">
        <v>11190155</v>
      </c>
      <c r="I123" s="413">
        <v>11190155</v>
      </c>
      <c r="J123" s="349">
        <f t="shared" si="163"/>
        <v>0</v>
      </c>
      <c r="K123" s="350"/>
      <c r="L123" s="350"/>
      <c r="M123" s="414">
        <f t="shared" si="164"/>
        <v>11190155</v>
      </c>
      <c r="N123" s="415"/>
      <c r="O123" s="350">
        <v>1605375</v>
      </c>
      <c r="P123" s="416">
        <f t="shared" si="116"/>
        <v>12795530</v>
      </c>
      <c r="Q123" s="234" t="str">
        <f t="shared" si="148"/>
        <v/>
      </c>
      <c r="R123" s="211"/>
      <c r="S123" s="223"/>
      <c r="T123" s="421" t="s">
        <v>1250</v>
      </c>
      <c r="U123" s="352"/>
      <c r="V123" s="149" t="s">
        <v>1205</v>
      </c>
      <c r="W123" s="201"/>
      <c r="X123" s="165" t="s">
        <v>59</v>
      </c>
      <c r="Y123" s="123"/>
      <c r="Z123" s="123"/>
      <c r="AA123" s="145" t="str">
        <f t="shared" si="117"/>
        <v>ok</v>
      </c>
      <c r="AB123" s="201"/>
      <c r="AC123" s="166" t="str">
        <f t="shared" si="165"/>
        <v>국비</v>
      </c>
      <c r="AD123" s="123">
        <v>1508406</v>
      </c>
      <c r="AE123" s="123">
        <v>96969</v>
      </c>
      <c r="AF123" s="145" t="str">
        <f t="shared" si="151"/>
        <v>ok</v>
      </c>
      <c r="AG123" s="201"/>
      <c r="AH123" s="167" t="s">
        <v>1264</v>
      </c>
      <c r="AI123" s="201"/>
      <c r="AJ123" s="163">
        <f t="shared" si="155"/>
        <v>3</v>
      </c>
      <c r="AK123" s="145" t="str">
        <f t="shared" si="166"/>
        <v>Ok</v>
      </c>
      <c r="AL123" s="201"/>
      <c r="AM123" s="140"/>
      <c r="AN123" s="201"/>
      <c r="AO123" s="142"/>
      <c r="AP123" s="219">
        <f t="shared" si="147"/>
        <v>0</v>
      </c>
      <c r="AQ123" s="219"/>
    </row>
    <row r="124" spans="1:43" ht="60" customHeight="1">
      <c r="A124" s="344" t="s">
        <v>321</v>
      </c>
      <c r="B124" s="344" t="s">
        <v>69</v>
      </c>
      <c r="C124" s="364" t="s">
        <v>82</v>
      </c>
      <c r="D124" s="363" t="s">
        <v>501</v>
      </c>
      <c r="E124" s="363">
        <v>565</v>
      </c>
      <c r="F124" s="363"/>
      <c r="G124" s="411" t="s">
        <v>1232</v>
      </c>
      <c r="H124" s="412">
        <v>4795779</v>
      </c>
      <c r="I124" s="413">
        <v>4795779</v>
      </c>
      <c r="J124" s="349">
        <f t="shared" si="163"/>
        <v>0</v>
      </c>
      <c r="K124" s="350"/>
      <c r="L124" s="350"/>
      <c r="M124" s="414">
        <f t="shared" si="164"/>
        <v>4795779</v>
      </c>
      <c r="N124" s="415"/>
      <c r="O124" s="350">
        <v>698469</v>
      </c>
      <c r="P124" s="416">
        <f t="shared" si="116"/>
        <v>5494248</v>
      </c>
      <c r="Q124" s="234" t="str">
        <f t="shared" si="148"/>
        <v/>
      </c>
      <c r="R124" s="211"/>
      <c r="S124" s="223"/>
      <c r="T124" s="421" t="s">
        <v>1250</v>
      </c>
      <c r="U124" s="421"/>
      <c r="V124" s="149" t="s">
        <v>1205</v>
      </c>
      <c r="W124" s="201"/>
      <c r="X124" s="165" t="s">
        <v>59</v>
      </c>
      <c r="Y124" s="123"/>
      <c r="Z124" s="123"/>
      <c r="AA124" s="145" t="str">
        <f t="shared" si="117"/>
        <v>ok</v>
      </c>
      <c r="AB124" s="201"/>
      <c r="AC124" s="166" t="str">
        <f t="shared" si="165"/>
        <v>국비</v>
      </c>
      <c r="AD124" s="123">
        <v>656280</v>
      </c>
      <c r="AE124" s="123">
        <v>42189</v>
      </c>
      <c r="AF124" s="145" t="str">
        <f t="shared" si="151"/>
        <v>ok</v>
      </c>
      <c r="AG124" s="201"/>
      <c r="AH124" s="167" t="s">
        <v>1264</v>
      </c>
      <c r="AI124" s="201"/>
      <c r="AJ124" s="163">
        <f t="shared" si="155"/>
        <v>3</v>
      </c>
      <c r="AK124" s="145" t="str">
        <f t="shared" si="166"/>
        <v>Ok</v>
      </c>
      <c r="AL124" s="201"/>
      <c r="AM124" s="140"/>
      <c r="AN124" s="201"/>
      <c r="AO124" s="142"/>
      <c r="AP124" s="219">
        <f t="shared" si="147"/>
        <v>0</v>
      </c>
      <c r="AQ124" s="219"/>
    </row>
    <row r="125" spans="1:43" ht="74.25" customHeight="1">
      <c r="A125" s="344" t="s">
        <v>321</v>
      </c>
      <c r="B125" s="344" t="s">
        <v>106</v>
      </c>
      <c r="C125" s="364" t="s">
        <v>81</v>
      </c>
      <c r="D125" s="363" t="s">
        <v>501</v>
      </c>
      <c r="E125" s="363">
        <v>359</v>
      </c>
      <c r="F125" s="363"/>
      <c r="G125" s="411" t="s">
        <v>1233</v>
      </c>
      <c r="H125" s="412">
        <v>73657</v>
      </c>
      <c r="I125" s="413">
        <v>73657</v>
      </c>
      <c r="J125" s="349">
        <f t="shared" si="163"/>
        <v>0</v>
      </c>
      <c r="K125" s="350"/>
      <c r="L125" s="350"/>
      <c r="M125" s="414">
        <f t="shared" si="164"/>
        <v>73657</v>
      </c>
      <c r="N125" s="415"/>
      <c r="O125" s="350">
        <v>21286</v>
      </c>
      <c r="P125" s="416">
        <f t="shared" si="116"/>
        <v>94943</v>
      </c>
      <c r="Q125" s="234" t="str">
        <f t="shared" si="148"/>
        <v/>
      </c>
      <c r="R125" s="211"/>
      <c r="S125" s="223"/>
      <c r="T125" s="421" t="s">
        <v>1251</v>
      </c>
      <c r="U125" s="421"/>
      <c r="V125" s="149" t="s">
        <v>1205</v>
      </c>
      <c r="W125" s="201"/>
      <c r="X125" s="165" t="s">
        <v>59</v>
      </c>
      <c r="Y125" s="123"/>
      <c r="Z125" s="123"/>
      <c r="AA125" s="145" t="str">
        <f t="shared" si="117"/>
        <v>ok</v>
      </c>
      <c r="AB125" s="201"/>
      <c r="AC125" s="166" t="str">
        <f t="shared" si="165"/>
        <v>국비</v>
      </c>
      <c r="AD125" s="123">
        <v>20000</v>
      </c>
      <c r="AE125" s="123">
        <v>1286</v>
      </c>
      <c r="AF125" s="145" t="str">
        <f t="shared" si="151"/>
        <v>ok</v>
      </c>
      <c r="AG125" s="201"/>
      <c r="AH125" s="167" t="s">
        <v>1264</v>
      </c>
      <c r="AI125" s="201"/>
      <c r="AJ125" s="163">
        <f t="shared" si="155"/>
        <v>3</v>
      </c>
      <c r="AK125" s="145" t="str">
        <f t="shared" si="166"/>
        <v>Ok</v>
      </c>
      <c r="AL125" s="201"/>
      <c r="AM125" s="140"/>
      <c r="AN125" s="201"/>
      <c r="AO125" s="142"/>
      <c r="AP125" s="219">
        <f t="shared" si="147"/>
        <v>0</v>
      </c>
      <c r="AQ125" s="219"/>
    </row>
    <row r="126" spans="1:43" s="219" customFormat="1" ht="60" hidden="1" customHeight="1">
      <c r="A126" s="146"/>
      <c r="B126" s="146"/>
      <c r="C126" s="148"/>
      <c r="D126" s="147"/>
      <c r="E126" s="147"/>
      <c r="F126" s="147"/>
      <c r="G126" s="241"/>
      <c r="H126" s="245"/>
      <c r="I126" s="243"/>
      <c r="J126" s="151" t="str">
        <f t="shared" si="163"/>
        <v/>
      </c>
      <c r="K126" s="123"/>
      <c r="L126" s="123"/>
      <c r="M126" s="229">
        <f t="shared" si="164"/>
        <v>0</v>
      </c>
      <c r="N126" s="236"/>
      <c r="O126" s="123"/>
      <c r="P126" s="237">
        <f t="shared" ref="P126:P127" si="167">H126+N126+O126</f>
        <v>0</v>
      </c>
      <c r="Q126" s="234" t="str">
        <f t="shared" ref="Q126:Q127" si="168">IF(OR(AND(K126&lt;0,K126&lt;N126),AND(K126&lt;0,N126+O126=0),AND(K126&lt;0,O126&gt;0),AND(I126=0,M126=0,P126&gt;0)),"동의","")</f>
        <v/>
      </c>
      <c r="R126" s="211"/>
      <c r="S126" s="223"/>
      <c r="T126" s="223"/>
      <c r="U126" s="421"/>
      <c r="V126" s="149"/>
      <c r="W126" s="201"/>
      <c r="X126" s="165"/>
      <c r="Y126" s="123">
        <f>IF($X126&lt;&gt;"도비",IF($V126="국도비","직접입력",SUM($K126:$L126)),)</f>
        <v>0</v>
      </c>
      <c r="Z126" s="123">
        <f>IF($X126="도비",SUM($K126:$L126),IF($V126="국도비","직접입력",SUM($K126:$L126)-$Y126))</f>
        <v>0</v>
      </c>
      <c r="AA126" s="145" t="str">
        <f t="shared" si="117"/>
        <v>ok</v>
      </c>
      <c r="AB126" s="201"/>
      <c r="AC126" s="166" t="str">
        <f t="shared" si="165"/>
        <v/>
      </c>
      <c r="AD126" s="123">
        <f t="shared" ref="AD126:AD127" si="169">IF($X126&lt;&gt;"도비",IF($V126="국도비","직접입력",SUM(N126:O126)),)</f>
        <v>0</v>
      </c>
      <c r="AE126" s="123">
        <f t="shared" ref="AE126:AE127" si="170">IF($X126="도비",SUM(N126:O126),IF($V126="국도비","직접입력",SUM(N126:O126)-AD126))</f>
        <v>0</v>
      </c>
      <c r="AF126" s="145" t="str">
        <f t="shared" ref="AF126:AF127" si="171">IFERROR(IF((N126+O126)=(AD126+AE126),"ok","검토"),"검토")</f>
        <v>ok</v>
      </c>
      <c r="AG126" s="201"/>
      <c r="AH126" s="167"/>
      <c r="AI126" s="201"/>
      <c r="AJ126" s="163" t="str">
        <f t="shared" si="155"/>
        <v/>
      </c>
      <c r="AK126" s="145" t="str">
        <f t="shared" si="166"/>
        <v/>
      </c>
      <c r="AL126" s="201"/>
      <c r="AM126" s="140"/>
      <c r="AN126" s="201"/>
      <c r="AO126" s="142"/>
    </row>
    <row r="127" spans="1:43" s="219" customFormat="1" ht="60" hidden="1" customHeight="1">
      <c r="A127" s="146"/>
      <c r="B127" s="146"/>
      <c r="C127" s="148"/>
      <c r="D127" s="147"/>
      <c r="E127" s="147"/>
      <c r="F127" s="147"/>
      <c r="G127" s="241"/>
      <c r="H127" s="245"/>
      <c r="I127" s="243"/>
      <c r="J127" s="151" t="str">
        <f t="shared" si="163"/>
        <v/>
      </c>
      <c r="K127" s="123"/>
      <c r="L127" s="123"/>
      <c r="M127" s="229">
        <f t="shared" si="164"/>
        <v>0</v>
      </c>
      <c r="N127" s="236"/>
      <c r="O127" s="123"/>
      <c r="P127" s="237">
        <f t="shared" si="167"/>
        <v>0</v>
      </c>
      <c r="Q127" s="234" t="str">
        <f t="shared" si="168"/>
        <v/>
      </c>
      <c r="R127" s="211"/>
      <c r="S127" s="223"/>
      <c r="T127" s="223"/>
      <c r="U127" s="421"/>
      <c r="V127" s="149"/>
      <c r="W127" s="201"/>
      <c r="X127" s="165"/>
      <c r="Y127" s="123">
        <f>IF($X127&lt;&gt;"도비",IF($V127="국도비","직접입력",SUM($K127:$L127)),)</f>
        <v>0</v>
      </c>
      <c r="Z127" s="123">
        <f>IF($X127="도비",SUM($K127:$L127),IF($V127="국도비","직접입력",SUM($K127:$L127)-$Y127))</f>
        <v>0</v>
      </c>
      <c r="AA127" s="145" t="str">
        <f t="shared" si="117"/>
        <v>ok</v>
      </c>
      <c r="AB127" s="201"/>
      <c r="AC127" s="166" t="str">
        <f t="shared" si="165"/>
        <v/>
      </c>
      <c r="AD127" s="123">
        <f t="shared" si="169"/>
        <v>0</v>
      </c>
      <c r="AE127" s="123">
        <f t="shared" si="170"/>
        <v>0</v>
      </c>
      <c r="AF127" s="145" t="str">
        <f t="shared" si="171"/>
        <v>ok</v>
      </c>
      <c r="AG127" s="201"/>
      <c r="AH127" s="167"/>
      <c r="AI127" s="201"/>
      <c r="AJ127" s="163" t="str">
        <f t="shared" si="155"/>
        <v/>
      </c>
      <c r="AK127" s="145" t="str">
        <f t="shared" si="166"/>
        <v/>
      </c>
      <c r="AL127" s="201"/>
      <c r="AM127" s="140"/>
      <c r="AN127" s="201"/>
      <c r="AO127" s="142"/>
    </row>
    <row r="128" spans="1:43" s="144" customFormat="1" ht="60" hidden="1" customHeight="1">
      <c r="A128" s="146"/>
      <c r="B128" s="146"/>
      <c r="C128" s="148"/>
      <c r="D128" s="147"/>
      <c r="E128" s="147"/>
      <c r="F128" s="147"/>
      <c r="G128" s="241"/>
      <c r="H128" s="245"/>
      <c r="I128" s="243"/>
      <c r="J128" s="151" t="str">
        <f t="shared" si="42"/>
        <v/>
      </c>
      <c r="K128" s="123"/>
      <c r="L128" s="123"/>
      <c r="M128" s="229">
        <f t="shared" si="115"/>
        <v>0</v>
      </c>
      <c r="N128" s="236"/>
      <c r="O128" s="123"/>
      <c r="P128" s="237">
        <f t="shared" si="116"/>
        <v>0</v>
      </c>
      <c r="Q128" s="234" t="str">
        <f t="shared" si="148"/>
        <v/>
      </c>
      <c r="R128" s="211"/>
      <c r="S128" s="225"/>
      <c r="T128" s="225"/>
      <c r="U128" s="421"/>
      <c r="V128" s="149"/>
      <c r="W128" s="201"/>
      <c r="X128" s="165"/>
      <c r="Y128" s="123">
        <f>IF($X128&lt;&gt;"도비",IF($V128="국도비","직접입력",SUM($K128:$L128)),)</f>
        <v>0</v>
      </c>
      <c r="Z128" s="123">
        <f>IF($X128="도비",SUM($K128:$L128),IF($V128="국도비","직접입력",SUM($K128:$L128)-$Y128))</f>
        <v>0</v>
      </c>
      <c r="AA128" s="145" t="str">
        <f t="shared" si="117"/>
        <v>ok</v>
      </c>
      <c r="AB128" s="201"/>
      <c r="AC128" s="166" t="str">
        <f t="shared" si="8"/>
        <v/>
      </c>
      <c r="AD128" s="123">
        <f t="shared" si="149"/>
        <v>0</v>
      </c>
      <c r="AE128" s="123">
        <f t="shared" si="150"/>
        <v>0</v>
      </c>
      <c r="AF128" s="145" t="str">
        <f t="shared" si="151"/>
        <v>ok</v>
      </c>
      <c r="AG128" s="201"/>
      <c r="AH128" s="167"/>
      <c r="AI128" s="201"/>
      <c r="AJ128" s="163" t="str">
        <f t="shared" si="155"/>
        <v/>
      </c>
      <c r="AK128" s="145" t="str">
        <f t="shared" si="118"/>
        <v/>
      </c>
      <c r="AL128" s="201"/>
      <c r="AM128" s="140"/>
      <c r="AN128" s="201"/>
      <c r="AO128" s="142"/>
    </row>
    <row r="129" spans="1:43" ht="60" customHeight="1">
      <c r="A129" s="427" t="s">
        <v>452</v>
      </c>
      <c r="B129" s="403"/>
      <c r="C129" s="428"/>
      <c r="D129" s="403"/>
      <c r="E129" s="403"/>
      <c r="F129" s="428"/>
      <c r="G129" s="404"/>
      <c r="H129" s="405">
        <f t="shared" ref="H129:P129" si="172">SUM(H130:H136)</f>
        <v>24478000</v>
      </c>
      <c r="I129" s="406">
        <f t="shared" si="172"/>
        <v>9629800</v>
      </c>
      <c r="J129" s="407">
        <f t="shared" si="172"/>
        <v>14848200</v>
      </c>
      <c r="K129" s="407">
        <f t="shared" si="172"/>
        <v>-11400000</v>
      </c>
      <c r="L129" s="407">
        <f t="shared" si="172"/>
        <v>2439800</v>
      </c>
      <c r="M129" s="408">
        <f t="shared" si="172"/>
        <v>15517800</v>
      </c>
      <c r="N129" s="409">
        <f t="shared" si="172"/>
        <v>-4650000</v>
      </c>
      <c r="O129" s="407">
        <f t="shared" si="172"/>
        <v>4078200</v>
      </c>
      <c r="P129" s="410">
        <f t="shared" si="172"/>
        <v>23906200</v>
      </c>
      <c r="Q129" s="232"/>
      <c r="R129" s="216"/>
      <c r="S129" s="224"/>
      <c r="T129" s="419"/>
      <c r="U129" s="419"/>
      <c r="V129" s="204"/>
      <c r="W129" s="201"/>
      <c r="X129" s="205"/>
      <c r="Y129" s="160">
        <f>SUM(Y130:Y136)</f>
        <v>800000</v>
      </c>
      <c r="Z129" s="160">
        <f>SUM(Z130:Z136)</f>
        <v>-9760200</v>
      </c>
      <c r="AA129" s="161" t="str">
        <f t="shared" si="117"/>
        <v>ok</v>
      </c>
      <c r="AB129" s="201"/>
      <c r="AC129" s="166" t="str">
        <f t="shared" si="8"/>
        <v/>
      </c>
      <c r="AD129" s="160">
        <f>SUM(AD130:AD136)</f>
        <v>800000</v>
      </c>
      <c r="AE129" s="160">
        <f>SUM(AE130:AE136)</f>
        <v>-1371800</v>
      </c>
      <c r="AF129" s="161" t="str">
        <f t="shared" si="151"/>
        <v>ok</v>
      </c>
      <c r="AG129" s="201"/>
      <c r="AH129" s="206"/>
      <c r="AI129" s="201"/>
      <c r="AJ129" s="203" t="str">
        <f t="shared" si="155"/>
        <v/>
      </c>
      <c r="AK129" s="161" t="str">
        <f t="shared" si="118"/>
        <v/>
      </c>
      <c r="AL129" s="201"/>
      <c r="AM129" s="140"/>
      <c r="AN129" s="201"/>
      <c r="AO129" s="142"/>
      <c r="AP129" s="219">
        <f t="shared" ref="AP129:AP134" si="173">SUM(N129:O129)-SUM(AD129:AE129)</f>
        <v>0</v>
      </c>
    </row>
    <row r="130" spans="1:43" ht="60" customHeight="1">
      <c r="A130" s="344" t="s">
        <v>532</v>
      </c>
      <c r="B130" s="344" t="s">
        <v>536</v>
      </c>
      <c r="C130" s="364" t="s">
        <v>537</v>
      </c>
      <c r="D130" s="363" t="s">
        <v>523</v>
      </c>
      <c r="E130" s="363">
        <v>662</v>
      </c>
      <c r="F130" s="363">
        <v>85</v>
      </c>
      <c r="G130" s="411" t="s">
        <v>1057</v>
      </c>
      <c r="H130" s="412">
        <v>12750000</v>
      </c>
      <c r="I130" s="413">
        <v>1350000</v>
      </c>
      <c r="J130" s="349">
        <f t="shared" ref="J130:J136" si="174">IF(D130="","",H130-I130)</f>
        <v>11400000</v>
      </c>
      <c r="K130" s="350">
        <v>-11400000</v>
      </c>
      <c r="L130" s="350"/>
      <c r="M130" s="414">
        <f t="shared" ref="M130:M136" si="175">H130+K130+L130</f>
        <v>1350000</v>
      </c>
      <c r="N130" s="415">
        <v>-4650000</v>
      </c>
      <c r="O130" s="350"/>
      <c r="P130" s="416">
        <f t="shared" ref="P130:P136" si="176">H130+N130+O130</f>
        <v>8100000</v>
      </c>
      <c r="Q130" s="234" t="str">
        <f t="shared" ref="Q130:Q136" si="177">IF(OR(AND(K130&lt;0,K130&lt;N130),AND(K130&lt;0,N130+O130=0),AND(K130&lt;0,O130&gt;0),AND(I130=0,M130=0,P130&gt;0)),"동의","")</f>
        <v>동의</v>
      </c>
      <c r="R130" s="209" t="s">
        <v>1089</v>
      </c>
      <c r="S130" s="223" t="s">
        <v>538</v>
      </c>
      <c r="T130" s="421" t="s">
        <v>1301</v>
      </c>
      <c r="U130" s="445"/>
      <c r="V130" s="165" t="s">
        <v>490</v>
      </c>
      <c r="W130" s="201"/>
      <c r="X130" s="165" t="s">
        <v>490</v>
      </c>
      <c r="Y130" s="123">
        <f>IF($X130&lt;&gt;"도비",IF($V130="국도비","직접입력",SUM($K130:$L130)),)</f>
        <v>0</v>
      </c>
      <c r="Z130" s="123">
        <f>IF($X130="도비",SUM($K130:$L130),IF($V130="국도비","직접입력",SUM($K130:$L130)-$Y130))</f>
        <v>-11400000</v>
      </c>
      <c r="AA130" s="145" t="str">
        <f t="shared" ref="AA130:AA166" si="178">IFERROR(IF(($K130+$L130)=($Y130+$Z130),"ok","검토"),"검토")</f>
        <v>ok</v>
      </c>
      <c r="AB130" s="201"/>
      <c r="AC130" s="166" t="str">
        <f t="shared" si="8"/>
        <v>도비</v>
      </c>
      <c r="AD130" s="123">
        <f>IF($X130&lt;&gt;"도비",IF($V130="국도비","직접입력",SUM(N130:O130)),)</f>
        <v>0</v>
      </c>
      <c r="AE130" s="123">
        <f>IF($X130="도비",SUM(N130:O130),IF($V130="국도비","직접입력",SUM(N130:O130)-AD130))</f>
        <v>-4650000</v>
      </c>
      <c r="AF130" s="145" t="str">
        <f t="shared" si="151"/>
        <v>ok</v>
      </c>
      <c r="AG130" s="201"/>
      <c r="AH130" s="167" t="s">
        <v>1021</v>
      </c>
      <c r="AI130" s="201"/>
      <c r="AJ130" s="163">
        <f t="shared" si="155"/>
        <v>65</v>
      </c>
      <c r="AK130" s="145" t="str">
        <f t="shared" ref="AK130:AK166" si="179">IF(C130="","",IF(AND(X130="도비",AH130="세입없음"),"OK",IF(AND(X130&lt;&gt;"도비",AH130&lt;&gt;""),"Ok","@@")))</f>
        <v>OK</v>
      </c>
      <c r="AL130" s="201"/>
      <c r="AM130" s="140"/>
      <c r="AN130" s="201"/>
      <c r="AO130" s="142"/>
      <c r="AP130" s="219">
        <f t="shared" si="173"/>
        <v>0</v>
      </c>
      <c r="AQ130" s="144"/>
    </row>
    <row r="131" spans="1:43" ht="60" customHeight="1">
      <c r="A131" s="344" t="s">
        <v>532</v>
      </c>
      <c r="B131" s="344" t="s">
        <v>539</v>
      </c>
      <c r="C131" s="364" t="s">
        <v>540</v>
      </c>
      <c r="D131" s="363" t="s">
        <v>480</v>
      </c>
      <c r="E131" s="363">
        <v>674</v>
      </c>
      <c r="F131" s="363">
        <v>97</v>
      </c>
      <c r="G131" s="411" t="s">
        <v>1061</v>
      </c>
      <c r="H131" s="412">
        <v>2128000</v>
      </c>
      <c r="I131" s="413">
        <v>3040000</v>
      </c>
      <c r="J131" s="349">
        <f t="shared" si="174"/>
        <v>-912000</v>
      </c>
      <c r="K131" s="350"/>
      <c r="L131" s="350">
        <v>1000000</v>
      </c>
      <c r="M131" s="414">
        <f t="shared" si="175"/>
        <v>3128000</v>
      </c>
      <c r="N131" s="415"/>
      <c r="O131" s="350">
        <v>638400</v>
      </c>
      <c r="P131" s="416">
        <f t="shared" si="176"/>
        <v>2766400</v>
      </c>
      <c r="Q131" s="234" t="str">
        <f>IF(OR(AND(K131&lt;0,K131&lt;N131),AND(K131&lt;0,N131+O131=0),AND(K131&lt;0,O131&gt;0),AND(I131=0,M131=0,P131&gt;0)),"동의","")</f>
        <v/>
      </c>
      <c r="R131" s="209" t="s">
        <v>1090</v>
      </c>
      <c r="S131" s="223" t="s">
        <v>1058</v>
      </c>
      <c r="T131" s="437"/>
      <c r="U131" s="446"/>
      <c r="V131" s="165" t="s">
        <v>1059</v>
      </c>
      <c r="W131" s="201"/>
      <c r="X131" s="165" t="s">
        <v>1060</v>
      </c>
      <c r="Y131" s="123">
        <v>0</v>
      </c>
      <c r="Z131" s="123">
        <v>1000000</v>
      </c>
      <c r="AA131" s="145" t="str">
        <f t="shared" si="178"/>
        <v>ok</v>
      </c>
      <c r="AB131" s="201"/>
      <c r="AC131" s="166" t="str">
        <f t="shared" ref="AC131:AC166" si="180">IF(X131="","",$X131)</f>
        <v>지특</v>
      </c>
      <c r="AD131" s="123">
        <v>0</v>
      </c>
      <c r="AE131" s="123">
        <v>638400</v>
      </c>
      <c r="AF131" s="145" t="str">
        <f t="shared" si="151"/>
        <v>ok</v>
      </c>
      <c r="AG131" s="201"/>
      <c r="AH131" s="167" t="s">
        <v>1062</v>
      </c>
      <c r="AI131" s="201"/>
      <c r="AJ131" s="163">
        <f t="shared" si="155"/>
        <v>1</v>
      </c>
      <c r="AK131" s="145" t="str">
        <f t="shared" si="179"/>
        <v>Ok</v>
      </c>
      <c r="AL131" s="201"/>
      <c r="AM131" s="140"/>
      <c r="AN131" s="201"/>
      <c r="AO131" s="142"/>
      <c r="AP131" s="219">
        <f t="shared" si="173"/>
        <v>0</v>
      </c>
      <c r="AQ131" s="144"/>
    </row>
    <row r="132" spans="1:43" ht="60" customHeight="1">
      <c r="A132" s="344" t="s">
        <v>532</v>
      </c>
      <c r="B132" s="344" t="s">
        <v>539</v>
      </c>
      <c r="C132" s="364" t="s">
        <v>541</v>
      </c>
      <c r="D132" s="363" t="s">
        <v>480</v>
      </c>
      <c r="E132" s="363">
        <v>691</v>
      </c>
      <c r="F132" s="363">
        <v>397</v>
      </c>
      <c r="G132" s="411" t="s">
        <v>1063</v>
      </c>
      <c r="H132" s="412">
        <v>0</v>
      </c>
      <c r="I132" s="413">
        <v>639800</v>
      </c>
      <c r="J132" s="349">
        <f t="shared" si="174"/>
        <v>-639800</v>
      </c>
      <c r="K132" s="350"/>
      <c r="L132" s="350">
        <v>639800</v>
      </c>
      <c r="M132" s="414">
        <f>H132+K132+L132</f>
        <v>639800</v>
      </c>
      <c r="N132" s="415"/>
      <c r="O132" s="350">
        <v>639800</v>
      </c>
      <c r="P132" s="416">
        <f t="shared" si="176"/>
        <v>639800</v>
      </c>
      <c r="Q132" s="234" t="str">
        <f t="shared" si="177"/>
        <v/>
      </c>
      <c r="R132" s="210" t="s">
        <v>1091</v>
      </c>
      <c r="S132" s="223" t="s">
        <v>542</v>
      </c>
      <c r="T132" s="438"/>
      <c r="U132" s="446"/>
      <c r="V132" s="165" t="s">
        <v>490</v>
      </c>
      <c r="W132" s="201"/>
      <c r="X132" s="165" t="s">
        <v>490</v>
      </c>
      <c r="Y132" s="123">
        <f>IF($X132&lt;&gt;"도비",IF($V132="국도비","직접입력",SUM($K132:$L132)),)</f>
        <v>0</v>
      </c>
      <c r="Z132" s="123">
        <f>IF($X132="도비",SUM($K132:$L132),IF($V132="국도비","직접입력",SUM($K132:$L132)-$Y132))</f>
        <v>639800</v>
      </c>
      <c r="AA132" s="145" t="str">
        <f t="shared" si="178"/>
        <v>ok</v>
      </c>
      <c r="AB132" s="201"/>
      <c r="AC132" s="166" t="str">
        <f t="shared" si="180"/>
        <v>도비</v>
      </c>
      <c r="AD132" s="123">
        <f>IF($X132&lt;&gt;"도비",IF($V132="국도비","직접입력",SUM(N132:O132)),)</f>
        <v>0</v>
      </c>
      <c r="AE132" s="123">
        <f>IF($X132="도비",SUM(N132:O132),IF($V132="국도비","직접입력",SUM(N132:O132)-AD132))</f>
        <v>639800</v>
      </c>
      <c r="AF132" s="145" t="str">
        <f t="shared" si="151"/>
        <v>ok</v>
      </c>
      <c r="AG132" s="201"/>
      <c r="AH132" s="167" t="s">
        <v>1021</v>
      </c>
      <c r="AI132" s="201"/>
      <c r="AJ132" s="163">
        <f t="shared" si="155"/>
        <v>65</v>
      </c>
      <c r="AK132" s="145" t="str">
        <f t="shared" si="179"/>
        <v>OK</v>
      </c>
      <c r="AL132" s="201"/>
      <c r="AM132" s="140"/>
      <c r="AN132" s="201"/>
      <c r="AO132" s="142"/>
      <c r="AP132" s="219">
        <f t="shared" si="173"/>
        <v>0</v>
      </c>
      <c r="AQ132" s="144"/>
    </row>
    <row r="133" spans="1:43" ht="60" customHeight="1">
      <c r="A133" s="344" t="s">
        <v>532</v>
      </c>
      <c r="B133" s="344" t="s">
        <v>543</v>
      </c>
      <c r="C133" s="364" t="s">
        <v>544</v>
      </c>
      <c r="D133" s="363" t="s">
        <v>1001</v>
      </c>
      <c r="E133" s="363"/>
      <c r="F133" s="363"/>
      <c r="G133" s="411" t="s">
        <v>1134</v>
      </c>
      <c r="H133" s="412">
        <v>0</v>
      </c>
      <c r="I133" s="413">
        <v>0</v>
      </c>
      <c r="J133" s="349">
        <f t="shared" si="174"/>
        <v>0</v>
      </c>
      <c r="K133" s="350"/>
      <c r="L133" s="350">
        <v>800000</v>
      </c>
      <c r="M133" s="414">
        <f t="shared" si="175"/>
        <v>800000</v>
      </c>
      <c r="N133" s="415"/>
      <c r="O133" s="350">
        <v>800000</v>
      </c>
      <c r="P133" s="416">
        <f t="shared" si="176"/>
        <v>800000</v>
      </c>
      <c r="Q133" s="234" t="str">
        <f t="shared" si="177"/>
        <v/>
      </c>
      <c r="R133" s="210" t="s">
        <v>1092</v>
      </c>
      <c r="S133" s="223" t="s">
        <v>545</v>
      </c>
      <c r="T133" s="438" t="s">
        <v>1330</v>
      </c>
      <c r="U133" s="447"/>
      <c r="V133" s="165" t="s">
        <v>508</v>
      </c>
      <c r="W133" s="201"/>
      <c r="X133" s="165" t="s">
        <v>535</v>
      </c>
      <c r="Y133" s="123">
        <v>800000</v>
      </c>
      <c r="Z133" s="123">
        <v>0</v>
      </c>
      <c r="AA133" s="145" t="str">
        <f t="shared" si="178"/>
        <v>ok</v>
      </c>
      <c r="AB133" s="201"/>
      <c r="AC133" s="166" t="str">
        <f t="shared" si="180"/>
        <v>특교</v>
      </c>
      <c r="AD133" s="123">
        <v>800000</v>
      </c>
      <c r="AE133" s="123">
        <v>0</v>
      </c>
      <c r="AF133" s="145" t="str">
        <f t="shared" si="151"/>
        <v>ok</v>
      </c>
      <c r="AG133" s="201"/>
      <c r="AH133" s="167" t="s">
        <v>1064</v>
      </c>
      <c r="AI133" s="201"/>
      <c r="AJ133" s="163">
        <f t="shared" si="155"/>
        <v>1</v>
      </c>
      <c r="AK133" s="145" t="str">
        <f t="shared" si="179"/>
        <v>Ok</v>
      </c>
      <c r="AL133" s="201"/>
      <c r="AM133" s="140"/>
      <c r="AN133" s="201"/>
      <c r="AO133" s="142"/>
      <c r="AP133" s="219">
        <f t="shared" si="173"/>
        <v>0</v>
      </c>
      <c r="AQ133" s="144"/>
    </row>
    <row r="134" spans="1:43" ht="60" customHeight="1">
      <c r="A134" s="344" t="s">
        <v>347</v>
      </c>
      <c r="B134" s="344" t="s">
        <v>539</v>
      </c>
      <c r="C134" s="364" t="s">
        <v>540</v>
      </c>
      <c r="D134" s="363" t="s">
        <v>480</v>
      </c>
      <c r="E134" s="363">
        <v>676</v>
      </c>
      <c r="F134" s="363"/>
      <c r="G134" s="411" t="s">
        <v>1135</v>
      </c>
      <c r="H134" s="412">
        <v>9600000</v>
      </c>
      <c r="I134" s="413">
        <v>4600000</v>
      </c>
      <c r="J134" s="349">
        <f t="shared" si="174"/>
        <v>5000000</v>
      </c>
      <c r="K134" s="350"/>
      <c r="L134" s="350"/>
      <c r="M134" s="414">
        <f t="shared" si="175"/>
        <v>9600000</v>
      </c>
      <c r="N134" s="415"/>
      <c r="O134" s="350">
        <v>2000000</v>
      </c>
      <c r="P134" s="416">
        <f t="shared" si="176"/>
        <v>11600000</v>
      </c>
      <c r="Q134" s="234" t="str">
        <f t="shared" si="177"/>
        <v/>
      </c>
      <c r="R134" s="211"/>
      <c r="S134" s="223"/>
      <c r="T134" s="421"/>
      <c r="U134" s="448"/>
      <c r="V134" s="251" t="s">
        <v>1118</v>
      </c>
      <c r="W134" s="201"/>
      <c r="X134" s="165" t="s">
        <v>1118</v>
      </c>
      <c r="Y134" s="123">
        <f>IF($X134&lt;&gt;"도비",IF($V134="국도비","직접입력",SUM($K134:$L134)),)</f>
        <v>0</v>
      </c>
      <c r="Z134" s="123">
        <f>IF($X134="도비",SUM($K134:$L134),IF($V134="국도비","직접입력",SUM($K134:$L134)-$Y134))</f>
        <v>0</v>
      </c>
      <c r="AA134" s="145" t="str">
        <f t="shared" si="178"/>
        <v>ok</v>
      </c>
      <c r="AB134" s="201"/>
      <c r="AC134" s="166" t="str">
        <f t="shared" si="180"/>
        <v>도비</v>
      </c>
      <c r="AD134" s="123">
        <f t="shared" ref="AD134:AD136" si="181">IF($X134&lt;&gt;"도비",IF($V134="국도비","직접입력",SUM(N134:O134)),)</f>
        <v>0</v>
      </c>
      <c r="AE134" s="123">
        <f t="shared" ref="AE134:AE136" si="182">IF($X134="도비",SUM(N134:O134),IF($V134="국도비","직접입력",SUM(N134:O134)-AD134))</f>
        <v>2000000</v>
      </c>
      <c r="AF134" s="145" t="str">
        <f t="shared" si="151"/>
        <v>ok</v>
      </c>
      <c r="AG134" s="201"/>
      <c r="AH134" s="167" t="s">
        <v>604</v>
      </c>
      <c r="AI134" s="201"/>
      <c r="AJ134" s="163">
        <f t="shared" si="155"/>
        <v>65</v>
      </c>
      <c r="AK134" s="145" t="str">
        <f t="shared" si="179"/>
        <v>OK</v>
      </c>
      <c r="AL134" s="201"/>
      <c r="AM134" s="140"/>
      <c r="AN134" s="201"/>
      <c r="AO134" s="142"/>
      <c r="AP134" s="219">
        <f t="shared" si="173"/>
        <v>0</v>
      </c>
      <c r="AQ134" s="219"/>
    </row>
    <row r="135" spans="1:43" s="219" customFormat="1" ht="60" hidden="1" customHeight="1">
      <c r="A135" s="146"/>
      <c r="B135" s="146"/>
      <c r="C135" s="148"/>
      <c r="D135" s="147"/>
      <c r="E135" s="147"/>
      <c r="F135" s="147"/>
      <c r="G135" s="241"/>
      <c r="H135" s="245"/>
      <c r="I135" s="243"/>
      <c r="J135" s="151" t="str">
        <f t="shared" si="174"/>
        <v/>
      </c>
      <c r="K135" s="123"/>
      <c r="L135" s="123"/>
      <c r="M135" s="229">
        <f t="shared" si="175"/>
        <v>0</v>
      </c>
      <c r="N135" s="236"/>
      <c r="O135" s="123"/>
      <c r="P135" s="237">
        <f t="shared" si="176"/>
        <v>0</v>
      </c>
      <c r="Q135" s="234" t="str">
        <f t="shared" si="177"/>
        <v/>
      </c>
      <c r="R135" s="211"/>
      <c r="S135" s="223"/>
      <c r="T135" s="223"/>
      <c r="U135" s="448" t="s">
        <v>561</v>
      </c>
      <c r="V135" s="149"/>
      <c r="W135" s="201"/>
      <c r="X135" s="165"/>
      <c r="Y135" s="123">
        <f>IF($X135&lt;&gt;"도비",IF($V135="국도비","직접입력",SUM($K135:$L135)),)</f>
        <v>0</v>
      </c>
      <c r="Z135" s="123">
        <f>IF($X135="도비",SUM($K135:$L135),IF($V135="국도비","직접입력",SUM($K135:$L135)-$Y135))</f>
        <v>0</v>
      </c>
      <c r="AA135" s="145" t="str">
        <f t="shared" si="178"/>
        <v>ok</v>
      </c>
      <c r="AB135" s="201"/>
      <c r="AC135" s="166" t="str">
        <f t="shared" si="180"/>
        <v/>
      </c>
      <c r="AD135" s="123">
        <f t="shared" si="181"/>
        <v>0</v>
      </c>
      <c r="AE135" s="123">
        <f t="shared" si="182"/>
        <v>0</v>
      </c>
      <c r="AF135" s="145" t="str">
        <f t="shared" si="151"/>
        <v>ok</v>
      </c>
      <c r="AG135" s="201"/>
      <c r="AH135" s="167"/>
      <c r="AI135" s="201"/>
      <c r="AJ135" s="163" t="str">
        <f t="shared" ref="AJ135:AJ166" si="183">IF(AH135="","",COUNTIF($AH$7:$AH$10141,$AH135))</f>
        <v/>
      </c>
      <c r="AK135" s="145" t="str">
        <f t="shared" si="179"/>
        <v/>
      </c>
      <c r="AL135" s="201"/>
      <c r="AM135" s="140"/>
      <c r="AN135" s="201"/>
      <c r="AO135" s="142"/>
    </row>
    <row r="136" spans="1:43" s="219" customFormat="1" ht="60" hidden="1" customHeight="1">
      <c r="A136" s="146"/>
      <c r="B136" s="146"/>
      <c r="C136" s="148"/>
      <c r="D136" s="147"/>
      <c r="E136" s="147"/>
      <c r="F136" s="147"/>
      <c r="G136" s="241"/>
      <c r="H136" s="245"/>
      <c r="I136" s="243"/>
      <c r="J136" s="151" t="str">
        <f t="shared" si="174"/>
        <v/>
      </c>
      <c r="K136" s="123"/>
      <c r="L136" s="123"/>
      <c r="M136" s="229">
        <f t="shared" si="175"/>
        <v>0</v>
      </c>
      <c r="N136" s="236"/>
      <c r="O136" s="123"/>
      <c r="P136" s="237">
        <f t="shared" si="176"/>
        <v>0</v>
      </c>
      <c r="Q136" s="234" t="str">
        <f t="shared" si="177"/>
        <v/>
      </c>
      <c r="R136" s="211"/>
      <c r="S136" s="223"/>
      <c r="T136" s="223"/>
      <c r="U136" s="448" t="s">
        <v>562</v>
      </c>
      <c r="V136" s="149"/>
      <c r="W136" s="201"/>
      <c r="X136" s="165"/>
      <c r="Y136" s="123">
        <f>IF($X136&lt;&gt;"도비",IF($V136="국도비","직접입력",SUM($K136:$L136)),)</f>
        <v>0</v>
      </c>
      <c r="Z136" s="123">
        <f>IF($X136="도비",SUM($K136:$L136),IF($V136="국도비","직접입력",SUM($K136:$L136)-$Y136))</f>
        <v>0</v>
      </c>
      <c r="AA136" s="145" t="str">
        <f t="shared" si="178"/>
        <v>ok</v>
      </c>
      <c r="AB136" s="201"/>
      <c r="AC136" s="166" t="str">
        <f t="shared" si="180"/>
        <v/>
      </c>
      <c r="AD136" s="123">
        <f t="shared" si="181"/>
        <v>0</v>
      </c>
      <c r="AE136" s="123">
        <f t="shared" si="182"/>
        <v>0</v>
      </c>
      <c r="AF136" s="145" t="str">
        <f t="shared" si="151"/>
        <v>ok</v>
      </c>
      <c r="AG136" s="201"/>
      <c r="AH136" s="167"/>
      <c r="AI136" s="201"/>
      <c r="AJ136" s="163" t="str">
        <f t="shared" si="183"/>
        <v/>
      </c>
      <c r="AK136" s="145" t="str">
        <f t="shared" si="179"/>
        <v/>
      </c>
      <c r="AL136" s="201"/>
      <c r="AM136" s="140"/>
      <c r="AN136" s="201"/>
      <c r="AO136" s="142"/>
    </row>
    <row r="137" spans="1:43" ht="60" customHeight="1">
      <c r="A137" s="427" t="s">
        <v>456</v>
      </c>
      <c r="B137" s="403"/>
      <c r="C137" s="428"/>
      <c r="D137" s="403"/>
      <c r="E137" s="403"/>
      <c r="F137" s="428"/>
      <c r="G137" s="404"/>
      <c r="H137" s="405">
        <f t="shared" ref="H137:P137" si="184">SUM(H138:H145)</f>
        <v>8936000</v>
      </c>
      <c r="I137" s="406">
        <f t="shared" si="184"/>
        <v>8232000</v>
      </c>
      <c r="J137" s="407">
        <f t="shared" si="184"/>
        <v>704000</v>
      </c>
      <c r="K137" s="407">
        <f t="shared" si="184"/>
        <v>0</v>
      </c>
      <c r="L137" s="407">
        <f t="shared" si="184"/>
        <v>1500000</v>
      </c>
      <c r="M137" s="408">
        <f t="shared" si="184"/>
        <v>10436000</v>
      </c>
      <c r="N137" s="409">
        <f t="shared" si="184"/>
        <v>-200000</v>
      </c>
      <c r="O137" s="407">
        <f t="shared" si="184"/>
        <v>754000</v>
      </c>
      <c r="P137" s="410">
        <f t="shared" si="184"/>
        <v>9490000</v>
      </c>
      <c r="Q137" s="232"/>
      <c r="R137" s="216"/>
      <c r="S137" s="224"/>
      <c r="T137" s="419"/>
      <c r="U137" s="449"/>
      <c r="V137" s="204"/>
      <c r="W137" s="201"/>
      <c r="X137" s="205"/>
      <c r="Y137" s="160">
        <f>SUM(Y138:Y145)</f>
        <v>0</v>
      </c>
      <c r="Z137" s="160">
        <f>SUM(Z138:Z145)</f>
        <v>1500000</v>
      </c>
      <c r="AA137" s="161" t="str">
        <f t="shared" si="178"/>
        <v>ok</v>
      </c>
      <c r="AB137" s="201"/>
      <c r="AC137" s="166" t="str">
        <f t="shared" si="180"/>
        <v/>
      </c>
      <c r="AD137" s="160">
        <f>SUM(AD138:AD145)</f>
        <v>54000</v>
      </c>
      <c r="AE137" s="160">
        <f>SUM(AE138:AE145)</f>
        <v>500000</v>
      </c>
      <c r="AF137" s="161" t="str">
        <f t="shared" si="151"/>
        <v>ok</v>
      </c>
      <c r="AG137" s="201"/>
      <c r="AH137" s="206"/>
      <c r="AI137" s="201"/>
      <c r="AJ137" s="203" t="str">
        <f t="shared" si="183"/>
        <v/>
      </c>
      <c r="AK137" s="161" t="str">
        <f t="shared" si="179"/>
        <v/>
      </c>
      <c r="AL137" s="201"/>
      <c r="AM137" s="140"/>
      <c r="AN137" s="201"/>
      <c r="AO137" s="142"/>
      <c r="AP137" s="219">
        <f t="shared" ref="AP137:AP143" si="185">SUM(N137:O137)-SUM(AD137:AE137)</f>
        <v>0</v>
      </c>
      <c r="AQ137" s="144"/>
    </row>
    <row r="138" spans="1:43" ht="60" customHeight="1">
      <c r="A138" s="344" t="s">
        <v>492</v>
      </c>
      <c r="B138" s="344" t="s">
        <v>497</v>
      </c>
      <c r="C138" s="364" t="s">
        <v>498</v>
      </c>
      <c r="D138" s="363" t="s">
        <v>499</v>
      </c>
      <c r="E138" s="363"/>
      <c r="F138" s="363"/>
      <c r="G138" s="411" t="s">
        <v>1065</v>
      </c>
      <c r="H138" s="412">
        <v>0</v>
      </c>
      <c r="I138" s="413">
        <v>0</v>
      </c>
      <c r="J138" s="349">
        <f t="shared" ref="J138:J143" si="186">IF(D138="","",H138-I138)</f>
        <v>0</v>
      </c>
      <c r="K138" s="350"/>
      <c r="L138" s="350">
        <v>500000</v>
      </c>
      <c r="M138" s="414">
        <f t="shared" ref="M138:M143" si="187">H138+K138+L138</f>
        <v>500000</v>
      </c>
      <c r="N138" s="415"/>
      <c r="O138" s="350">
        <v>500000</v>
      </c>
      <c r="P138" s="416">
        <f t="shared" ref="P138:P157" si="188">H138+N138+O138</f>
        <v>500000</v>
      </c>
      <c r="Q138" s="234" t="str">
        <f t="shared" ref="Q138:Q145" si="189">IF(OR(AND(K138&lt;0,K138&lt;N138),AND(K138&lt;0,N138+O138=0),AND(K138&lt;0,O138&gt;0),AND(I138=0,M138=0,P138&gt;0)),"동의","")</f>
        <v/>
      </c>
      <c r="R138" s="220" t="s">
        <v>500</v>
      </c>
      <c r="S138" s="223" t="s">
        <v>500</v>
      </c>
      <c r="T138" s="352"/>
      <c r="U138" s="448"/>
      <c r="V138" s="149" t="s">
        <v>490</v>
      </c>
      <c r="W138" s="201"/>
      <c r="X138" s="165" t="s">
        <v>490</v>
      </c>
      <c r="Y138" s="123"/>
      <c r="Z138" s="123">
        <f t="shared" ref="Z138:Z145" si="190">IF($X138="도비",SUM($K138:$L138),IF($V138="국도비","직접입력",SUM($K138:$L138)-$Y138))</f>
        <v>500000</v>
      </c>
      <c r="AA138" s="145" t="str">
        <f t="shared" si="178"/>
        <v>ok</v>
      </c>
      <c r="AB138" s="201"/>
      <c r="AC138" s="166" t="str">
        <f t="shared" si="180"/>
        <v>도비</v>
      </c>
      <c r="AD138" s="123">
        <f>IF($X138&lt;&gt;"도비",IF($V138="국도비","직접입력",SUM(N138:O138)),)</f>
        <v>0</v>
      </c>
      <c r="AE138" s="123">
        <f>IF($X138="도비",SUM(N138:O138),IF($V138="국도비","직접입력",SUM(N138:O138)-AD138))</f>
        <v>500000</v>
      </c>
      <c r="AF138" s="145" t="str">
        <f t="shared" si="151"/>
        <v>ok</v>
      </c>
      <c r="AG138" s="201"/>
      <c r="AH138" s="167" t="s">
        <v>604</v>
      </c>
      <c r="AI138" s="201"/>
      <c r="AJ138" s="163">
        <f t="shared" si="183"/>
        <v>65</v>
      </c>
      <c r="AK138" s="145" t="str">
        <f t="shared" si="179"/>
        <v>OK</v>
      </c>
      <c r="AL138" s="201"/>
      <c r="AM138" s="140"/>
      <c r="AN138" s="201"/>
      <c r="AO138" s="142"/>
      <c r="AP138" s="219">
        <f t="shared" si="185"/>
        <v>0</v>
      </c>
      <c r="AQ138" s="144"/>
    </row>
    <row r="139" spans="1:43" ht="60" customHeight="1">
      <c r="A139" s="344" t="s">
        <v>492</v>
      </c>
      <c r="B139" s="344" t="s">
        <v>493</v>
      </c>
      <c r="C139" s="364" t="s">
        <v>494</v>
      </c>
      <c r="D139" s="363" t="s">
        <v>501</v>
      </c>
      <c r="E139" s="363">
        <v>947</v>
      </c>
      <c r="F139" s="363"/>
      <c r="G139" s="411" t="s">
        <v>1066</v>
      </c>
      <c r="H139" s="412">
        <v>700000</v>
      </c>
      <c r="I139" s="413">
        <v>700000</v>
      </c>
      <c r="J139" s="349">
        <f t="shared" si="186"/>
        <v>0</v>
      </c>
      <c r="K139" s="350"/>
      <c r="L139" s="350">
        <v>1000000</v>
      </c>
      <c r="M139" s="414">
        <f t="shared" si="187"/>
        <v>1700000</v>
      </c>
      <c r="N139" s="415"/>
      <c r="O139" s="350"/>
      <c r="P139" s="416">
        <f t="shared" si="188"/>
        <v>700000</v>
      </c>
      <c r="Q139" s="234" t="str">
        <f t="shared" si="189"/>
        <v/>
      </c>
      <c r="R139" s="220" t="s">
        <v>502</v>
      </c>
      <c r="S139" s="223" t="s">
        <v>502</v>
      </c>
      <c r="T139" s="421"/>
      <c r="U139" s="448"/>
      <c r="V139" s="149" t="s">
        <v>1020</v>
      </c>
      <c r="W139" s="201"/>
      <c r="X139" s="165" t="s">
        <v>1020</v>
      </c>
      <c r="Y139" s="123"/>
      <c r="Z139" s="123">
        <f t="shared" si="190"/>
        <v>1000000</v>
      </c>
      <c r="AA139" s="145" t="str">
        <f t="shared" si="178"/>
        <v>ok</v>
      </c>
      <c r="AB139" s="201"/>
      <c r="AC139" s="166" t="str">
        <f t="shared" si="180"/>
        <v>도비</v>
      </c>
      <c r="AD139" s="123">
        <f>IF($X139&lt;&gt;"도비",IF($V139="국도비","직접입력",SUM(N139:O139)),)</f>
        <v>0</v>
      </c>
      <c r="AE139" s="123">
        <f>IF($X139="도비",SUM(N139:O139),IF($V139="국도비","직접입력",SUM(N139:O139)-AD139))</f>
        <v>0</v>
      </c>
      <c r="AF139" s="145" t="str">
        <f t="shared" si="151"/>
        <v>ok</v>
      </c>
      <c r="AG139" s="201"/>
      <c r="AH139" s="167" t="s">
        <v>604</v>
      </c>
      <c r="AI139" s="201"/>
      <c r="AJ139" s="163">
        <f t="shared" si="183"/>
        <v>65</v>
      </c>
      <c r="AK139" s="145" t="str">
        <f t="shared" si="179"/>
        <v>OK</v>
      </c>
      <c r="AL139" s="201"/>
      <c r="AM139" s="140"/>
      <c r="AN139" s="201"/>
      <c r="AO139" s="142"/>
      <c r="AP139" s="219">
        <f t="shared" si="185"/>
        <v>0</v>
      </c>
      <c r="AQ139" s="144"/>
    </row>
    <row r="140" spans="1:43" ht="60" customHeight="1">
      <c r="A140" s="344" t="s">
        <v>11</v>
      </c>
      <c r="B140" s="344" t="s">
        <v>107</v>
      </c>
      <c r="C140" s="364" t="s">
        <v>262</v>
      </c>
      <c r="D140" s="363" t="s">
        <v>480</v>
      </c>
      <c r="E140" s="363">
        <v>737</v>
      </c>
      <c r="F140" s="363"/>
      <c r="G140" s="411" t="s">
        <v>1158</v>
      </c>
      <c r="H140" s="412">
        <v>8036000</v>
      </c>
      <c r="I140" s="413">
        <v>7332000</v>
      </c>
      <c r="J140" s="349">
        <f t="shared" si="186"/>
        <v>704000</v>
      </c>
      <c r="K140" s="350"/>
      <c r="L140" s="350"/>
      <c r="M140" s="414">
        <f t="shared" si="187"/>
        <v>8036000</v>
      </c>
      <c r="N140" s="415"/>
      <c r="O140" s="350">
        <v>54000</v>
      </c>
      <c r="P140" s="416">
        <f t="shared" si="188"/>
        <v>8090000</v>
      </c>
      <c r="Q140" s="234" t="str">
        <f t="shared" si="189"/>
        <v/>
      </c>
      <c r="R140" s="211"/>
      <c r="S140" s="223"/>
      <c r="T140" s="421" t="s">
        <v>1159</v>
      </c>
      <c r="U140" s="447"/>
      <c r="V140" s="149" t="s">
        <v>1156</v>
      </c>
      <c r="W140" s="201"/>
      <c r="X140" s="165" t="s">
        <v>1143</v>
      </c>
      <c r="Y140" s="123"/>
      <c r="Z140" s="123"/>
      <c r="AA140" s="145" t="str">
        <f t="shared" si="178"/>
        <v>ok</v>
      </c>
      <c r="AB140" s="201"/>
      <c r="AC140" s="166" t="str">
        <f t="shared" si="180"/>
        <v>국비</v>
      </c>
      <c r="AD140" s="123">
        <v>54000</v>
      </c>
      <c r="AE140" s="123">
        <v>0</v>
      </c>
      <c r="AF140" s="145" t="str">
        <f t="shared" si="151"/>
        <v>ok</v>
      </c>
      <c r="AG140" s="201"/>
      <c r="AH140" s="167" t="s">
        <v>1162</v>
      </c>
      <c r="AI140" s="201"/>
      <c r="AJ140" s="163">
        <f t="shared" si="183"/>
        <v>1</v>
      </c>
      <c r="AK140" s="145" t="str">
        <f t="shared" ref="AK140:AK144" si="191">IF(C140="","",IF(AND(X140="도비",AH140="세입없음"),"OK",IF(AND(X140&lt;&gt;"도비",AH140&lt;&gt;""),"Ok","@@")))</f>
        <v>Ok</v>
      </c>
      <c r="AL140" s="201"/>
      <c r="AM140" s="140"/>
      <c r="AN140" s="201"/>
      <c r="AO140" s="142" t="s">
        <v>1142</v>
      </c>
      <c r="AP140" s="219">
        <f t="shared" si="185"/>
        <v>0</v>
      </c>
      <c r="AQ140" s="219"/>
    </row>
    <row r="141" spans="1:43" ht="60" customHeight="1">
      <c r="A141" s="344" t="s">
        <v>11</v>
      </c>
      <c r="B141" s="344" t="s">
        <v>107</v>
      </c>
      <c r="C141" s="364" t="s">
        <v>1173</v>
      </c>
      <c r="D141" s="363" t="s">
        <v>1170</v>
      </c>
      <c r="E141" s="363">
        <v>402</v>
      </c>
      <c r="F141" s="363"/>
      <c r="G141" s="411" t="s">
        <v>1177</v>
      </c>
      <c r="H141" s="412">
        <v>200000</v>
      </c>
      <c r="I141" s="413">
        <v>200000</v>
      </c>
      <c r="J141" s="349">
        <f t="shared" si="186"/>
        <v>0</v>
      </c>
      <c r="K141" s="350"/>
      <c r="L141" s="350"/>
      <c r="M141" s="414">
        <f t="shared" si="187"/>
        <v>200000</v>
      </c>
      <c r="N141" s="415">
        <v>-200000</v>
      </c>
      <c r="O141" s="350"/>
      <c r="P141" s="416">
        <f t="shared" si="188"/>
        <v>0</v>
      </c>
      <c r="Q141" s="234" t="str">
        <f t="shared" si="189"/>
        <v/>
      </c>
      <c r="R141" s="211"/>
      <c r="S141" s="223"/>
      <c r="T141" s="421"/>
      <c r="U141" s="447"/>
      <c r="V141" s="149" t="s">
        <v>1182</v>
      </c>
      <c r="W141" s="201"/>
      <c r="X141" s="165" t="s">
        <v>1182</v>
      </c>
      <c r="Y141" s="123">
        <f t="shared" ref="Y141:Y145" si="192">IF($X141&lt;&gt;"도비",IF($V141="국도비","직접입력",SUM($K141:$L141)),)</f>
        <v>0</v>
      </c>
      <c r="Z141" s="123">
        <f t="shared" si="190"/>
        <v>0</v>
      </c>
      <c r="AA141" s="145" t="str">
        <f t="shared" si="178"/>
        <v>ok</v>
      </c>
      <c r="AB141" s="201"/>
      <c r="AC141" s="166" t="str">
        <f t="shared" si="180"/>
        <v>도비</v>
      </c>
      <c r="AD141" s="123">
        <f t="shared" ref="AD141:AD143" si="193">IF($X141&lt;&gt;"도비",IF($V141="국도비","직접입력",SUM(N141:O141)),)</f>
        <v>0</v>
      </c>
      <c r="AE141" s="123">
        <f t="shared" ref="AE141:AE143" si="194">IF($X141="도비",SUM(N141:O141),IF($V141="국도비","직접입력",SUM(N141:O141)-AD141))</f>
        <v>-200000</v>
      </c>
      <c r="AF141" s="145" t="str">
        <f t="shared" si="151"/>
        <v>ok</v>
      </c>
      <c r="AG141" s="201"/>
      <c r="AH141" s="167" t="s">
        <v>1183</v>
      </c>
      <c r="AI141" s="201"/>
      <c r="AJ141" s="163">
        <f t="shared" si="183"/>
        <v>65</v>
      </c>
      <c r="AK141" s="145" t="str">
        <f t="shared" si="191"/>
        <v>OK</v>
      </c>
      <c r="AL141" s="201"/>
      <c r="AM141" s="140"/>
      <c r="AN141" s="201"/>
      <c r="AO141" s="142"/>
      <c r="AP141" s="219">
        <f t="shared" si="185"/>
        <v>0</v>
      </c>
      <c r="AQ141" s="219"/>
    </row>
    <row r="142" spans="1:43" ht="60" customHeight="1">
      <c r="A142" s="344" t="s">
        <v>11</v>
      </c>
      <c r="B142" s="344" t="s">
        <v>107</v>
      </c>
      <c r="C142" s="364" t="s">
        <v>1173</v>
      </c>
      <c r="D142" s="363" t="s">
        <v>1171</v>
      </c>
      <c r="E142" s="363"/>
      <c r="F142" s="363"/>
      <c r="G142" s="411" t="s">
        <v>1175</v>
      </c>
      <c r="H142" s="412">
        <v>0</v>
      </c>
      <c r="I142" s="413">
        <v>0</v>
      </c>
      <c r="J142" s="349">
        <f t="shared" si="186"/>
        <v>0</v>
      </c>
      <c r="K142" s="350"/>
      <c r="L142" s="350"/>
      <c r="M142" s="414">
        <f t="shared" si="187"/>
        <v>0</v>
      </c>
      <c r="N142" s="415"/>
      <c r="O142" s="350">
        <v>50000</v>
      </c>
      <c r="P142" s="416">
        <f t="shared" si="188"/>
        <v>50000</v>
      </c>
      <c r="Q142" s="234" t="str">
        <f t="shared" si="189"/>
        <v>동의</v>
      </c>
      <c r="R142" s="211"/>
      <c r="S142" s="223"/>
      <c r="T142" s="421"/>
      <c r="U142" s="447"/>
      <c r="V142" s="149" t="s">
        <v>1182</v>
      </c>
      <c r="W142" s="201"/>
      <c r="X142" s="165" t="s">
        <v>1182</v>
      </c>
      <c r="Y142" s="123">
        <f t="shared" si="192"/>
        <v>0</v>
      </c>
      <c r="Z142" s="123">
        <f t="shared" si="190"/>
        <v>0</v>
      </c>
      <c r="AA142" s="145" t="str">
        <f t="shared" si="178"/>
        <v>ok</v>
      </c>
      <c r="AB142" s="201"/>
      <c r="AC142" s="166" t="str">
        <f t="shared" si="180"/>
        <v>도비</v>
      </c>
      <c r="AD142" s="123">
        <f t="shared" si="193"/>
        <v>0</v>
      </c>
      <c r="AE142" s="123">
        <f t="shared" si="194"/>
        <v>50000</v>
      </c>
      <c r="AF142" s="145" t="str">
        <f t="shared" si="151"/>
        <v>ok</v>
      </c>
      <c r="AG142" s="201"/>
      <c r="AH142" s="167" t="s">
        <v>1183</v>
      </c>
      <c r="AI142" s="201"/>
      <c r="AJ142" s="163">
        <f t="shared" si="183"/>
        <v>65</v>
      </c>
      <c r="AK142" s="145" t="str">
        <f t="shared" si="191"/>
        <v>OK</v>
      </c>
      <c r="AL142" s="201"/>
      <c r="AM142" s="140"/>
      <c r="AN142" s="201"/>
      <c r="AO142" s="142"/>
      <c r="AP142" s="219">
        <f t="shared" si="185"/>
        <v>0</v>
      </c>
      <c r="AQ142" s="219"/>
    </row>
    <row r="143" spans="1:43" ht="60" customHeight="1">
      <c r="A143" s="344" t="s">
        <v>11</v>
      </c>
      <c r="B143" s="344" t="s">
        <v>107</v>
      </c>
      <c r="C143" s="364" t="s">
        <v>1174</v>
      </c>
      <c r="D143" s="363" t="s">
        <v>1171</v>
      </c>
      <c r="E143" s="363"/>
      <c r="F143" s="363"/>
      <c r="G143" s="411" t="s">
        <v>1176</v>
      </c>
      <c r="H143" s="412">
        <v>0</v>
      </c>
      <c r="I143" s="413">
        <v>0</v>
      </c>
      <c r="J143" s="349">
        <f t="shared" si="186"/>
        <v>0</v>
      </c>
      <c r="K143" s="350"/>
      <c r="L143" s="350"/>
      <c r="M143" s="414">
        <f t="shared" si="187"/>
        <v>0</v>
      </c>
      <c r="N143" s="415"/>
      <c r="O143" s="350">
        <v>150000</v>
      </c>
      <c r="P143" s="416">
        <f t="shared" si="188"/>
        <v>150000</v>
      </c>
      <c r="Q143" s="234" t="str">
        <f t="shared" si="189"/>
        <v>동의</v>
      </c>
      <c r="R143" s="211"/>
      <c r="S143" s="223"/>
      <c r="T143" s="421"/>
      <c r="U143" s="450"/>
      <c r="V143" s="149" t="s">
        <v>1182</v>
      </c>
      <c r="W143" s="201"/>
      <c r="X143" s="165" t="s">
        <v>1182</v>
      </c>
      <c r="Y143" s="123">
        <f t="shared" si="192"/>
        <v>0</v>
      </c>
      <c r="Z143" s="123">
        <f t="shared" si="190"/>
        <v>0</v>
      </c>
      <c r="AA143" s="145" t="str">
        <f t="shared" si="178"/>
        <v>ok</v>
      </c>
      <c r="AB143" s="201"/>
      <c r="AC143" s="166" t="str">
        <f t="shared" si="180"/>
        <v>도비</v>
      </c>
      <c r="AD143" s="123">
        <f t="shared" si="193"/>
        <v>0</v>
      </c>
      <c r="AE143" s="123">
        <f t="shared" si="194"/>
        <v>150000</v>
      </c>
      <c r="AF143" s="145" t="str">
        <f t="shared" si="151"/>
        <v>ok</v>
      </c>
      <c r="AG143" s="201"/>
      <c r="AH143" s="167" t="s">
        <v>1183</v>
      </c>
      <c r="AI143" s="201"/>
      <c r="AJ143" s="163">
        <f t="shared" si="183"/>
        <v>65</v>
      </c>
      <c r="AK143" s="145" t="str">
        <f t="shared" si="191"/>
        <v>OK</v>
      </c>
      <c r="AL143" s="201"/>
      <c r="AM143" s="140"/>
      <c r="AN143" s="201"/>
      <c r="AO143" s="142"/>
      <c r="AP143" s="219">
        <f t="shared" si="185"/>
        <v>0</v>
      </c>
      <c r="AQ143" s="219"/>
    </row>
    <row r="144" spans="1:43" s="219" customFormat="1" ht="60" hidden="1" customHeight="1">
      <c r="A144" s="146"/>
      <c r="B144" s="146"/>
      <c r="C144" s="148"/>
      <c r="D144" s="147"/>
      <c r="E144" s="147"/>
      <c r="F144" s="147"/>
      <c r="G144" s="241"/>
      <c r="H144" s="245"/>
      <c r="I144" s="243"/>
      <c r="J144" s="151"/>
      <c r="K144" s="123"/>
      <c r="L144" s="123"/>
      <c r="M144" s="229">
        <f t="shared" ref="M144:M145" si="195">H144+K144+L144</f>
        <v>0</v>
      </c>
      <c r="N144" s="236"/>
      <c r="O144" s="123"/>
      <c r="P144" s="237">
        <f t="shared" ref="P144:P145" si="196">H144+N144+O144</f>
        <v>0</v>
      </c>
      <c r="Q144" s="234" t="str">
        <f t="shared" si="189"/>
        <v/>
      </c>
      <c r="R144" s="217"/>
      <c r="S144" s="217"/>
      <c r="T144" s="217"/>
      <c r="U144" s="448" t="s">
        <v>1207</v>
      </c>
      <c r="V144" s="149"/>
      <c r="W144" s="201"/>
      <c r="X144" s="165"/>
      <c r="Y144" s="123">
        <f t="shared" si="192"/>
        <v>0</v>
      </c>
      <c r="Z144" s="123">
        <f t="shared" si="190"/>
        <v>0</v>
      </c>
      <c r="AA144" s="145" t="str">
        <f t="shared" si="178"/>
        <v>ok</v>
      </c>
      <c r="AB144" s="201"/>
      <c r="AC144" s="166" t="str">
        <f t="shared" ref="AC144:AC145" si="197">IF(X144="","",$X144)</f>
        <v/>
      </c>
      <c r="AD144" s="123">
        <f>IF($X144&lt;&gt;"도비",IF($V144="국도비","직접입력",SUM(N144:O144)),)</f>
        <v>0</v>
      </c>
      <c r="AE144" s="123">
        <f>IF($X144="도비",SUM(N144:O144),IF($V144="국도비","직접입력",SUM(N144:O144)-AD144))</f>
        <v>0</v>
      </c>
      <c r="AF144" s="145" t="str">
        <f t="shared" ref="AF144:AF145" si="198">IFERROR(IF((N144+O144)=(AD144+AE144),"ok","검토"),"검토")</f>
        <v>ok</v>
      </c>
      <c r="AG144" s="201"/>
      <c r="AH144" s="167"/>
      <c r="AI144" s="201"/>
      <c r="AJ144" s="163" t="str">
        <f t="shared" si="183"/>
        <v/>
      </c>
      <c r="AK144" s="145" t="str">
        <f t="shared" si="191"/>
        <v/>
      </c>
      <c r="AL144" s="201"/>
      <c r="AM144" s="140"/>
      <c r="AN144" s="201"/>
      <c r="AO144" s="142"/>
    </row>
    <row r="145" spans="1:43" s="219" customFormat="1" ht="60" hidden="1" customHeight="1">
      <c r="A145" s="146"/>
      <c r="B145" s="146"/>
      <c r="C145" s="148"/>
      <c r="D145" s="147"/>
      <c r="E145" s="147"/>
      <c r="F145" s="147"/>
      <c r="G145" s="241"/>
      <c r="H145" s="245"/>
      <c r="I145" s="243"/>
      <c r="J145" s="151"/>
      <c r="K145" s="123"/>
      <c r="L145" s="123"/>
      <c r="M145" s="229">
        <f t="shared" si="195"/>
        <v>0</v>
      </c>
      <c r="N145" s="236"/>
      <c r="O145" s="123"/>
      <c r="P145" s="237">
        <f t="shared" si="196"/>
        <v>0</v>
      </c>
      <c r="Q145" s="234" t="str">
        <f t="shared" si="189"/>
        <v/>
      </c>
      <c r="R145" s="217"/>
      <c r="S145" s="217"/>
      <c r="T145" s="217"/>
      <c r="U145" s="448" t="s">
        <v>1208</v>
      </c>
      <c r="V145" s="149"/>
      <c r="W145" s="201"/>
      <c r="X145" s="165"/>
      <c r="Y145" s="123">
        <f t="shared" si="192"/>
        <v>0</v>
      </c>
      <c r="Z145" s="123">
        <f t="shared" si="190"/>
        <v>0</v>
      </c>
      <c r="AA145" s="145" t="str">
        <f t="shared" si="178"/>
        <v>ok</v>
      </c>
      <c r="AB145" s="201"/>
      <c r="AC145" s="166" t="str">
        <f t="shared" si="197"/>
        <v/>
      </c>
      <c r="AD145" s="123">
        <f>IF($X145&lt;&gt;"도비",IF($V145="국도비","직접입력",SUM(N145:O145)),)</f>
        <v>0</v>
      </c>
      <c r="AE145" s="123">
        <f>IF($X145="도비",SUM(N145:O145),IF($V145="국도비","직접입력",SUM(N145:O145)-AD145))</f>
        <v>0</v>
      </c>
      <c r="AF145" s="145" t="str">
        <f t="shared" si="198"/>
        <v>ok</v>
      </c>
      <c r="AG145" s="201"/>
      <c r="AH145" s="167"/>
      <c r="AI145" s="201"/>
      <c r="AJ145" s="163" t="str">
        <f t="shared" si="183"/>
        <v/>
      </c>
      <c r="AK145" s="145" t="str">
        <f t="shared" ref="AK145" si="199">IF(C145="","",IF(AND(X145="도비",AH145="세입없음"),"OK",IF(AND(X145&lt;&gt;"도비",AH145&lt;&gt;""),"Ok","@@")))</f>
        <v/>
      </c>
      <c r="AL145" s="201"/>
      <c r="AM145" s="140"/>
      <c r="AN145" s="201"/>
      <c r="AO145" s="142"/>
    </row>
    <row r="146" spans="1:43" ht="60" customHeight="1">
      <c r="A146" s="427" t="s">
        <v>453</v>
      </c>
      <c r="B146" s="403"/>
      <c r="C146" s="428"/>
      <c r="D146" s="403"/>
      <c r="E146" s="403"/>
      <c r="F146" s="428"/>
      <c r="G146" s="404"/>
      <c r="H146" s="405">
        <f>SUM(H147:H166)</f>
        <v>1555885310</v>
      </c>
      <c r="I146" s="406">
        <f t="shared" ref="I146:P146" si="200">SUM(I147:I166)</f>
        <v>1442553745</v>
      </c>
      <c r="J146" s="407">
        <f t="shared" si="200"/>
        <v>113331565</v>
      </c>
      <c r="K146" s="407">
        <f t="shared" si="200"/>
        <v>-6967</v>
      </c>
      <c r="L146" s="407">
        <f t="shared" si="200"/>
        <v>507312</v>
      </c>
      <c r="M146" s="408">
        <f t="shared" si="200"/>
        <v>1556385655</v>
      </c>
      <c r="N146" s="409">
        <f t="shared" si="200"/>
        <v>-18836967</v>
      </c>
      <c r="O146" s="407">
        <f t="shared" si="200"/>
        <v>24825987</v>
      </c>
      <c r="P146" s="410">
        <f t="shared" si="200"/>
        <v>1561874330</v>
      </c>
      <c r="Q146" s="235"/>
      <c r="R146" s="162"/>
      <c r="S146" s="224"/>
      <c r="T146" s="419"/>
      <c r="U146" s="448"/>
      <c r="V146" s="204"/>
      <c r="W146" s="201"/>
      <c r="X146" s="205"/>
      <c r="Y146" s="160">
        <f>SUM(Y147:Y166)</f>
        <v>47351</v>
      </c>
      <c r="Z146" s="160">
        <f>SUM(Z147:Z166)</f>
        <v>452994</v>
      </c>
      <c r="AA146" s="161" t="str">
        <f t="shared" si="178"/>
        <v>ok</v>
      </c>
      <c r="AB146" s="201"/>
      <c r="AC146" s="166" t="str">
        <f t="shared" si="180"/>
        <v/>
      </c>
      <c r="AD146" s="160">
        <f>SUM(AD147:AD166)</f>
        <v>19761543</v>
      </c>
      <c r="AE146" s="160">
        <f>SUM(AE147:AE166)</f>
        <v>-13772523</v>
      </c>
      <c r="AF146" s="161" t="str">
        <f t="shared" si="151"/>
        <v>ok</v>
      </c>
      <c r="AG146" s="201"/>
      <c r="AH146" s="206"/>
      <c r="AI146" s="201"/>
      <c r="AJ146" s="203" t="str">
        <f t="shared" si="183"/>
        <v/>
      </c>
      <c r="AK146" s="161" t="str">
        <f t="shared" si="179"/>
        <v/>
      </c>
      <c r="AL146" s="201"/>
      <c r="AM146" s="140"/>
      <c r="AN146" s="201"/>
      <c r="AO146" s="142"/>
      <c r="AP146" s="219">
        <f t="shared" ref="AP146:AP164" si="201">SUM(N146:O146)-SUM(AD146:AE146)</f>
        <v>0</v>
      </c>
    </row>
    <row r="147" spans="1:43" ht="60" customHeight="1">
      <c r="A147" s="344" t="s">
        <v>557</v>
      </c>
      <c r="B147" s="344" t="s">
        <v>558</v>
      </c>
      <c r="C147" s="364" t="s">
        <v>559</v>
      </c>
      <c r="D147" s="363" t="s">
        <v>480</v>
      </c>
      <c r="E147" s="363">
        <v>785</v>
      </c>
      <c r="F147" s="363">
        <v>56</v>
      </c>
      <c r="G147" s="411" t="s">
        <v>1067</v>
      </c>
      <c r="H147" s="412">
        <v>0</v>
      </c>
      <c r="I147" s="413">
        <v>300000</v>
      </c>
      <c r="J147" s="349">
        <f>IF(D147="","",H147-I147)</f>
        <v>-300000</v>
      </c>
      <c r="K147" s="350"/>
      <c r="L147" s="350">
        <v>300000</v>
      </c>
      <c r="M147" s="414">
        <f t="shared" ref="M147:M164" si="202">H147+K147+L147</f>
        <v>300000</v>
      </c>
      <c r="N147" s="415"/>
      <c r="O147" s="350"/>
      <c r="P147" s="416">
        <f t="shared" si="188"/>
        <v>0</v>
      </c>
      <c r="Q147" s="249" t="str">
        <f t="shared" ref="Q147:Q166" si="203">IF(OR(AND(K147&lt;0,K147&lt;N147),AND(K147&lt;0,N147+O147=0),AND(K147&lt;0,O147&gt;0),AND(I147=0,M147=0,P147&gt;0)),"동의","")</f>
        <v/>
      </c>
      <c r="R147" s="217"/>
      <c r="S147" s="217"/>
      <c r="T147" s="445"/>
      <c r="U147" s="448"/>
      <c r="V147" s="165" t="s">
        <v>490</v>
      </c>
      <c r="W147" s="201"/>
      <c r="X147" s="165" t="s">
        <v>490</v>
      </c>
      <c r="Y147" s="123"/>
      <c r="Z147" s="123">
        <v>300000</v>
      </c>
      <c r="AA147" s="145" t="str">
        <f t="shared" si="178"/>
        <v>ok</v>
      </c>
      <c r="AB147" s="201"/>
      <c r="AC147" s="166" t="str">
        <f t="shared" si="180"/>
        <v>도비</v>
      </c>
      <c r="AD147" s="123">
        <f t="shared" ref="AD147:AD166" si="204">IF($X147&lt;&gt;"도비",IF($V147="국도비","직접입력",SUM(N147:O147)),)</f>
        <v>0</v>
      </c>
      <c r="AE147" s="123">
        <f t="shared" ref="AE147:AE166" si="205">IF($X147="도비",SUM(N147:O147),IF($V147="국도비","직접입력",SUM(N147:O147)-AD147))</f>
        <v>0</v>
      </c>
      <c r="AF147" s="145" t="str">
        <f t="shared" si="151"/>
        <v>ok</v>
      </c>
      <c r="AG147" s="201"/>
      <c r="AH147" s="167" t="s">
        <v>604</v>
      </c>
      <c r="AI147" s="201"/>
      <c r="AJ147" s="163">
        <f t="shared" si="183"/>
        <v>65</v>
      </c>
      <c r="AK147" s="145" t="str">
        <f t="shared" si="179"/>
        <v>OK</v>
      </c>
      <c r="AL147" s="201"/>
      <c r="AM147" s="140"/>
      <c r="AN147" s="201"/>
      <c r="AO147" s="142"/>
      <c r="AP147" s="219">
        <f t="shared" si="201"/>
        <v>0</v>
      </c>
    </row>
    <row r="148" spans="1:43" ht="60" customHeight="1">
      <c r="A148" s="344" t="s">
        <v>557</v>
      </c>
      <c r="B148" s="344" t="s">
        <v>558</v>
      </c>
      <c r="C148" s="364" t="s">
        <v>559</v>
      </c>
      <c r="D148" s="363" t="s">
        <v>480</v>
      </c>
      <c r="E148" s="363">
        <v>786</v>
      </c>
      <c r="F148" s="363">
        <v>74</v>
      </c>
      <c r="G148" s="411" t="s">
        <v>560</v>
      </c>
      <c r="H148" s="412">
        <v>2987000</v>
      </c>
      <c r="I148" s="413">
        <v>2737000</v>
      </c>
      <c r="J148" s="349">
        <f>IF(D148="","",H148-I148)</f>
        <v>250000</v>
      </c>
      <c r="K148" s="350"/>
      <c r="L148" s="350">
        <v>50000</v>
      </c>
      <c r="M148" s="414">
        <f t="shared" si="202"/>
        <v>3037000</v>
      </c>
      <c r="N148" s="415"/>
      <c r="O148" s="350">
        <v>50000</v>
      </c>
      <c r="P148" s="416">
        <f t="shared" si="188"/>
        <v>3037000</v>
      </c>
      <c r="Q148" s="249" t="str">
        <f t="shared" si="203"/>
        <v/>
      </c>
      <c r="R148" s="220"/>
      <c r="S148" s="226"/>
      <c r="T148" s="446"/>
      <c r="V148" s="165" t="s">
        <v>490</v>
      </c>
      <c r="W148" s="201"/>
      <c r="X148" s="165" t="s">
        <v>490</v>
      </c>
      <c r="Y148" s="123"/>
      <c r="Z148" s="123">
        <v>50000</v>
      </c>
      <c r="AA148" s="145" t="str">
        <f t="shared" si="178"/>
        <v>ok</v>
      </c>
      <c r="AB148" s="201"/>
      <c r="AC148" s="166" t="str">
        <f t="shared" si="180"/>
        <v>도비</v>
      </c>
      <c r="AD148" s="123">
        <f t="shared" si="204"/>
        <v>0</v>
      </c>
      <c r="AE148" s="123">
        <f t="shared" si="205"/>
        <v>50000</v>
      </c>
      <c r="AF148" s="145" t="str">
        <f t="shared" si="151"/>
        <v>ok</v>
      </c>
      <c r="AG148" s="201"/>
      <c r="AH148" s="167" t="s">
        <v>604</v>
      </c>
      <c r="AI148" s="201"/>
      <c r="AJ148" s="163">
        <f t="shared" si="183"/>
        <v>65</v>
      </c>
      <c r="AK148" s="145" t="str">
        <f t="shared" si="179"/>
        <v>OK</v>
      </c>
      <c r="AL148" s="201"/>
      <c r="AM148" s="140"/>
      <c r="AN148" s="201"/>
      <c r="AO148" s="142"/>
      <c r="AP148" s="219">
        <f t="shared" si="201"/>
        <v>0</v>
      </c>
      <c r="AQ148" s="144"/>
    </row>
    <row r="149" spans="1:43" ht="60" customHeight="1">
      <c r="A149" s="344" t="s">
        <v>557</v>
      </c>
      <c r="B149" s="344" t="s">
        <v>558</v>
      </c>
      <c r="C149" s="364" t="s">
        <v>1163</v>
      </c>
      <c r="D149" s="363" t="s">
        <v>480</v>
      </c>
      <c r="E149" s="363">
        <v>793</v>
      </c>
      <c r="F149" s="363">
        <v>162</v>
      </c>
      <c r="G149" s="411" t="s">
        <v>1069</v>
      </c>
      <c r="H149" s="412">
        <v>185000</v>
      </c>
      <c r="I149" s="413">
        <v>0</v>
      </c>
      <c r="J149" s="349">
        <f>IF(D149="","",H149-I149)</f>
        <v>185000</v>
      </c>
      <c r="K149" s="350"/>
      <c r="L149" s="350">
        <v>100000</v>
      </c>
      <c r="M149" s="414">
        <f t="shared" si="202"/>
        <v>285000</v>
      </c>
      <c r="N149" s="415"/>
      <c r="O149" s="350">
        <v>100000</v>
      </c>
      <c r="P149" s="416">
        <f t="shared" si="188"/>
        <v>285000</v>
      </c>
      <c r="Q149" s="249" t="str">
        <f t="shared" si="203"/>
        <v/>
      </c>
      <c r="R149" s="220" t="s">
        <v>1080</v>
      </c>
      <c r="S149" s="226" t="s">
        <v>1079</v>
      </c>
      <c r="T149" s="446" t="s">
        <v>1079</v>
      </c>
      <c r="V149" s="165" t="s">
        <v>490</v>
      </c>
      <c r="W149" s="201"/>
      <c r="X149" s="165" t="s">
        <v>490</v>
      </c>
      <c r="Y149" s="123"/>
      <c r="Z149" s="123">
        <v>100000</v>
      </c>
      <c r="AA149" s="145" t="str">
        <f t="shared" si="178"/>
        <v>ok</v>
      </c>
      <c r="AB149" s="201"/>
      <c r="AC149" s="166" t="str">
        <f t="shared" si="180"/>
        <v>도비</v>
      </c>
      <c r="AD149" s="123">
        <f t="shared" si="204"/>
        <v>0</v>
      </c>
      <c r="AE149" s="123">
        <f t="shared" si="205"/>
        <v>100000</v>
      </c>
      <c r="AF149" s="145" t="str">
        <f t="shared" si="151"/>
        <v>ok</v>
      </c>
      <c r="AG149" s="201"/>
      <c r="AH149" s="167" t="s">
        <v>604</v>
      </c>
      <c r="AI149" s="201"/>
      <c r="AJ149" s="163">
        <f t="shared" si="183"/>
        <v>65</v>
      </c>
      <c r="AK149" s="145" t="str">
        <f t="shared" si="179"/>
        <v>OK</v>
      </c>
      <c r="AL149" s="201"/>
      <c r="AM149" s="140"/>
      <c r="AN149" s="201"/>
      <c r="AO149" s="142"/>
      <c r="AP149" s="219">
        <f t="shared" si="201"/>
        <v>0</v>
      </c>
      <c r="AQ149" s="144"/>
    </row>
    <row r="150" spans="1:43" ht="60" customHeight="1">
      <c r="A150" s="344" t="s">
        <v>557</v>
      </c>
      <c r="B150" s="344" t="s">
        <v>558</v>
      </c>
      <c r="C150" s="364" t="s">
        <v>559</v>
      </c>
      <c r="D150" s="363" t="s">
        <v>480</v>
      </c>
      <c r="E150" s="363">
        <v>784</v>
      </c>
      <c r="F150" s="363">
        <v>50</v>
      </c>
      <c r="G150" s="411" t="s">
        <v>1070</v>
      </c>
      <c r="H150" s="412">
        <v>880853</v>
      </c>
      <c r="I150" s="413">
        <v>768353</v>
      </c>
      <c r="J150" s="349">
        <f t="shared" ref="J150:J165" si="206">IF(D150="","",H150-I150)</f>
        <v>112500</v>
      </c>
      <c r="K150" s="350"/>
      <c r="L150" s="350">
        <v>11250</v>
      </c>
      <c r="M150" s="414">
        <f t="shared" si="202"/>
        <v>892103</v>
      </c>
      <c r="N150" s="415"/>
      <c r="O150" s="350">
        <v>11250</v>
      </c>
      <c r="P150" s="416">
        <f t="shared" si="188"/>
        <v>892103</v>
      </c>
      <c r="Q150" s="249" t="str">
        <f t="shared" si="203"/>
        <v/>
      </c>
      <c r="R150" s="247" t="s">
        <v>561</v>
      </c>
      <c r="S150" s="248" t="s">
        <v>561</v>
      </c>
      <c r="T150" s="447" t="s">
        <v>561</v>
      </c>
      <c r="V150" s="165" t="s">
        <v>508</v>
      </c>
      <c r="W150" s="201"/>
      <c r="X150" s="165" t="s">
        <v>526</v>
      </c>
      <c r="Y150" s="123">
        <v>10000</v>
      </c>
      <c r="Z150" s="123">
        <v>1250</v>
      </c>
      <c r="AA150" s="145" t="str">
        <f t="shared" si="178"/>
        <v>ok</v>
      </c>
      <c r="AB150" s="201"/>
      <c r="AC150" s="166" t="str">
        <f t="shared" si="180"/>
        <v>기금</v>
      </c>
      <c r="AD150" s="123">
        <v>10000</v>
      </c>
      <c r="AE150" s="123">
        <v>1250</v>
      </c>
      <c r="AF150" s="145" t="str">
        <f t="shared" si="151"/>
        <v>ok</v>
      </c>
      <c r="AG150" s="201"/>
      <c r="AH150" s="207" t="s">
        <v>573</v>
      </c>
      <c r="AI150" s="201"/>
      <c r="AJ150" s="163">
        <f t="shared" si="183"/>
        <v>4</v>
      </c>
      <c r="AK150" s="145" t="str">
        <f t="shared" si="179"/>
        <v>Ok</v>
      </c>
      <c r="AL150" s="201"/>
      <c r="AM150" s="140"/>
      <c r="AN150" s="201"/>
      <c r="AO150" s="142"/>
      <c r="AP150" s="219">
        <f t="shared" si="201"/>
        <v>0</v>
      </c>
      <c r="AQ150" s="144"/>
    </row>
    <row r="151" spans="1:43" ht="60" customHeight="1">
      <c r="A151" s="344" t="s">
        <v>557</v>
      </c>
      <c r="B151" s="344" t="s">
        <v>558</v>
      </c>
      <c r="C151" s="364" t="s">
        <v>559</v>
      </c>
      <c r="D151" s="363" t="s">
        <v>480</v>
      </c>
      <c r="E151" s="363">
        <v>784</v>
      </c>
      <c r="F151" s="363">
        <v>53</v>
      </c>
      <c r="G151" s="411" t="s">
        <v>552</v>
      </c>
      <c r="H151" s="412">
        <v>129394</v>
      </c>
      <c r="I151" s="413">
        <v>128272</v>
      </c>
      <c r="J151" s="349">
        <f t="shared" si="206"/>
        <v>1122</v>
      </c>
      <c r="K151" s="350"/>
      <c r="L151" s="350">
        <v>9715</v>
      </c>
      <c r="M151" s="414">
        <f t="shared" si="202"/>
        <v>139109</v>
      </c>
      <c r="N151" s="415"/>
      <c r="O151" s="350">
        <v>9715</v>
      </c>
      <c r="P151" s="416">
        <f t="shared" si="188"/>
        <v>139109</v>
      </c>
      <c r="Q151" s="249" t="str">
        <f t="shared" si="203"/>
        <v/>
      </c>
      <c r="R151" s="213" t="s">
        <v>561</v>
      </c>
      <c r="S151" s="227" t="s">
        <v>561</v>
      </c>
      <c r="T151" s="448" t="s">
        <v>561</v>
      </c>
      <c r="V151" s="165" t="s">
        <v>508</v>
      </c>
      <c r="W151" s="201"/>
      <c r="X151" s="165" t="s">
        <v>526</v>
      </c>
      <c r="Y151" s="123">
        <v>8000</v>
      </c>
      <c r="Z151" s="123">
        <v>1715</v>
      </c>
      <c r="AA151" s="145" t="str">
        <f t="shared" si="178"/>
        <v>ok</v>
      </c>
      <c r="AB151" s="201"/>
      <c r="AC151" s="166" t="str">
        <f t="shared" si="180"/>
        <v>기금</v>
      </c>
      <c r="AD151" s="123">
        <v>8000</v>
      </c>
      <c r="AE151" s="123">
        <v>1715</v>
      </c>
      <c r="AF151" s="145" t="str">
        <f t="shared" si="151"/>
        <v>ok</v>
      </c>
      <c r="AG151" s="201"/>
      <c r="AH151" s="208" t="s">
        <v>573</v>
      </c>
      <c r="AI151" s="201"/>
      <c r="AJ151" s="163">
        <f t="shared" si="183"/>
        <v>4</v>
      </c>
      <c r="AK151" s="145" t="str">
        <f t="shared" si="179"/>
        <v>Ok</v>
      </c>
      <c r="AL151" s="201"/>
      <c r="AM151" s="140"/>
      <c r="AN151" s="201"/>
      <c r="AO151" s="142"/>
      <c r="AP151" s="219">
        <f t="shared" si="201"/>
        <v>0</v>
      </c>
      <c r="AQ151" s="144"/>
    </row>
    <row r="152" spans="1:43" ht="60" customHeight="1">
      <c r="A152" s="344" t="s">
        <v>557</v>
      </c>
      <c r="B152" s="344" t="s">
        <v>558</v>
      </c>
      <c r="C152" s="364" t="s">
        <v>559</v>
      </c>
      <c r="D152" s="363" t="s">
        <v>501</v>
      </c>
      <c r="E152" s="363"/>
      <c r="F152" s="363"/>
      <c r="G152" s="411" t="s">
        <v>553</v>
      </c>
      <c r="H152" s="412">
        <v>148130</v>
      </c>
      <c r="I152" s="413">
        <v>148130</v>
      </c>
      <c r="J152" s="349">
        <f t="shared" si="206"/>
        <v>0</v>
      </c>
      <c r="K152" s="350"/>
      <c r="L152" s="350">
        <v>11250</v>
      </c>
      <c r="M152" s="414">
        <f t="shared" si="202"/>
        <v>159380</v>
      </c>
      <c r="N152" s="415"/>
      <c r="O152" s="350">
        <v>11250</v>
      </c>
      <c r="P152" s="416">
        <f t="shared" si="188"/>
        <v>159380</v>
      </c>
      <c r="Q152" s="249" t="str">
        <f t="shared" si="203"/>
        <v/>
      </c>
      <c r="R152" s="217" t="s">
        <v>561</v>
      </c>
      <c r="S152" s="227" t="s">
        <v>561</v>
      </c>
      <c r="T152" s="448" t="s">
        <v>561</v>
      </c>
      <c r="V152" s="165" t="s">
        <v>508</v>
      </c>
      <c r="W152" s="201"/>
      <c r="X152" s="165" t="s">
        <v>526</v>
      </c>
      <c r="Y152" s="123">
        <v>10000</v>
      </c>
      <c r="Z152" s="123">
        <v>1250</v>
      </c>
      <c r="AA152" s="145" t="str">
        <f t="shared" si="178"/>
        <v>ok</v>
      </c>
      <c r="AB152" s="201"/>
      <c r="AC152" s="166" t="str">
        <f t="shared" si="180"/>
        <v>기금</v>
      </c>
      <c r="AD152" s="123">
        <v>10000</v>
      </c>
      <c r="AE152" s="123">
        <v>1250</v>
      </c>
      <c r="AF152" s="145" t="str">
        <f t="shared" si="151"/>
        <v>ok</v>
      </c>
      <c r="AG152" s="201"/>
      <c r="AH152" s="208" t="s">
        <v>573</v>
      </c>
      <c r="AI152" s="201"/>
      <c r="AJ152" s="163">
        <f t="shared" si="183"/>
        <v>4</v>
      </c>
      <c r="AK152" s="145" t="str">
        <f t="shared" si="179"/>
        <v>Ok</v>
      </c>
      <c r="AL152" s="201"/>
      <c r="AM152" s="140"/>
      <c r="AN152" s="201"/>
      <c r="AO152" s="142"/>
      <c r="AP152" s="219">
        <f t="shared" si="201"/>
        <v>0</v>
      </c>
      <c r="AQ152" s="144"/>
    </row>
    <row r="153" spans="1:43" ht="60" customHeight="1">
      <c r="A153" s="344" t="s">
        <v>557</v>
      </c>
      <c r="B153" s="344" t="s">
        <v>558</v>
      </c>
      <c r="C153" s="364" t="s">
        <v>559</v>
      </c>
      <c r="D153" s="363" t="s">
        <v>480</v>
      </c>
      <c r="E153" s="363">
        <v>786</v>
      </c>
      <c r="F153" s="363">
        <v>71</v>
      </c>
      <c r="G153" s="411" t="s">
        <v>554</v>
      </c>
      <c r="H153" s="412">
        <v>481000</v>
      </c>
      <c r="I153" s="413">
        <v>450000</v>
      </c>
      <c r="J153" s="349">
        <f t="shared" si="206"/>
        <v>31000</v>
      </c>
      <c r="K153" s="350"/>
      <c r="L153" s="350">
        <v>18000</v>
      </c>
      <c r="M153" s="414">
        <f t="shared" si="202"/>
        <v>499000</v>
      </c>
      <c r="N153" s="415"/>
      <c r="O153" s="350">
        <v>18000</v>
      </c>
      <c r="P153" s="416">
        <f t="shared" si="188"/>
        <v>499000</v>
      </c>
      <c r="Q153" s="249" t="str">
        <f t="shared" si="203"/>
        <v/>
      </c>
      <c r="R153" s="213" t="s">
        <v>562</v>
      </c>
      <c r="S153" s="227" t="s">
        <v>562</v>
      </c>
      <c r="T153" s="448" t="s">
        <v>562</v>
      </c>
      <c r="V153" s="165" t="s">
        <v>508</v>
      </c>
      <c r="W153" s="201"/>
      <c r="X153" s="165" t="s">
        <v>526</v>
      </c>
      <c r="Y153" s="123">
        <v>18000</v>
      </c>
      <c r="Z153" s="123">
        <v>0</v>
      </c>
      <c r="AA153" s="145" t="str">
        <f t="shared" si="178"/>
        <v>ok</v>
      </c>
      <c r="AB153" s="201"/>
      <c r="AC153" s="166" t="str">
        <f t="shared" si="180"/>
        <v>기금</v>
      </c>
      <c r="AD153" s="123">
        <v>18000</v>
      </c>
      <c r="AE153" s="123">
        <v>0</v>
      </c>
      <c r="AF153" s="145" t="str">
        <f t="shared" si="151"/>
        <v>ok</v>
      </c>
      <c r="AG153" s="201"/>
      <c r="AH153" s="208" t="s">
        <v>574</v>
      </c>
      <c r="AI153" s="201"/>
      <c r="AJ153" s="163">
        <f t="shared" si="183"/>
        <v>1</v>
      </c>
      <c r="AK153" s="145" t="str">
        <f t="shared" si="179"/>
        <v>Ok</v>
      </c>
      <c r="AL153" s="201"/>
      <c r="AM153" s="140"/>
      <c r="AN153" s="201"/>
      <c r="AO153" s="142"/>
      <c r="AP153" s="219">
        <f t="shared" si="201"/>
        <v>0</v>
      </c>
      <c r="AQ153" s="144"/>
    </row>
    <row r="154" spans="1:43" ht="60" customHeight="1">
      <c r="A154" s="344" t="s">
        <v>349</v>
      </c>
      <c r="B154" s="344" t="s">
        <v>558</v>
      </c>
      <c r="C154" s="364" t="s">
        <v>1322</v>
      </c>
      <c r="D154" s="363" t="s">
        <v>563</v>
      </c>
      <c r="E154" s="363"/>
      <c r="F154" s="363"/>
      <c r="G154" s="411" t="s">
        <v>564</v>
      </c>
      <c r="H154" s="412">
        <v>13113782</v>
      </c>
      <c r="I154" s="413">
        <v>13113782</v>
      </c>
      <c r="J154" s="349">
        <f t="shared" si="206"/>
        <v>0</v>
      </c>
      <c r="K154" s="439">
        <v>-3217</v>
      </c>
      <c r="L154" s="439"/>
      <c r="M154" s="414">
        <f t="shared" si="202"/>
        <v>13110565</v>
      </c>
      <c r="N154" s="440">
        <v>-3217</v>
      </c>
      <c r="O154" s="439"/>
      <c r="P154" s="416">
        <f t="shared" si="188"/>
        <v>13110565</v>
      </c>
      <c r="Q154" s="249" t="str">
        <f t="shared" si="203"/>
        <v/>
      </c>
      <c r="R154" s="218" t="s">
        <v>565</v>
      </c>
      <c r="S154" s="228" t="s">
        <v>565</v>
      </c>
      <c r="T154" s="449" t="s">
        <v>565</v>
      </c>
      <c r="U154" s="497" t="s">
        <v>1326</v>
      </c>
      <c r="V154" s="195" t="s">
        <v>575</v>
      </c>
      <c r="W154" s="201"/>
      <c r="X154" s="195" t="s">
        <v>576</v>
      </c>
      <c r="Y154" s="169">
        <v>-2649</v>
      </c>
      <c r="Z154" s="169">
        <v>-568</v>
      </c>
      <c r="AA154" s="170" t="str">
        <f t="shared" si="178"/>
        <v>ok</v>
      </c>
      <c r="AB154" s="201"/>
      <c r="AC154" s="166" t="str">
        <f t="shared" si="180"/>
        <v>국비</v>
      </c>
      <c r="AD154" s="123">
        <v>-2649</v>
      </c>
      <c r="AE154" s="123">
        <v>-568</v>
      </c>
      <c r="AF154" s="145" t="str">
        <f t="shared" si="151"/>
        <v>ok</v>
      </c>
      <c r="AG154" s="201"/>
      <c r="AH154" s="208" t="s">
        <v>1073</v>
      </c>
      <c r="AI154" s="201"/>
      <c r="AJ154" s="163">
        <f t="shared" si="183"/>
        <v>1</v>
      </c>
      <c r="AK154" s="145" t="str">
        <f t="shared" si="179"/>
        <v>Ok</v>
      </c>
      <c r="AL154" s="201"/>
      <c r="AM154" s="140"/>
      <c r="AN154" s="201"/>
      <c r="AO154" s="142"/>
      <c r="AP154" s="219">
        <f t="shared" si="201"/>
        <v>0</v>
      </c>
      <c r="AQ154" s="144"/>
    </row>
    <row r="155" spans="1:43" ht="60" customHeight="1">
      <c r="A155" s="344" t="s">
        <v>566</v>
      </c>
      <c r="B155" s="344" t="s">
        <v>567</v>
      </c>
      <c r="C155" s="364" t="s">
        <v>568</v>
      </c>
      <c r="D155" s="363" t="s">
        <v>480</v>
      </c>
      <c r="E155" s="363">
        <v>814</v>
      </c>
      <c r="F155" s="363">
        <v>46</v>
      </c>
      <c r="G155" s="411" t="s">
        <v>555</v>
      </c>
      <c r="H155" s="412">
        <v>89577</v>
      </c>
      <c r="I155" s="413">
        <v>89977</v>
      </c>
      <c r="J155" s="349">
        <f t="shared" si="206"/>
        <v>-400</v>
      </c>
      <c r="K155" s="350">
        <v>-3750</v>
      </c>
      <c r="L155" s="350"/>
      <c r="M155" s="414">
        <f t="shared" si="202"/>
        <v>85827</v>
      </c>
      <c r="N155" s="415">
        <v>-3750</v>
      </c>
      <c r="O155" s="350"/>
      <c r="P155" s="416">
        <f t="shared" si="188"/>
        <v>85827</v>
      </c>
      <c r="Q155" s="249" t="str">
        <f t="shared" si="203"/>
        <v/>
      </c>
      <c r="R155" s="213" t="s">
        <v>561</v>
      </c>
      <c r="S155" s="227" t="s">
        <v>561</v>
      </c>
      <c r="T155" s="448" t="s">
        <v>561</v>
      </c>
      <c r="V155" s="165" t="s">
        <v>508</v>
      </c>
      <c r="W155" s="201"/>
      <c r="X155" s="165" t="s">
        <v>526</v>
      </c>
      <c r="Y155" s="123">
        <v>-2500</v>
      </c>
      <c r="Z155" s="123">
        <v>-1250</v>
      </c>
      <c r="AA155" s="145" t="str">
        <f t="shared" si="178"/>
        <v>ok</v>
      </c>
      <c r="AB155" s="201"/>
      <c r="AC155" s="166" t="str">
        <f t="shared" si="180"/>
        <v>기금</v>
      </c>
      <c r="AD155" s="123">
        <v>-2500</v>
      </c>
      <c r="AE155" s="123">
        <v>-1250</v>
      </c>
      <c r="AF155" s="145" t="str">
        <f t="shared" si="151"/>
        <v>ok</v>
      </c>
      <c r="AG155" s="201"/>
      <c r="AH155" s="208" t="s">
        <v>573</v>
      </c>
      <c r="AI155" s="201"/>
      <c r="AJ155" s="163">
        <f t="shared" si="183"/>
        <v>4</v>
      </c>
      <c r="AK155" s="145" t="str">
        <f t="shared" si="179"/>
        <v>Ok</v>
      </c>
      <c r="AL155" s="201"/>
      <c r="AM155" s="140"/>
      <c r="AN155" s="201"/>
      <c r="AO155" s="142"/>
      <c r="AP155" s="219">
        <f t="shared" si="201"/>
        <v>0</v>
      </c>
      <c r="AQ155" s="144"/>
    </row>
    <row r="156" spans="1:43" ht="60" customHeight="1">
      <c r="A156" s="344" t="s">
        <v>566</v>
      </c>
      <c r="B156" s="344" t="s">
        <v>567</v>
      </c>
      <c r="C156" s="364" t="s">
        <v>569</v>
      </c>
      <c r="D156" s="363" t="s">
        <v>501</v>
      </c>
      <c r="E156" s="363"/>
      <c r="F156" s="363"/>
      <c r="G156" s="411" t="s">
        <v>556</v>
      </c>
      <c r="H156" s="412">
        <v>68377</v>
      </c>
      <c r="I156" s="413">
        <v>68377</v>
      </c>
      <c r="J156" s="349">
        <f t="shared" si="206"/>
        <v>0</v>
      </c>
      <c r="K156" s="350"/>
      <c r="L156" s="350">
        <v>7097</v>
      </c>
      <c r="M156" s="414">
        <f t="shared" si="202"/>
        <v>75474</v>
      </c>
      <c r="N156" s="415"/>
      <c r="O156" s="350">
        <v>7097</v>
      </c>
      <c r="P156" s="416">
        <f t="shared" si="188"/>
        <v>75474</v>
      </c>
      <c r="Q156" s="249" t="str">
        <f t="shared" si="203"/>
        <v/>
      </c>
      <c r="R156" s="217" t="s">
        <v>570</v>
      </c>
      <c r="S156" s="227" t="s">
        <v>570</v>
      </c>
      <c r="T156" s="448" t="s">
        <v>570</v>
      </c>
      <c r="V156" s="165" t="s">
        <v>508</v>
      </c>
      <c r="W156" s="201"/>
      <c r="X156" s="165" t="s">
        <v>526</v>
      </c>
      <c r="Y156" s="123">
        <v>6500</v>
      </c>
      <c r="Z156" s="123">
        <v>597</v>
      </c>
      <c r="AA156" s="145" t="str">
        <f t="shared" si="178"/>
        <v>ok</v>
      </c>
      <c r="AB156" s="201"/>
      <c r="AC156" s="166" t="str">
        <f t="shared" si="180"/>
        <v>기금</v>
      </c>
      <c r="AD156" s="123">
        <v>6500</v>
      </c>
      <c r="AE156" s="123">
        <v>597</v>
      </c>
      <c r="AF156" s="145" t="str">
        <f t="shared" si="151"/>
        <v>ok</v>
      </c>
      <c r="AG156" s="201"/>
      <c r="AH156" s="208" t="s">
        <v>1074</v>
      </c>
      <c r="AI156" s="201"/>
      <c r="AJ156" s="163">
        <f t="shared" si="183"/>
        <v>1</v>
      </c>
      <c r="AK156" s="145" t="str">
        <f t="shared" si="179"/>
        <v>Ok</v>
      </c>
      <c r="AL156" s="201"/>
      <c r="AM156" s="140"/>
      <c r="AN156" s="201"/>
      <c r="AO156" s="142"/>
      <c r="AP156" s="219">
        <f t="shared" si="201"/>
        <v>0</v>
      </c>
      <c r="AQ156" s="144"/>
    </row>
    <row r="157" spans="1:43" ht="60" customHeight="1">
      <c r="A157" s="344" t="s">
        <v>566</v>
      </c>
      <c r="B157" s="344" t="s">
        <v>1306</v>
      </c>
      <c r="C157" s="364" t="s">
        <v>572</v>
      </c>
      <c r="D157" s="363" t="s">
        <v>480</v>
      </c>
      <c r="E157" s="363">
        <v>834</v>
      </c>
      <c r="F157" s="363">
        <v>30</v>
      </c>
      <c r="G157" s="411" t="s">
        <v>1071</v>
      </c>
      <c r="H157" s="412">
        <v>200000</v>
      </c>
      <c r="I157" s="413">
        <v>0</v>
      </c>
      <c r="J157" s="349">
        <f t="shared" si="206"/>
        <v>200000</v>
      </c>
      <c r="K157" s="350"/>
      <c r="L157" s="350"/>
      <c r="M157" s="414">
        <f t="shared" si="202"/>
        <v>200000</v>
      </c>
      <c r="N157" s="415"/>
      <c r="O157" s="350"/>
      <c r="P157" s="416">
        <f t="shared" si="188"/>
        <v>200000</v>
      </c>
      <c r="Q157" s="249" t="str">
        <f t="shared" si="203"/>
        <v/>
      </c>
      <c r="R157" s="247" t="s">
        <v>1072</v>
      </c>
      <c r="S157" s="248" t="s">
        <v>1072</v>
      </c>
      <c r="T157" s="447" t="s">
        <v>1072</v>
      </c>
      <c r="V157" s="165" t="s">
        <v>490</v>
      </c>
      <c r="W157" s="201"/>
      <c r="X157" s="165" t="s">
        <v>490</v>
      </c>
      <c r="Y157" s="123"/>
      <c r="Z157" s="123"/>
      <c r="AA157" s="145" t="str">
        <f t="shared" si="178"/>
        <v>ok</v>
      </c>
      <c r="AB157" s="201"/>
      <c r="AC157" s="166" t="str">
        <f t="shared" si="180"/>
        <v>도비</v>
      </c>
      <c r="AD157" s="123">
        <f t="shared" si="204"/>
        <v>0</v>
      </c>
      <c r="AE157" s="123">
        <f t="shared" si="205"/>
        <v>0</v>
      </c>
      <c r="AF157" s="145" t="str">
        <f t="shared" si="151"/>
        <v>ok</v>
      </c>
      <c r="AG157" s="201"/>
      <c r="AH157" s="208" t="s">
        <v>604</v>
      </c>
      <c r="AI157" s="201"/>
      <c r="AJ157" s="163">
        <f t="shared" si="183"/>
        <v>65</v>
      </c>
      <c r="AK157" s="145" t="str">
        <f t="shared" si="179"/>
        <v>OK</v>
      </c>
      <c r="AL157" s="201"/>
      <c r="AM157" s="140"/>
      <c r="AN157" s="201"/>
      <c r="AO157" s="142"/>
      <c r="AP157" s="219">
        <f t="shared" si="201"/>
        <v>0</v>
      </c>
      <c r="AQ157" s="144"/>
    </row>
    <row r="158" spans="1:43" ht="60" customHeight="1">
      <c r="A158" s="344" t="s">
        <v>349</v>
      </c>
      <c r="B158" s="344" t="s">
        <v>558</v>
      </c>
      <c r="C158" s="364" t="s">
        <v>1137</v>
      </c>
      <c r="D158" s="363" t="s">
        <v>480</v>
      </c>
      <c r="E158" s="363">
        <v>798</v>
      </c>
      <c r="F158" s="363"/>
      <c r="G158" s="411" t="s">
        <v>1136</v>
      </c>
      <c r="H158" s="412">
        <v>30000</v>
      </c>
      <c r="I158" s="413">
        <v>0</v>
      </c>
      <c r="J158" s="349">
        <f>IF(D158="","",H158-I158)</f>
        <v>30000</v>
      </c>
      <c r="K158" s="350"/>
      <c r="L158" s="350"/>
      <c r="M158" s="414">
        <f t="shared" si="202"/>
        <v>30000</v>
      </c>
      <c r="N158" s="415">
        <v>-30000</v>
      </c>
      <c r="O158" s="350"/>
      <c r="P158" s="416">
        <f t="shared" ref="P158:P159" si="207">H158+N158+O158</f>
        <v>0</v>
      </c>
      <c r="Q158" s="249" t="str">
        <f t="shared" si="203"/>
        <v/>
      </c>
      <c r="R158" s="220"/>
      <c r="S158" s="248"/>
      <c r="T158" s="447"/>
      <c r="V158" s="165" t="s">
        <v>1157</v>
      </c>
      <c r="W158" s="201"/>
      <c r="X158" s="165" t="s">
        <v>1157</v>
      </c>
      <c r="Y158" s="123">
        <f>IF($X158&lt;&gt;"도비",IF($V158="국도비","직접입력",SUM($K158:$L158)),)</f>
        <v>0</v>
      </c>
      <c r="Z158" s="123">
        <f>IF($X158="도비",SUM($K158:$L158),IF($V158="국도비","직접입력",SUM($K158:$L158)-$Y158))</f>
        <v>0</v>
      </c>
      <c r="AA158" s="145" t="str">
        <f t="shared" si="178"/>
        <v>ok</v>
      </c>
      <c r="AB158" s="201"/>
      <c r="AC158" s="166" t="str">
        <f t="shared" si="180"/>
        <v>도비</v>
      </c>
      <c r="AD158" s="123">
        <f t="shared" si="204"/>
        <v>0</v>
      </c>
      <c r="AE158" s="123">
        <f t="shared" si="205"/>
        <v>-30000</v>
      </c>
      <c r="AF158" s="145" t="str">
        <f t="shared" si="151"/>
        <v>ok</v>
      </c>
      <c r="AG158" s="201"/>
      <c r="AH158" s="208" t="s">
        <v>604</v>
      </c>
      <c r="AI158" s="201"/>
      <c r="AJ158" s="163">
        <f t="shared" si="183"/>
        <v>65</v>
      </c>
      <c r="AK158" s="145" t="str">
        <f t="shared" si="179"/>
        <v>OK</v>
      </c>
      <c r="AL158" s="201"/>
      <c r="AM158" s="140"/>
      <c r="AN158" s="201"/>
      <c r="AO158" s="142"/>
      <c r="AP158" s="219">
        <f t="shared" si="201"/>
        <v>0</v>
      </c>
      <c r="AQ158" s="144"/>
    </row>
    <row r="159" spans="1:43" ht="60" customHeight="1">
      <c r="A159" s="417" t="s">
        <v>349</v>
      </c>
      <c r="B159" s="344" t="s">
        <v>571</v>
      </c>
      <c r="C159" s="364" t="s">
        <v>1139</v>
      </c>
      <c r="D159" s="363" t="s">
        <v>480</v>
      </c>
      <c r="E159" s="363">
        <v>836</v>
      </c>
      <c r="F159" s="363"/>
      <c r="G159" s="411" t="s">
        <v>1138</v>
      </c>
      <c r="H159" s="412">
        <v>1400000</v>
      </c>
      <c r="I159" s="413">
        <v>0</v>
      </c>
      <c r="J159" s="349">
        <f t="shared" si="206"/>
        <v>1400000</v>
      </c>
      <c r="K159" s="350"/>
      <c r="L159" s="350"/>
      <c r="M159" s="414">
        <f t="shared" si="202"/>
        <v>1400000</v>
      </c>
      <c r="N159" s="415"/>
      <c r="O159" s="350"/>
      <c r="P159" s="416">
        <f t="shared" si="207"/>
        <v>1400000</v>
      </c>
      <c r="Q159" s="249" t="str">
        <f t="shared" si="203"/>
        <v/>
      </c>
      <c r="R159" s="220"/>
      <c r="S159" s="248"/>
      <c r="T159" s="447"/>
      <c r="V159" s="165" t="s">
        <v>1157</v>
      </c>
      <c r="W159" s="201"/>
      <c r="X159" s="165" t="s">
        <v>1157</v>
      </c>
      <c r="Y159" s="123">
        <f>IF($X159&lt;&gt;"도비",IF($V159="국도비","직접입력",SUM($K159:$L159)),)</f>
        <v>0</v>
      </c>
      <c r="Z159" s="123">
        <f>IF($X159="도비",SUM($K159:$L159),IF($V159="국도비","직접입력",SUM($K159:$L159)-$Y159))</f>
        <v>0</v>
      </c>
      <c r="AA159" s="145" t="str">
        <f t="shared" si="178"/>
        <v>ok</v>
      </c>
      <c r="AB159" s="201"/>
      <c r="AC159" s="166" t="str">
        <f t="shared" si="180"/>
        <v>도비</v>
      </c>
      <c r="AD159" s="123">
        <f t="shared" si="204"/>
        <v>0</v>
      </c>
      <c r="AE159" s="123">
        <f t="shared" si="205"/>
        <v>0</v>
      </c>
      <c r="AF159" s="145" t="str">
        <f t="shared" si="151"/>
        <v>ok</v>
      </c>
      <c r="AG159" s="201"/>
      <c r="AH159" s="208" t="s">
        <v>604</v>
      </c>
      <c r="AI159" s="201"/>
      <c r="AJ159" s="163">
        <f t="shared" si="183"/>
        <v>65</v>
      </c>
      <c r="AK159" s="145" t="str">
        <f t="shared" si="179"/>
        <v>OK</v>
      </c>
      <c r="AL159" s="201"/>
      <c r="AM159" s="140"/>
      <c r="AN159" s="201"/>
      <c r="AO159" s="142"/>
      <c r="AP159" s="219">
        <f t="shared" si="201"/>
        <v>0</v>
      </c>
      <c r="AQ159" s="144"/>
    </row>
    <row r="160" spans="1:43" ht="60" customHeight="1">
      <c r="A160" s="344" t="s">
        <v>349</v>
      </c>
      <c r="B160" s="344" t="s">
        <v>571</v>
      </c>
      <c r="C160" s="364" t="s">
        <v>572</v>
      </c>
      <c r="D160" s="441" t="s">
        <v>1178</v>
      </c>
      <c r="E160" s="441">
        <v>834</v>
      </c>
      <c r="F160" s="441"/>
      <c r="G160" s="442" t="s">
        <v>1274</v>
      </c>
      <c r="H160" s="412">
        <v>394965243</v>
      </c>
      <c r="I160" s="443">
        <v>330590000</v>
      </c>
      <c r="J160" s="386">
        <f t="shared" ref="J160" si="208">IF(D160="","",H160-I160)</f>
        <v>64375243</v>
      </c>
      <c r="K160" s="387"/>
      <c r="L160" s="387"/>
      <c r="M160" s="444">
        <f t="shared" ref="M160" si="209">IF(H160=0,I160+K160+L160,H160+K160+L160)</f>
        <v>394965243</v>
      </c>
      <c r="N160" s="415">
        <v>-18800000</v>
      </c>
      <c r="O160" s="350"/>
      <c r="P160" s="416">
        <f t="shared" ref="P160" si="210">IF(H160=0,I160+N160+O160,H160+N160+O160)</f>
        <v>376165243</v>
      </c>
      <c r="Q160" s="250" t="str">
        <f t="shared" si="203"/>
        <v/>
      </c>
      <c r="R160" s="222"/>
      <c r="S160" s="198"/>
      <c r="T160" s="450"/>
      <c r="V160" s="199" t="s">
        <v>1182</v>
      </c>
      <c r="W160" s="201"/>
      <c r="X160" s="199" t="s">
        <v>1182</v>
      </c>
      <c r="Y160" s="176">
        <f>IF($X160&lt;&gt;"도비",IF($V160="국도비","직접입력",SUM($K160:$L160)),)</f>
        <v>0</v>
      </c>
      <c r="Z160" s="176">
        <f>IF($X160="도비",SUM($K160:$L160),IF($V160="국도비","직접입력",SUM($K160:$L160)-$Y160))</f>
        <v>0</v>
      </c>
      <c r="AA160" s="200" t="str">
        <f t="shared" si="178"/>
        <v>ok</v>
      </c>
      <c r="AB160" s="201"/>
      <c r="AC160" s="166" t="str">
        <f t="shared" si="180"/>
        <v>도비</v>
      </c>
      <c r="AD160" s="123">
        <f t="shared" si="204"/>
        <v>0</v>
      </c>
      <c r="AE160" s="123">
        <f t="shared" si="205"/>
        <v>-18800000</v>
      </c>
      <c r="AF160" s="145" t="str">
        <f t="shared" si="151"/>
        <v>ok</v>
      </c>
      <c r="AG160" s="201"/>
      <c r="AH160" s="168" t="s">
        <v>1183</v>
      </c>
      <c r="AI160" s="201"/>
      <c r="AJ160" s="164">
        <f t="shared" si="183"/>
        <v>65</v>
      </c>
      <c r="AK160" s="200" t="str">
        <f t="shared" si="179"/>
        <v>OK</v>
      </c>
      <c r="AL160" s="201"/>
      <c r="AM160" s="140"/>
      <c r="AN160" s="201"/>
      <c r="AO160" s="142"/>
      <c r="AP160" s="219">
        <f t="shared" si="201"/>
        <v>0</v>
      </c>
      <c r="AQ160" s="219"/>
    </row>
    <row r="161" spans="1:43" ht="60" customHeight="1">
      <c r="A161" s="344" t="s">
        <v>322</v>
      </c>
      <c r="B161" s="344" t="s">
        <v>69</v>
      </c>
      <c r="C161" s="364" t="s">
        <v>272</v>
      </c>
      <c r="D161" s="363" t="s">
        <v>501</v>
      </c>
      <c r="E161" s="363"/>
      <c r="F161" s="363"/>
      <c r="G161" s="411" t="s">
        <v>1210</v>
      </c>
      <c r="H161" s="412">
        <v>3000000</v>
      </c>
      <c r="I161" s="413">
        <v>3000000</v>
      </c>
      <c r="J161" s="349">
        <f t="shared" si="206"/>
        <v>0</v>
      </c>
      <c r="K161" s="350"/>
      <c r="L161" s="350"/>
      <c r="M161" s="414">
        <f t="shared" si="202"/>
        <v>3000000</v>
      </c>
      <c r="N161" s="415"/>
      <c r="O161" s="350">
        <v>67000</v>
      </c>
      <c r="P161" s="416">
        <f t="shared" ref="P161:P162" si="211">IF(H161=0,I161+N161+O161,H161+N161+O161)</f>
        <v>3067000</v>
      </c>
      <c r="Q161" s="249" t="str">
        <f t="shared" ref="Q161:Q162" si="212">IF(OR(AND(K161&lt;0,K161&lt;N161),AND(K161&lt;0,N161+O161=0),AND(K161&lt;0,O161&gt;0),AND(I161=0,M161=0,P161&gt;0)),"동의","")</f>
        <v/>
      </c>
      <c r="R161" s="220"/>
      <c r="S161" s="226"/>
      <c r="T161" s="448" t="s">
        <v>1207</v>
      </c>
      <c r="V161" s="165" t="s">
        <v>1205</v>
      </c>
      <c r="W161" s="201"/>
      <c r="X161" s="165" t="s">
        <v>1200</v>
      </c>
      <c r="Y161" s="123"/>
      <c r="Z161" s="123"/>
      <c r="AA161" s="145" t="str">
        <f t="shared" si="178"/>
        <v>ok</v>
      </c>
      <c r="AB161" s="201"/>
      <c r="AC161" s="166" t="str">
        <f t="shared" si="180"/>
        <v>국비</v>
      </c>
      <c r="AD161" s="123">
        <v>67000</v>
      </c>
      <c r="AE161" s="123">
        <v>0</v>
      </c>
      <c r="AF161" s="145" t="str">
        <f t="shared" si="151"/>
        <v>ok</v>
      </c>
      <c r="AG161" s="201"/>
      <c r="AH161" s="167" t="s">
        <v>1212</v>
      </c>
      <c r="AI161" s="201"/>
      <c r="AJ161" s="163">
        <f t="shared" si="183"/>
        <v>1</v>
      </c>
      <c r="AK161" s="145" t="str">
        <f t="shared" si="179"/>
        <v>Ok</v>
      </c>
      <c r="AL161" s="201"/>
      <c r="AM161" s="140"/>
      <c r="AN161" s="201"/>
      <c r="AO161" s="142"/>
      <c r="AP161" s="219">
        <f t="shared" si="201"/>
        <v>0</v>
      </c>
      <c r="AQ161" s="219"/>
    </row>
    <row r="162" spans="1:43" ht="60" customHeight="1">
      <c r="A162" s="344" t="s">
        <v>322</v>
      </c>
      <c r="B162" s="344" t="s">
        <v>69</v>
      </c>
      <c r="C162" s="364" t="s">
        <v>84</v>
      </c>
      <c r="D162" s="363" t="s">
        <v>501</v>
      </c>
      <c r="E162" s="363"/>
      <c r="F162" s="363"/>
      <c r="G162" s="411" t="s">
        <v>1211</v>
      </c>
      <c r="H162" s="412">
        <v>136054</v>
      </c>
      <c r="I162" s="413">
        <v>136054</v>
      </c>
      <c r="J162" s="349">
        <f t="shared" ref="J162" si="213">IF(D162="","",H162-I162)</f>
        <v>0</v>
      </c>
      <c r="K162" s="350"/>
      <c r="L162" s="350"/>
      <c r="M162" s="414">
        <f t="shared" ref="M162" si="214">H162+K162+L162</f>
        <v>136054</v>
      </c>
      <c r="N162" s="415"/>
      <c r="O162" s="350">
        <v>43790</v>
      </c>
      <c r="P162" s="416">
        <f t="shared" si="211"/>
        <v>179844</v>
      </c>
      <c r="Q162" s="249" t="str">
        <f t="shared" si="212"/>
        <v/>
      </c>
      <c r="R162" s="220"/>
      <c r="S162" s="226"/>
      <c r="T162" s="448" t="s">
        <v>1208</v>
      </c>
      <c r="V162" s="165" t="s">
        <v>1205</v>
      </c>
      <c r="W162" s="201"/>
      <c r="X162" s="165" t="s">
        <v>1197</v>
      </c>
      <c r="Y162" s="123"/>
      <c r="Z162" s="123"/>
      <c r="AA162" s="145" t="str">
        <f t="shared" si="178"/>
        <v>ok</v>
      </c>
      <c r="AB162" s="201"/>
      <c r="AC162" s="166" t="str">
        <f t="shared" ref="AC162" si="215">IF(X162="","",$X162)</f>
        <v>기금</v>
      </c>
      <c r="AD162" s="123">
        <v>36063</v>
      </c>
      <c r="AE162" s="123">
        <v>7727</v>
      </c>
      <c r="AF162" s="145" t="str">
        <f t="shared" ref="AF162" si="216">IFERROR(IF((N162+O162)=(AD162+AE162),"ok","검토"),"검토")</f>
        <v>ok</v>
      </c>
      <c r="AG162" s="201"/>
      <c r="AH162" s="167" t="s">
        <v>1213</v>
      </c>
      <c r="AI162" s="201"/>
      <c r="AJ162" s="163">
        <f t="shared" si="183"/>
        <v>1</v>
      </c>
      <c r="AK162" s="145" t="str">
        <f t="shared" ref="AK162" si="217">IF(C162="","",IF(AND(X162="도비",AH162="세입없음"),"OK",IF(AND(X162&lt;&gt;"도비",AH162&lt;&gt;""),"Ok","@@")))</f>
        <v>Ok</v>
      </c>
      <c r="AL162" s="201"/>
      <c r="AM162" s="140"/>
      <c r="AN162" s="201"/>
      <c r="AO162" s="142"/>
      <c r="AP162" s="219">
        <f t="shared" si="201"/>
        <v>0</v>
      </c>
      <c r="AQ162" s="219"/>
    </row>
    <row r="163" spans="1:43" ht="60" customHeight="1">
      <c r="A163" s="344" t="s">
        <v>322</v>
      </c>
      <c r="B163" s="344" t="s">
        <v>108</v>
      </c>
      <c r="C163" s="364" t="s">
        <v>267</v>
      </c>
      <c r="D163" s="363" t="s">
        <v>480</v>
      </c>
      <c r="E163" s="363">
        <v>789</v>
      </c>
      <c r="F163" s="363"/>
      <c r="G163" s="411" t="s">
        <v>1323</v>
      </c>
      <c r="H163" s="412">
        <v>837274600</v>
      </c>
      <c r="I163" s="413">
        <v>802640600</v>
      </c>
      <c r="J163" s="349">
        <f t="shared" ref="J163" si="218">IF(D163="","",H163-I163)</f>
        <v>34634000</v>
      </c>
      <c r="K163" s="350"/>
      <c r="L163" s="350"/>
      <c r="M163" s="414">
        <f t="shared" ref="M163" si="219">H163+K163+L163</f>
        <v>837274600</v>
      </c>
      <c r="N163" s="415"/>
      <c r="O163" s="350">
        <v>18084254</v>
      </c>
      <c r="P163" s="416">
        <f t="shared" ref="P163" si="220">IF(H163=0,I163+N163+O163,H163+N163+O163)</f>
        <v>855358854</v>
      </c>
      <c r="Q163" s="249" t="str">
        <f t="shared" si="203"/>
        <v/>
      </c>
      <c r="R163" s="220"/>
      <c r="S163" s="226"/>
      <c r="T163" s="448" t="s">
        <v>1209</v>
      </c>
      <c r="U163" s="497" t="s">
        <v>1325</v>
      </c>
      <c r="V163" s="165" t="s">
        <v>1205</v>
      </c>
      <c r="W163" s="201"/>
      <c r="X163" s="165" t="s">
        <v>1200</v>
      </c>
      <c r="Y163" s="123"/>
      <c r="Z163" s="123"/>
      <c r="AA163" s="145" t="str">
        <f t="shared" si="178"/>
        <v>ok</v>
      </c>
      <c r="AB163" s="201"/>
      <c r="AC163" s="166" t="str">
        <f t="shared" ref="AC163" si="221">IF(X163="","",$X163)</f>
        <v>국비</v>
      </c>
      <c r="AD163" s="123">
        <v>14414490</v>
      </c>
      <c r="AE163" s="123">
        <v>3669764</v>
      </c>
      <c r="AF163" s="145" t="str">
        <f t="shared" ref="AF163" si="222">IFERROR(IF((N163+O163)=(AD163+AE163),"ok","검토"),"검토")</f>
        <v>ok</v>
      </c>
      <c r="AG163" s="201"/>
      <c r="AH163" s="167" t="s">
        <v>1214</v>
      </c>
      <c r="AI163" s="201"/>
      <c r="AJ163" s="163">
        <f t="shared" si="183"/>
        <v>2</v>
      </c>
      <c r="AK163" s="145" t="str">
        <f t="shared" ref="AK163" si="223">IF(C163="","",IF(AND(X163="도비",AH163="세입없음"),"OK",IF(AND(X163&lt;&gt;"도비",AH163&lt;&gt;""),"Ok","@@")))</f>
        <v>Ok</v>
      </c>
      <c r="AL163" s="201"/>
      <c r="AM163" s="140"/>
      <c r="AN163" s="201"/>
      <c r="AO163" s="142"/>
      <c r="AP163" s="219">
        <f t="shared" si="201"/>
        <v>0</v>
      </c>
      <c r="AQ163" s="219"/>
    </row>
    <row r="164" spans="1:43" ht="60" customHeight="1">
      <c r="A164" s="344" t="s">
        <v>322</v>
      </c>
      <c r="B164" s="344" t="s">
        <v>69</v>
      </c>
      <c r="C164" s="364" t="s">
        <v>272</v>
      </c>
      <c r="D164" s="363" t="s">
        <v>501</v>
      </c>
      <c r="E164" s="363">
        <v>817</v>
      </c>
      <c r="F164" s="363"/>
      <c r="G164" s="411" t="s">
        <v>1324</v>
      </c>
      <c r="H164" s="412">
        <v>300796300</v>
      </c>
      <c r="I164" s="413">
        <v>288383200</v>
      </c>
      <c r="J164" s="349">
        <f t="shared" si="206"/>
        <v>12413100</v>
      </c>
      <c r="K164" s="350"/>
      <c r="L164" s="350"/>
      <c r="M164" s="414">
        <f t="shared" si="202"/>
        <v>300796300</v>
      </c>
      <c r="N164" s="415"/>
      <c r="O164" s="350">
        <v>6423631</v>
      </c>
      <c r="P164" s="416">
        <f t="shared" ref="P164:P166" si="224">IF(H164=0,I164+N164+O164,H164+N164+O164)</f>
        <v>307219931</v>
      </c>
      <c r="Q164" s="249" t="str">
        <f t="shared" si="203"/>
        <v/>
      </c>
      <c r="R164" s="220"/>
      <c r="S164" s="226"/>
      <c r="T164" s="448" t="s">
        <v>1209</v>
      </c>
      <c r="U164" s="497" t="s">
        <v>1325</v>
      </c>
      <c r="V164" s="165" t="s">
        <v>1205</v>
      </c>
      <c r="W164" s="201"/>
      <c r="X164" s="165" t="s">
        <v>1200</v>
      </c>
      <c r="Y164" s="123"/>
      <c r="Z164" s="123"/>
      <c r="AA164" s="145" t="str">
        <f t="shared" si="178"/>
        <v>ok</v>
      </c>
      <c r="AB164" s="201"/>
      <c r="AC164" s="166" t="str">
        <f t="shared" si="180"/>
        <v>국비</v>
      </c>
      <c r="AD164" s="123">
        <v>5196639</v>
      </c>
      <c r="AE164" s="123">
        <v>1226992</v>
      </c>
      <c r="AF164" s="145" t="str">
        <f t="shared" si="151"/>
        <v>ok</v>
      </c>
      <c r="AG164" s="201"/>
      <c r="AH164" s="167" t="s">
        <v>1214</v>
      </c>
      <c r="AI164" s="201"/>
      <c r="AJ164" s="163">
        <f t="shared" si="183"/>
        <v>2</v>
      </c>
      <c r="AK164" s="145" t="str">
        <f t="shared" si="179"/>
        <v>Ok</v>
      </c>
      <c r="AL164" s="201"/>
      <c r="AM164" s="140"/>
      <c r="AN164" s="201"/>
      <c r="AO164" s="142"/>
      <c r="AP164" s="219">
        <f t="shared" si="201"/>
        <v>0</v>
      </c>
      <c r="AQ164" s="144"/>
    </row>
    <row r="165" spans="1:43" s="219" customFormat="1" ht="60" hidden="1" customHeight="1">
      <c r="A165" s="174"/>
      <c r="B165" s="196"/>
      <c r="C165" s="197"/>
      <c r="D165" s="175"/>
      <c r="E165" s="175"/>
      <c r="F165" s="175"/>
      <c r="G165" s="242"/>
      <c r="H165" s="245"/>
      <c r="I165" s="244"/>
      <c r="J165" s="184" t="str">
        <f t="shared" si="206"/>
        <v/>
      </c>
      <c r="K165" s="176"/>
      <c r="L165" s="176"/>
      <c r="M165" s="230">
        <f t="shared" ref="M165" si="225">IF(H165=0,I165+K165+L165,H165+K165+L165)</f>
        <v>0</v>
      </c>
      <c r="N165" s="236"/>
      <c r="O165" s="123"/>
      <c r="P165" s="237">
        <f t="shared" ref="P165" si="226">IF(H165=0,I165+N165+O165,H165+N165+O165)</f>
        <v>0</v>
      </c>
      <c r="Q165" s="250" t="str">
        <f t="shared" ref="Q165" si="227">IF(OR(AND(K165&lt;0,K165&lt;N165),AND(K165&lt;0,N165+O165=0),AND(K165&lt;0,O165&gt;0),AND(I165=0,M165=0,P165&gt;0)),"동의","")</f>
        <v/>
      </c>
      <c r="R165" s="222"/>
      <c r="S165" s="198"/>
      <c r="T165" s="198"/>
      <c r="U165" s="310"/>
      <c r="V165" s="199"/>
      <c r="W165" s="201"/>
      <c r="X165" s="199"/>
      <c r="Y165" s="176">
        <f>IF($X165&lt;&gt;"도비",IF($V165="국도비","직접입력",SUM($K165:$L165)),)</f>
        <v>0</v>
      </c>
      <c r="Z165" s="176">
        <f>IF($X165="도비",SUM($K165:$L165),IF($V165="국도비","직접입력",SUM($K165:$L165)-$Y165))</f>
        <v>0</v>
      </c>
      <c r="AA165" s="200" t="str">
        <f t="shared" si="178"/>
        <v>ok</v>
      </c>
      <c r="AB165" s="201"/>
      <c r="AC165" s="166" t="str">
        <f t="shared" ref="AC165" si="228">IF(X165="","",$X165)</f>
        <v/>
      </c>
      <c r="AD165" s="123">
        <f t="shared" ref="AD165" si="229">IF($X165&lt;&gt;"도비",IF($V165="국도비","직접입력",SUM(N165:O165)),)</f>
        <v>0</v>
      </c>
      <c r="AE165" s="123">
        <f t="shared" ref="AE165" si="230">IF($X165="도비",SUM(N165:O165),IF($V165="국도비","직접입력",SUM(N165:O165)-AD165))</f>
        <v>0</v>
      </c>
      <c r="AF165" s="145" t="str">
        <f t="shared" ref="AF165" si="231">IFERROR(IF((N165+O165)=(AD165+AE165),"ok","검토"),"검토")</f>
        <v>ok</v>
      </c>
      <c r="AG165" s="201"/>
      <c r="AH165" s="168"/>
      <c r="AI165" s="201"/>
      <c r="AJ165" s="164" t="str">
        <f t="shared" si="183"/>
        <v/>
      </c>
      <c r="AK165" s="200" t="str">
        <f t="shared" ref="AK165" si="232">IF(C165="","",IF(AND(X165="도비",AH165="세입없음"),"OK",IF(AND(X165&lt;&gt;"도비",AH165&lt;&gt;""),"Ok","@@")))</f>
        <v/>
      </c>
      <c r="AL165" s="201"/>
      <c r="AM165" s="140"/>
      <c r="AN165" s="201"/>
      <c r="AO165" s="142"/>
    </row>
    <row r="166" spans="1:43" s="29" customFormat="1" ht="60" hidden="1" customHeight="1" thickBot="1">
      <c r="A166" s="174"/>
      <c r="B166" s="196"/>
      <c r="C166" s="197"/>
      <c r="D166" s="175"/>
      <c r="E166" s="175"/>
      <c r="F166" s="175"/>
      <c r="G166" s="242"/>
      <c r="H166" s="246"/>
      <c r="I166" s="244"/>
      <c r="J166" s="184" t="str">
        <f t="shared" ref="J166" si="233">IF(D166="","",H166-I166)</f>
        <v/>
      </c>
      <c r="K166" s="176"/>
      <c r="L166" s="176"/>
      <c r="M166" s="230">
        <f t="shared" ref="M166" si="234">IF(H166=0,I166+K166+L166,H166+K166+L166)</f>
        <v>0</v>
      </c>
      <c r="N166" s="238"/>
      <c r="O166" s="239"/>
      <c r="P166" s="240">
        <f t="shared" si="224"/>
        <v>0</v>
      </c>
      <c r="Q166" s="250" t="str">
        <f t="shared" si="203"/>
        <v/>
      </c>
      <c r="R166" s="222"/>
      <c r="S166" s="198"/>
      <c r="T166" s="198"/>
      <c r="U166" s="310"/>
      <c r="V166" s="199"/>
      <c r="W166" s="201"/>
      <c r="X166" s="199"/>
      <c r="Y166" s="176">
        <f>IF($X166&lt;&gt;"도비",IF($V166="국도비","직접입력",SUM($K166:$L166)),)</f>
        <v>0</v>
      </c>
      <c r="Z166" s="176">
        <f>IF($X166="도비",SUM($K166:$L166),IF($V166="국도비","직접입력",SUM($K166:$L166)-$Y166))</f>
        <v>0</v>
      </c>
      <c r="AA166" s="200" t="str">
        <f t="shared" si="178"/>
        <v>ok</v>
      </c>
      <c r="AB166" s="201"/>
      <c r="AC166" s="166" t="str">
        <f t="shared" si="180"/>
        <v/>
      </c>
      <c r="AD166" s="123">
        <f t="shared" si="204"/>
        <v>0</v>
      </c>
      <c r="AE166" s="123">
        <f t="shared" si="205"/>
        <v>0</v>
      </c>
      <c r="AF166" s="145" t="str">
        <f t="shared" si="151"/>
        <v>ok</v>
      </c>
      <c r="AG166" s="201"/>
      <c r="AH166" s="168"/>
      <c r="AI166" s="201"/>
      <c r="AJ166" s="164" t="str">
        <f t="shared" si="183"/>
        <v/>
      </c>
      <c r="AK166" s="200" t="str">
        <f t="shared" si="179"/>
        <v/>
      </c>
      <c r="AL166" s="201"/>
      <c r="AM166" s="140"/>
      <c r="AN166" s="201"/>
      <c r="AO166" s="142"/>
    </row>
    <row r="167" spans="1:43" ht="39.950000000000003" customHeight="1"/>
    <row r="168" spans="1:43" ht="39.950000000000003" customHeight="1"/>
    <row r="169" spans="1:43" ht="39.950000000000003" customHeight="1"/>
    <row r="170" spans="1:43" ht="39.950000000000003" customHeight="1"/>
    <row r="171" spans="1:43" ht="39.950000000000003" customHeight="1"/>
    <row r="172" spans="1:43" ht="39.950000000000003" customHeight="1"/>
    <row r="173" spans="1:43" ht="39.950000000000003" customHeight="1"/>
    <row r="174" spans="1:43" ht="39.950000000000003" customHeight="1"/>
    <row r="175" spans="1:43" ht="39.950000000000003" customHeight="1"/>
    <row r="176" spans="1:43" ht="39.950000000000003" customHeight="1"/>
    <row r="177" ht="39.950000000000003" customHeight="1"/>
    <row r="178" ht="39.950000000000003" customHeight="1"/>
    <row r="179" ht="39.950000000000003" customHeight="1"/>
  </sheetData>
  <sheetProtection algorithmName="SHA-512" hashValue="Evi6y3/ziiYS751NFc0Z8upfC02jhE1fIbCEEIKQgOLNQK/gan1L81ydoD5OmqL0CLGRpDAMupCTVIZpO4R62Q==" saltValue="qj5obx18i4mR2GXs92nSFA==" spinCount="100000" sheet="1" objects="1" scenarios="1" formatCells="0" autoFilter="0"/>
  <autoFilter ref="A6:AO166">
    <filterColumn colId="7">
      <customFilters>
        <customFilter operator="notEqual" val=" "/>
      </customFilters>
    </filterColumn>
  </autoFilter>
  <sortState ref="A7:AS775">
    <sortCondition ref="AM7:AM775"/>
  </sortState>
  <mergeCells count="30">
    <mergeCell ref="P4:P5"/>
    <mergeCell ref="Q4:Q5"/>
    <mergeCell ref="AO4:AO5"/>
    <mergeCell ref="AM4:AM5"/>
    <mergeCell ref="AD4:AF4"/>
    <mergeCell ref="V4:V5"/>
    <mergeCell ref="X4:X5"/>
    <mergeCell ref="Y4:AA4"/>
    <mergeCell ref="AC4:AC5"/>
    <mergeCell ref="AK4:AK5"/>
    <mergeCell ref="AH4:AH5"/>
    <mergeCell ref="AJ4:AJ5"/>
    <mergeCell ref="S4:S5"/>
    <mergeCell ref="U4:U5"/>
    <mergeCell ref="E4:E5"/>
    <mergeCell ref="T4:T5"/>
    <mergeCell ref="A1:M1"/>
    <mergeCell ref="I4:I5"/>
    <mergeCell ref="J4:J5"/>
    <mergeCell ref="R4:R5"/>
    <mergeCell ref="A4:A5"/>
    <mergeCell ref="B4:B5"/>
    <mergeCell ref="C4:C5"/>
    <mergeCell ref="D4:D5"/>
    <mergeCell ref="F4:F5"/>
    <mergeCell ref="G4:G5"/>
    <mergeCell ref="H4:H5"/>
    <mergeCell ref="K4:L4"/>
    <mergeCell ref="M4:M5"/>
    <mergeCell ref="N4:O4"/>
  </mergeCells>
  <phoneticPr fontId="2" type="noConversion"/>
  <conditionalFormatting sqref="AO167:AO703 AH167:AH703 V14:V15 V167:V703 AJ167:AK703 V43 V146 V75 V17 V128:V129 V22:V23 V31">
    <cfRule type="containsText" dxfId="317" priority="1179" operator="containsText" text="국도비">
      <formula>NOT(ISERROR(SEARCH("국도비",V14)))</formula>
    </cfRule>
  </conditionalFormatting>
  <conditionalFormatting sqref="H167:J703">
    <cfRule type="expression" dxfId="316" priority="1178">
      <formula>($D167="본예산")</formula>
    </cfRule>
  </conditionalFormatting>
  <conditionalFormatting sqref="W167:Z703 AD167:AF703 Y164:Z164 Y128:Z128 AD147:AE159 AD23:AE23 AD31:AE31 AD164:AE164 AD166:AE166 Y166:Z166">
    <cfRule type="containsText" dxfId="315" priority="1177" operator="containsText" text="직접입력">
      <formula>NOT(ISERROR(SEARCH("직접입력",W23)))</formula>
    </cfRule>
  </conditionalFormatting>
  <conditionalFormatting sqref="Y14:Z15 Y75:Z75 Y17:Z18 Y23:Z23 Y31:Z31">
    <cfRule type="containsText" dxfId="314" priority="549" operator="containsText" text="직접입력">
      <formula>NOT(ISERROR(SEARCH("직접입력",Y14)))</formula>
    </cfRule>
  </conditionalFormatting>
  <conditionalFormatting sqref="V18">
    <cfRule type="containsText" dxfId="313" priority="532" operator="containsText" text="국도비">
      <formula>NOT(ISERROR(SEARCH("국도비",V18)))</formula>
    </cfRule>
  </conditionalFormatting>
  <conditionalFormatting sqref="V32">
    <cfRule type="containsText" dxfId="312" priority="524" operator="containsText" text="국도비">
      <formula>NOT(ISERROR(SEARCH("국도비",V32)))</formula>
    </cfRule>
  </conditionalFormatting>
  <conditionalFormatting sqref="Y8:Z9">
    <cfRule type="containsText" dxfId="311" priority="502" operator="containsText" text="직접입력">
      <formula>NOT(ISERROR(SEARCH("직접입력",Y8)))</formula>
    </cfRule>
  </conditionalFormatting>
  <conditionalFormatting sqref="V8:V9">
    <cfRule type="containsText" dxfId="310" priority="503" operator="containsText" text="국도비">
      <formula>NOT(ISERROR(SEARCH("국도비",V8)))</formula>
    </cfRule>
  </conditionalFormatting>
  <conditionalFormatting sqref="AD8:AE9">
    <cfRule type="containsText" dxfId="309" priority="498" operator="containsText" text="직접입력">
      <formula>NOT(ISERROR(SEARCH("직접입력",AD8)))</formula>
    </cfRule>
  </conditionalFormatting>
  <conditionalFormatting sqref="V51">
    <cfRule type="containsText" dxfId="308" priority="497" operator="containsText" text="국도비">
      <formula>NOT(ISERROR(SEARCH("국도비",V51)))</formula>
    </cfRule>
  </conditionalFormatting>
  <conditionalFormatting sqref="V137">
    <cfRule type="containsText" dxfId="307" priority="494" operator="containsText" text="국도비">
      <formula>NOT(ISERROR(SEARCH("국도비",V137)))</formula>
    </cfRule>
  </conditionalFormatting>
  <conditionalFormatting sqref="V76">
    <cfRule type="containsText" dxfId="306" priority="491" operator="containsText" text="국도비">
      <formula>NOT(ISERROR(SEARCH("국도비",V76)))</formula>
    </cfRule>
  </conditionalFormatting>
  <conditionalFormatting sqref="V16">
    <cfRule type="containsText" dxfId="305" priority="472" operator="containsText" text="국도비">
      <formula>NOT(ISERROR(SEARCH("국도비",V16)))</formula>
    </cfRule>
  </conditionalFormatting>
  <conditionalFormatting sqref="Y33:Z37">
    <cfRule type="containsText" dxfId="304" priority="458" operator="containsText" text="직접입력">
      <formula>NOT(ISERROR(SEARCH("직접입력",Y33)))</formula>
    </cfRule>
  </conditionalFormatting>
  <conditionalFormatting sqref="V33:V37">
    <cfRule type="containsText" dxfId="303" priority="457" operator="containsText" text="국도비">
      <formula>NOT(ISERROR(SEARCH("국도비",V33)))</formula>
    </cfRule>
  </conditionalFormatting>
  <conditionalFormatting sqref="Y16:Z16">
    <cfRule type="containsText" dxfId="302" priority="468" operator="containsText" text="직접입력">
      <formula>NOT(ISERROR(SEARCH("직접입력",Y16)))</formula>
    </cfRule>
  </conditionalFormatting>
  <conditionalFormatting sqref="V138:V139">
    <cfRule type="containsText" dxfId="301" priority="464" operator="containsText" text="국도비">
      <formula>NOT(ISERROR(SEARCH("국도비",V138)))</formula>
    </cfRule>
  </conditionalFormatting>
  <conditionalFormatting sqref="Y138:Z139">
    <cfRule type="containsText" dxfId="300" priority="463" operator="containsText" text="직접입력">
      <formula>NOT(ISERROR(SEARCH("직접입력",Y138)))</formula>
    </cfRule>
  </conditionalFormatting>
  <conditionalFormatting sqref="Y77:Y78">
    <cfRule type="containsText" dxfId="299" priority="388" operator="containsText" text="직접입력">
      <formula>NOT(ISERROR(SEARCH("직접입력",Y77)))</formula>
    </cfRule>
  </conditionalFormatting>
  <conditionalFormatting sqref="V44:V47">
    <cfRule type="containsText" dxfId="298" priority="452" operator="containsText" text="국도비">
      <formula>NOT(ISERROR(SEARCH("국도비",V44)))</formula>
    </cfRule>
  </conditionalFormatting>
  <conditionalFormatting sqref="Y44:Z47">
    <cfRule type="containsText" dxfId="297" priority="450" operator="containsText" text="직접입력">
      <formula>NOT(ISERROR(SEARCH("직접입력",Y44)))</formula>
    </cfRule>
  </conditionalFormatting>
  <conditionalFormatting sqref="Y130:Z133">
    <cfRule type="containsText" dxfId="296" priority="447" operator="containsText" text="직접입력">
      <formula>NOT(ISERROR(SEARCH("직접입력",Y130)))</formula>
    </cfRule>
  </conditionalFormatting>
  <conditionalFormatting sqref="Y153:Z154 Y147:Z149">
    <cfRule type="containsText" dxfId="295" priority="429" operator="containsText" text="직접입력">
      <formula>NOT(ISERROR(SEARCH("직접입력",Y147)))</formula>
    </cfRule>
  </conditionalFormatting>
  <conditionalFormatting sqref="Y52:Z61">
    <cfRule type="containsText" dxfId="294" priority="413" operator="containsText" text="직접입력">
      <formula>NOT(ISERROR(SEARCH("직접입력",Y52)))</formula>
    </cfRule>
  </conditionalFormatting>
  <conditionalFormatting sqref="Y150:Z150">
    <cfRule type="containsText" dxfId="293" priority="423" operator="containsText" text="직접입력">
      <formula>NOT(ISERROR(SEARCH("직접입력",Y150)))</formula>
    </cfRule>
  </conditionalFormatting>
  <conditionalFormatting sqref="Y156:Z156">
    <cfRule type="containsText" dxfId="292" priority="422" operator="containsText" text="직접입력">
      <formula>NOT(ISERROR(SEARCH("직접입력",Y156)))</formula>
    </cfRule>
  </conditionalFormatting>
  <conditionalFormatting sqref="Y155:Z155">
    <cfRule type="containsText" dxfId="291" priority="421" operator="containsText" text="직접입력">
      <formula>NOT(ISERROR(SEARCH("직접입력",Y155)))</formula>
    </cfRule>
  </conditionalFormatting>
  <conditionalFormatting sqref="Y152:Z152">
    <cfRule type="containsText" dxfId="290" priority="420" operator="containsText" text="직접입력">
      <formula>NOT(ISERROR(SEARCH("직접입력",Y152)))</formula>
    </cfRule>
  </conditionalFormatting>
  <conditionalFormatting sqref="Y151:Z151">
    <cfRule type="containsText" dxfId="289" priority="419" operator="containsText" text="직접입력">
      <formula>NOT(ISERROR(SEARCH("직접입력",Y151)))</formula>
    </cfRule>
  </conditionalFormatting>
  <conditionalFormatting sqref="Y157:Z157">
    <cfRule type="containsText" dxfId="288" priority="417" operator="containsText" text="직접입력">
      <formula>NOT(ISERROR(SEARCH("직접입력",Y157)))</formula>
    </cfRule>
  </conditionalFormatting>
  <conditionalFormatting sqref="V52:V54 V60:V61">
    <cfRule type="containsText" dxfId="287" priority="414" operator="containsText" text="국도비">
      <formula>NOT(ISERROR(SEARCH("국도비",V52)))</formula>
    </cfRule>
  </conditionalFormatting>
  <conditionalFormatting sqref="V55">
    <cfRule type="containsText" dxfId="286" priority="412" operator="containsText" text="국도비">
      <formula>NOT(ISERROR(SEARCH("국도비",V55)))</formula>
    </cfRule>
  </conditionalFormatting>
  <conditionalFormatting sqref="V56">
    <cfRule type="containsText" dxfId="285" priority="410" operator="containsText" text="국도비">
      <formula>NOT(ISERROR(SEARCH("국도비",V56)))</formula>
    </cfRule>
  </conditionalFormatting>
  <conditionalFormatting sqref="V57">
    <cfRule type="containsText" dxfId="284" priority="408" operator="containsText" text="국도비">
      <formula>NOT(ISERROR(SEARCH("국도비",V57)))</formula>
    </cfRule>
  </conditionalFormatting>
  <conditionalFormatting sqref="V58">
    <cfRule type="containsText" dxfId="283" priority="406" operator="containsText" text="국도비">
      <formula>NOT(ISERROR(SEARCH("국도비",V58)))</formula>
    </cfRule>
  </conditionalFormatting>
  <conditionalFormatting sqref="Y88:Z90 Y92:Z92 Y94:Z94 Y96:Z96">
    <cfRule type="containsText" dxfId="282" priority="392" operator="containsText" text="직접입력">
      <formula>NOT(ISERROR(SEARCH("직접입력",Y88)))</formula>
    </cfRule>
  </conditionalFormatting>
  <conditionalFormatting sqref="V59">
    <cfRule type="containsText" dxfId="281" priority="404" operator="containsText" text="국도비">
      <formula>NOT(ISERROR(SEARCH("국도비",V59)))</formula>
    </cfRule>
  </conditionalFormatting>
  <conditionalFormatting sqref="Y79:Z86">
    <cfRule type="containsText" dxfId="280" priority="393" operator="containsText" text="직접입력">
      <formula>NOT(ISERROR(SEARCH("직접입력",Y79)))</formula>
    </cfRule>
  </conditionalFormatting>
  <conditionalFormatting sqref="Y87:Z87">
    <cfRule type="containsText" dxfId="279" priority="389" operator="containsText" text="직접입력">
      <formula>NOT(ISERROR(SEARCH("직접입력",Y87)))</formula>
    </cfRule>
  </conditionalFormatting>
  <conditionalFormatting sqref="Z77:Z78">
    <cfRule type="containsText" dxfId="278" priority="387" operator="containsText" text="직접입력">
      <formula>NOT(ISERROR(SEARCH("직접입력",Z77)))</formula>
    </cfRule>
  </conditionalFormatting>
  <conditionalFormatting sqref="V88:V90 V92 V94 V96 V77:V86">
    <cfRule type="containsText" dxfId="277" priority="394" operator="containsText" text="국도비">
      <formula>NOT(ISERROR(SEARCH("국도비",V77)))</formula>
    </cfRule>
  </conditionalFormatting>
  <conditionalFormatting sqref="V87">
    <cfRule type="containsText" dxfId="276" priority="391" operator="containsText" text="국도비">
      <formula>NOT(ISERROR(SEARCH("국도비",V87)))</formula>
    </cfRule>
  </conditionalFormatting>
  <conditionalFormatting sqref="V91">
    <cfRule type="containsText" dxfId="275" priority="386" operator="containsText" text="국도비">
      <formula>NOT(ISERROR(SEARCH("국도비",V91)))</formula>
    </cfRule>
  </conditionalFormatting>
  <conditionalFormatting sqref="Z91">
    <cfRule type="containsText" dxfId="274" priority="384" operator="containsText" text="직접입력">
      <formula>NOT(ISERROR(SEARCH("직접입력",Z91)))</formula>
    </cfRule>
  </conditionalFormatting>
  <conditionalFormatting sqref="V93">
    <cfRule type="containsText" dxfId="273" priority="383" operator="containsText" text="국도비">
      <formula>NOT(ISERROR(SEARCH("국도비",V93)))</formula>
    </cfRule>
  </conditionalFormatting>
  <conditionalFormatting sqref="AD14:AE18">
    <cfRule type="containsText" dxfId="272" priority="374" operator="containsText" text="직접입력">
      <formula>NOT(ISERROR(SEARCH("직접입력",AD14)))</formula>
    </cfRule>
  </conditionalFormatting>
  <conditionalFormatting sqref="Y93:Z93">
    <cfRule type="containsText" dxfId="271" priority="381" operator="containsText" text="직접입력">
      <formula>NOT(ISERROR(SEARCH("직접입력",Y93)))</formula>
    </cfRule>
  </conditionalFormatting>
  <conditionalFormatting sqref="V95">
    <cfRule type="containsText" dxfId="270" priority="380" operator="containsText" text="국도비">
      <formula>NOT(ISERROR(SEARCH("국도비",V95)))</formula>
    </cfRule>
  </conditionalFormatting>
  <conditionalFormatting sqref="AD44:AE47">
    <cfRule type="containsText" dxfId="269" priority="371" operator="containsText" text="직접입력">
      <formula>NOT(ISERROR(SEARCH("직접입력",AD44)))</formula>
    </cfRule>
  </conditionalFormatting>
  <conditionalFormatting sqref="Y95:Z95">
    <cfRule type="containsText" dxfId="268" priority="378" operator="containsText" text="직접입력">
      <formula>NOT(ISERROR(SEARCH("직접입력",Y95)))</formula>
    </cfRule>
  </conditionalFormatting>
  <conditionalFormatting sqref="V97">
    <cfRule type="containsText" dxfId="267" priority="377" operator="containsText" text="국도비">
      <formula>NOT(ISERROR(SEARCH("국도비",V97)))</formula>
    </cfRule>
  </conditionalFormatting>
  <conditionalFormatting sqref="Y97:Z97">
    <cfRule type="containsText" dxfId="266" priority="375" operator="containsText" text="직접입력">
      <formula>NOT(ISERROR(SEARCH("직접입력",Y97)))</formula>
    </cfRule>
  </conditionalFormatting>
  <conditionalFormatting sqref="AD33:AE33 AD35:AE37">
    <cfRule type="containsText" dxfId="265" priority="372" operator="containsText" text="직접입력">
      <formula>NOT(ISERROR(SEARCH("직접입력",AD33)))</formula>
    </cfRule>
  </conditionalFormatting>
  <conditionalFormatting sqref="AD52:AE61 AD75:AE75">
    <cfRule type="containsText" dxfId="264" priority="370" operator="containsText" text="직접입력">
      <formula>NOT(ISERROR(SEARCH("직접입력",AD52)))</formula>
    </cfRule>
  </conditionalFormatting>
  <conditionalFormatting sqref="AD77:AE97 AD128:AE128">
    <cfRule type="containsText" dxfId="263" priority="369" operator="containsText" text="직접입력">
      <formula>NOT(ISERROR(SEARCH("직접입력",AD77)))</formula>
    </cfRule>
  </conditionalFormatting>
  <conditionalFormatting sqref="AD130:AE130 AD132:AE132">
    <cfRule type="containsText" dxfId="262" priority="367" operator="containsText" text="직접입력">
      <formula>NOT(ISERROR(SEARCH("직접입력",AD130)))</formula>
    </cfRule>
  </conditionalFormatting>
  <conditionalFormatting sqref="AD138:AE139">
    <cfRule type="containsText" dxfId="261" priority="366" operator="containsText" text="직접입력">
      <formula>NOT(ISERROR(SEARCH("직접입력",AD138)))</formula>
    </cfRule>
  </conditionalFormatting>
  <conditionalFormatting sqref="Y158:Z159">
    <cfRule type="containsText" dxfId="260" priority="364" operator="containsText" text="직접입력">
      <formula>NOT(ISERROR(SEARCH("직접입력",Y158)))</formula>
    </cfRule>
  </conditionalFormatting>
  <conditionalFormatting sqref="V11">
    <cfRule type="containsText" dxfId="259" priority="355" operator="containsText" text="국도비">
      <formula>NOT(ISERROR(SEARCH("국도비",V11)))</formula>
    </cfRule>
  </conditionalFormatting>
  <conditionalFormatting sqref="V10">
    <cfRule type="containsText" dxfId="258" priority="352" operator="containsText" text="국도비">
      <formula>NOT(ISERROR(SEARCH("국도비",V10)))</formula>
    </cfRule>
  </conditionalFormatting>
  <conditionalFormatting sqref="V21">
    <cfRule type="containsText" dxfId="257" priority="346" operator="containsText" text="국도비">
      <formula>NOT(ISERROR(SEARCH("국도비",V21)))</formula>
    </cfRule>
  </conditionalFormatting>
  <conditionalFormatting sqref="V20">
    <cfRule type="containsText" dxfId="256" priority="343" operator="containsText" text="국도비">
      <formula>NOT(ISERROR(SEARCH("국도비",V20)))</formula>
    </cfRule>
  </conditionalFormatting>
  <conditionalFormatting sqref="V19">
    <cfRule type="containsText" dxfId="255" priority="340" operator="containsText" text="국도비">
      <formula>NOT(ISERROR(SEARCH("국도비",V19)))</formula>
    </cfRule>
  </conditionalFormatting>
  <conditionalFormatting sqref="V30">
    <cfRule type="containsText" dxfId="254" priority="337" operator="containsText" text="국도비">
      <formula>NOT(ISERROR(SEARCH("국도비",V30)))</formula>
    </cfRule>
  </conditionalFormatting>
  <conditionalFormatting sqref="V26">
    <cfRule type="containsText" dxfId="253" priority="334" operator="containsText" text="국도비">
      <formula>NOT(ISERROR(SEARCH("국도비",V26)))</formula>
    </cfRule>
  </conditionalFormatting>
  <conditionalFormatting sqref="V25">
    <cfRule type="containsText" dxfId="252" priority="331" operator="containsText" text="국도비">
      <formula>NOT(ISERROR(SEARCH("국도비",V25)))</formula>
    </cfRule>
  </conditionalFormatting>
  <conditionalFormatting sqref="V24">
    <cfRule type="containsText" dxfId="251" priority="328" operator="containsText" text="국도비">
      <formula>NOT(ISERROR(SEARCH("국도비",V24)))</formula>
    </cfRule>
  </conditionalFormatting>
  <conditionalFormatting sqref="V42">
    <cfRule type="containsText" dxfId="250" priority="322" operator="containsText" text="국도비">
      <formula>NOT(ISERROR(SEARCH("국도비",V42)))</formula>
    </cfRule>
  </conditionalFormatting>
  <conditionalFormatting sqref="Y10:Z10">
    <cfRule type="containsText" dxfId="249" priority="252" operator="containsText" text="직접입력">
      <formula>NOT(ISERROR(SEARCH("직접입력",Y10)))</formula>
    </cfRule>
  </conditionalFormatting>
  <conditionalFormatting sqref="V39">
    <cfRule type="containsText" dxfId="248" priority="319" operator="containsText" text="국도비">
      <formula>NOT(ISERROR(SEARCH("국도비",V39)))</formula>
    </cfRule>
  </conditionalFormatting>
  <conditionalFormatting sqref="AD19:AE19">
    <cfRule type="containsText" dxfId="247" priority="247" operator="containsText" text="직접입력">
      <formula>NOT(ISERROR(SEARCH("직접입력",AD19)))</formula>
    </cfRule>
  </conditionalFormatting>
  <conditionalFormatting sqref="V38">
    <cfRule type="containsText" dxfId="246" priority="316" operator="containsText" text="국도비">
      <formula>NOT(ISERROR(SEARCH("국도비",V38)))</formula>
    </cfRule>
  </conditionalFormatting>
  <conditionalFormatting sqref="AD20:AE20">
    <cfRule type="containsText" dxfId="245" priority="246" operator="containsText" text="직접입력">
      <formula>NOT(ISERROR(SEARCH("직접입력",AD20)))</formula>
    </cfRule>
  </conditionalFormatting>
  <conditionalFormatting sqref="V50">
    <cfRule type="containsText" dxfId="244" priority="310" operator="containsText" text="국도비">
      <formula>NOT(ISERROR(SEARCH("국도비",V50)))</formula>
    </cfRule>
  </conditionalFormatting>
  <conditionalFormatting sqref="V49">
    <cfRule type="containsText" dxfId="243" priority="307" operator="containsText" text="국도비">
      <formula>NOT(ISERROR(SEARCH("국도비",V49)))</formula>
    </cfRule>
  </conditionalFormatting>
  <conditionalFormatting sqref="V48">
    <cfRule type="containsText" dxfId="242" priority="304" operator="containsText" text="국도비">
      <formula>NOT(ISERROR(SEARCH("국도비",V48)))</formula>
    </cfRule>
  </conditionalFormatting>
  <conditionalFormatting sqref="V68">
    <cfRule type="containsText" dxfId="241" priority="301" operator="containsText" text="국도비">
      <formula>NOT(ISERROR(SEARCH("국도비",V68)))</formula>
    </cfRule>
  </conditionalFormatting>
  <conditionalFormatting sqref="AD67:AE67">
    <cfRule type="containsText" dxfId="240" priority="236" operator="containsText" text="직접입력">
      <formula>NOT(ISERROR(SEARCH("직접입력",AD67)))</formula>
    </cfRule>
  </conditionalFormatting>
  <conditionalFormatting sqref="V67">
    <cfRule type="containsText" dxfId="239" priority="298" operator="containsText" text="국도비">
      <formula>NOT(ISERROR(SEARCH("국도비",V67)))</formula>
    </cfRule>
  </conditionalFormatting>
  <conditionalFormatting sqref="AD68:AE68">
    <cfRule type="containsText" dxfId="238" priority="235" operator="containsText" text="직접입력">
      <formula>NOT(ISERROR(SEARCH("직접입력",AD68)))</formula>
    </cfRule>
  </conditionalFormatting>
  <conditionalFormatting sqref="V66">
    <cfRule type="containsText" dxfId="237" priority="295" operator="containsText" text="국도비">
      <formula>NOT(ISERROR(SEARCH("국도비",V66)))</formula>
    </cfRule>
  </conditionalFormatting>
  <conditionalFormatting sqref="AD134:AE134">
    <cfRule type="containsText" dxfId="236" priority="230" operator="containsText" text="직접입력">
      <formula>NOT(ISERROR(SEARCH("직접입력",AD134)))</formula>
    </cfRule>
  </conditionalFormatting>
  <conditionalFormatting sqref="V62">
    <cfRule type="containsText" dxfId="235" priority="292" operator="containsText" text="국도비">
      <formula>NOT(ISERROR(SEARCH("국도비",V62)))</formula>
    </cfRule>
  </conditionalFormatting>
  <conditionalFormatting sqref="AD142:AE142">
    <cfRule type="containsText" dxfId="234" priority="224" operator="containsText" text="직접입력">
      <formula>NOT(ISERROR(SEARCH("직접입력",AD142)))</formula>
    </cfRule>
  </conditionalFormatting>
  <conditionalFormatting sqref="AD42:AE42">
    <cfRule type="containsText" dxfId="233" priority="241" operator="containsText" text="직접입력">
      <formula>NOT(ISERROR(SEARCH("직접입력",AD42)))</formula>
    </cfRule>
  </conditionalFormatting>
  <conditionalFormatting sqref="AD135:AE135">
    <cfRule type="containsText" dxfId="232" priority="229" operator="containsText" text="직접입력">
      <formula>NOT(ISERROR(SEARCH("직접입력",AD135)))</formula>
    </cfRule>
  </conditionalFormatting>
  <conditionalFormatting sqref="AD66:AE66">
    <cfRule type="containsText" dxfId="231" priority="237" operator="containsText" text="직접입력">
      <formula>NOT(ISERROR(SEARCH("직접입력",AD66)))</formula>
    </cfRule>
  </conditionalFormatting>
  <conditionalFormatting sqref="AD141:AE141">
    <cfRule type="containsText" dxfId="230" priority="225" operator="containsText" text="직접입력">
      <formula>NOT(ISERROR(SEARCH("직접입력",AD141)))</formula>
    </cfRule>
  </conditionalFormatting>
  <conditionalFormatting sqref="AD143:AE143">
    <cfRule type="containsText" dxfId="229" priority="223" operator="containsText" text="직접입력">
      <formula>NOT(ISERROR(SEARCH("직접입력",AD143)))</formula>
    </cfRule>
  </conditionalFormatting>
  <conditionalFormatting sqref="Y134:Z134">
    <cfRule type="containsText" dxfId="228" priority="218" operator="containsText" text="직접입력">
      <formula>NOT(ISERROR(SEARCH("직접입력",Y134)))</formula>
    </cfRule>
  </conditionalFormatting>
  <conditionalFormatting sqref="V136">
    <cfRule type="containsText" dxfId="227" priority="274" operator="containsText" text="국도비">
      <formula>NOT(ISERROR(SEARCH("국도비",V136)))</formula>
    </cfRule>
  </conditionalFormatting>
  <conditionalFormatting sqref="Y135:Z135">
    <cfRule type="containsText" dxfId="226" priority="217" operator="containsText" text="직접입력">
      <formula>NOT(ISERROR(SEARCH("직접입력",Y135)))</formula>
    </cfRule>
  </conditionalFormatting>
  <conditionalFormatting sqref="AD136:AE136">
    <cfRule type="containsText" dxfId="225" priority="228" operator="containsText" text="직접입력">
      <formula>NOT(ISERROR(SEARCH("직접입력",AD136)))</formula>
    </cfRule>
  </conditionalFormatting>
  <conditionalFormatting sqref="V135">
    <cfRule type="containsText" dxfId="224" priority="271" operator="containsText" text="국도비">
      <formula>NOT(ISERROR(SEARCH("국도비",V135)))</formula>
    </cfRule>
  </conditionalFormatting>
  <conditionalFormatting sqref="Y141:Z141">
    <cfRule type="containsText" dxfId="223" priority="212" operator="containsText" text="직접입력">
      <formula>NOT(ISERROR(SEARCH("직접입력",Y141)))</formula>
    </cfRule>
  </conditionalFormatting>
  <conditionalFormatting sqref="V134">
    <cfRule type="containsText" dxfId="222" priority="268" operator="containsText" text="국도비">
      <formula>NOT(ISERROR(SEARCH("국도비",V134)))</formula>
    </cfRule>
  </conditionalFormatting>
  <conditionalFormatting sqref="Y142:Z142">
    <cfRule type="containsText" dxfId="221" priority="211" operator="containsText" text="직접입력">
      <formula>NOT(ISERROR(SEARCH("직접입력",Y142)))</formula>
    </cfRule>
  </conditionalFormatting>
  <conditionalFormatting sqref="V143">
    <cfRule type="containsText" dxfId="220" priority="265" operator="containsText" text="국도비">
      <formula>NOT(ISERROR(SEARCH("국도비",V143)))</formula>
    </cfRule>
  </conditionalFormatting>
  <conditionalFormatting sqref="Y140:Z140">
    <cfRule type="containsText" dxfId="219" priority="213" operator="containsText" text="직접입력">
      <formula>NOT(ISERROR(SEARCH("직접입력",Y140)))</formula>
    </cfRule>
  </conditionalFormatting>
  <conditionalFormatting sqref="V142">
    <cfRule type="containsText" dxfId="218" priority="262" operator="containsText" text="국도비">
      <formula>NOT(ISERROR(SEARCH("국도비",V142)))</formula>
    </cfRule>
  </conditionalFormatting>
  <conditionalFormatting sqref="Y67:Z67">
    <cfRule type="containsText" dxfId="217" priority="206" operator="containsText" text="직접입력">
      <formula>NOT(ISERROR(SEARCH("직접입력",Y67)))</formula>
    </cfRule>
  </conditionalFormatting>
  <conditionalFormatting sqref="V141">
    <cfRule type="containsText" dxfId="216" priority="259" operator="containsText" text="국도비">
      <formula>NOT(ISERROR(SEARCH("국도비",V141)))</formula>
    </cfRule>
  </conditionalFormatting>
  <conditionalFormatting sqref="Y66:Z66">
    <cfRule type="containsText" dxfId="215" priority="207" operator="containsText" text="직접입력">
      <formula>NOT(ISERROR(SEARCH("직접입력",Y66)))</formula>
    </cfRule>
  </conditionalFormatting>
  <conditionalFormatting sqref="Y136:Z136">
    <cfRule type="containsText" dxfId="214" priority="216" operator="containsText" text="직접입력">
      <formula>NOT(ISERROR(SEARCH("직접입력",Y136)))</formula>
    </cfRule>
  </conditionalFormatting>
  <conditionalFormatting sqref="V140">
    <cfRule type="containsText" dxfId="213" priority="256" operator="containsText" text="국도비">
      <formula>NOT(ISERROR(SEARCH("국도비",V140)))</formula>
    </cfRule>
  </conditionalFormatting>
  <conditionalFormatting sqref="Y49:Z49">
    <cfRule type="containsText" dxfId="212" priority="203" operator="containsText" text="직접입력">
      <formula>NOT(ISERROR(SEARCH("직접입력",Y49)))</formula>
    </cfRule>
  </conditionalFormatting>
  <conditionalFormatting sqref="AD10:AE11">
    <cfRule type="containsText" dxfId="211" priority="253" operator="containsText" text="직접입력">
      <formula>NOT(ISERROR(SEARCH("직접입력",AD10)))</formula>
    </cfRule>
  </conditionalFormatting>
  <conditionalFormatting sqref="Y11:Z11">
    <cfRule type="containsText" dxfId="210" priority="251" operator="containsText" text="직접입력">
      <formula>NOT(ISERROR(SEARCH("직접입력",Y11)))</formula>
    </cfRule>
  </conditionalFormatting>
  <conditionalFormatting sqref="AD21:AE21">
    <cfRule type="containsText" dxfId="209" priority="245" operator="containsText" text="직접입력">
      <formula>NOT(ISERROR(SEARCH("직접입력",AD21)))</formula>
    </cfRule>
  </conditionalFormatting>
  <conditionalFormatting sqref="AD38:AE38">
    <cfRule type="containsText" dxfId="208" priority="243" operator="containsText" text="직접입력">
      <formula>NOT(ISERROR(SEARCH("직접입력",AD38)))</formula>
    </cfRule>
  </conditionalFormatting>
  <conditionalFormatting sqref="AD39:AE39">
    <cfRule type="containsText" dxfId="207" priority="242" operator="containsText" text="직접입력">
      <formula>NOT(ISERROR(SEARCH("직접입력",AD39)))</formula>
    </cfRule>
  </conditionalFormatting>
  <conditionalFormatting sqref="AD62:AE62">
    <cfRule type="containsText" dxfId="206" priority="238" operator="containsText" text="직접입력">
      <formula>NOT(ISERROR(SEARCH("직접입력",AD62)))</formula>
    </cfRule>
  </conditionalFormatting>
  <conditionalFormatting sqref="AD140:AE140">
    <cfRule type="containsText" dxfId="205" priority="226" operator="containsText" text="직접입력">
      <formula>NOT(ISERROR(SEARCH("직접입력",AD140)))</formula>
    </cfRule>
  </conditionalFormatting>
  <conditionalFormatting sqref="Y62:Z62">
    <cfRule type="containsText" dxfId="204" priority="208" operator="containsText" text="직접입력">
      <formula>NOT(ISERROR(SEARCH("직접입력",Y62)))</formula>
    </cfRule>
  </conditionalFormatting>
  <conditionalFormatting sqref="Y143:Z143">
    <cfRule type="containsText" dxfId="203" priority="210" operator="containsText" text="직접입력">
      <formula>NOT(ISERROR(SEARCH("직접입력",Y143)))</formula>
    </cfRule>
  </conditionalFormatting>
  <conditionalFormatting sqref="Y68:Z68">
    <cfRule type="containsText" dxfId="202" priority="205" operator="containsText" text="직접입력">
      <formula>NOT(ISERROR(SEARCH("직접입력",Y68)))</formula>
    </cfRule>
  </conditionalFormatting>
  <conditionalFormatting sqref="Y48:Z48">
    <cfRule type="containsText" dxfId="201" priority="204" operator="containsText" text="직접입력">
      <formula>NOT(ISERROR(SEARCH("직접입력",Y48)))</formula>
    </cfRule>
  </conditionalFormatting>
  <conditionalFormatting sqref="Y39:Z39">
    <cfRule type="containsText" dxfId="200" priority="198" operator="containsText" text="직접입력">
      <formula>NOT(ISERROR(SEARCH("직접입력",Y39)))</formula>
    </cfRule>
  </conditionalFormatting>
  <conditionalFormatting sqref="Y50:Z50">
    <cfRule type="containsText" dxfId="199" priority="202" operator="containsText" text="직접입력">
      <formula>NOT(ISERROR(SEARCH("직접입력",Y50)))</formula>
    </cfRule>
  </conditionalFormatting>
  <conditionalFormatting sqref="Y42:Z42">
    <cfRule type="containsText" dxfId="198" priority="197" operator="containsText" text="직접입력">
      <formula>NOT(ISERROR(SEARCH("직접입력",Y42)))</formula>
    </cfRule>
  </conditionalFormatting>
  <conditionalFormatting sqref="Y38:Z38">
    <cfRule type="containsText" dxfId="197" priority="199" operator="containsText" text="직접입력">
      <formula>NOT(ISERROR(SEARCH("직접입력",Y38)))</formula>
    </cfRule>
  </conditionalFormatting>
  <conditionalFormatting sqref="Y25:Z25">
    <cfRule type="containsText" dxfId="196" priority="193" operator="containsText" text="직접입력">
      <formula>NOT(ISERROR(SEARCH("직접입력",Y25)))</formula>
    </cfRule>
  </conditionalFormatting>
  <conditionalFormatting sqref="Y26:Z26">
    <cfRule type="containsText" dxfId="195" priority="192" operator="containsText" text="직접입력">
      <formula>NOT(ISERROR(SEARCH("직접입력",Y26)))</formula>
    </cfRule>
  </conditionalFormatting>
  <conditionalFormatting sqref="Y24:Z24">
    <cfRule type="containsText" dxfId="194" priority="194" operator="containsText" text="직접입력">
      <formula>NOT(ISERROR(SEARCH("직접입력",Y24)))</formula>
    </cfRule>
  </conditionalFormatting>
  <conditionalFormatting sqref="Y30:Z30">
    <cfRule type="containsText" dxfId="193" priority="191" operator="containsText" text="직접입력">
      <formula>NOT(ISERROR(SEARCH("직접입력",Y30)))</formula>
    </cfRule>
  </conditionalFormatting>
  <conditionalFormatting sqref="Y19:Z19">
    <cfRule type="containsText" dxfId="192" priority="190" operator="containsText" text="직접입력">
      <formula>NOT(ISERROR(SEARCH("직접입력",Y19)))</formula>
    </cfRule>
  </conditionalFormatting>
  <conditionalFormatting sqref="Y20:Z20">
    <cfRule type="containsText" dxfId="191" priority="189" operator="containsText" text="직접입력">
      <formula>NOT(ISERROR(SEARCH("직접입력",Y20)))</formula>
    </cfRule>
  </conditionalFormatting>
  <conditionalFormatting sqref="Y21:Z21">
    <cfRule type="containsText" dxfId="190" priority="188" operator="containsText" text="직접입력">
      <formula>NOT(ISERROR(SEARCH("직접입력",Y21)))</formula>
    </cfRule>
  </conditionalFormatting>
  <conditionalFormatting sqref="AD25:AE25">
    <cfRule type="containsText" dxfId="189" priority="184" operator="containsText" text="직접입력">
      <formula>NOT(ISERROR(SEARCH("직접입력",AD25)))</formula>
    </cfRule>
  </conditionalFormatting>
  <conditionalFormatting sqref="AD26:AE26">
    <cfRule type="containsText" dxfId="188" priority="183" operator="containsText" text="직접입력">
      <formula>NOT(ISERROR(SEARCH("직접입력",AD26)))</formula>
    </cfRule>
  </conditionalFormatting>
  <conditionalFormatting sqref="AD24:AE24">
    <cfRule type="containsText" dxfId="187" priority="185" operator="containsText" text="직접입력">
      <formula>NOT(ISERROR(SEARCH("직접입력",AD24)))</formula>
    </cfRule>
  </conditionalFormatting>
  <conditionalFormatting sqref="AD30:AE30">
    <cfRule type="containsText" dxfId="186" priority="182" operator="containsText" text="직접입력">
      <formula>NOT(ISERROR(SEARCH("직접입력",AD30)))</formula>
    </cfRule>
  </conditionalFormatting>
  <conditionalFormatting sqref="AD48:AE48">
    <cfRule type="containsText" dxfId="185" priority="181" operator="containsText" text="직접입력">
      <formula>NOT(ISERROR(SEARCH("직접입력",AD48)))</formula>
    </cfRule>
  </conditionalFormatting>
  <conditionalFormatting sqref="AD49:AE49">
    <cfRule type="containsText" dxfId="184" priority="180" operator="containsText" text="직접입력">
      <formula>NOT(ISERROR(SEARCH("직접입력",AD49)))</formula>
    </cfRule>
  </conditionalFormatting>
  <conditionalFormatting sqref="AD50:AE50">
    <cfRule type="containsText" dxfId="183" priority="179" operator="containsText" text="직접입력">
      <formula>NOT(ISERROR(SEARCH("직접입력",AD50)))</formula>
    </cfRule>
  </conditionalFormatting>
  <conditionalFormatting sqref="AD131:AE131">
    <cfRule type="containsText" dxfId="182" priority="175" operator="containsText" text="직접입력">
      <formula>NOT(ISERROR(SEARCH("직접입력",AD131)))</formula>
    </cfRule>
  </conditionalFormatting>
  <conditionalFormatting sqref="AD133:AE133">
    <cfRule type="containsText" dxfId="181" priority="174" operator="containsText" text="직접입력">
      <formula>NOT(ISERROR(SEARCH("직접입력",AD133)))</formula>
    </cfRule>
  </conditionalFormatting>
  <conditionalFormatting sqref="AD34:AE34">
    <cfRule type="containsText" dxfId="180" priority="176" operator="containsText" text="직접입력">
      <formula>NOT(ISERROR(SEARCH("직접입력",AD34)))</formula>
    </cfRule>
  </conditionalFormatting>
  <conditionalFormatting sqref="Y163:Z163 AD163:AE163">
    <cfRule type="containsText" dxfId="179" priority="173" operator="containsText" text="직접입력">
      <formula>NOT(ISERROR(SEARCH("직접입력",Y163)))</formula>
    </cfRule>
  </conditionalFormatting>
  <conditionalFormatting sqref="V65">
    <cfRule type="containsText" dxfId="178" priority="172" operator="containsText" text="국도비">
      <formula>NOT(ISERROR(SEARCH("국도비",V65)))</formula>
    </cfRule>
  </conditionalFormatting>
  <conditionalFormatting sqref="V64">
    <cfRule type="containsText" dxfId="177" priority="171" operator="containsText" text="국도비">
      <formula>NOT(ISERROR(SEARCH("국도비",V64)))</formula>
    </cfRule>
  </conditionalFormatting>
  <conditionalFormatting sqref="AD65:AE65">
    <cfRule type="containsText" dxfId="176" priority="167" operator="containsText" text="직접입력">
      <formula>NOT(ISERROR(SEARCH("직접입력",AD65)))</formula>
    </cfRule>
  </conditionalFormatting>
  <conditionalFormatting sqref="V63">
    <cfRule type="containsText" dxfId="175" priority="170" operator="containsText" text="국도비">
      <formula>NOT(ISERROR(SEARCH("국도비",V63)))</formula>
    </cfRule>
  </conditionalFormatting>
  <conditionalFormatting sqref="AD64:AE64">
    <cfRule type="containsText" dxfId="174" priority="168" operator="containsText" text="직접입력">
      <formula>NOT(ISERROR(SEARCH("직접입력",AD64)))</formula>
    </cfRule>
  </conditionalFormatting>
  <conditionalFormatting sqref="Y63:Z63">
    <cfRule type="containsText" dxfId="173" priority="166" operator="containsText" text="직접입력">
      <formula>NOT(ISERROR(SEARCH("직접입력",Y63)))</formula>
    </cfRule>
  </conditionalFormatting>
  <conditionalFormatting sqref="AD63:AE63">
    <cfRule type="containsText" dxfId="172" priority="169" operator="containsText" text="직접입력">
      <formula>NOT(ISERROR(SEARCH("직접입력",AD63)))</formula>
    </cfRule>
  </conditionalFormatting>
  <conditionalFormatting sqref="Y65:Z65">
    <cfRule type="containsText" dxfId="171" priority="164" operator="containsText" text="직접입력">
      <formula>NOT(ISERROR(SEARCH("직접입력",Y65)))</formula>
    </cfRule>
  </conditionalFormatting>
  <conditionalFormatting sqref="Y64:Z64">
    <cfRule type="containsText" dxfId="170" priority="165" operator="containsText" text="직접입력">
      <formula>NOT(ISERROR(SEARCH("직접입력",Y64)))</formula>
    </cfRule>
  </conditionalFormatting>
  <conditionalFormatting sqref="V74">
    <cfRule type="containsText" dxfId="169" priority="163" operator="containsText" text="국도비">
      <formula>NOT(ISERROR(SEARCH("국도비",V74)))</formula>
    </cfRule>
  </conditionalFormatting>
  <conditionalFormatting sqref="Y74:Z74">
    <cfRule type="containsText" dxfId="168" priority="162" operator="containsText" text="직접입력">
      <formula>NOT(ISERROR(SEARCH("직접입력",Y74)))</formula>
    </cfRule>
  </conditionalFormatting>
  <conditionalFormatting sqref="AD74:AE74">
    <cfRule type="containsText" dxfId="167" priority="161" operator="containsText" text="직접입력">
      <formula>NOT(ISERROR(SEARCH("직접입력",AD74)))</formula>
    </cfRule>
  </conditionalFormatting>
  <conditionalFormatting sqref="V73">
    <cfRule type="containsText" dxfId="166" priority="160" operator="containsText" text="국도비">
      <formula>NOT(ISERROR(SEARCH("국도비",V73)))</formula>
    </cfRule>
  </conditionalFormatting>
  <conditionalFormatting sqref="Y73:Z73">
    <cfRule type="containsText" dxfId="165" priority="159" operator="containsText" text="직접입력">
      <formula>NOT(ISERROR(SEARCH("직접입력",Y73)))</formula>
    </cfRule>
  </conditionalFormatting>
  <conditionalFormatting sqref="AD73:AE73">
    <cfRule type="containsText" dxfId="164" priority="158" operator="containsText" text="직접입력">
      <formula>NOT(ISERROR(SEARCH("직접입력",AD73)))</formula>
    </cfRule>
  </conditionalFormatting>
  <conditionalFormatting sqref="V70">
    <cfRule type="containsText" dxfId="163" priority="157" operator="containsText" text="국도비">
      <formula>NOT(ISERROR(SEARCH("국도비",V70)))</formula>
    </cfRule>
  </conditionalFormatting>
  <conditionalFormatting sqref="Y70:Z70">
    <cfRule type="containsText" dxfId="162" priority="156" operator="containsText" text="직접입력">
      <formula>NOT(ISERROR(SEARCH("직접입력",Y70)))</formula>
    </cfRule>
  </conditionalFormatting>
  <conditionalFormatting sqref="AD70:AE70">
    <cfRule type="containsText" dxfId="161" priority="155" operator="containsText" text="직접입력">
      <formula>NOT(ISERROR(SEARCH("직접입력",AD70)))</formula>
    </cfRule>
  </conditionalFormatting>
  <conditionalFormatting sqref="V69">
    <cfRule type="containsText" dxfId="160" priority="154" operator="containsText" text="국도비">
      <formula>NOT(ISERROR(SEARCH("국도비",V69)))</formula>
    </cfRule>
  </conditionalFormatting>
  <conditionalFormatting sqref="Y69:Z69">
    <cfRule type="containsText" dxfId="159" priority="153" operator="containsText" text="직접입력">
      <formula>NOT(ISERROR(SEARCH("직접입력",Y69)))</formula>
    </cfRule>
  </conditionalFormatting>
  <conditionalFormatting sqref="AD69:AE69">
    <cfRule type="containsText" dxfId="158" priority="152" operator="containsText" text="직접입력">
      <formula>NOT(ISERROR(SEARCH("직접입력",AD69)))</formula>
    </cfRule>
  </conditionalFormatting>
  <conditionalFormatting sqref="V72">
    <cfRule type="containsText" dxfId="157" priority="151" operator="containsText" text="국도비">
      <formula>NOT(ISERROR(SEARCH("국도비",V72)))</formula>
    </cfRule>
  </conditionalFormatting>
  <conditionalFormatting sqref="Y72:Z72">
    <cfRule type="containsText" dxfId="156" priority="150" operator="containsText" text="직접입력">
      <formula>NOT(ISERROR(SEARCH("직접입력",Y72)))</formula>
    </cfRule>
  </conditionalFormatting>
  <conditionalFormatting sqref="AD72:AE72">
    <cfRule type="containsText" dxfId="155" priority="149" operator="containsText" text="직접입력">
      <formula>NOT(ISERROR(SEARCH("직접입력",AD72)))</formula>
    </cfRule>
  </conditionalFormatting>
  <conditionalFormatting sqref="V71">
    <cfRule type="containsText" dxfId="154" priority="148" operator="containsText" text="국도비">
      <formula>NOT(ISERROR(SEARCH("국도비",V71)))</formula>
    </cfRule>
  </conditionalFormatting>
  <conditionalFormatting sqref="Y71:Z71">
    <cfRule type="containsText" dxfId="153" priority="147" operator="containsText" text="직접입력">
      <formula>NOT(ISERROR(SEARCH("직접입력",Y71)))</formula>
    </cfRule>
  </conditionalFormatting>
  <conditionalFormatting sqref="AD71:AE71">
    <cfRule type="containsText" dxfId="152" priority="146" operator="containsText" text="직접입력">
      <formula>NOT(ISERROR(SEARCH("직접입력",AD71)))</formula>
    </cfRule>
  </conditionalFormatting>
  <conditionalFormatting sqref="V145">
    <cfRule type="containsText" dxfId="151" priority="139" operator="containsText" text="국도비">
      <formula>NOT(ISERROR(SEARCH("국도비",V145)))</formula>
    </cfRule>
  </conditionalFormatting>
  <conditionalFormatting sqref="AD145:AE145">
    <cfRule type="containsText" dxfId="150" priority="138" operator="containsText" text="직접입력">
      <formula>NOT(ISERROR(SEARCH("직접입력",AD145)))</formula>
    </cfRule>
  </conditionalFormatting>
  <conditionalFormatting sqref="Y145:Z145">
    <cfRule type="containsText" dxfId="149" priority="137" operator="containsText" text="직접입력">
      <formula>NOT(ISERROR(SEARCH("직접입력",Y145)))</formula>
    </cfRule>
  </conditionalFormatting>
  <conditionalFormatting sqref="V144">
    <cfRule type="containsText" dxfId="148" priority="136" operator="containsText" text="국도비">
      <formula>NOT(ISERROR(SEARCH("국도비",V144)))</formula>
    </cfRule>
  </conditionalFormatting>
  <conditionalFormatting sqref="AD144:AE144">
    <cfRule type="containsText" dxfId="147" priority="135" operator="containsText" text="직접입력">
      <formula>NOT(ISERROR(SEARCH("직접입력",AD144)))</formula>
    </cfRule>
  </conditionalFormatting>
  <conditionalFormatting sqref="Y144:Z144">
    <cfRule type="containsText" dxfId="146" priority="134" operator="containsText" text="직접입력">
      <formula>NOT(ISERROR(SEARCH("직접입력",Y144)))</formula>
    </cfRule>
  </conditionalFormatting>
  <conditionalFormatting sqref="V12">
    <cfRule type="containsText" dxfId="145" priority="132" operator="containsText" text="국도비">
      <formula>NOT(ISERROR(SEARCH("국도비",V12)))</formula>
    </cfRule>
  </conditionalFormatting>
  <conditionalFormatting sqref="Y12:Z12">
    <cfRule type="containsText" dxfId="144" priority="130" operator="containsText" text="직접입력">
      <formula>NOT(ISERROR(SEARCH("직접입력",Y12)))</formula>
    </cfRule>
  </conditionalFormatting>
  <conditionalFormatting sqref="AD12:AE12">
    <cfRule type="containsText" dxfId="143" priority="131" operator="containsText" text="직접입력">
      <formula>NOT(ISERROR(SEARCH("직접입력",AD12)))</formula>
    </cfRule>
  </conditionalFormatting>
  <conditionalFormatting sqref="Y162:Z162 AD162:AE162">
    <cfRule type="containsText" dxfId="142" priority="128" operator="containsText" text="직접입력">
      <formula>NOT(ISERROR(SEARCH("직접입력",Y162)))</formula>
    </cfRule>
  </conditionalFormatting>
  <conditionalFormatting sqref="Y161:Z161 AD161:AE161">
    <cfRule type="containsText" dxfId="141" priority="127" operator="containsText" text="직접입력">
      <formula>NOT(ISERROR(SEARCH("직접입력",Y161)))</formula>
    </cfRule>
  </conditionalFormatting>
  <conditionalFormatting sqref="Y126:Z126">
    <cfRule type="containsText" dxfId="140" priority="106" operator="containsText" text="직접입력">
      <formula>NOT(ISERROR(SEARCH("직접입력",Y126)))</formula>
    </cfRule>
  </conditionalFormatting>
  <conditionalFormatting sqref="V127">
    <cfRule type="containsText" dxfId="139" priority="112" operator="containsText" text="국도비">
      <formula>NOT(ISERROR(SEARCH("국도비",V127)))</formula>
    </cfRule>
  </conditionalFormatting>
  <conditionalFormatting sqref="V126">
    <cfRule type="containsText" dxfId="138" priority="111" operator="containsText" text="국도비">
      <formula>NOT(ISERROR(SEARCH("국도비",V126)))</formula>
    </cfRule>
  </conditionalFormatting>
  <conditionalFormatting sqref="AD126:AE126">
    <cfRule type="containsText" dxfId="137" priority="110" operator="containsText" text="직접입력">
      <formula>NOT(ISERROR(SEARCH("직접입력",AD126)))</formula>
    </cfRule>
  </conditionalFormatting>
  <conditionalFormatting sqref="Y127:Z127">
    <cfRule type="containsText" dxfId="136" priority="105" operator="containsText" text="직접입력">
      <formula>NOT(ISERROR(SEARCH("직접입력",Y127)))</formula>
    </cfRule>
  </conditionalFormatting>
  <conditionalFormatting sqref="AD127:AE127">
    <cfRule type="containsText" dxfId="135" priority="109" operator="containsText" text="직접입력">
      <formula>NOT(ISERROR(SEARCH("직접입력",AD127)))</formula>
    </cfRule>
  </conditionalFormatting>
  <conditionalFormatting sqref="AD125:AE125">
    <cfRule type="containsText" dxfId="134" priority="95" operator="containsText" text="직접입력">
      <formula>NOT(ISERROR(SEARCH("직접입력",AD125)))</formula>
    </cfRule>
  </conditionalFormatting>
  <conditionalFormatting sqref="AD124:AE124">
    <cfRule type="containsText" dxfId="133" priority="96" operator="containsText" text="직접입력">
      <formula>NOT(ISERROR(SEARCH("직접입력",AD124)))</formula>
    </cfRule>
  </conditionalFormatting>
  <conditionalFormatting sqref="Y125:Z125">
    <cfRule type="containsText" dxfId="132" priority="91" operator="containsText" text="직접입력">
      <formula>NOT(ISERROR(SEARCH("직접입력",Y125)))</formula>
    </cfRule>
  </conditionalFormatting>
  <conditionalFormatting sqref="AD122:AE122">
    <cfRule type="containsText" dxfId="131" priority="98" operator="containsText" text="직접입력">
      <formula>NOT(ISERROR(SEARCH("직접입력",AD122)))</formula>
    </cfRule>
  </conditionalFormatting>
  <conditionalFormatting sqref="Y123:Z123">
    <cfRule type="containsText" dxfId="130" priority="93" operator="containsText" text="직접입력">
      <formula>NOT(ISERROR(SEARCH("직접입력",Y123)))</formula>
    </cfRule>
  </conditionalFormatting>
  <conditionalFormatting sqref="Y124:Z124">
    <cfRule type="containsText" dxfId="129" priority="92" operator="containsText" text="직접입력">
      <formula>NOT(ISERROR(SEARCH("직접입력",Y124)))</formula>
    </cfRule>
  </conditionalFormatting>
  <conditionalFormatting sqref="AD123:AE123">
    <cfRule type="containsText" dxfId="128" priority="97" operator="containsText" text="직접입력">
      <formula>NOT(ISERROR(SEARCH("직접입력",AD123)))</formula>
    </cfRule>
  </conditionalFormatting>
  <conditionalFormatting sqref="Y122:Z122">
    <cfRule type="containsText" dxfId="127" priority="94" operator="containsText" text="직접입력">
      <formula>NOT(ISERROR(SEARCH("직접입력",Y122)))</formula>
    </cfRule>
  </conditionalFormatting>
  <conditionalFormatting sqref="AD121:AE121">
    <cfRule type="containsText" dxfId="126" priority="83" operator="containsText" text="직접입력">
      <formula>NOT(ISERROR(SEARCH("직접입력",AD121)))</formula>
    </cfRule>
  </conditionalFormatting>
  <conditionalFormatting sqref="AD120:AE120">
    <cfRule type="containsText" dxfId="125" priority="84" operator="containsText" text="직접입력">
      <formula>NOT(ISERROR(SEARCH("직접입력",AD120)))</formula>
    </cfRule>
  </conditionalFormatting>
  <conditionalFormatting sqref="Y121:Z121">
    <cfRule type="containsText" dxfId="124" priority="79" operator="containsText" text="직접입력">
      <formula>NOT(ISERROR(SEARCH("직접입력",Y121)))</formula>
    </cfRule>
  </conditionalFormatting>
  <conditionalFormatting sqref="AD118:AE118">
    <cfRule type="containsText" dxfId="123" priority="86" operator="containsText" text="직접입력">
      <formula>NOT(ISERROR(SEARCH("직접입력",AD118)))</formula>
    </cfRule>
  </conditionalFormatting>
  <conditionalFormatting sqref="Y119:Z119">
    <cfRule type="containsText" dxfId="122" priority="81" operator="containsText" text="직접입력">
      <formula>NOT(ISERROR(SEARCH("직접입력",Y119)))</formula>
    </cfRule>
  </conditionalFormatting>
  <conditionalFormatting sqref="Y120:Z120">
    <cfRule type="containsText" dxfId="121" priority="80" operator="containsText" text="직접입력">
      <formula>NOT(ISERROR(SEARCH("직접입력",Y120)))</formula>
    </cfRule>
  </conditionalFormatting>
  <conditionalFormatting sqref="AD119:AE119">
    <cfRule type="containsText" dxfId="120" priority="85" operator="containsText" text="직접입력">
      <formula>NOT(ISERROR(SEARCH("직접입력",AD119)))</formula>
    </cfRule>
  </conditionalFormatting>
  <conditionalFormatting sqref="Y118:Z118">
    <cfRule type="containsText" dxfId="119" priority="82" operator="containsText" text="직접입력">
      <formula>NOT(ISERROR(SEARCH("직접입력",Y118)))</formula>
    </cfRule>
  </conditionalFormatting>
  <conditionalFormatting sqref="AD117:AE117">
    <cfRule type="containsText" dxfId="118" priority="71" operator="containsText" text="직접입력">
      <formula>NOT(ISERROR(SEARCH("직접입력",AD117)))</formula>
    </cfRule>
  </conditionalFormatting>
  <conditionalFormatting sqref="AD116:AE116">
    <cfRule type="containsText" dxfId="117" priority="72" operator="containsText" text="직접입력">
      <formula>NOT(ISERROR(SEARCH("직접입력",AD116)))</formula>
    </cfRule>
  </conditionalFormatting>
  <conditionalFormatting sqref="Y117:Z117">
    <cfRule type="containsText" dxfId="116" priority="67" operator="containsText" text="직접입력">
      <formula>NOT(ISERROR(SEARCH("직접입력",Y117)))</formula>
    </cfRule>
  </conditionalFormatting>
  <conditionalFormatting sqref="AD114:AE114">
    <cfRule type="containsText" dxfId="115" priority="74" operator="containsText" text="직접입력">
      <formula>NOT(ISERROR(SEARCH("직접입력",AD114)))</formula>
    </cfRule>
  </conditionalFormatting>
  <conditionalFormatting sqref="Y115:Z115">
    <cfRule type="containsText" dxfId="114" priority="69" operator="containsText" text="직접입력">
      <formula>NOT(ISERROR(SEARCH("직접입력",Y115)))</formula>
    </cfRule>
  </conditionalFormatting>
  <conditionalFormatting sqref="Y116:Z116">
    <cfRule type="containsText" dxfId="113" priority="68" operator="containsText" text="직접입력">
      <formula>NOT(ISERROR(SEARCH("직접입력",Y116)))</formula>
    </cfRule>
  </conditionalFormatting>
  <conditionalFormatting sqref="AD115:AE115">
    <cfRule type="containsText" dxfId="112" priority="73" operator="containsText" text="직접입력">
      <formula>NOT(ISERROR(SEARCH("직접입력",AD115)))</formula>
    </cfRule>
  </conditionalFormatting>
  <conditionalFormatting sqref="Y114:Z114">
    <cfRule type="containsText" dxfId="111" priority="70" operator="containsText" text="직접입력">
      <formula>NOT(ISERROR(SEARCH("직접입력",Y114)))</formula>
    </cfRule>
  </conditionalFormatting>
  <conditionalFormatting sqref="AD113:AE113">
    <cfRule type="containsText" dxfId="110" priority="59" operator="containsText" text="직접입력">
      <formula>NOT(ISERROR(SEARCH("직접입력",AD113)))</formula>
    </cfRule>
  </conditionalFormatting>
  <conditionalFormatting sqref="AD112:AE112">
    <cfRule type="containsText" dxfId="109" priority="60" operator="containsText" text="직접입력">
      <formula>NOT(ISERROR(SEARCH("직접입력",AD112)))</formula>
    </cfRule>
  </conditionalFormatting>
  <conditionalFormatting sqref="Y113:Z113">
    <cfRule type="containsText" dxfId="108" priority="55" operator="containsText" text="직접입력">
      <formula>NOT(ISERROR(SEARCH("직접입력",Y113)))</formula>
    </cfRule>
  </conditionalFormatting>
  <conditionalFormatting sqref="AD110:AE110">
    <cfRule type="containsText" dxfId="107" priority="62" operator="containsText" text="직접입력">
      <formula>NOT(ISERROR(SEARCH("직접입력",AD110)))</formula>
    </cfRule>
  </conditionalFormatting>
  <conditionalFormatting sqref="Y111:Z111">
    <cfRule type="containsText" dxfId="106" priority="57" operator="containsText" text="직접입력">
      <formula>NOT(ISERROR(SEARCH("직접입력",Y111)))</formula>
    </cfRule>
  </conditionalFormatting>
  <conditionalFormatting sqref="Y112:Z112">
    <cfRule type="containsText" dxfId="105" priority="56" operator="containsText" text="직접입력">
      <formula>NOT(ISERROR(SEARCH("직접입력",Y112)))</formula>
    </cfRule>
  </conditionalFormatting>
  <conditionalFormatting sqref="AD111:AE111">
    <cfRule type="containsText" dxfId="104" priority="61" operator="containsText" text="직접입력">
      <formula>NOT(ISERROR(SEARCH("직접입력",AD111)))</formula>
    </cfRule>
  </conditionalFormatting>
  <conditionalFormatting sqref="Y110:Z110">
    <cfRule type="containsText" dxfId="103" priority="58" operator="containsText" text="직접입력">
      <formula>NOT(ISERROR(SEARCH("직접입력",Y110)))</formula>
    </cfRule>
  </conditionalFormatting>
  <conditionalFormatting sqref="AD109:AE109">
    <cfRule type="containsText" dxfId="102" priority="47" operator="containsText" text="직접입력">
      <formula>NOT(ISERROR(SEARCH("직접입력",AD109)))</formula>
    </cfRule>
  </conditionalFormatting>
  <conditionalFormatting sqref="AD108:AE108">
    <cfRule type="containsText" dxfId="101" priority="48" operator="containsText" text="직접입력">
      <formula>NOT(ISERROR(SEARCH("직접입력",AD108)))</formula>
    </cfRule>
  </conditionalFormatting>
  <conditionalFormatting sqref="Y109:Z109">
    <cfRule type="containsText" dxfId="100" priority="43" operator="containsText" text="직접입력">
      <formula>NOT(ISERROR(SEARCH("직접입력",Y109)))</formula>
    </cfRule>
  </conditionalFormatting>
  <conditionalFormatting sqref="AD106:AE106">
    <cfRule type="containsText" dxfId="99" priority="50" operator="containsText" text="직접입력">
      <formula>NOT(ISERROR(SEARCH("직접입력",AD106)))</formula>
    </cfRule>
  </conditionalFormatting>
  <conditionalFormatting sqref="Y107:Z107">
    <cfRule type="containsText" dxfId="98" priority="45" operator="containsText" text="직접입력">
      <formula>NOT(ISERROR(SEARCH("직접입력",Y107)))</formula>
    </cfRule>
  </conditionalFormatting>
  <conditionalFormatting sqref="Y108:Z108">
    <cfRule type="containsText" dxfId="97" priority="44" operator="containsText" text="직접입력">
      <formula>NOT(ISERROR(SEARCH("직접입력",Y108)))</formula>
    </cfRule>
  </conditionalFormatting>
  <conditionalFormatting sqref="AD107:AE107">
    <cfRule type="containsText" dxfId="96" priority="49" operator="containsText" text="직접입력">
      <formula>NOT(ISERROR(SEARCH("직접입력",AD107)))</formula>
    </cfRule>
  </conditionalFormatting>
  <conditionalFormatting sqref="Y106:Z106">
    <cfRule type="containsText" dxfId="95" priority="46" operator="containsText" text="직접입력">
      <formula>NOT(ISERROR(SEARCH("직접입력",Y106)))</formula>
    </cfRule>
  </conditionalFormatting>
  <conditionalFormatting sqref="AD105:AE105">
    <cfRule type="containsText" dxfId="94" priority="35" operator="containsText" text="직접입력">
      <formula>NOT(ISERROR(SEARCH("직접입력",AD105)))</formula>
    </cfRule>
  </conditionalFormatting>
  <conditionalFormatting sqref="AD104:AE104">
    <cfRule type="containsText" dxfId="93" priority="36" operator="containsText" text="직접입력">
      <formula>NOT(ISERROR(SEARCH("직접입력",AD104)))</formula>
    </cfRule>
  </conditionalFormatting>
  <conditionalFormatting sqref="Y105:Z105">
    <cfRule type="containsText" dxfId="92" priority="31" operator="containsText" text="직접입력">
      <formula>NOT(ISERROR(SEARCH("직접입력",Y105)))</formula>
    </cfRule>
  </conditionalFormatting>
  <conditionalFormatting sqref="AD102:AE102">
    <cfRule type="containsText" dxfId="91" priority="38" operator="containsText" text="직접입력">
      <formula>NOT(ISERROR(SEARCH("직접입력",AD102)))</formula>
    </cfRule>
  </conditionalFormatting>
  <conditionalFormatting sqref="Y103:Z103">
    <cfRule type="containsText" dxfId="90" priority="33" operator="containsText" text="직접입력">
      <formula>NOT(ISERROR(SEARCH("직접입력",Y103)))</formula>
    </cfRule>
  </conditionalFormatting>
  <conditionalFormatting sqref="Y104:Z104">
    <cfRule type="containsText" dxfId="89" priority="32" operator="containsText" text="직접입력">
      <formula>NOT(ISERROR(SEARCH("직접입력",Y104)))</formula>
    </cfRule>
  </conditionalFormatting>
  <conditionalFormatting sqref="AD103:AE103">
    <cfRule type="containsText" dxfId="88" priority="37" operator="containsText" text="직접입력">
      <formula>NOT(ISERROR(SEARCH("직접입력",AD103)))</formula>
    </cfRule>
  </conditionalFormatting>
  <conditionalFormatting sqref="Y102:Z102">
    <cfRule type="containsText" dxfId="87" priority="34" operator="containsText" text="직접입력">
      <formula>NOT(ISERROR(SEARCH("직접입력",Y102)))</formula>
    </cfRule>
  </conditionalFormatting>
  <conditionalFormatting sqref="AD101:AE101">
    <cfRule type="containsText" dxfId="86" priority="23" operator="containsText" text="직접입력">
      <formula>NOT(ISERROR(SEARCH("직접입력",AD101)))</formula>
    </cfRule>
  </conditionalFormatting>
  <conditionalFormatting sqref="V99">
    <cfRule type="containsText" dxfId="85" priority="28" operator="containsText" text="국도비">
      <formula>NOT(ISERROR(SEARCH("국도비",V99)))</formula>
    </cfRule>
  </conditionalFormatting>
  <conditionalFormatting sqref="V98">
    <cfRule type="containsText" dxfId="84" priority="27" operator="containsText" text="국도비">
      <formula>NOT(ISERROR(SEARCH("국도비",V98)))</formula>
    </cfRule>
  </conditionalFormatting>
  <conditionalFormatting sqref="AD100:AE100">
    <cfRule type="containsText" dxfId="83" priority="24" operator="containsText" text="직접입력">
      <formula>NOT(ISERROR(SEARCH("직접입력",AD100)))</formula>
    </cfRule>
  </conditionalFormatting>
  <conditionalFormatting sqref="Y101:Z101">
    <cfRule type="containsText" dxfId="82" priority="19" operator="containsText" text="직접입력">
      <formula>NOT(ISERROR(SEARCH("직접입력",Y101)))</formula>
    </cfRule>
  </conditionalFormatting>
  <conditionalFormatting sqref="AD98:AE98">
    <cfRule type="containsText" dxfId="81" priority="26" operator="containsText" text="직접입력">
      <formula>NOT(ISERROR(SEARCH("직접입력",AD98)))</formula>
    </cfRule>
  </conditionalFormatting>
  <conditionalFormatting sqref="Y99:Z99">
    <cfRule type="containsText" dxfId="80" priority="21" operator="containsText" text="직접입력">
      <formula>NOT(ISERROR(SEARCH("직접입력",Y99)))</formula>
    </cfRule>
  </conditionalFormatting>
  <conditionalFormatting sqref="Y100:Z100">
    <cfRule type="containsText" dxfId="79" priority="20" operator="containsText" text="직접입력">
      <formula>NOT(ISERROR(SEARCH("직접입력",Y100)))</formula>
    </cfRule>
  </conditionalFormatting>
  <conditionalFormatting sqref="AD99:AE99">
    <cfRule type="containsText" dxfId="78" priority="25" operator="containsText" text="직접입력">
      <formula>NOT(ISERROR(SEARCH("직접입력",AD99)))</formula>
    </cfRule>
  </conditionalFormatting>
  <conditionalFormatting sqref="Y98:Z98">
    <cfRule type="containsText" dxfId="77" priority="22" operator="containsText" text="직접입력">
      <formula>NOT(ISERROR(SEARCH("직접입력",Y98)))</formula>
    </cfRule>
  </conditionalFormatting>
  <conditionalFormatting sqref="V100:V125">
    <cfRule type="containsText" dxfId="76" priority="18" operator="containsText" text="국도비">
      <formula>NOT(ISERROR(SEARCH("국도비",V100)))</formula>
    </cfRule>
  </conditionalFormatting>
  <conditionalFormatting sqref="AD165:AE165 Y165:Z165">
    <cfRule type="containsText" dxfId="75" priority="17" operator="containsText" text="직접입력">
      <formula>NOT(ISERROR(SEARCH("직접입력",Y165)))</formula>
    </cfRule>
  </conditionalFormatting>
  <conditionalFormatting sqref="AD160:AE160 Y160:Z160">
    <cfRule type="containsText" dxfId="74" priority="16" operator="containsText" text="직접입력">
      <formula>NOT(ISERROR(SEARCH("직접입력",Y160)))</formula>
    </cfRule>
  </conditionalFormatting>
  <conditionalFormatting sqref="V29">
    <cfRule type="containsText" dxfId="73" priority="15" operator="containsText" text="국도비">
      <formula>NOT(ISERROR(SEARCH("국도비",V29)))</formula>
    </cfRule>
  </conditionalFormatting>
  <conditionalFormatting sqref="Y29:Z29">
    <cfRule type="containsText" dxfId="72" priority="14" operator="containsText" text="직접입력">
      <formula>NOT(ISERROR(SEARCH("직접입력",Y29)))</formula>
    </cfRule>
  </conditionalFormatting>
  <conditionalFormatting sqref="AD29:AE29">
    <cfRule type="containsText" dxfId="71" priority="13" operator="containsText" text="직접입력">
      <formula>NOT(ISERROR(SEARCH("직접입력",AD29)))</formula>
    </cfRule>
  </conditionalFormatting>
  <conditionalFormatting sqref="V28">
    <cfRule type="containsText" dxfId="70" priority="12" operator="containsText" text="국도비">
      <formula>NOT(ISERROR(SEARCH("국도비",V28)))</formula>
    </cfRule>
  </conditionalFormatting>
  <conditionalFormatting sqref="Y28:Z28">
    <cfRule type="containsText" dxfId="69" priority="11" operator="containsText" text="직접입력">
      <formula>NOT(ISERROR(SEARCH("직접입력",Y28)))</formula>
    </cfRule>
  </conditionalFormatting>
  <conditionalFormatting sqref="AD28:AE28">
    <cfRule type="containsText" dxfId="68" priority="10" operator="containsText" text="직접입력">
      <formula>NOT(ISERROR(SEARCH("직접입력",AD28)))</formula>
    </cfRule>
  </conditionalFormatting>
  <conditionalFormatting sqref="V27">
    <cfRule type="containsText" dxfId="67" priority="9" operator="containsText" text="국도비">
      <formula>NOT(ISERROR(SEARCH("국도비",V27)))</formula>
    </cfRule>
  </conditionalFormatting>
  <conditionalFormatting sqref="Y27:Z27">
    <cfRule type="containsText" dxfId="66" priority="8" operator="containsText" text="직접입력">
      <formula>NOT(ISERROR(SEARCH("직접입력",Y27)))</formula>
    </cfRule>
  </conditionalFormatting>
  <conditionalFormatting sqref="AD27:AE27">
    <cfRule type="containsText" dxfId="65" priority="7" operator="containsText" text="직접입력">
      <formula>NOT(ISERROR(SEARCH("직접입력",AD27)))</formula>
    </cfRule>
  </conditionalFormatting>
  <conditionalFormatting sqref="V40">
    <cfRule type="containsText" dxfId="64" priority="6" operator="containsText" text="국도비">
      <formula>NOT(ISERROR(SEARCH("국도비",V40)))</formula>
    </cfRule>
  </conditionalFormatting>
  <conditionalFormatting sqref="AD40:AE40">
    <cfRule type="containsText" dxfId="63" priority="5" operator="containsText" text="직접입력">
      <formula>NOT(ISERROR(SEARCH("직접입력",AD40)))</formula>
    </cfRule>
  </conditionalFormatting>
  <conditionalFormatting sqref="Y40:Z40">
    <cfRule type="containsText" dxfId="62" priority="4" operator="containsText" text="직접입력">
      <formula>NOT(ISERROR(SEARCH("직접입력",Y40)))</formula>
    </cfRule>
  </conditionalFormatting>
  <conditionalFormatting sqref="V41">
    <cfRule type="containsText" dxfId="61" priority="3" operator="containsText" text="국도비">
      <formula>NOT(ISERROR(SEARCH("국도비",V41)))</formula>
    </cfRule>
  </conditionalFormatting>
  <conditionalFormatting sqref="AD41:AE41">
    <cfRule type="containsText" dxfId="60" priority="2" operator="containsText" text="직접입력">
      <formula>NOT(ISERROR(SEARCH("직접입력",AD41)))</formula>
    </cfRule>
  </conditionalFormatting>
  <conditionalFormatting sqref="Y41:Z41">
    <cfRule type="containsText" dxfId="59" priority="1" operator="containsText" text="직접입력">
      <formula>NOT(ISERROR(SEARCH("직접입력",Y41)))</formula>
    </cfRule>
  </conditionalFormatting>
  <dataValidations count="4">
    <dataValidation type="list" allowBlank="1" showInputMessage="1" showErrorMessage="1" sqref="D137 D51 D76">
      <formula1>"본예산,1회추경,신규"</formula1>
    </dataValidation>
    <dataValidation type="list" allowBlank="1" showInputMessage="1" showErrorMessage="1" sqref="D77:D128 D14:D21 D8:D12 D138:D145 D23:D31 D44:D50 D52:D75 D147:D166 D130:D136 D33:D42">
      <formula1>"본예산,1회추경,2회추경,3회추경,신규"</formula1>
    </dataValidation>
    <dataValidation type="list" allowBlank="1" showInputMessage="1" showErrorMessage="1" sqref="V7:V166">
      <formula1>"국도비,도비"</formula1>
    </dataValidation>
    <dataValidation type="list" allowBlank="1" showInputMessage="1" showErrorMessage="1" sqref="X7:X166">
      <formula1>"도비,국비,지특,기금,특교,소방안전"</formula1>
    </dataValidation>
  </dataValidations>
  <pageMargins left="0.23622047244094491" right="0.23622047244094491" top="0.74803149606299213" bottom="0.55118110236220474" header="0.31496062992125984" footer="0.31496062992125984"/>
  <pageSetup paperSize="8" scale="82" fitToHeight="0" orientation="landscape" horizontalDpi="4294967294" verticalDpi="1200" r:id="rId1"/>
  <headerFooter>
    <oddFooter>&amp;C&amp;P/&amp;N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47" customWidth="1"/>
    <col min="2" max="2" width="22" style="47" customWidth="1"/>
    <col min="3" max="3" width="17.875" style="47" customWidth="1"/>
    <col min="4" max="4" width="14.75" style="47" customWidth="1"/>
    <col min="5" max="5" width="15.25" style="47" customWidth="1"/>
    <col min="6" max="6" width="14.25" style="47" customWidth="1"/>
    <col min="7" max="7" width="13.5" style="47" customWidth="1"/>
    <col min="8" max="8" width="17.25" style="47" customWidth="1"/>
    <col min="9" max="9" width="17.125" style="51" hidden="1" customWidth="1"/>
    <col min="10" max="10" width="16" style="51" hidden="1" customWidth="1"/>
    <col min="11" max="11" width="14.625" style="51" hidden="1" customWidth="1"/>
    <col min="12" max="12" width="21.75" style="51" hidden="1" customWidth="1"/>
    <col min="13" max="14" width="14.75" style="51" hidden="1" customWidth="1"/>
    <col min="15" max="15" width="12.25" style="51" hidden="1" customWidth="1"/>
    <col min="16" max="16" width="13.375" style="51" hidden="1" customWidth="1"/>
    <col min="17" max="16384" width="9" style="47"/>
  </cols>
  <sheetData>
    <row r="1" spans="2:16" ht="33" customHeight="1">
      <c r="B1" s="509" t="s">
        <v>365</v>
      </c>
      <c r="C1" s="510"/>
      <c r="D1" s="510"/>
      <c r="E1" s="510"/>
      <c r="F1" s="510"/>
      <c r="G1" s="510"/>
      <c r="H1" s="510"/>
    </row>
    <row r="2" spans="2:16" ht="12.75" customHeight="1">
      <c r="B2" s="52"/>
      <c r="C2" s="53"/>
      <c r="D2" s="53"/>
      <c r="E2" s="53"/>
      <c r="F2" s="53"/>
      <c r="G2" s="53"/>
      <c r="H2" s="53"/>
    </row>
    <row r="3" spans="2:16" ht="23.25" customHeight="1">
      <c r="B3" s="54" t="s">
        <v>20</v>
      </c>
      <c r="C3" s="55"/>
      <c r="D3" s="45" t="s">
        <v>113</v>
      </c>
      <c r="E3" s="45" t="e">
        <f>SUM(D7:E7)</f>
        <v>#REF!</v>
      </c>
      <c r="F3" s="45" t="s">
        <v>114</v>
      </c>
      <c r="G3" s="45" t="e">
        <f>SUM(F7:G7)</f>
        <v>#REF!</v>
      </c>
      <c r="H3" s="46"/>
    </row>
    <row r="4" spans="2:16" s="57" customFormat="1" ht="18" customHeight="1" thickBot="1">
      <c r="B4" s="56"/>
      <c r="H4" s="58" t="s">
        <v>21</v>
      </c>
      <c r="I4" s="59"/>
      <c r="J4" s="59"/>
      <c r="K4" s="59"/>
      <c r="L4" s="59"/>
      <c r="M4" s="60" t="s">
        <v>22</v>
      </c>
      <c r="N4" s="59"/>
      <c r="O4" s="60" t="s">
        <v>23</v>
      </c>
      <c r="P4" s="60"/>
    </row>
    <row r="5" spans="2:16" ht="33" customHeight="1">
      <c r="B5" s="511" t="s">
        <v>24</v>
      </c>
      <c r="C5" s="513" t="s">
        <v>25</v>
      </c>
      <c r="D5" s="515" t="s">
        <v>26</v>
      </c>
      <c r="E5" s="515"/>
      <c r="F5" s="515" t="s">
        <v>27</v>
      </c>
      <c r="G5" s="515"/>
      <c r="H5" s="516" t="s">
        <v>28</v>
      </c>
      <c r="I5" s="522" t="s">
        <v>29</v>
      </c>
      <c r="J5" s="522"/>
      <c r="K5" s="518" t="s">
        <v>30</v>
      </c>
      <c r="L5" s="520" t="s">
        <v>31</v>
      </c>
      <c r="M5" s="522" t="s">
        <v>32</v>
      </c>
      <c r="N5" s="523"/>
      <c r="O5" s="524" t="s">
        <v>33</v>
      </c>
      <c r="P5" s="525"/>
    </row>
    <row r="6" spans="2:16" ht="33" customHeight="1">
      <c r="B6" s="512"/>
      <c r="C6" s="514"/>
      <c r="D6" s="61" t="s">
        <v>34</v>
      </c>
      <c r="E6" s="61" t="s">
        <v>35</v>
      </c>
      <c r="F6" s="61" t="s">
        <v>34</v>
      </c>
      <c r="G6" s="61" t="s">
        <v>35</v>
      </c>
      <c r="H6" s="517"/>
      <c r="I6" s="62" t="s">
        <v>36</v>
      </c>
      <c r="J6" s="63" t="s">
        <v>37</v>
      </c>
      <c r="K6" s="519"/>
      <c r="L6" s="521"/>
      <c r="M6" s="64" t="s">
        <v>36</v>
      </c>
      <c r="N6" s="65" t="s">
        <v>37</v>
      </c>
      <c r="O6" s="526"/>
      <c r="P6" s="527"/>
    </row>
    <row r="7" spans="2:16" ht="45" customHeight="1" thickBot="1">
      <c r="B7" s="66" t="s">
        <v>38</v>
      </c>
      <c r="C7" s="67">
        <f t="shared" ref="C7:H7" si="0">SUM(C8:C18)</f>
        <v>18076711803</v>
      </c>
      <c r="D7" s="16" t="e">
        <f t="shared" si="0"/>
        <v>#REF!</v>
      </c>
      <c r="E7" s="16" t="e">
        <f t="shared" si="0"/>
        <v>#REF!</v>
      </c>
      <c r="F7" s="16" t="e">
        <f t="shared" si="0"/>
        <v>#REF!</v>
      </c>
      <c r="G7" s="16" t="e">
        <f t="shared" si="0"/>
        <v>#REF!</v>
      </c>
      <c r="H7" s="68" t="e">
        <f t="shared" si="0"/>
        <v>#REF!</v>
      </c>
      <c r="I7" s="69" t="e">
        <f>E25+D25</f>
        <v>#REF!</v>
      </c>
      <c r="J7" s="70" t="e">
        <f>F25+G25</f>
        <v>#REF!</v>
      </c>
      <c r="K7" s="71" t="e">
        <f>I7-J7</f>
        <v>#REF!</v>
      </c>
      <c r="L7" s="72" t="s">
        <v>39</v>
      </c>
      <c r="M7" s="73" t="e">
        <f>D24+E24</f>
        <v>#REF!</v>
      </c>
      <c r="N7" s="74" t="e">
        <f>F24+G24</f>
        <v>#REF!</v>
      </c>
      <c r="O7" s="75">
        <v>0</v>
      </c>
      <c r="P7" s="75">
        <v>0</v>
      </c>
    </row>
    <row r="8" spans="2:16" ht="45" hidden="1" customHeight="1" thickBot="1">
      <c r="B8" s="76" t="s">
        <v>40</v>
      </c>
      <c r="C8" s="67">
        <v>0</v>
      </c>
      <c r="D8" s="16"/>
      <c r="E8" s="16"/>
      <c r="F8" s="16"/>
      <c r="G8" s="16"/>
      <c r="H8" s="68">
        <f>C8-F8+G8</f>
        <v>0</v>
      </c>
      <c r="I8" s="77" t="e">
        <f>D7+E7</f>
        <v>#REF!</v>
      </c>
      <c r="J8" s="78" t="e">
        <f>F7+G7</f>
        <v>#REF!</v>
      </c>
      <c r="K8" s="79" t="e">
        <f>I8-J8</f>
        <v>#REF!</v>
      </c>
      <c r="L8" s="80"/>
      <c r="M8" s="81"/>
      <c r="N8" s="82"/>
      <c r="O8" s="83"/>
      <c r="P8" s="83"/>
    </row>
    <row r="9" spans="2:16" ht="45" customHeight="1">
      <c r="B9" s="84" t="s">
        <v>94</v>
      </c>
      <c r="C9" s="85">
        <v>41526053</v>
      </c>
      <c r="D9" s="16" t="e">
        <f>SUMIFS(#REF!,#REF!,'2추총괄표'!$B9)</f>
        <v>#REF!</v>
      </c>
      <c r="E9" s="16" t="e">
        <f>SUMIFS(#REF!,#REF!,'2추총괄표'!$B9)</f>
        <v>#REF!</v>
      </c>
      <c r="F9" s="16" t="e">
        <f>SUMIFS(#REF!,#REF!,'2추총괄표'!$B9)</f>
        <v>#REF!</v>
      </c>
      <c r="G9" s="16" t="e">
        <f>SUMIFS(#REF!,#REF!,'2추총괄표'!$B9)</f>
        <v>#REF!</v>
      </c>
      <c r="H9" s="68" t="e">
        <f>C9+F9+G9</f>
        <v>#REF!</v>
      </c>
      <c r="I9" s="536" t="s">
        <v>41</v>
      </c>
      <c r="J9" s="537"/>
      <c r="K9" s="59"/>
      <c r="N9" s="86" t="s">
        <v>42</v>
      </c>
    </row>
    <row r="10" spans="2:16" ht="45" customHeight="1" thickBot="1">
      <c r="B10" s="84" t="s">
        <v>95</v>
      </c>
      <c r="C10" s="67">
        <v>5330576319</v>
      </c>
      <c r="D10" s="16" t="e">
        <f>SUMIFS(#REF!,#REF!,'2추총괄표'!$B10)</f>
        <v>#REF!</v>
      </c>
      <c r="E10" s="16" t="e">
        <f>SUMIFS(#REF!,#REF!,'2추총괄표'!$B10)</f>
        <v>#REF!</v>
      </c>
      <c r="F10" s="16" t="e">
        <f>SUMIFS(#REF!,#REF!,'2추총괄표'!$B10)</f>
        <v>#REF!</v>
      </c>
      <c r="G10" s="16" t="e">
        <f>SUMIFS(#REF!,#REF!,'2추총괄표'!$B10)</f>
        <v>#REF!</v>
      </c>
      <c r="H10" s="68" t="e">
        <f t="shared" ref="H10:H18" si="1">C10+F10+G10</f>
        <v>#REF!</v>
      </c>
      <c r="I10" s="87" t="e">
        <f>#REF!+#REF!</f>
        <v>#REF!</v>
      </c>
      <c r="J10" s="88" t="e">
        <f>#REF!+#REF!</f>
        <v>#REF!</v>
      </c>
      <c r="K10" s="59"/>
      <c r="N10" s="89" t="e">
        <f>M7-N7</f>
        <v>#REF!</v>
      </c>
    </row>
    <row r="11" spans="2:16" ht="45" customHeight="1">
      <c r="B11" s="84" t="s">
        <v>96</v>
      </c>
      <c r="C11" s="67">
        <v>551253750</v>
      </c>
      <c r="D11" s="16" t="e">
        <f>SUMIFS(#REF!,#REF!,'2추총괄표'!$B11)</f>
        <v>#REF!</v>
      </c>
      <c r="E11" s="16" t="e">
        <f>SUMIFS(#REF!,#REF!,'2추총괄표'!$B11)</f>
        <v>#REF!</v>
      </c>
      <c r="F11" s="16" t="e">
        <f>SUMIFS(#REF!,#REF!,'2추총괄표'!$B11)</f>
        <v>#REF!</v>
      </c>
      <c r="G11" s="16" t="e">
        <f>SUMIFS(#REF!,#REF!,'2추총괄표'!$B11)</f>
        <v>#REF!</v>
      </c>
      <c r="H11" s="68" t="e">
        <f t="shared" si="1"/>
        <v>#REF!</v>
      </c>
      <c r="J11" s="90"/>
      <c r="K11" s="91"/>
    </row>
    <row r="12" spans="2:16" ht="45" customHeight="1">
      <c r="B12" s="84" t="s">
        <v>97</v>
      </c>
      <c r="C12" s="67">
        <v>1151519175</v>
      </c>
      <c r="D12" s="16" t="e">
        <f>SUMIFS(#REF!,#REF!,'2추총괄표'!$B12)</f>
        <v>#REF!</v>
      </c>
      <c r="E12" s="16" t="e">
        <f>SUMIFS(#REF!,#REF!,'2추총괄표'!$B12)</f>
        <v>#REF!</v>
      </c>
      <c r="F12" s="16" t="e">
        <f>SUMIFS(#REF!,#REF!,'2추총괄표'!$B12)</f>
        <v>#REF!</v>
      </c>
      <c r="G12" s="16" t="e">
        <f>SUMIFS(#REF!,#REF!,'2추총괄표'!$B12)</f>
        <v>#REF!</v>
      </c>
      <c r="H12" s="68" t="e">
        <f t="shared" si="1"/>
        <v>#REF!</v>
      </c>
      <c r="J12" s="92"/>
      <c r="L12" s="93"/>
      <c r="M12" s="93"/>
    </row>
    <row r="13" spans="2:16" ht="45" customHeight="1">
      <c r="B13" s="84" t="s">
        <v>98</v>
      </c>
      <c r="C13" s="67">
        <v>258716894</v>
      </c>
      <c r="D13" s="16" t="e">
        <f>SUMIFS(#REF!,#REF!,'2추총괄표'!$B13)</f>
        <v>#REF!</v>
      </c>
      <c r="E13" s="16" t="e">
        <f>SUMIFS(#REF!,#REF!,'2추총괄표'!$B13)</f>
        <v>#REF!</v>
      </c>
      <c r="F13" s="16" t="e">
        <f>SUMIFS(#REF!,#REF!,'2추총괄표'!$B13)</f>
        <v>#REF!</v>
      </c>
      <c r="G13" s="16" t="e">
        <f>SUMIFS(#REF!,#REF!,'2추총괄표'!$B13)</f>
        <v>#REF!</v>
      </c>
      <c r="H13" s="68" t="e">
        <f t="shared" si="1"/>
        <v>#REF!</v>
      </c>
      <c r="K13" s="12"/>
      <c r="L13" s="13"/>
      <c r="N13" s="51" t="s">
        <v>43</v>
      </c>
    </row>
    <row r="14" spans="2:16" s="96" customFormat="1" ht="45" customHeight="1">
      <c r="B14" s="84" t="s">
        <v>99</v>
      </c>
      <c r="C14" s="94">
        <v>474291470</v>
      </c>
      <c r="D14" s="16" t="e">
        <f>SUMIFS(#REF!,#REF!,'2추총괄표'!$B14)</f>
        <v>#REF!</v>
      </c>
      <c r="E14" s="16" t="e">
        <f>SUMIFS(#REF!,#REF!,'2추총괄표'!$B14)</f>
        <v>#REF!</v>
      </c>
      <c r="F14" s="16" t="e">
        <f>SUMIFS(#REF!,#REF!,'2추총괄표'!$B14)</f>
        <v>#REF!</v>
      </c>
      <c r="G14" s="16" t="e">
        <f>SUMIFS(#REF!,#REF!,'2추총괄표'!$B14)</f>
        <v>#REF!</v>
      </c>
      <c r="H14" s="68" t="e">
        <f t="shared" si="1"/>
        <v>#REF!</v>
      </c>
      <c r="I14" s="95"/>
      <c r="J14" s="95"/>
      <c r="K14" s="12"/>
      <c r="L14" s="13"/>
      <c r="M14" s="81"/>
      <c r="N14" s="82" t="e">
        <f>N10-K7</f>
        <v>#REF!</v>
      </c>
      <c r="O14" s="95"/>
      <c r="P14" s="95"/>
    </row>
    <row r="15" spans="2:16" s="96" customFormat="1" ht="45" customHeight="1">
      <c r="B15" s="84" t="s">
        <v>68</v>
      </c>
      <c r="C15" s="94">
        <v>3278893259</v>
      </c>
      <c r="D15" s="16" t="e">
        <f>SUMIFS(#REF!,#REF!,'2추총괄표'!$B15)</f>
        <v>#REF!</v>
      </c>
      <c r="E15" s="16" t="e">
        <f>SUMIFS(#REF!,#REF!,'2추총괄표'!$B15)</f>
        <v>#REF!</v>
      </c>
      <c r="F15" s="16" t="e">
        <f>SUMIFS(#REF!,#REF!,'2추총괄표'!$B15)</f>
        <v>#REF!</v>
      </c>
      <c r="G15" s="16" t="e">
        <f>SUMIFS(#REF!,#REF!,'2추총괄표'!$B15)</f>
        <v>#REF!</v>
      </c>
      <c r="H15" s="68" t="e">
        <f t="shared" si="1"/>
        <v>#REF!</v>
      </c>
      <c r="I15" s="95"/>
      <c r="J15" s="95"/>
      <c r="K15" s="12"/>
      <c r="L15" s="13"/>
      <c r="M15" s="95"/>
      <c r="N15" s="95"/>
      <c r="O15" s="95"/>
      <c r="P15" s="95"/>
    </row>
    <row r="16" spans="2:16" s="96" customFormat="1" ht="45" customHeight="1">
      <c r="B16" s="84" t="s">
        <v>100</v>
      </c>
      <c r="C16" s="94">
        <v>1191584285</v>
      </c>
      <c r="D16" s="16" t="e">
        <f>SUMIFS(#REF!,#REF!,'2추총괄표'!$B16)</f>
        <v>#REF!</v>
      </c>
      <c r="E16" s="16" t="e">
        <f>SUMIFS(#REF!,#REF!,'2추총괄표'!$B16)</f>
        <v>#REF!</v>
      </c>
      <c r="F16" s="16" t="e">
        <f>SUMIFS(#REF!,#REF!,'2추총괄표'!$B16)</f>
        <v>#REF!</v>
      </c>
      <c r="G16" s="16" t="e">
        <f>SUMIFS(#REF!,#REF!,'2추총괄표'!$B16)</f>
        <v>#REF!</v>
      </c>
      <c r="H16" s="68" t="e">
        <f t="shared" si="1"/>
        <v>#REF!</v>
      </c>
      <c r="I16" s="95"/>
      <c r="J16" s="95"/>
      <c r="K16" s="12"/>
      <c r="L16" s="13"/>
      <c r="M16" s="95"/>
      <c r="N16" s="95"/>
      <c r="O16" s="95"/>
      <c r="P16" s="95"/>
    </row>
    <row r="17" spans="2:16" s="100" customFormat="1" ht="45" customHeight="1">
      <c r="B17" s="97" t="s">
        <v>101</v>
      </c>
      <c r="C17" s="98">
        <v>898421829</v>
      </c>
      <c r="D17" s="16" t="e">
        <f>SUMIFS(#REF!,#REF!,'2추총괄표'!$B17)</f>
        <v>#REF!</v>
      </c>
      <c r="E17" s="16" t="e">
        <f>SUMIFS(#REF!,#REF!,'2추총괄표'!$B17)</f>
        <v>#REF!</v>
      </c>
      <c r="F17" s="16" t="e">
        <f>SUMIFS(#REF!,#REF!,'2추총괄표'!$B17)</f>
        <v>#REF!</v>
      </c>
      <c r="G17" s="16" t="e">
        <f>SUMIFS(#REF!,#REF!,'2추총괄표'!$B17)</f>
        <v>#REF!</v>
      </c>
      <c r="H17" s="68" t="e">
        <f t="shared" si="1"/>
        <v>#REF!</v>
      </c>
      <c r="I17" s="99"/>
      <c r="J17" s="99"/>
      <c r="K17" s="12"/>
      <c r="L17" s="13"/>
      <c r="M17" s="99"/>
      <c r="N17" s="99"/>
      <c r="O17" s="99"/>
      <c r="P17" s="99"/>
    </row>
    <row r="18" spans="2:16" s="96" customFormat="1" ht="45" customHeight="1" thickBot="1">
      <c r="B18" s="101" t="s">
        <v>358</v>
      </c>
      <c r="C18" s="102">
        <v>4899928769</v>
      </c>
      <c r="D18" s="17" t="e">
        <f>SUMIFS(#REF!,#REF!,'2추총괄표'!$B18)</f>
        <v>#REF!</v>
      </c>
      <c r="E18" s="17" t="e">
        <f>SUMIFS(#REF!,#REF!,'2추총괄표'!$B18)</f>
        <v>#REF!</v>
      </c>
      <c r="F18" s="17" t="e">
        <f>SUMIFS(#REF!,#REF!,'2추총괄표'!$B18)</f>
        <v>#REF!</v>
      </c>
      <c r="G18" s="17" t="e">
        <f>SUMIFS(#REF!,#REF!,'2추총괄표'!$B18)</f>
        <v>#REF!</v>
      </c>
      <c r="H18" s="103" t="e">
        <f t="shared" si="1"/>
        <v>#REF!</v>
      </c>
      <c r="I18" s="95"/>
      <c r="J18" s="95"/>
      <c r="K18" s="12"/>
      <c r="L18" s="13"/>
      <c r="M18" s="95"/>
      <c r="N18" s="95"/>
      <c r="O18" s="95"/>
      <c r="P18" s="95"/>
    </row>
    <row r="19" spans="2:16" ht="18" customHeight="1">
      <c r="B19" s="57"/>
      <c r="C19" s="57"/>
      <c r="D19" s="57"/>
      <c r="E19" s="57"/>
      <c r="F19" s="57"/>
      <c r="G19" s="57"/>
      <c r="H19" s="57"/>
      <c r="K19" s="12"/>
      <c r="L19" s="13"/>
    </row>
    <row r="20" spans="2:16" ht="20.25">
      <c r="B20" s="104" t="s">
        <v>44</v>
      </c>
      <c r="C20" s="54"/>
      <c r="D20" s="54"/>
      <c r="E20" s="54"/>
      <c r="F20" s="54"/>
      <c r="G20" s="54"/>
      <c r="H20" s="105"/>
      <c r="K20" s="12"/>
      <c r="L20" s="13"/>
    </row>
    <row r="21" spans="2:16" ht="19.5" thickBot="1">
      <c r="B21" s="56"/>
      <c r="C21" s="57"/>
      <c r="D21" s="57"/>
      <c r="E21" s="57"/>
      <c r="F21" s="57"/>
      <c r="G21" s="57"/>
      <c r="H21" s="58" t="s">
        <v>14</v>
      </c>
    </row>
    <row r="22" spans="2:16" ht="33" customHeight="1">
      <c r="B22" s="528" t="s">
        <v>45</v>
      </c>
      <c r="C22" s="530" t="s">
        <v>46</v>
      </c>
      <c r="D22" s="532" t="s">
        <v>26</v>
      </c>
      <c r="E22" s="533"/>
      <c r="F22" s="532" t="s">
        <v>27</v>
      </c>
      <c r="G22" s="533"/>
      <c r="H22" s="534" t="s">
        <v>28</v>
      </c>
    </row>
    <row r="23" spans="2:16" ht="33" customHeight="1">
      <c r="B23" s="529"/>
      <c r="C23" s="531"/>
      <c r="D23" s="61" t="s">
        <v>34</v>
      </c>
      <c r="E23" s="61" t="s">
        <v>35</v>
      </c>
      <c r="F23" s="61" t="s">
        <v>34</v>
      </c>
      <c r="G23" s="61" t="s">
        <v>35</v>
      </c>
      <c r="H23" s="535"/>
      <c r="I23" s="51" t="s">
        <v>47</v>
      </c>
    </row>
    <row r="24" spans="2:16" ht="45" customHeight="1">
      <c r="B24" s="66" t="s">
        <v>48</v>
      </c>
      <c r="C24" s="67">
        <f t="shared" ref="C24:G24" si="2">SUM(C25:C26)</f>
        <v>0</v>
      </c>
      <c r="D24" s="16" t="e">
        <f t="shared" si="2"/>
        <v>#REF!</v>
      </c>
      <c r="E24" s="67" t="e">
        <f t="shared" si="2"/>
        <v>#REF!</v>
      </c>
      <c r="F24" s="16" t="e">
        <f t="shared" si="2"/>
        <v>#REF!</v>
      </c>
      <c r="G24" s="67" t="e">
        <f t="shared" si="2"/>
        <v>#REF!</v>
      </c>
      <c r="H24" s="68" t="e">
        <f>SUM(H25:H26)</f>
        <v>#REF!</v>
      </c>
      <c r="I24" s="59" t="e">
        <f>C24+D24+E24</f>
        <v>#REF!</v>
      </c>
      <c r="J24" s="59" t="e">
        <f>I24-H24</f>
        <v>#REF!</v>
      </c>
      <c r="K24" s="59" t="s">
        <v>49</v>
      </c>
    </row>
    <row r="25" spans="2:16" ht="45" customHeight="1">
      <c r="B25" s="66" t="s">
        <v>15</v>
      </c>
      <c r="C25" s="67"/>
      <c r="D25" s="16" t="e">
        <f>#REF!</f>
        <v>#REF!</v>
      </c>
      <c r="E25" s="16" t="e">
        <f>#REF!</f>
        <v>#REF!</v>
      </c>
      <c r="F25" s="16" t="e">
        <f>#REF!</f>
        <v>#REF!</v>
      </c>
      <c r="G25" s="16" t="e">
        <f>#REF!</f>
        <v>#REF!</v>
      </c>
      <c r="H25" s="68" t="e">
        <f>C25+F25+G25</f>
        <v>#REF!</v>
      </c>
      <c r="I25" s="59" t="e">
        <f>C25+D25+E25</f>
        <v>#REF!</v>
      </c>
      <c r="J25" s="59" t="e">
        <f>I25-H25</f>
        <v>#REF!</v>
      </c>
      <c r="K25" s="59" t="s">
        <v>49</v>
      </c>
    </row>
    <row r="26" spans="2:16" ht="45" customHeight="1" thickBot="1">
      <c r="B26" s="106" t="s">
        <v>50</v>
      </c>
      <c r="C26" s="107"/>
      <c r="D26" s="17"/>
      <c r="E26" s="17"/>
      <c r="F26" s="17"/>
      <c r="G26" s="17"/>
      <c r="H26" s="103">
        <f>C26+F26+G26</f>
        <v>0</v>
      </c>
      <c r="I26" s="59">
        <f>C26+D26+E26</f>
        <v>0</v>
      </c>
      <c r="J26" s="59">
        <f>I26-H26</f>
        <v>0</v>
      </c>
      <c r="K26" s="59" t="s">
        <v>49</v>
      </c>
    </row>
    <row r="27" spans="2:16" ht="9" customHeight="1">
      <c r="B27" s="57"/>
      <c r="C27" s="57"/>
      <c r="D27" s="57"/>
      <c r="E27" s="57"/>
      <c r="F27" s="57"/>
      <c r="G27" s="57"/>
      <c r="H27" s="57"/>
    </row>
    <row r="28" spans="2:16" ht="20.25" hidden="1" customHeight="1"/>
    <row r="29" spans="2:16" ht="20.25" hidden="1" customHeight="1"/>
    <row r="30" spans="2:16" ht="14.25" hidden="1">
      <c r="B30" s="108" t="s">
        <v>16</v>
      </c>
      <c r="C30" s="109" t="s">
        <v>51</v>
      </c>
      <c r="D30" s="110" t="s">
        <v>52</v>
      </c>
      <c r="E30" s="109" t="s">
        <v>53</v>
      </c>
      <c r="G30" s="51"/>
      <c r="H30" s="51"/>
      <c r="O30" s="47"/>
      <c r="P30" s="47"/>
    </row>
    <row r="31" spans="2:16" ht="15" hidden="1">
      <c r="B31" s="111" t="s">
        <v>17</v>
      </c>
      <c r="C31" s="112">
        <v>39922113</v>
      </c>
      <c r="D31" s="113"/>
      <c r="E31" s="113">
        <f>SUM(C31:D31)</f>
        <v>39922113</v>
      </c>
      <c r="G31" s="51"/>
      <c r="H31" s="51"/>
      <c r="O31" s="47"/>
      <c r="P31" s="47"/>
    </row>
    <row r="32" spans="2:16" ht="15" hidden="1">
      <c r="B32" s="111" t="s">
        <v>18</v>
      </c>
      <c r="C32" s="112">
        <v>3302571667</v>
      </c>
      <c r="D32" s="112">
        <v>1780946434</v>
      </c>
      <c r="E32" s="113">
        <f t="shared" ref="E32:E41" si="3">SUM(C32:D32)</f>
        <v>5083518101</v>
      </c>
      <c r="G32" s="51"/>
      <c r="H32" s="51"/>
      <c r="O32" s="47"/>
      <c r="P32" s="47"/>
    </row>
    <row r="33" spans="2:16" ht="15" hidden="1">
      <c r="B33" s="111" t="s">
        <v>9</v>
      </c>
      <c r="C33" s="112">
        <v>155329320</v>
      </c>
      <c r="D33" s="112">
        <v>384743740</v>
      </c>
      <c r="E33" s="113">
        <f t="shared" si="3"/>
        <v>540073060</v>
      </c>
      <c r="G33" s="51"/>
      <c r="H33" s="51"/>
      <c r="O33" s="47"/>
      <c r="P33" s="47"/>
    </row>
    <row r="34" spans="2:16" ht="15" hidden="1">
      <c r="B34" s="114" t="s">
        <v>91</v>
      </c>
      <c r="C34" s="112">
        <v>1142858974</v>
      </c>
      <c r="D34" s="113"/>
      <c r="E34" s="113">
        <f t="shared" si="3"/>
        <v>1142858974</v>
      </c>
      <c r="G34" s="51"/>
      <c r="H34" s="51"/>
      <c r="O34" s="47"/>
      <c r="P34" s="47"/>
    </row>
    <row r="35" spans="2:16" ht="15" hidden="1">
      <c r="B35" s="111" t="s">
        <v>13</v>
      </c>
      <c r="C35" s="112">
        <v>224243208</v>
      </c>
      <c r="D35" s="112">
        <v>52484400</v>
      </c>
      <c r="E35" s="113">
        <f t="shared" si="3"/>
        <v>276727608</v>
      </c>
      <c r="G35" s="51"/>
      <c r="H35" s="51"/>
      <c r="O35" s="47"/>
      <c r="P35" s="47"/>
    </row>
    <row r="36" spans="2:16" ht="15" hidden="1">
      <c r="B36" s="114" t="s">
        <v>92</v>
      </c>
      <c r="C36" s="112">
        <v>466978999</v>
      </c>
      <c r="D36" s="113"/>
      <c r="E36" s="113">
        <f t="shared" si="3"/>
        <v>466978999</v>
      </c>
      <c r="G36" s="51"/>
      <c r="H36" s="51"/>
      <c r="O36" s="47"/>
      <c r="P36" s="47"/>
    </row>
    <row r="37" spans="2:16" ht="15" hidden="1">
      <c r="B37" s="114" t="s">
        <v>93</v>
      </c>
      <c r="C37" s="112">
        <v>3254006708</v>
      </c>
      <c r="D37" s="113"/>
      <c r="E37" s="113">
        <f t="shared" si="3"/>
        <v>3254006708</v>
      </c>
      <c r="G37" s="51"/>
      <c r="H37" s="51"/>
      <c r="O37" s="47"/>
      <c r="P37" s="47"/>
    </row>
    <row r="38" spans="2:16" ht="15" hidden="1">
      <c r="B38" s="111" t="s">
        <v>10</v>
      </c>
      <c r="C38" s="112">
        <v>1220859831</v>
      </c>
      <c r="D38" s="113"/>
      <c r="E38" s="113">
        <f t="shared" si="3"/>
        <v>1220859831</v>
      </c>
      <c r="G38" s="51"/>
      <c r="H38" s="51"/>
      <c r="O38" s="47"/>
      <c r="P38" s="47"/>
    </row>
    <row r="39" spans="2:16" ht="15" hidden="1">
      <c r="B39" s="111" t="s">
        <v>11</v>
      </c>
      <c r="C39" s="112">
        <v>866963933</v>
      </c>
      <c r="D39" s="112">
        <v>28360000</v>
      </c>
      <c r="E39" s="113">
        <f t="shared" si="3"/>
        <v>895323933</v>
      </c>
      <c r="G39" s="51"/>
      <c r="H39" s="51"/>
      <c r="O39" s="47"/>
      <c r="P39" s="47"/>
    </row>
    <row r="40" spans="2:16" ht="15" hidden="1">
      <c r="B40" s="111" t="s">
        <v>12</v>
      </c>
      <c r="C40" s="112">
        <v>4882582917</v>
      </c>
      <c r="D40" s="113"/>
      <c r="E40" s="113">
        <f t="shared" si="3"/>
        <v>4882582917</v>
      </c>
      <c r="G40" s="51"/>
      <c r="H40" s="51"/>
      <c r="O40" s="47"/>
      <c r="P40" s="47"/>
    </row>
    <row r="41" spans="2:16" ht="15" hidden="1">
      <c r="B41" s="111" t="s">
        <v>19</v>
      </c>
      <c r="C41" s="113">
        <f>SUM(C31:C40)</f>
        <v>15556317670</v>
      </c>
      <c r="D41" s="113">
        <f>SUM(D31:D40)</f>
        <v>2246534574</v>
      </c>
      <c r="E41" s="113">
        <f t="shared" si="3"/>
        <v>17802852244</v>
      </c>
      <c r="G41" s="51"/>
      <c r="H41" s="51"/>
      <c r="O41" s="47"/>
      <c r="P41" s="47"/>
    </row>
    <row r="42" spans="2:16" hidden="1"/>
    <row r="43" spans="2:16" hidden="1">
      <c r="B43" s="14" t="s">
        <v>54</v>
      </c>
      <c r="C43" s="15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6" hidden="1"/>
    <row r="50" spans="2:6" hidden="1"/>
    <row r="54" spans="2:6">
      <c r="B54" s="538" t="s">
        <v>16</v>
      </c>
      <c r="C54" s="540" t="s">
        <v>382</v>
      </c>
      <c r="D54" s="538" t="s">
        <v>380</v>
      </c>
      <c r="E54" s="538" t="s">
        <v>381</v>
      </c>
      <c r="F54" s="540" t="s">
        <v>53</v>
      </c>
    </row>
    <row r="55" spans="2:6">
      <c r="B55" s="539"/>
      <c r="C55" s="541"/>
      <c r="D55" s="539"/>
      <c r="E55" s="539"/>
      <c r="F55" s="541"/>
    </row>
    <row r="56" spans="2:6">
      <c r="B56" s="125" t="s">
        <v>19</v>
      </c>
      <c r="C56" s="126">
        <f>SUM(C57:C66)</f>
        <v>14571523178</v>
      </c>
      <c r="D56" s="126">
        <f>SUM(D57:D66)</f>
        <v>1223711435</v>
      </c>
      <c r="E56" s="126">
        <f>SUM(E57:E66)</f>
        <v>2281477190</v>
      </c>
      <c r="F56" s="126">
        <f>SUM(C56:E56)</f>
        <v>18076711803</v>
      </c>
    </row>
    <row r="57" spans="2:6">
      <c r="B57" s="127" t="s">
        <v>17</v>
      </c>
      <c r="C57" s="128">
        <v>41526053</v>
      </c>
      <c r="D57" s="128"/>
      <c r="E57" s="128"/>
      <c r="F57" s="126">
        <f t="shared" ref="F57:F66" si="4">SUM(C57:E57)</f>
        <v>41526053</v>
      </c>
    </row>
    <row r="58" spans="2:6">
      <c r="B58" s="127" t="s">
        <v>18</v>
      </c>
      <c r="C58" s="128">
        <v>3471558203</v>
      </c>
      <c r="D58" s="128">
        <v>15000000</v>
      </c>
      <c r="E58" s="128">
        <v>1844018116</v>
      </c>
      <c r="F58" s="126">
        <f t="shared" si="4"/>
        <v>5330576319</v>
      </c>
    </row>
    <row r="59" spans="2:6">
      <c r="B59" s="127" t="s">
        <v>9</v>
      </c>
      <c r="C59" s="128">
        <v>166510010</v>
      </c>
      <c r="D59" s="128"/>
      <c r="E59" s="128">
        <v>384743740</v>
      </c>
      <c r="F59" s="126">
        <f t="shared" si="4"/>
        <v>551253750</v>
      </c>
    </row>
    <row r="60" spans="2:6">
      <c r="B60" s="127" t="s">
        <v>384</v>
      </c>
      <c r="C60" s="128">
        <v>1151519175</v>
      </c>
      <c r="D60" s="128"/>
      <c r="E60" s="128"/>
      <c r="F60" s="126">
        <f t="shared" si="4"/>
        <v>1151519175</v>
      </c>
    </row>
    <row r="61" spans="2:6">
      <c r="B61" s="127" t="s">
        <v>13</v>
      </c>
      <c r="C61" s="128">
        <v>234366028</v>
      </c>
      <c r="D61" s="128"/>
      <c r="E61" s="128">
        <v>24350866</v>
      </c>
      <c r="F61" s="126">
        <f t="shared" si="4"/>
        <v>258716894</v>
      </c>
    </row>
    <row r="62" spans="2:6">
      <c r="B62" s="127" t="s">
        <v>63</v>
      </c>
      <c r="C62" s="128">
        <v>474291470</v>
      </c>
      <c r="D62" s="128"/>
      <c r="E62" s="128"/>
      <c r="F62" s="126">
        <f t="shared" si="4"/>
        <v>474291470</v>
      </c>
    </row>
    <row r="63" spans="2:6">
      <c r="B63" s="127" t="s">
        <v>321</v>
      </c>
      <c r="C63" s="128">
        <v>2439677682</v>
      </c>
      <c r="D63" s="128">
        <v>839215577</v>
      </c>
      <c r="E63" s="128"/>
      <c r="F63" s="126">
        <f t="shared" si="4"/>
        <v>3278893259</v>
      </c>
    </row>
    <row r="64" spans="2:6">
      <c r="B64" s="127" t="s">
        <v>10</v>
      </c>
      <c r="C64" s="128">
        <v>1093857927</v>
      </c>
      <c r="D64" s="128">
        <v>97726358</v>
      </c>
      <c r="E64" s="128"/>
      <c r="F64" s="126">
        <f t="shared" si="4"/>
        <v>1191584285</v>
      </c>
    </row>
    <row r="65" spans="2:6">
      <c r="B65" s="127" t="s">
        <v>11</v>
      </c>
      <c r="C65" s="128">
        <v>845217861</v>
      </c>
      <c r="D65" s="129">
        <v>24839500</v>
      </c>
      <c r="E65" s="129">
        <v>28364468</v>
      </c>
      <c r="F65" s="126">
        <f t="shared" si="4"/>
        <v>898421829</v>
      </c>
    </row>
    <row r="66" spans="2:6">
      <c r="B66" s="130" t="s">
        <v>322</v>
      </c>
      <c r="C66" s="128">
        <v>4652998769</v>
      </c>
      <c r="D66" s="128">
        <v>246930000</v>
      </c>
      <c r="E66" s="128"/>
      <c r="F66" s="126">
        <f t="shared" si="4"/>
        <v>4899928769</v>
      </c>
    </row>
    <row r="160" spans="9:9" ht="24">
      <c r="I160" s="91" t="s">
        <v>55</v>
      </c>
    </row>
    <row r="290" spans="9:11">
      <c r="I290" s="115"/>
      <c r="K290" s="51">
        <v>-50000</v>
      </c>
    </row>
  </sheetData>
  <mergeCells count="22">
    <mergeCell ref="B54:B55"/>
    <mergeCell ref="C54:C55"/>
    <mergeCell ref="D54:D55"/>
    <mergeCell ref="E54:E55"/>
    <mergeCell ref="F54:F55"/>
    <mergeCell ref="K5:K6"/>
    <mergeCell ref="L5:L6"/>
    <mergeCell ref="M5:N5"/>
    <mergeCell ref="O5:P6"/>
    <mergeCell ref="I9:J9"/>
    <mergeCell ref="I5:J5"/>
    <mergeCell ref="B1:H1"/>
    <mergeCell ref="B5:B6"/>
    <mergeCell ref="C5:C6"/>
    <mergeCell ref="D5:E5"/>
    <mergeCell ref="F5:G5"/>
    <mergeCell ref="H5:H6"/>
    <mergeCell ref="H22:H23"/>
    <mergeCell ref="F22:G22"/>
    <mergeCell ref="D22:E22"/>
    <mergeCell ref="C22:C23"/>
    <mergeCell ref="B22:B23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RowHeight="13.5"/>
  <cols>
    <col min="1" max="1" width="1" style="47" customWidth="1"/>
    <col min="2" max="2" width="22" style="47" customWidth="1"/>
    <col min="3" max="3" width="17.875" style="47" customWidth="1"/>
    <col min="4" max="4" width="14.75" style="47" customWidth="1"/>
    <col min="5" max="5" width="15.25" style="47" customWidth="1"/>
    <col min="6" max="6" width="14.25" style="47" customWidth="1"/>
    <col min="7" max="7" width="13.5" style="47" customWidth="1"/>
    <col min="8" max="8" width="17.25" style="47" customWidth="1"/>
    <col min="9" max="9" width="17.125" style="51" hidden="1" customWidth="1"/>
    <col min="10" max="10" width="16" style="51" hidden="1" customWidth="1"/>
    <col min="11" max="11" width="14.625" style="51" hidden="1" customWidth="1"/>
    <col min="12" max="12" width="21.75" style="51" hidden="1" customWidth="1"/>
    <col min="13" max="14" width="14.75" style="51" hidden="1" customWidth="1"/>
    <col min="15" max="15" width="12.25" style="51" hidden="1" customWidth="1"/>
    <col min="16" max="16" width="13.375" style="51" hidden="1" customWidth="1"/>
    <col min="17" max="16384" width="9" style="47"/>
  </cols>
  <sheetData>
    <row r="1" spans="2:16" ht="33" customHeight="1">
      <c r="B1" s="509" t="s">
        <v>366</v>
      </c>
      <c r="C1" s="510"/>
      <c r="D1" s="510"/>
      <c r="E1" s="510"/>
      <c r="F1" s="510"/>
      <c r="G1" s="510"/>
      <c r="H1" s="510"/>
    </row>
    <row r="2" spans="2:16" ht="12.75" customHeight="1">
      <c r="B2" s="52"/>
      <c r="C2" s="53"/>
      <c r="D2" s="53"/>
      <c r="E2" s="53"/>
      <c r="F2" s="53"/>
      <c r="G2" s="53"/>
      <c r="H2" s="53"/>
    </row>
    <row r="3" spans="2:16" ht="23.25" customHeight="1">
      <c r="B3" s="54" t="s">
        <v>112</v>
      </c>
      <c r="C3" s="55"/>
      <c r="D3" s="116"/>
      <c r="E3" s="44" t="e">
        <f>SUM(D7:E7)</f>
        <v>#REF!</v>
      </c>
      <c r="F3" s="44"/>
      <c r="G3" s="44" t="e">
        <f>SUM(F7:G7)</f>
        <v>#REF!</v>
      </c>
    </row>
    <row r="4" spans="2:16" s="57" customFormat="1" ht="18" customHeight="1" thickBot="1">
      <c r="B4" s="56"/>
      <c r="H4" s="58" t="s">
        <v>21</v>
      </c>
      <c r="I4" s="59"/>
      <c r="J4" s="59"/>
      <c r="K4" s="59"/>
      <c r="L4" s="59"/>
      <c r="M4" s="60" t="s">
        <v>22</v>
      </c>
      <c r="N4" s="59"/>
      <c r="O4" s="60" t="s">
        <v>23</v>
      </c>
      <c r="P4" s="60"/>
    </row>
    <row r="5" spans="2:16" ht="24" customHeight="1">
      <c r="B5" s="511" t="s">
        <v>24</v>
      </c>
      <c r="C5" s="513" t="s">
        <v>25</v>
      </c>
      <c r="D5" s="515" t="s">
        <v>26</v>
      </c>
      <c r="E5" s="515"/>
      <c r="F5" s="515" t="s">
        <v>27</v>
      </c>
      <c r="G5" s="515"/>
      <c r="H5" s="516" t="s">
        <v>28</v>
      </c>
      <c r="I5" s="522" t="s">
        <v>29</v>
      </c>
      <c r="J5" s="522"/>
      <c r="K5" s="518" t="s">
        <v>30</v>
      </c>
      <c r="L5" s="520" t="s">
        <v>31</v>
      </c>
      <c r="M5" s="522" t="s">
        <v>32</v>
      </c>
      <c r="N5" s="523"/>
      <c r="O5" s="524" t="s">
        <v>33</v>
      </c>
      <c r="P5" s="525"/>
    </row>
    <row r="6" spans="2:16" ht="24" customHeight="1">
      <c r="B6" s="512"/>
      <c r="C6" s="514"/>
      <c r="D6" s="61" t="s">
        <v>34</v>
      </c>
      <c r="E6" s="61" t="s">
        <v>35</v>
      </c>
      <c r="F6" s="61" t="s">
        <v>34</v>
      </c>
      <c r="G6" s="61" t="s">
        <v>35</v>
      </c>
      <c r="H6" s="517"/>
      <c r="I6" s="62" t="s">
        <v>36</v>
      </c>
      <c r="J6" s="63" t="s">
        <v>37</v>
      </c>
      <c r="K6" s="519"/>
      <c r="L6" s="521"/>
      <c r="M6" s="64" t="s">
        <v>36</v>
      </c>
      <c r="N6" s="65" t="s">
        <v>37</v>
      </c>
      <c r="O6" s="526"/>
      <c r="P6" s="527"/>
    </row>
    <row r="7" spans="2:16" ht="38.25" customHeight="1" thickBot="1">
      <c r="B7" s="66" t="s">
        <v>38</v>
      </c>
      <c r="C7" s="67">
        <f t="shared" ref="C7:H7" si="0">SUM(C8:C33)</f>
        <v>18076711803</v>
      </c>
      <c r="D7" s="16" t="e">
        <f t="shared" si="0"/>
        <v>#REF!</v>
      </c>
      <c r="E7" s="16" t="e">
        <f t="shared" si="0"/>
        <v>#REF!</v>
      </c>
      <c r="F7" s="16" t="e">
        <f t="shared" si="0"/>
        <v>#REF!</v>
      </c>
      <c r="G7" s="16" t="e">
        <f t="shared" si="0"/>
        <v>#REF!</v>
      </c>
      <c r="H7" s="68" t="e">
        <f t="shared" si="0"/>
        <v>#REF!</v>
      </c>
      <c r="I7" s="69" t="e">
        <f>#REF!+#REF!</f>
        <v>#REF!</v>
      </c>
      <c r="J7" s="70" t="e">
        <f>#REF!+#REF!</f>
        <v>#REF!</v>
      </c>
      <c r="K7" s="71" t="e">
        <f>I7-J7</f>
        <v>#REF!</v>
      </c>
      <c r="L7" s="72" t="s">
        <v>39</v>
      </c>
      <c r="M7" s="73" t="e">
        <f>#REF!+#REF!</f>
        <v>#REF!</v>
      </c>
      <c r="N7" s="74" t="e">
        <f>#REF!+#REF!</f>
        <v>#REF!</v>
      </c>
      <c r="O7" s="75">
        <v>0</v>
      </c>
      <c r="P7" s="75">
        <v>0</v>
      </c>
    </row>
    <row r="8" spans="2:16" ht="38.25" customHeight="1">
      <c r="B8" s="84" t="s">
        <v>110</v>
      </c>
      <c r="C8" s="85">
        <v>914581</v>
      </c>
      <c r="D8" s="16" t="e">
        <f>SUMIFS(#REF!,#REF!,'2추총괄표(실국별)'!$B8)</f>
        <v>#REF!</v>
      </c>
      <c r="E8" s="16" t="e">
        <f>SUMIFS(#REF!,#REF!,'2추총괄표(실국별)'!$B8)</f>
        <v>#REF!</v>
      </c>
      <c r="F8" s="16" t="e">
        <f>SUMIFS(#REF!,#REF!,'2추총괄표(실국별)'!$B8)</f>
        <v>#REF!</v>
      </c>
      <c r="G8" s="16" t="e">
        <f>SUMIFS(#REF!,#REF!,'2추총괄표(실국별)'!$B8)</f>
        <v>#REF!</v>
      </c>
      <c r="H8" s="68" t="e">
        <f>C8+F8+G8</f>
        <v>#REF!</v>
      </c>
      <c r="I8" s="536" t="s">
        <v>41</v>
      </c>
      <c r="J8" s="537"/>
      <c r="K8" s="59"/>
      <c r="N8" s="86" t="s">
        <v>42</v>
      </c>
    </row>
    <row r="9" spans="2:16" ht="38.25" customHeight="1" thickBot="1">
      <c r="B9" s="84" t="s">
        <v>102</v>
      </c>
      <c r="C9" s="67">
        <v>5144786053</v>
      </c>
      <c r="D9" s="16" t="e">
        <f>SUMIFS(#REF!,#REF!,'2추총괄표(실국별)'!$B9)</f>
        <v>#REF!</v>
      </c>
      <c r="E9" s="16" t="e">
        <f>SUMIFS(#REF!,#REF!,'2추총괄표(실국별)'!$B9)</f>
        <v>#REF!</v>
      </c>
      <c r="F9" s="16" t="e">
        <f>SUMIFS(#REF!,#REF!,'2추총괄표(실국별)'!$B9)</f>
        <v>#REF!</v>
      </c>
      <c r="G9" s="16" t="e">
        <f>SUMIFS(#REF!,#REF!,'2추총괄표(실국별)'!$B9)</f>
        <v>#REF!</v>
      </c>
      <c r="H9" s="68" t="e">
        <f t="shared" ref="H9" si="1">C9+F9+G9</f>
        <v>#REF!</v>
      </c>
      <c r="I9" s="87" t="e">
        <f>#REF!+#REF!</f>
        <v>#REF!</v>
      </c>
      <c r="J9" s="88" t="e">
        <f>#REF!+#REF!</f>
        <v>#REF!</v>
      </c>
      <c r="K9" s="59"/>
      <c r="N9" s="89" t="e">
        <f>#REF!-#REF!</f>
        <v>#REF!</v>
      </c>
    </row>
    <row r="10" spans="2:16" ht="38.25" customHeight="1" thickBot="1">
      <c r="B10" s="84" t="s">
        <v>103</v>
      </c>
      <c r="C10" s="67">
        <v>221255441</v>
      </c>
      <c r="D10" s="16" t="e">
        <f>SUMIFS(#REF!,#REF!,'2추총괄표(실국별)'!$B10)</f>
        <v>#REF!</v>
      </c>
      <c r="E10" s="16" t="e">
        <f>SUMIFS(#REF!,#REF!,'2추총괄표(실국별)'!$B10)</f>
        <v>#REF!</v>
      </c>
      <c r="F10" s="16" t="e">
        <f>SUMIFS(#REF!,#REF!,'2추총괄표(실국별)'!$B10)</f>
        <v>#REF!</v>
      </c>
      <c r="G10" s="16" t="e">
        <f>SUMIFS(#REF!,#REF!,'2추총괄표(실국별)'!$B10)</f>
        <v>#REF!</v>
      </c>
      <c r="H10" s="68" t="e">
        <f t="shared" ref="H10:H30" si="2">C10+F10+G10</f>
        <v>#REF!</v>
      </c>
      <c r="I10" s="87" t="e">
        <f>#REF!+#REF!</f>
        <v>#REF!</v>
      </c>
      <c r="J10" s="88" t="e">
        <f>#REF!+#REF!</f>
        <v>#REF!</v>
      </c>
      <c r="K10" s="59"/>
      <c r="N10" s="89" t="e">
        <f>#REF!-#REF!</f>
        <v>#REF!</v>
      </c>
    </row>
    <row r="11" spans="2:16" ht="38.25" customHeight="1">
      <c r="B11" s="84" t="s">
        <v>104</v>
      </c>
      <c r="C11" s="67">
        <v>547246549</v>
      </c>
      <c r="D11" s="16" t="e">
        <f>SUMIFS(#REF!,#REF!,'2추총괄표(실국별)'!$B11)</f>
        <v>#REF!</v>
      </c>
      <c r="E11" s="16" t="e">
        <f>SUMIFS(#REF!,#REF!,'2추총괄표(실국별)'!$B11)</f>
        <v>#REF!</v>
      </c>
      <c r="F11" s="16" t="e">
        <f>SUMIFS(#REF!,#REF!,'2추총괄표(실국별)'!$B11)</f>
        <v>#REF!</v>
      </c>
      <c r="G11" s="16" t="e">
        <f>SUMIFS(#REF!,#REF!,'2추총괄표(실국별)'!$B11)</f>
        <v>#REF!</v>
      </c>
      <c r="H11" s="68" t="e">
        <f t="shared" si="2"/>
        <v>#REF!</v>
      </c>
      <c r="J11" s="90"/>
      <c r="K11" s="91"/>
    </row>
    <row r="12" spans="2:16" ht="38.25" customHeight="1">
      <c r="B12" s="84" t="s">
        <v>161</v>
      </c>
      <c r="C12" s="67">
        <v>2339199089</v>
      </c>
      <c r="D12" s="16" t="e">
        <f>SUMIFS(#REF!,#REF!,'2추총괄표(실국별)'!$B12)</f>
        <v>#REF!</v>
      </c>
      <c r="E12" s="16" t="e">
        <f>SUMIFS(#REF!,#REF!,'2추총괄표(실국별)'!$B12)</f>
        <v>#REF!</v>
      </c>
      <c r="F12" s="16" t="e">
        <f>SUMIFS(#REF!,#REF!,'2추총괄표(실국별)'!$B12)</f>
        <v>#REF!</v>
      </c>
      <c r="G12" s="16" t="e">
        <f>SUMIFS(#REF!,#REF!,'2추총괄표(실국별)'!$B12)</f>
        <v>#REF!</v>
      </c>
      <c r="H12" s="68" t="e">
        <f t="shared" si="2"/>
        <v>#REF!</v>
      </c>
      <c r="J12" s="92"/>
      <c r="L12" s="93"/>
      <c r="M12" s="93"/>
    </row>
    <row r="13" spans="2:16" ht="38.25" customHeight="1">
      <c r="B13" s="84" t="s">
        <v>105</v>
      </c>
      <c r="C13" s="67">
        <v>258716894</v>
      </c>
      <c r="D13" s="16" t="e">
        <f>SUMIFS(#REF!,#REF!,'2추총괄표(실국별)'!$B13)</f>
        <v>#REF!</v>
      </c>
      <c r="E13" s="16" t="e">
        <f>SUMIFS(#REF!,#REF!,'2추총괄표(실국별)'!$B13)</f>
        <v>#REF!</v>
      </c>
      <c r="F13" s="16" t="e">
        <f>SUMIFS(#REF!,#REF!,'2추총괄표(실국별)'!$B13)</f>
        <v>#REF!</v>
      </c>
      <c r="G13" s="16" t="e">
        <f>SUMIFS(#REF!,#REF!,'2추총괄표(실국별)'!$B13)</f>
        <v>#REF!</v>
      </c>
      <c r="H13" s="68" t="e">
        <f t="shared" si="2"/>
        <v>#REF!</v>
      </c>
      <c r="K13" s="12"/>
      <c r="L13" s="13"/>
      <c r="N13" s="51" t="s">
        <v>43</v>
      </c>
    </row>
    <row r="14" spans="2:16" s="96" customFormat="1" ht="38.25" customHeight="1">
      <c r="B14" s="84" t="s">
        <v>64</v>
      </c>
      <c r="C14" s="94">
        <v>250268892</v>
      </c>
      <c r="D14" s="16" t="e">
        <f>SUMIFS(#REF!,#REF!,'2추총괄표(실국별)'!$B14)</f>
        <v>#REF!</v>
      </c>
      <c r="E14" s="16" t="e">
        <f>SUMIFS(#REF!,#REF!,'2추총괄표(실국별)'!$B14)</f>
        <v>#REF!</v>
      </c>
      <c r="F14" s="16" t="e">
        <f>SUMIFS(#REF!,#REF!,'2추총괄표(실국별)'!$B14)</f>
        <v>#REF!</v>
      </c>
      <c r="G14" s="16" t="e">
        <f>SUMIFS(#REF!,#REF!,'2추총괄표(실국별)'!$B14)</f>
        <v>#REF!</v>
      </c>
      <c r="H14" s="68" t="e">
        <f t="shared" si="2"/>
        <v>#REF!</v>
      </c>
      <c r="I14" s="95"/>
      <c r="J14" s="95"/>
      <c r="K14" s="12"/>
      <c r="L14" s="13"/>
      <c r="M14" s="81"/>
      <c r="N14" s="82" t="e">
        <f>N10-#REF!</f>
        <v>#REF!</v>
      </c>
      <c r="O14" s="95"/>
      <c r="P14" s="95"/>
    </row>
    <row r="15" spans="2:16" s="96" customFormat="1" ht="38.25" customHeight="1">
      <c r="B15" s="84" t="s">
        <v>190</v>
      </c>
      <c r="C15" s="94">
        <v>97467509</v>
      </c>
      <c r="D15" s="16" t="e">
        <f>SUMIFS(#REF!,#REF!,'2추총괄표(실국별)'!$B15)</f>
        <v>#REF!</v>
      </c>
      <c r="E15" s="16" t="e">
        <f>SUMIFS(#REF!,#REF!,'2추총괄표(실국별)'!$B15)</f>
        <v>#REF!</v>
      </c>
      <c r="F15" s="16" t="e">
        <f>SUMIFS(#REF!,#REF!,'2추총괄표(실국별)'!$B15)</f>
        <v>#REF!</v>
      </c>
      <c r="G15" s="16" t="e">
        <f>SUMIFS(#REF!,#REF!,'2추총괄표(실국별)'!$B15)</f>
        <v>#REF!</v>
      </c>
      <c r="H15" s="68" t="e">
        <f t="shared" si="2"/>
        <v>#REF!</v>
      </c>
      <c r="I15" s="95"/>
      <c r="J15" s="95"/>
      <c r="K15" s="12"/>
      <c r="L15" s="13"/>
      <c r="M15" s="95"/>
      <c r="N15" s="95"/>
      <c r="O15" s="95"/>
      <c r="P15" s="95"/>
    </row>
    <row r="16" spans="2:16" s="96" customFormat="1" ht="38.25" customHeight="1">
      <c r="B16" s="84" t="s">
        <v>197</v>
      </c>
      <c r="C16" s="94">
        <v>577186012</v>
      </c>
      <c r="D16" s="16" t="e">
        <f>SUMIFS(#REF!,#REF!,'2추총괄표(실국별)'!$B16)</f>
        <v>#REF!</v>
      </c>
      <c r="E16" s="16" t="e">
        <f>SUMIFS(#REF!,#REF!,'2추총괄표(실국별)'!$B16)</f>
        <v>#REF!</v>
      </c>
      <c r="F16" s="16" t="e">
        <f>SUMIFS(#REF!,#REF!,'2추총괄표(실국별)'!$B16)</f>
        <v>#REF!</v>
      </c>
      <c r="G16" s="16" t="e">
        <f>SUMIFS(#REF!,#REF!,'2추총괄표(실국별)'!$B16)</f>
        <v>#REF!</v>
      </c>
      <c r="H16" s="68" t="e">
        <f t="shared" ref="H16:H23" si="3">C16+F16+G16</f>
        <v>#REF!</v>
      </c>
      <c r="I16" s="95"/>
      <c r="J16" s="95"/>
      <c r="K16" s="12"/>
      <c r="L16" s="13"/>
      <c r="M16" s="95"/>
      <c r="N16" s="95"/>
      <c r="O16" s="95"/>
      <c r="P16" s="95"/>
    </row>
    <row r="17" spans="2:16" s="100" customFormat="1" ht="38.25" customHeight="1">
      <c r="B17" s="97" t="s">
        <v>61</v>
      </c>
      <c r="C17" s="98">
        <v>29891138</v>
      </c>
      <c r="D17" s="16" t="e">
        <f>SUMIFS(#REF!,#REF!,'2추총괄표(실국별)'!$B17)</f>
        <v>#REF!</v>
      </c>
      <c r="E17" s="16" t="e">
        <f>SUMIFS(#REF!,#REF!,'2추총괄표(실국별)'!$B17)</f>
        <v>#REF!</v>
      </c>
      <c r="F17" s="16" t="e">
        <f>SUMIFS(#REF!,#REF!,'2추총괄표(실국별)'!$B17)</f>
        <v>#REF!</v>
      </c>
      <c r="G17" s="16" t="e">
        <f>SUMIFS(#REF!,#REF!,'2추총괄표(실국별)'!$B17)</f>
        <v>#REF!</v>
      </c>
      <c r="H17" s="68" t="e">
        <f t="shared" si="3"/>
        <v>#REF!</v>
      </c>
      <c r="I17" s="99"/>
      <c r="J17" s="99"/>
      <c r="K17" s="12"/>
      <c r="L17" s="13"/>
      <c r="M17" s="99"/>
      <c r="N17" s="99"/>
      <c r="O17" s="99"/>
      <c r="P17" s="99"/>
    </row>
    <row r="18" spans="2:16" ht="38.25" customHeight="1" thickBot="1">
      <c r="B18" s="84" t="s">
        <v>111</v>
      </c>
      <c r="C18" s="67">
        <v>11250846</v>
      </c>
      <c r="D18" s="16" t="e">
        <f>SUMIFS(#REF!,#REF!,'2추총괄표(실국별)'!$B18)</f>
        <v>#REF!</v>
      </c>
      <c r="E18" s="16" t="e">
        <f>SUMIFS(#REF!,#REF!,'2추총괄표(실국별)'!$B18)</f>
        <v>#REF!</v>
      </c>
      <c r="F18" s="16" t="e">
        <f>SUMIFS(#REF!,#REF!,'2추총괄표(실국별)'!$B18)</f>
        <v>#REF!</v>
      </c>
      <c r="G18" s="16" t="e">
        <f>SUMIFS(#REF!,#REF!,'2추총괄표(실국별)'!$B18)</f>
        <v>#REF!</v>
      </c>
      <c r="H18" s="68" t="e">
        <f t="shared" si="3"/>
        <v>#REF!</v>
      </c>
      <c r="I18" s="87" t="e">
        <f>#REF!+#REF!</f>
        <v>#REF!</v>
      </c>
      <c r="J18" s="88" t="e">
        <f>#REF!+#REF!</f>
        <v>#REF!</v>
      </c>
      <c r="K18" s="59"/>
      <c r="N18" s="89" t="e">
        <f>#REF!-#REF!</f>
        <v>#REF!</v>
      </c>
    </row>
    <row r="19" spans="2:16" ht="38.25" customHeight="1">
      <c r="B19" s="84" t="s">
        <v>109</v>
      </c>
      <c r="C19" s="67">
        <v>384069</v>
      </c>
      <c r="D19" s="16" t="e">
        <f>SUMIFS(#REF!,#REF!,'2추총괄표(실국별)'!$B19)</f>
        <v>#REF!</v>
      </c>
      <c r="E19" s="16" t="e">
        <f>SUMIFS(#REF!,#REF!,'2추총괄표(실국별)'!$B19)</f>
        <v>#REF!</v>
      </c>
      <c r="F19" s="16" t="e">
        <f>SUMIFS(#REF!,#REF!,'2추총괄표(실국별)'!$B19)</f>
        <v>#REF!</v>
      </c>
      <c r="G19" s="16" t="e">
        <f>SUMIFS(#REF!,#REF!,'2추총괄표(실국별)'!$B19)</f>
        <v>#REF!</v>
      </c>
      <c r="H19" s="68" t="e">
        <f t="shared" si="3"/>
        <v>#REF!</v>
      </c>
      <c r="J19" s="90"/>
      <c r="K19" s="91"/>
    </row>
    <row r="20" spans="2:16" ht="38.25" customHeight="1">
      <c r="B20" s="84" t="s">
        <v>106</v>
      </c>
      <c r="C20" s="67">
        <v>2582006910</v>
      </c>
      <c r="D20" s="16" t="e">
        <f>SUMIFS(#REF!,#REF!,'2추총괄표(실국별)'!$B20)</f>
        <v>#REF!</v>
      </c>
      <c r="E20" s="16" t="e">
        <f>SUMIFS(#REF!,#REF!,'2추총괄표(실국별)'!$B20)</f>
        <v>#REF!</v>
      </c>
      <c r="F20" s="16" t="e">
        <f>SUMIFS(#REF!,#REF!,'2추총괄표(실국별)'!$B20)</f>
        <v>#REF!</v>
      </c>
      <c r="G20" s="16" t="e">
        <f>SUMIFS(#REF!,#REF!,'2추총괄표(실국별)'!$B20)</f>
        <v>#REF!</v>
      </c>
      <c r="H20" s="68" t="e">
        <f t="shared" si="3"/>
        <v>#REF!</v>
      </c>
      <c r="J20" s="92"/>
      <c r="L20" s="93"/>
      <c r="M20" s="93"/>
    </row>
    <row r="21" spans="2:16" ht="38.25" customHeight="1">
      <c r="B21" s="84" t="s">
        <v>107</v>
      </c>
      <c r="C21" s="67">
        <v>90647611</v>
      </c>
      <c r="D21" s="16" t="e">
        <f>SUMIFS(#REF!,#REF!,'2추총괄표(실국별)'!$B21)</f>
        <v>#REF!</v>
      </c>
      <c r="E21" s="16" t="e">
        <f>SUMIFS(#REF!,#REF!,'2추총괄표(실국별)'!$B21)</f>
        <v>#REF!</v>
      </c>
      <c r="F21" s="16" t="e">
        <f>SUMIFS(#REF!,#REF!,'2추총괄표(실국별)'!$B21)</f>
        <v>#REF!</v>
      </c>
      <c r="G21" s="16" t="e">
        <f>SUMIFS(#REF!,#REF!,'2추총괄표(실국별)'!$B21)</f>
        <v>#REF!</v>
      </c>
      <c r="H21" s="68" t="e">
        <f t="shared" si="3"/>
        <v>#REF!</v>
      </c>
      <c r="K21" s="12"/>
      <c r="L21" s="13"/>
      <c r="N21" s="51" t="s">
        <v>43</v>
      </c>
    </row>
    <row r="22" spans="2:16" s="96" customFormat="1" ht="38.25" customHeight="1">
      <c r="B22" s="84" t="s">
        <v>108</v>
      </c>
      <c r="C22" s="94">
        <v>1883037298</v>
      </c>
      <c r="D22" s="16" t="e">
        <f>SUMIFS(#REF!,#REF!,'2추총괄표(실국별)'!$B22)</f>
        <v>#REF!</v>
      </c>
      <c r="E22" s="16" t="e">
        <f>SUMIFS(#REF!,#REF!,'2추총괄표(실국별)'!$B22)</f>
        <v>#REF!</v>
      </c>
      <c r="F22" s="16" t="e">
        <f>SUMIFS(#REF!,#REF!,'2추총괄표(실국별)'!$B22)</f>
        <v>#REF!</v>
      </c>
      <c r="G22" s="16" t="e">
        <f>SUMIFS(#REF!,#REF!,'2추총괄표(실국별)'!$B22)</f>
        <v>#REF!</v>
      </c>
      <c r="H22" s="68" t="e">
        <f t="shared" si="3"/>
        <v>#REF!</v>
      </c>
      <c r="I22" s="95"/>
      <c r="J22" s="95"/>
      <c r="K22" s="12"/>
      <c r="L22" s="13"/>
      <c r="M22" s="81"/>
      <c r="N22" s="82" t="e">
        <f>N18-#REF!</f>
        <v>#REF!</v>
      </c>
      <c r="O22" s="95"/>
      <c r="P22" s="95"/>
    </row>
    <row r="23" spans="2:16" s="96" customFormat="1" ht="38.25" customHeight="1">
      <c r="B23" s="84" t="s">
        <v>312</v>
      </c>
      <c r="C23" s="94">
        <v>39275302</v>
      </c>
      <c r="D23" s="16" t="e">
        <f>SUMIFS(#REF!,#REF!,'2추총괄표(실국별)'!$B23)</f>
        <v>#REF!</v>
      </c>
      <c r="E23" s="16" t="e">
        <f>SUMIFS(#REF!,#REF!,'2추총괄표(실국별)'!$B23)</f>
        <v>#REF!</v>
      </c>
      <c r="F23" s="16" t="e">
        <f>SUMIFS(#REF!,#REF!,'2추총괄표(실국별)'!$B23)</f>
        <v>#REF!</v>
      </c>
      <c r="G23" s="16" t="e">
        <f>SUMIFS(#REF!,#REF!,'2추총괄표(실국별)'!$B23)</f>
        <v>#REF!</v>
      </c>
      <c r="H23" s="68" t="e">
        <f t="shared" si="3"/>
        <v>#REF!</v>
      </c>
      <c r="I23" s="95"/>
      <c r="J23" s="95"/>
      <c r="K23" s="12"/>
      <c r="L23" s="13"/>
      <c r="M23" s="95"/>
      <c r="N23" s="95"/>
      <c r="O23" s="95"/>
      <c r="P23" s="95"/>
    </row>
    <row r="24" spans="2:16" s="96" customFormat="1" ht="38.25" customHeight="1">
      <c r="B24" s="84" t="s">
        <v>314</v>
      </c>
      <c r="C24" s="94">
        <v>8834247</v>
      </c>
      <c r="D24" s="16" t="e">
        <f>SUMIFS(#REF!,#REF!,'2추총괄표(실국별)'!$B24)</f>
        <v>#REF!</v>
      </c>
      <c r="E24" s="16" t="e">
        <f>SUMIFS(#REF!,#REF!,'2추총괄표(실국별)'!$B24)</f>
        <v>#REF!</v>
      </c>
      <c r="F24" s="16" t="e">
        <f>SUMIFS(#REF!,#REF!,'2추총괄표(실국별)'!$B24)</f>
        <v>#REF!</v>
      </c>
      <c r="G24" s="16" t="e">
        <f>SUMIFS(#REF!,#REF!,'2추총괄표(실국별)'!$B24)</f>
        <v>#REF!</v>
      </c>
      <c r="H24" s="68" t="e">
        <f t="shared" si="2"/>
        <v>#REF!</v>
      </c>
      <c r="I24" s="95"/>
      <c r="J24" s="95"/>
      <c r="K24" s="12"/>
      <c r="L24" s="13"/>
      <c r="M24" s="95"/>
      <c r="N24" s="95"/>
      <c r="O24" s="95"/>
      <c r="P24" s="95"/>
    </row>
    <row r="25" spans="2:16" s="100" customFormat="1" ht="38.25" customHeight="1">
      <c r="B25" s="97" t="s">
        <v>315</v>
      </c>
      <c r="C25" s="98">
        <v>9409184</v>
      </c>
      <c r="D25" s="16" t="e">
        <f>SUMIFS(#REF!,#REF!,'2추총괄표(실국별)'!$B25)</f>
        <v>#REF!</v>
      </c>
      <c r="E25" s="16" t="e">
        <f>SUMIFS(#REF!,#REF!,'2추총괄표(실국별)'!$B25)</f>
        <v>#REF!</v>
      </c>
      <c r="F25" s="16" t="e">
        <f>SUMIFS(#REF!,#REF!,'2추총괄표(실국별)'!$B25)</f>
        <v>#REF!</v>
      </c>
      <c r="G25" s="16" t="e">
        <f>SUMIFS(#REF!,#REF!,'2추총괄표(실국별)'!$B25)</f>
        <v>#REF!</v>
      </c>
      <c r="H25" s="68" t="e">
        <f t="shared" si="2"/>
        <v>#REF!</v>
      </c>
      <c r="I25" s="99"/>
      <c r="J25" s="99"/>
      <c r="K25" s="12"/>
      <c r="L25" s="13"/>
      <c r="M25" s="99"/>
      <c r="N25" s="99"/>
      <c r="O25" s="99"/>
      <c r="P25" s="99"/>
    </row>
    <row r="26" spans="2:16" ht="38.25" customHeight="1" thickBot="1">
      <c r="B26" s="84" t="s">
        <v>317</v>
      </c>
      <c r="C26" s="67">
        <v>568254411</v>
      </c>
      <c r="D26" s="16" t="e">
        <f>SUMIFS(#REF!,#REF!,'2추총괄표(실국별)'!$B26)</f>
        <v>#REF!</v>
      </c>
      <c r="E26" s="16" t="e">
        <f>SUMIFS(#REF!,#REF!,'2추총괄표(실국별)'!$B26)</f>
        <v>#REF!</v>
      </c>
      <c r="F26" s="16" t="e">
        <f>SUMIFS(#REF!,#REF!,'2추총괄표(실국별)'!$B26)</f>
        <v>#REF!</v>
      </c>
      <c r="G26" s="16" t="e">
        <f>SUMIFS(#REF!,#REF!,'2추총괄표(실국별)'!$B26)</f>
        <v>#REF!</v>
      </c>
      <c r="H26" s="68" t="e">
        <f t="shared" si="2"/>
        <v>#REF!</v>
      </c>
      <c r="I26" s="87" t="e">
        <f>#REF!+#REF!</f>
        <v>#REF!</v>
      </c>
      <c r="J26" s="88" t="e">
        <f>#REF!+#REF!</f>
        <v>#REF!</v>
      </c>
      <c r="K26" s="59"/>
      <c r="N26" s="89">
        <f>M2-N2</f>
        <v>0</v>
      </c>
    </row>
    <row r="27" spans="2:16" ht="38.25" customHeight="1">
      <c r="B27" s="84" t="s">
        <v>69</v>
      </c>
      <c r="C27" s="67">
        <v>1368375599</v>
      </c>
      <c r="D27" s="16" t="e">
        <f>SUMIFS(#REF!,#REF!,'2추총괄표(실국별)'!$B27)</f>
        <v>#REF!</v>
      </c>
      <c r="E27" s="16" t="e">
        <f>SUMIFS(#REF!,#REF!,'2추총괄표(실국별)'!$B27)</f>
        <v>#REF!</v>
      </c>
      <c r="F27" s="16" t="e">
        <f>SUMIFS(#REF!,#REF!,'2추총괄표(실국별)'!$B27)</f>
        <v>#REF!</v>
      </c>
      <c r="G27" s="16" t="e">
        <f>SUMIFS(#REF!,#REF!,'2추총괄표(실국별)'!$B27)</f>
        <v>#REF!</v>
      </c>
      <c r="H27" s="68" t="e">
        <f t="shared" si="2"/>
        <v>#REF!</v>
      </c>
      <c r="J27" s="90"/>
      <c r="K27" s="91"/>
    </row>
    <row r="28" spans="2:16" ht="38.25" customHeight="1">
      <c r="B28" s="84" t="s">
        <v>275</v>
      </c>
      <c r="C28" s="67">
        <v>203128052</v>
      </c>
      <c r="D28" s="16" t="e">
        <f>SUMIFS(#REF!,#REF!,'2추총괄표(실국별)'!$B28)</f>
        <v>#REF!</v>
      </c>
      <c r="E28" s="16" t="e">
        <f>SUMIFS(#REF!,#REF!,'2추총괄표(실국별)'!$B28)</f>
        <v>#REF!</v>
      </c>
      <c r="F28" s="16" t="e">
        <f>SUMIFS(#REF!,#REF!,'2추총괄표(실국별)'!$B28)</f>
        <v>#REF!</v>
      </c>
      <c r="G28" s="16" t="e">
        <f>SUMIFS(#REF!,#REF!,'2추총괄표(실국별)'!$B28)</f>
        <v>#REF!</v>
      </c>
      <c r="H28" s="68" t="e">
        <f t="shared" si="2"/>
        <v>#REF!</v>
      </c>
      <c r="J28" s="92"/>
      <c r="L28" s="93"/>
      <c r="M28" s="93"/>
    </row>
    <row r="29" spans="2:16" ht="38.25" customHeight="1">
      <c r="B29" s="84" t="s">
        <v>283</v>
      </c>
      <c r="C29" s="67">
        <v>551253750</v>
      </c>
      <c r="D29" s="16" t="e">
        <f>SUMIFS(#REF!,#REF!,'2추총괄표(실국별)'!$B29)</f>
        <v>#REF!</v>
      </c>
      <c r="E29" s="16" t="e">
        <f>SUMIFS(#REF!,#REF!,'2추총괄표(실국별)'!$B29)</f>
        <v>#REF!</v>
      </c>
      <c r="F29" s="16" t="e">
        <f>SUMIFS(#REF!,#REF!,'2추총괄표(실국별)'!$B29)</f>
        <v>#REF!</v>
      </c>
      <c r="G29" s="16" t="e">
        <f>SUMIFS(#REF!,#REF!,'2추총괄표(실국별)'!$B29)</f>
        <v>#REF!</v>
      </c>
      <c r="H29" s="68" t="e">
        <f t="shared" si="2"/>
        <v>#REF!</v>
      </c>
      <c r="K29" s="12"/>
      <c r="L29" s="13"/>
      <c r="N29" s="51" t="s">
        <v>43</v>
      </c>
    </row>
    <row r="30" spans="2:16" s="96" customFormat="1" ht="38.25" customHeight="1">
      <c r="B30" s="84" t="s">
        <v>66</v>
      </c>
      <c r="C30" s="94">
        <v>199805590</v>
      </c>
      <c r="D30" s="16" t="e">
        <f>SUMIFS(#REF!,#REF!,'2추총괄표(실국별)'!$B30)</f>
        <v>#REF!</v>
      </c>
      <c r="E30" s="16" t="e">
        <f>SUMIFS(#REF!,#REF!,'2추총괄표(실국별)'!$B30)</f>
        <v>#REF!</v>
      </c>
      <c r="F30" s="16" t="e">
        <f>SUMIFS(#REF!,#REF!,'2추총괄표(실국별)'!$B30)</f>
        <v>#REF!</v>
      </c>
      <c r="G30" s="16" t="e">
        <f>SUMIFS(#REF!,#REF!,'2추총괄표(실국별)'!$B30)</f>
        <v>#REF!</v>
      </c>
      <c r="H30" s="68" t="e">
        <f t="shared" si="2"/>
        <v>#REF!</v>
      </c>
      <c r="I30" s="95"/>
      <c r="J30" s="95"/>
      <c r="K30" s="12"/>
      <c r="L30" s="13"/>
      <c r="M30" s="81"/>
      <c r="N30" s="82">
        <f>N26-K2</f>
        <v>0</v>
      </c>
      <c r="O30" s="95"/>
      <c r="P30" s="95"/>
    </row>
    <row r="31" spans="2:16" ht="38.25" customHeight="1" thickBot="1">
      <c r="B31" s="84" t="s">
        <v>301</v>
      </c>
      <c r="C31" s="67">
        <v>444655559</v>
      </c>
      <c r="D31" s="16" t="e">
        <f>SUMIFS(#REF!,#REF!,'2추총괄표(실국별)'!$B31)</f>
        <v>#REF!</v>
      </c>
      <c r="E31" s="16" t="e">
        <f>SUMIFS(#REF!,#REF!,'2추총괄표(실국별)'!$B31)</f>
        <v>#REF!</v>
      </c>
      <c r="F31" s="16" t="e">
        <f>SUMIFS(#REF!,#REF!,'2추총괄표(실국별)'!$B31)</f>
        <v>#REF!</v>
      </c>
      <c r="G31" s="16" t="e">
        <f>SUMIFS(#REF!,#REF!,'2추총괄표(실국별)'!$B31)</f>
        <v>#REF!</v>
      </c>
      <c r="H31" s="68" t="e">
        <f t="shared" ref="H31:H33" si="4">C31+F31+G31</f>
        <v>#REF!</v>
      </c>
      <c r="I31" s="87" t="e">
        <f>#REF!+#REF!</f>
        <v>#REF!</v>
      </c>
      <c r="J31" s="88" t="e">
        <f>#REF!+#REF!</f>
        <v>#REF!</v>
      </c>
      <c r="K31" s="59"/>
      <c r="N31" s="89" t="e">
        <f>M7-N7</f>
        <v>#REF!</v>
      </c>
    </row>
    <row r="32" spans="2:16" ht="38.25" customHeight="1">
      <c r="B32" s="84" t="s">
        <v>307</v>
      </c>
      <c r="C32" s="67">
        <v>606801393</v>
      </c>
      <c r="D32" s="16" t="e">
        <f>SUMIFS(#REF!,#REF!,'2추총괄표(실국별)'!$B32)</f>
        <v>#REF!</v>
      </c>
      <c r="E32" s="16" t="e">
        <f>SUMIFS(#REF!,#REF!,'2추총괄표(실국별)'!$B32)</f>
        <v>#REF!</v>
      </c>
      <c r="F32" s="16" t="e">
        <f>SUMIFS(#REF!,#REF!,'2추총괄표(실국별)'!$B32)</f>
        <v>#REF!</v>
      </c>
      <c r="G32" s="16" t="e">
        <f>SUMIFS(#REF!,#REF!,'2추총괄표(실국별)'!$B32)</f>
        <v>#REF!</v>
      </c>
      <c r="H32" s="68" t="e">
        <f t="shared" si="4"/>
        <v>#REF!</v>
      </c>
      <c r="J32" s="90"/>
      <c r="K32" s="91"/>
    </row>
    <row r="33" spans="2:16" ht="38.25" customHeight="1" thickBot="1">
      <c r="B33" s="101" t="s">
        <v>318</v>
      </c>
      <c r="C33" s="107">
        <v>42659824</v>
      </c>
      <c r="D33" s="17" t="e">
        <f>SUMIFS(#REF!,#REF!,'2추총괄표(실국별)'!$B33)</f>
        <v>#REF!</v>
      </c>
      <c r="E33" s="17" t="e">
        <f>SUMIFS(#REF!,#REF!,'2추총괄표(실국별)'!$B33)</f>
        <v>#REF!</v>
      </c>
      <c r="F33" s="17" t="e">
        <f>SUMIFS(#REF!,#REF!,'2추총괄표(실국별)'!$B33)</f>
        <v>#REF!</v>
      </c>
      <c r="G33" s="17" t="e">
        <f>SUMIFS(#REF!,#REF!,'2추총괄표(실국별)'!$B33)</f>
        <v>#REF!</v>
      </c>
      <c r="H33" s="103" t="e">
        <f t="shared" si="4"/>
        <v>#REF!</v>
      </c>
      <c r="J33" s="92"/>
      <c r="L33" s="93"/>
      <c r="M33" s="93"/>
    </row>
    <row r="34" spans="2:16" ht="18" customHeight="1">
      <c r="B34" s="57"/>
      <c r="C34" s="57"/>
      <c r="D34" s="57"/>
      <c r="E34" s="57"/>
      <c r="F34" s="57"/>
      <c r="G34" s="57"/>
      <c r="H34" s="57"/>
      <c r="K34" s="12"/>
      <c r="L34" s="13"/>
    </row>
    <row r="35" spans="2:16" ht="20.25" customHeight="1"/>
    <row r="36" spans="2:16" ht="20.25" customHeight="1"/>
    <row r="37" spans="2:16">
      <c r="B37" s="127" t="s">
        <v>383</v>
      </c>
      <c r="C37" s="131" t="s">
        <v>382</v>
      </c>
      <c r="D37" s="127" t="s">
        <v>380</v>
      </c>
      <c r="E37" s="127" t="s">
        <v>381</v>
      </c>
      <c r="F37" s="131" t="s">
        <v>53</v>
      </c>
      <c r="G37" s="51"/>
      <c r="H37" s="51"/>
      <c r="O37" s="47"/>
      <c r="P37" s="47"/>
    </row>
    <row r="38" spans="2:16">
      <c r="B38" s="127" t="s">
        <v>19</v>
      </c>
      <c r="C38" s="132">
        <f>SUM(C39:C64)</f>
        <v>14571523178</v>
      </c>
      <c r="D38" s="132">
        <f>SUM(D39:D64)</f>
        <v>1223711435</v>
      </c>
      <c r="E38" s="132">
        <f>SUM(E39:E64)</f>
        <v>2281477190</v>
      </c>
      <c r="F38" s="132">
        <f>SUM(C38:E38)</f>
        <v>18076711803</v>
      </c>
      <c r="G38" s="51"/>
      <c r="H38" s="51"/>
      <c r="O38" s="47"/>
      <c r="P38" s="47"/>
    </row>
    <row r="39" spans="2:16">
      <c r="B39" s="127" t="s">
        <v>110</v>
      </c>
      <c r="C39" s="133">
        <v>914581</v>
      </c>
      <c r="D39" s="133"/>
      <c r="E39" s="133"/>
      <c r="F39" s="132">
        <f t="shared" ref="F39:F64" si="5">SUM(C39:E39)</f>
        <v>914581</v>
      </c>
      <c r="O39" s="47"/>
      <c r="P39" s="47"/>
    </row>
    <row r="40" spans="2:16">
      <c r="B40" s="127" t="s">
        <v>102</v>
      </c>
      <c r="C40" s="133">
        <v>3300767937</v>
      </c>
      <c r="D40" s="133"/>
      <c r="E40" s="133">
        <v>1844018116</v>
      </c>
      <c r="F40" s="132">
        <f t="shared" si="5"/>
        <v>5144786053</v>
      </c>
      <c r="O40" s="47"/>
      <c r="P40" s="47"/>
    </row>
    <row r="41" spans="2:16">
      <c r="B41" s="127" t="s">
        <v>103</v>
      </c>
      <c r="C41" s="133">
        <v>171642061</v>
      </c>
      <c r="D41" s="133">
        <v>21248912</v>
      </c>
      <c r="E41" s="133">
        <v>28364468</v>
      </c>
      <c r="F41" s="132">
        <f t="shared" si="5"/>
        <v>221255441</v>
      </c>
      <c r="O41" s="47"/>
      <c r="P41" s="47"/>
    </row>
    <row r="42" spans="2:16">
      <c r="B42" s="127" t="s">
        <v>104</v>
      </c>
      <c r="C42" s="133">
        <v>547246549</v>
      </c>
      <c r="D42" s="133"/>
      <c r="E42" s="133"/>
      <c r="F42" s="132">
        <f t="shared" si="5"/>
        <v>547246549</v>
      </c>
      <c r="O42" s="47"/>
      <c r="P42" s="47"/>
    </row>
    <row r="43" spans="2:16">
      <c r="B43" s="127" t="s">
        <v>161</v>
      </c>
      <c r="C43" s="133">
        <v>2092269089</v>
      </c>
      <c r="D43" s="133">
        <v>246930000</v>
      </c>
      <c r="E43" s="133"/>
      <c r="F43" s="132">
        <f t="shared" si="5"/>
        <v>2339199089</v>
      </c>
      <c r="O43" s="47"/>
      <c r="P43" s="47"/>
    </row>
    <row r="44" spans="2:16">
      <c r="B44" s="127" t="s">
        <v>105</v>
      </c>
      <c r="C44" s="133">
        <v>234366028</v>
      </c>
      <c r="D44" s="133"/>
      <c r="E44" s="133">
        <v>24350866</v>
      </c>
      <c r="F44" s="132">
        <f t="shared" si="5"/>
        <v>258716894</v>
      </c>
      <c r="O44" s="47"/>
      <c r="P44" s="47"/>
    </row>
    <row r="45" spans="2:16">
      <c r="B45" s="127" t="s">
        <v>64</v>
      </c>
      <c r="C45" s="133">
        <v>250268892</v>
      </c>
      <c r="D45" s="133"/>
      <c r="E45" s="133"/>
      <c r="F45" s="132">
        <f t="shared" si="5"/>
        <v>250268892</v>
      </c>
      <c r="O45" s="47"/>
      <c r="P45" s="47"/>
    </row>
    <row r="46" spans="2:16">
      <c r="B46" s="127" t="s">
        <v>190</v>
      </c>
      <c r="C46" s="133">
        <v>97467509</v>
      </c>
      <c r="D46" s="133"/>
      <c r="E46" s="133"/>
      <c r="F46" s="132">
        <f t="shared" si="5"/>
        <v>97467509</v>
      </c>
      <c r="O46" s="47"/>
      <c r="P46" s="47"/>
    </row>
    <row r="47" spans="2:16">
      <c r="B47" s="127" t="s">
        <v>197</v>
      </c>
      <c r="C47" s="133">
        <f>512692414+1402108+5137721+57953769</f>
        <v>577186012</v>
      </c>
      <c r="D47" s="133"/>
      <c r="E47" s="133"/>
      <c r="F47" s="132">
        <f t="shared" si="5"/>
        <v>577186012</v>
      </c>
      <c r="O47" s="47"/>
      <c r="P47" s="47"/>
    </row>
    <row r="48" spans="2:16">
      <c r="B48" s="130" t="s">
        <v>61</v>
      </c>
      <c r="C48" s="133">
        <v>29891138</v>
      </c>
      <c r="D48" s="133"/>
      <c r="E48" s="133"/>
      <c r="F48" s="132">
        <f t="shared" si="5"/>
        <v>29891138</v>
      </c>
      <c r="O48" s="47"/>
      <c r="P48" s="47"/>
    </row>
    <row r="49" spans="2:6">
      <c r="B49" s="127" t="s">
        <v>111</v>
      </c>
      <c r="C49" s="133">
        <v>11250846</v>
      </c>
      <c r="D49" s="133"/>
      <c r="E49" s="133"/>
      <c r="F49" s="132">
        <f t="shared" si="5"/>
        <v>11250846</v>
      </c>
    </row>
    <row r="50" spans="2:6">
      <c r="B50" s="127" t="s">
        <v>109</v>
      </c>
      <c r="C50" s="133">
        <v>384069</v>
      </c>
      <c r="D50" s="133"/>
      <c r="E50" s="133"/>
      <c r="F50" s="132">
        <f t="shared" si="5"/>
        <v>384069</v>
      </c>
    </row>
    <row r="51" spans="2:6">
      <c r="B51" s="127" t="s">
        <v>106</v>
      </c>
      <c r="C51" s="133">
        <v>1742791333</v>
      </c>
      <c r="D51" s="133">
        <v>839215577</v>
      </c>
      <c r="E51" s="133"/>
      <c r="F51" s="132">
        <f t="shared" si="5"/>
        <v>2582006910</v>
      </c>
    </row>
    <row r="52" spans="2:6">
      <c r="B52" s="127" t="s">
        <v>107</v>
      </c>
      <c r="C52" s="133">
        <v>90647611</v>
      </c>
      <c r="D52" s="133"/>
      <c r="E52" s="133"/>
      <c r="F52" s="132">
        <f t="shared" si="5"/>
        <v>90647611</v>
      </c>
    </row>
    <row r="53" spans="2:6">
      <c r="B53" s="127" t="s">
        <v>108</v>
      </c>
      <c r="C53" s="133">
        <v>1883037298</v>
      </c>
      <c r="D53" s="133"/>
      <c r="E53" s="133"/>
      <c r="F53" s="132">
        <f t="shared" si="5"/>
        <v>1883037298</v>
      </c>
    </row>
    <row r="54" spans="2:6">
      <c r="B54" s="127" t="s">
        <v>312</v>
      </c>
      <c r="C54" s="133">
        <v>39275302</v>
      </c>
      <c r="D54" s="133"/>
      <c r="E54" s="133"/>
      <c r="F54" s="132">
        <f t="shared" si="5"/>
        <v>39275302</v>
      </c>
    </row>
    <row r="55" spans="2:6">
      <c r="B55" s="127" t="s">
        <v>314</v>
      </c>
      <c r="C55" s="133">
        <v>8834247</v>
      </c>
      <c r="D55" s="133"/>
      <c r="E55" s="133"/>
      <c r="F55" s="132">
        <f t="shared" si="5"/>
        <v>8834247</v>
      </c>
    </row>
    <row r="56" spans="2:6">
      <c r="B56" s="130" t="s">
        <v>315</v>
      </c>
      <c r="C56" s="133">
        <v>9409184</v>
      </c>
      <c r="D56" s="133"/>
      <c r="E56" s="133"/>
      <c r="F56" s="132">
        <f t="shared" si="5"/>
        <v>9409184</v>
      </c>
    </row>
    <row r="57" spans="2:6">
      <c r="B57" s="127" t="s">
        <v>317</v>
      </c>
      <c r="C57" s="133">
        <v>564663823</v>
      </c>
      <c r="D57" s="133">
        <v>3590588</v>
      </c>
      <c r="E57" s="133"/>
      <c r="F57" s="132">
        <f t="shared" si="5"/>
        <v>568254411</v>
      </c>
    </row>
    <row r="58" spans="2:6">
      <c r="B58" s="127" t="s">
        <v>69</v>
      </c>
      <c r="C58" s="133">
        <v>1368375599</v>
      </c>
      <c r="D58" s="133"/>
      <c r="E58" s="133"/>
      <c r="F58" s="132">
        <f t="shared" si="5"/>
        <v>1368375599</v>
      </c>
    </row>
    <row r="59" spans="2:6">
      <c r="B59" s="127" t="s">
        <v>275</v>
      </c>
      <c r="C59" s="133">
        <v>188128052</v>
      </c>
      <c r="D59" s="133">
        <v>15000000</v>
      </c>
      <c r="E59" s="133"/>
      <c r="F59" s="132">
        <f t="shared" si="5"/>
        <v>203128052</v>
      </c>
    </row>
    <row r="60" spans="2:6">
      <c r="B60" s="127" t="s">
        <v>283</v>
      </c>
      <c r="C60" s="133">
        <v>166510010</v>
      </c>
      <c r="D60" s="133"/>
      <c r="E60" s="133">
        <v>384743740</v>
      </c>
      <c r="F60" s="132">
        <f t="shared" si="5"/>
        <v>551253750</v>
      </c>
    </row>
    <row r="61" spans="2:6">
      <c r="B61" s="127" t="s">
        <v>66</v>
      </c>
      <c r="C61" s="133">
        <v>199805590</v>
      </c>
      <c r="D61" s="133"/>
      <c r="E61" s="133"/>
      <c r="F61" s="132">
        <f t="shared" si="5"/>
        <v>199805590</v>
      </c>
    </row>
    <row r="62" spans="2:6">
      <c r="B62" s="127" t="s">
        <v>301</v>
      </c>
      <c r="C62" s="133">
        <v>351095559</v>
      </c>
      <c r="D62" s="133">
        <v>93560000</v>
      </c>
      <c r="E62" s="133"/>
      <c r="F62" s="132">
        <f t="shared" si="5"/>
        <v>444655559</v>
      </c>
    </row>
    <row r="63" spans="2:6">
      <c r="B63" s="127" t="s">
        <v>307</v>
      </c>
      <c r="C63" s="133">
        <v>602635035</v>
      </c>
      <c r="D63" s="133">
        <v>4166358</v>
      </c>
      <c r="E63" s="133"/>
      <c r="F63" s="132">
        <f t="shared" si="5"/>
        <v>606801393</v>
      </c>
    </row>
    <row r="64" spans="2:6">
      <c r="B64" s="127" t="s">
        <v>318</v>
      </c>
      <c r="C64" s="133">
        <v>42659824</v>
      </c>
      <c r="D64" s="133"/>
      <c r="E64" s="133"/>
      <c r="F64" s="132">
        <f t="shared" si="5"/>
        <v>42659824</v>
      </c>
    </row>
    <row r="164" spans="1:20" s="51" customFormat="1" ht="24">
      <c r="A164" s="47"/>
      <c r="B164" s="47"/>
      <c r="C164" s="47"/>
      <c r="D164" s="47"/>
      <c r="E164" s="47"/>
      <c r="F164" s="47"/>
      <c r="G164" s="47"/>
      <c r="H164" s="47"/>
      <c r="I164" s="91" t="s">
        <v>55</v>
      </c>
      <c r="Q164" s="47"/>
      <c r="R164" s="47"/>
      <c r="S164" s="47"/>
      <c r="T164" s="47"/>
    </row>
    <row r="294" spans="1:20" s="51" customFormat="1">
      <c r="A294" s="47"/>
      <c r="B294" s="47"/>
      <c r="C294" s="47"/>
      <c r="D294" s="47"/>
      <c r="E294" s="47"/>
      <c r="F294" s="47"/>
      <c r="G294" s="47"/>
      <c r="H294" s="47"/>
      <c r="I294" s="115"/>
      <c r="K294" s="51">
        <v>-50000</v>
      </c>
      <c r="Q294" s="47"/>
      <c r="R294" s="47"/>
      <c r="S294" s="47"/>
      <c r="T294" s="47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P37"/>
  <sheetViews>
    <sheetView showGridLines="0" view="pageBreakPreview" zoomScale="70" zoomScaleNormal="80" zoomScaleSheetLayoutView="70" workbookViewId="0">
      <pane xSplit="3" ySplit="6" topLeftCell="D7" activePane="bottomRight" state="frozen"/>
      <selection activeCell="P3" sqref="P3"/>
      <selection pane="topRight" activeCell="P3" sqref="P3"/>
      <selection pane="bottomLeft" activeCell="P3" sqref="P3"/>
      <selection pane="bottomRight" sqref="A1:R1"/>
    </sheetView>
  </sheetViews>
  <sheetFormatPr defaultColWidth="8.75" defaultRowHeight="13.5"/>
  <cols>
    <col min="1" max="1" width="12.75" style="310" customWidth="1"/>
    <col min="2" max="2" width="12" style="310" customWidth="1"/>
    <col min="3" max="3" width="12.25" style="310" customWidth="1"/>
    <col min="4" max="4" width="7.625" style="312" customWidth="1"/>
    <col min="5" max="6" width="7.125" style="312" customWidth="1"/>
    <col min="7" max="7" width="35.75" style="310" customWidth="1"/>
    <col min="8" max="16" width="11.625" style="310" customWidth="1"/>
    <col min="17" max="17" width="8.375" style="312" hidden="1" customWidth="1"/>
    <col min="18" max="18" width="37.625" style="310" customWidth="1"/>
    <col min="19" max="19" width="3" style="310" customWidth="1"/>
    <col min="20" max="20" width="6.125" style="311" hidden="1" customWidth="1"/>
    <col min="21" max="21" width="11.625" style="310" hidden="1" customWidth="1"/>
    <col min="22" max="22" width="11.125" style="310" hidden="1" customWidth="1"/>
    <col min="23" max="23" width="6" style="312" hidden="1" customWidth="1"/>
    <col min="24" max="24" width="3" style="310" hidden="1" customWidth="1"/>
    <col min="25" max="25" width="6.125" style="313" hidden="1" customWidth="1"/>
    <col min="26" max="26" width="11.625" style="310" hidden="1" customWidth="1"/>
    <col min="27" max="27" width="11.125" style="310" hidden="1" customWidth="1"/>
    <col min="28" max="28" width="6" style="312" hidden="1" customWidth="1"/>
    <col min="29" max="29" width="3" style="310" hidden="1" customWidth="1"/>
    <col min="30" max="30" width="9.375" style="314" hidden="1" customWidth="1"/>
    <col min="31" max="31" width="3" style="310" hidden="1" customWidth="1"/>
    <col min="32" max="32" width="9.375" style="315" hidden="1" customWidth="1"/>
    <col min="33" max="33" width="3" style="310" hidden="1" customWidth="1"/>
    <col min="34" max="34" width="6.125" style="312" hidden="1" customWidth="1"/>
    <col min="35" max="35" width="3" style="310" hidden="1" customWidth="1"/>
    <col min="36" max="36" width="11.625" style="312" hidden="1" customWidth="1"/>
    <col min="37" max="37" width="5.625" style="312" hidden="1" customWidth="1"/>
    <col min="38" max="38" width="5.625" style="316" hidden="1" customWidth="1"/>
    <col min="39" max="39" width="3" style="310" hidden="1" customWidth="1"/>
    <col min="40" max="40" width="11.625" style="312" hidden="1" customWidth="1"/>
    <col min="41" max="41" width="5.625" style="312" hidden="1" customWidth="1"/>
    <col min="42" max="42" width="5.625" style="316" hidden="1" customWidth="1"/>
    <col min="43" max="43" width="0" style="310" hidden="1" customWidth="1"/>
    <col min="44" max="16384" width="8.75" style="310"/>
  </cols>
  <sheetData>
    <row r="1" spans="1:42" ht="32.25" customHeight="1">
      <c r="A1" s="557" t="s">
        <v>469</v>
      </c>
      <c r="B1" s="557"/>
      <c r="C1" s="557"/>
      <c r="D1" s="557"/>
      <c r="E1" s="557"/>
      <c r="F1" s="557"/>
      <c r="G1" s="557"/>
      <c r="H1" s="557"/>
      <c r="I1" s="557"/>
      <c r="J1" s="557"/>
      <c r="K1" s="557"/>
      <c r="L1" s="557"/>
      <c r="M1" s="557"/>
      <c r="N1" s="557"/>
      <c r="O1" s="557"/>
      <c r="P1" s="557"/>
      <c r="Q1" s="557"/>
      <c r="R1" s="557"/>
    </row>
    <row r="2" spans="1:42" ht="20.25">
      <c r="A2" s="317" t="s">
        <v>6</v>
      </c>
      <c r="B2" s="317"/>
      <c r="C2" s="317"/>
      <c r="D2" s="318"/>
      <c r="E2" s="318"/>
      <c r="F2" s="318"/>
      <c r="G2" s="317"/>
      <c r="N2" s="319"/>
      <c r="O2" s="319"/>
      <c r="U2" s="319" t="s">
        <v>71</v>
      </c>
      <c r="V2" s="320"/>
      <c r="Z2" s="319" t="s">
        <v>71</v>
      </c>
      <c r="AA2" s="320"/>
    </row>
    <row r="3" spans="1:42" ht="20.25">
      <c r="K3" s="321">
        <f t="shared" ref="K3:O3" si="0">COUNTA(K7:K35)-9</f>
        <v>0</v>
      </c>
      <c r="L3" s="321">
        <f t="shared" si="0"/>
        <v>0</v>
      </c>
      <c r="M3" s="322"/>
      <c r="N3" s="321">
        <f t="shared" si="0"/>
        <v>0</v>
      </c>
      <c r="O3" s="321">
        <f t="shared" si="0"/>
        <v>3</v>
      </c>
      <c r="P3" s="311"/>
      <c r="Q3" s="323"/>
      <c r="R3" s="324" t="s">
        <v>8</v>
      </c>
      <c r="U3" s="320" t="str">
        <f>IF(U6='16년 3추특출'!W6,"OK","@@")</f>
        <v>OK</v>
      </c>
      <c r="V3" s="310">
        <f>SUM(U6:V6)</f>
        <v>0</v>
      </c>
      <c r="W3" s="320" t="str">
        <f>IF(COUNTIF(W6:W853,"@@")&gt;0,"@@","OK")</f>
        <v>OK</v>
      </c>
      <c r="Z3" s="320" t="str">
        <f>IF(Z6='16년 3추특출'!AB6,"OK","@@")</f>
        <v>OK</v>
      </c>
      <c r="AA3" s="310">
        <f>SUM(Z6:AA6)</f>
        <v>24835936</v>
      </c>
      <c r="AB3" s="320" t="str">
        <f>IF(COUNTIF(AB6:AB853,"@@")&gt;0,"@@","OK")</f>
        <v>OK</v>
      </c>
      <c r="AF3" s="325"/>
      <c r="AJ3" s="320" t="str">
        <f>IF(U6=AJ6,"OK","@@")</f>
        <v>OK</v>
      </c>
      <c r="AN3" s="320" t="str">
        <f>IF(Z6=AN6,"OK","@@")</f>
        <v>@@</v>
      </c>
    </row>
    <row r="4" spans="1:42" ht="30" customHeight="1">
      <c r="A4" s="558" t="s">
        <v>362</v>
      </c>
      <c r="B4" s="558" t="s">
        <v>115</v>
      </c>
      <c r="C4" s="558" t="s">
        <v>4</v>
      </c>
      <c r="D4" s="555" t="s">
        <v>116</v>
      </c>
      <c r="E4" s="555" t="s">
        <v>403</v>
      </c>
      <c r="F4" s="561" t="s">
        <v>404</v>
      </c>
      <c r="G4" s="558" t="s">
        <v>117</v>
      </c>
      <c r="H4" s="561" t="s">
        <v>471</v>
      </c>
      <c r="I4" s="555" t="s">
        <v>440</v>
      </c>
      <c r="J4" s="555" t="s">
        <v>472</v>
      </c>
      <c r="K4" s="563" t="s">
        <v>378</v>
      </c>
      <c r="L4" s="564"/>
      <c r="M4" s="565" t="s">
        <v>441</v>
      </c>
      <c r="N4" s="567" t="s">
        <v>379</v>
      </c>
      <c r="O4" s="568"/>
      <c r="P4" s="569" t="s">
        <v>442</v>
      </c>
      <c r="Q4" s="571" t="s">
        <v>405</v>
      </c>
      <c r="R4" s="562" t="s">
        <v>1311</v>
      </c>
      <c r="T4" s="625" t="s">
        <v>5</v>
      </c>
      <c r="U4" s="627" t="s">
        <v>7</v>
      </c>
      <c r="V4" s="628"/>
      <c r="W4" s="628"/>
      <c r="Y4" s="618" t="s">
        <v>5</v>
      </c>
      <c r="Z4" s="620" t="s">
        <v>78</v>
      </c>
      <c r="AA4" s="620"/>
      <c r="AB4" s="620"/>
      <c r="AD4" s="621" t="s">
        <v>393</v>
      </c>
      <c r="AF4" s="623" t="s">
        <v>394</v>
      </c>
      <c r="AH4" s="581" t="s">
        <v>392</v>
      </c>
      <c r="AJ4" s="572" t="s">
        <v>398</v>
      </c>
      <c r="AK4" s="572"/>
      <c r="AL4" s="572"/>
      <c r="AN4" s="573" t="s">
        <v>401</v>
      </c>
      <c r="AO4" s="573"/>
      <c r="AP4" s="573"/>
    </row>
    <row r="5" spans="1:42" ht="18" customHeight="1">
      <c r="A5" s="559"/>
      <c r="B5" s="559"/>
      <c r="C5" s="559"/>
      <c r="D5" s="559"/>
      <c r="E5" s="560"/>
      <c r="F5" s="561"/>
      <c r="G5" s="559"/>
      <c r="H5" s="562"/>
      <c r="I5" s="556"/>
      <c r="J5" s="556"/>
      <c r="K5" s="326" t="s">
        <v>0</v>
      </c>
      <c r="L5" s="326" t="s">
        <v>1</v>
      </c>
      <c r="M5" s="566"/>
      <c r="N5" s="327" t="s">
        <v>0</v>
      </c>
      <c r="O5" s="327" t="s">
        <v>1</v>
      </c>
      <c r="P5" s="570"/>
      <c r="Q5" s="571"/>
      <c r="R5" s="562"/>
      <c r="T5" s="626"/>
      <c r="U5" s="451" t="s">
        <v>3</v>
      </c>
      <c r="V5" s="451" t="s">
        <v>2</v>
      </c>
      <c r="W5" s="451" t="s">
        <v>76</v>
      </c>
      <c r="Y5" s="619"/>
      <c r="Z5" s="452" t="s">
        <v>3</v>
      </c>
      <c r="AA5" s="452" t="s">
        <v>2</v>
      </c>
      <c r="AB5" s="452" t="s">
        <v>76</v>
      </c>
      <c r="AD5" s="622"/>
      <c r="AF5" s="624"/>
      <c r="AH5" s="582"/>
      <c r="AJ5" s="328" t="s">
        <v>399</v>
      </c>
      <c r="AK5" s="328" t="s">
        <v>400</v>
      </c>
      <c r="AL5" s="328" t="s">
        <v>76</v>
      </c>
      <c r="AN5" s="329" t="s">
        <v>399</v>
      </c>
      <c r="AO5" s="329" t="s">
        <v>400</v>
      </c>
      <c r="AP5" s="329" t="s">
        <v>76</v>
      </c>
    </row>
    <row r="6" spans="1:42" ht="39.950000000000003" customHeight="1">
      <c r="A6" s="453"/>
      <c r="B6" s="454"/>
      <c r="C6" s="280"/>
      <c r="D6" s="454"/>
      <c r="E6" s="454"/>
      <c r="F6" s="285"/>
      <c r="G6" s="454"/>
      <c r="H6" s="337">
        <f t="shared" ref="H6:O6" si="1">SUM(H7,H10,H15,H18,H21,H24,H27,H30,H33)</f>
        <v>924680057</v>
      </c>
      <c r="I6" s="337">
        <f t="shared" si="1"/>
        <v>889452717</v>
      </c>
      <c r="J6" s="337">
        <f t="shared" si="1"/>
        <v>35227340</v>
      </c>
      <c r="K6" s="337">
        <f t="shared" si="1"/>
        <v>0</v>
      </c>
      <c r="L6" s="337">
        <f t="shared" si="1"/>
        <v>0</v>
      </c>
      <c r="M6" s="337">
        <f t="shared" si="1"/>
        <v>924680057</v>
      </c>
      <c r="N6" s="337">
        <f t="shared" si="1"/>
        <v>0</v>
      </c>
      <c r="O6" s="337">
        <f t="shared" si="1"/>
        <v>24835936</v>
      </c>
      <c r="P6" s="337">
        <f>SUM(P7,P10,P15,P18,P21,P24,P27,P30,P33)</f>
        <v>949515993</v>
      </c>
      <c r="Q6" s="341"/>
      <c r="R6" s="455"/>
      <c r="T6" s="456"/>
      <c r="U6" s="337">
        <f t="shared" ref="U6:V6" si="2">SUM(U7,U10,U15,U18,U21,U24,U27,U30,U33)</f>
        <v>0</v>
      </c>
      <c r="V6" s="457">
        <f t="shared" si="2"/>
        <v>0</v>
      </c>
      <c r="W6" s="458" t="str">
        <f>IF((K6+L6)=(U6+V6),"OK","검토")</f>
        <v>OK</v>
      </c>
      <c r="Y6" s="459"/>
      <c r="Z6" s="337">
        <f t="shared" ref="Z6" si="3">SUM(Z7,Z10,Z15,Z18,Z21,Z24,Z27,Z30,Z33)</f>
        <v>19941000</v>
      </c>
      <c r="AA6" s="457">
        <f t="shared" ref="AA6" si="4">SUM(AA7,AA10,AA15,AA18,AA21,AA24,AA27,AA30,AA33)</f>
        <v>4894936</v>
      </c>
      <c r="AB6" s="458" t="str">
        <f>IF((N6+O6)=(Z6+AA6),"OK","검토")</f>
        <v>OK</v>
      </c>
      <c r="AD6" s="460"/>
      <c r="AF6" s="355"/>
      <c r="AH6" s="342"/>
      <c r="AJ6" s="337">
        <f>SUBTOTAL(9,AJ7:AJ765)</f>
        <v>0</v>
      </c>
      <c r="AK6" s="341" t="e">
        <f>SUBTOTAL(9,#REF!)</f>
        <v>#REF!</v>
      </c>
      <c r="AL6" s="343" t="str">
        <f>IF(COUNTIF($AL$7:$AL$9876,"@@")&gt;0,"@@","OK")</f>
        <v>OK</v>
      </c>
      <c r="AN6" s="337">
        <f>SUBTOTAL(9,AN7:AN765)</f>
        <v>0</v>
      </c>
      <c r="AO6" s="341" t="e">
        <f>SUBTOTAL(9,#REF!)</f>
        <v>#REF!</v>
      </c>
      <c r="AP6" s="343" t="str">
        <f>IF(COUNTIF($AP$7:$AP$9876,"@@")&gt;0,"@@","OK")</f>
        <v>OK</v>
      </c>
    </row>
    <row r="7" spans="1:42" ht="39.950000000000003" hidden="1" customHeight="1">
      <c r="A7" s="461" t="s">
        <v>460</v>
      </c>
      <c r="B7" s="462"/>
      <c r="C7" s="463"/>
      <c r="D7" s="462"/>
      <c r="E7" s="462"/>
      <c r="F7" s="463"/>
      <c r="G7" s="462"/>
      <c r="H7" s="464">
        <f t="shared" ref="H7:P7" si="5">SUM(H8:H9)</f>
        <v>0</v>
      </c>
      <c r="I7" s="464">
        <f t="shared" si="5"/>
        <v>0</v>
      </c>
      <c r="J7" s="464">
        <f t="shared" si="5"/>
        <v>0</v>
      </c>
      <c r="K7" s="464">
        <f t="shared" si="5"/>
        <v>0</v>
      </c>
      <c r="L7" s="464">
        <f t="shared" si="5"/>
        <v>0</v>
      </c>
      <c r="M7" s="464">
        <f t="shared" si="5"/>
        <v>0</v>
      </c>
      <c r="N7" s="464">
        <f t="shared" si="5"/>
        <v>0</v>
      </c>
      <c r="O7" s="464">
        <f t="shared" si="5"/>
        <v>0</v>
      </c>
      <c r="P7" s="464">
        <f t="shared" si="5"/>
        <v>0</v>
      </c>
      <c r="Q7" s="465"/>
      <c r="R7" s="466"/>
      <c r="T7" s="467"/>
      <c r="U7" s="464">
        <f t="shared" ref="U7:V7" si="6">SUM(U8:U9)</f>
        <v>0</v>
      </c>
      <c r="V7" s="464">
        <f t="shared" si="6"/>
        <v>0</v>
      </c>
      <c r="W7" s="359" t="str">
        <f t="shared" ref="W7:W35" si="7">IF($AD7="국도비","ok",IF(($K7+$L7)=($U7+$V7),"ok","검토"))</f>
        <v>ok</v>
      </c>
      <c r="Y7" s="468">
        <f t="shared" ref="Y7:Y35" si="8">$T7</f>
        <v>0</v>
      </c>
      <c r="Z7" s="464">
        <f t="shared" ref="Z7:AA7" si="9">SUM(Z8:Z9)</f>
        <v>0</v>
      </c>
      <c r="AA7" s="464">
        <f t="shared" si="9"/>
        <v>0</v>
      </c>
      <c r="AB7" s="359"/>
      <c r="AD7" s="469" t="str">
        <f>IF(AF7="","",IF($T7="도비","세입없음",$AF7&amp;"-"&amp;TEXT(COUNTIF(AF$7:AF7,AF$7:AF7),"00")))</f>
        <v/>
      </c>
      <c r="AF7" s="470"/>
    </row>
    <row r="8" spans="1:42" ht="39.950000000000003" hidden="1" customHeight="1">
      <c r="A8" s="344"/>
      <c r="B8" s="344"/>
      <c r="C8" s="364"/>
      <c r="D8" s="363"/>
      <c r="E8" s="363"/>
      <c r="F8" s="363"/>
      <c r="G8" s="364"/>
      <c r="H8" s="349"/>
      <c r="I8" s="349"/>
      <c r="J8" s="349" t="str">
        <f t="shared" ref="J8:J35" si="10">IF(D8="","",H8-I8)</f>
        <v/>
      </c>
      <c r="K8" s="350"/>
      <c r="L8" s="350"/>
      <c r="M8" s="349">
        <f t="shared" ref="M8:M35" si="11">IF(H8=0,I8+K8+L8,H8+K8+L8)</f>
        <v>0</v>
      </c>
      <c r="N8" s="350"/>
      <c r="O8" s="350"/>
      <c r="P8" s="349">
        <f t="shared" ref="P8:P35" si="12">IF(H8=0,I8+N8+O8,H8+N8+O8)</f>
        <v>0</v>
      </c>
      <c r="Q8" s="365"/>
      <c r="R8" s="352"/>
      <c r="T8" s="467"/>
      <c r="U8" s="366">
        <f t="shared" ref="U8:U35" si="13">IF($T8&lt;&gt;"도비",IF($AD8="국도비","직접입력",SUM($K8:$L8)),)</f>
        <v>0</v>
      </c>
      <c r="V8" s="366">
        <f t="shared" ref="V8:V35" si="14">IF($T8="도비",SUM($K8:$L8),IF($AD8="국도비","직접입력",SUM($K8:$L8)-$U8))</f>
        <v>0</v>
      </c>
      <c r="W8" s="359" t="str">
        <f t="shared" si="7"/>
        <v>ok</v>
      </c>
      <c r="Y8" s="468">
        <f t="shared" si="8"/>
        <v>0</v>
      </c>
      <c r="Z8" s="366">
        <f t="shared" ref="Z8:Z35" si="15">IF($Y8&lt;&gt;"도비",IF($AD8="국도비","직접입력",SUM($N8:$O8)),)</f>
        <v>0</v>
      </c>
      <c r="AA8" s="366">
        <f t="shared" ref="AA8:AA35" si="16">IF($Y8="도비",SUM($N8:$O8),IF($AD8="국도비","직접입력",SUM($N8:$O8)-$Z8))</f>
        <v>0</v>
      </c>
      <c r="AB8" s="359"/>
      <c r="AD8" s="469" t="str">
        <f>IF(AF8="","",IF($T8="도비","세입없음",$AF8&amp;"-"&amp;TEXT(COUNTIF(AF$7:AF8,AF$7:AF8),"00")))</f>
        <v/>
      </c>
      <c r="AF8" s="470"/>
    </row>
    <row r="9" spans="1:42" ht="39.950000000000003" hidden="1" customHeight="1">
      <c r="A9" s="344"/>
      <c r="B9" s="344"/>
      <c r="C9" s="364"/>
      <c r="D9" s="363"/>
      <c r="E9" s="363"/>
      <c r="F9" s="363"/>
      <c r="G9" s="364"/>
      <c r="H9" s="349"/>
      <c r="I9" s="349"/>
      <c r="J9" s="349" t="str">
        <f t="shared" si="10"/>
        <v/>
      </c>
      <c r="K9" s="350"/>
      <c r="L9" s="350"/>
      <c r="M9" s="349">
        <f t="shared" si="11"/>
        <v>0</v>
      </c>
      <c r="N9" s="350"/>
      <c r="O9" s="350"/>
      <c r="P9" s="349">
        <f t="shared" si="12"/>
        <v>0</v>
      </c>
      <c r="Q9" s="365"/>
      <c r="R9" s="352"/>
      <c r="T9" s="467"/>
      <c r="U9" s="366">
        <f t="shared" si="13"/>
        <v>0</v>
      </c>
      <c r="V9" s="366">
        <f t="shared" si="14"/>
        <v>0</v>
      </c>
      <c r="W9" s="359" t="str">
        <f t="shared" si="7"/>
        <v>ok</v>
      </c>
      <c r="Y9" s="468">
        <f t="shared" si="8"/>
        <v>0</v>
      </c>
      <c r="Z9" s="366">
        <f t="shared" si="15"/>
        <v>0</v>
      </c>
      <c r="AA9" s="366">
        <f t="shared" si="16"/>
        <v>0</v>
      </c>
      <c r="AB9" s="359"/>
      <c r="AD9" s="469" t="str">
        <f>IF(AF9="","",IF($T9="도비","세입없음",$AF9&amp;"-"&amp;TEXT(COUNTIF(AF$7:AF9,AF$7:AF9),"00")))</f>
        <v/>
      </c>
      <c r="AF9" s="470"/>
    </row>
    <row r="10" spans="1:42" ht="39.950000000000003" customHeight="1">
      <c r="A10" s="471" t="s">
        <v>462</v>
      </c>
      <c r="B10" s="403"/>
      <c r="C10" s="428"/>
      <c r="D10" s="403"/>
      <c r="E10" s="403"/>
      <c r="F10" s="428"/>
      <c r="G10" s="403"/>
      <c r="H10" s="464">
        <f t="shared" ref="H10:P10" si="17">SUM(H11:H14)</f>
        <v>924680057</v>
      </c>
      <c r="I10" s="407">
        <f t="shared" si="17"/>
        <v>889452717</v>
      </c>
      <c r="J10" s="407">
        <f t="shared" si="17"/>
        <v>35227340</v>
      </c>
      <c r="K10" s="407">
        <f t="shared" si="17"/>
        <v>0</v>
      </c>
      <c r="L10" s="407">
        <f t="shared" si="17"/>
        <v>0</v>
      </c>
      <c r="M10" s="407">
        <f t="shared" si="17"/>
        <v>924680057</v>
      </c>
      <c r="N10" s="407">
        <f t="shared" si="17"/>
        <v>0</v>
      </c>
      <c r="O10" s="407">
        <f t="shared" si="17"/>
        <v>24835936</v>
      </c>
      <c r="P10" s="407">
        <f t="shared" si="17"/>
        <v>949515993</v>
      </c>
      <c r="Q10" s="472"/>
      <c r="R10" s="473"/>
      <c r="T10" s="467"/>
      <c r="U10" s="407">
        <f t="shared" ref="U10:V10" si="18">SUM(U11:U14)</f>
        <v>0</v>
      </c>
      <c r="V10" s="407">
        <f t="shared" si="18"/>
        <v>0</v>
      </c>
      <c r="W10" s="359" t="str">
        <f t="shared" si="7"/>
        <v>ok</v>
      </c>
      <c r="Y10" s="468">
        <f t="shared" si="8"/>
        <v>0</v>
      </c>
      <c r="Z10" s="407">
        <f>SUM(Z11:Z14)</f>
        <v>19941000</v>
      </c>
      <c r="AA10" s="407">
        <f t="shared" ref="AA10" si="19">SUM(AA11:AA14)</f>
        <v>4894936</v>
      </c>
      <c r="AB10" s="359"/>
      <c r="AD10" s="469" t="str">
        <f>IF(AF10="","",IF($T10="도비","세입없음",$AF10&amp;"-"&amp;TEXT(COUNTIF(AF$7:AF10,AF$7:AF10),"00")))</f>
        <v/>
      </c>
      <c r="AF10" s="470"/>
    </row>
    <row r="11" spans="1:42" ht="39.950000000000003" customHeight="1">
      <c r="A11" s="474" t="s">
        <v>321</v>
      </c>
      <c r="B11" s="344" t="s">
        <v>106</v>
      </c>
      <c r="C11" s="364" t="s">
        <v>598</v>
      </c>
      <c r="D11" s="363" t="s">
        <v>480</v>
      </c>
      <c r="E11" s="363">
        <v>637</v>
      </c>
      <c r="F11" s="363"/>
      <c r="G11" s="364" t="s">
        <v>1265</v>
      </c>
      <c r="H11" s="349">
        <v>740255253</v>
      </c>
      <c r="I11" s="349">
        <v>711923423</v>
      </c>
      <c r="J11" s="349">
        <f t="shared" si="10"/>
        <v>28331830</v>
      </c>
      <c r="K11" s="350"/>
      <c r="L11" s="350"/>
      <c r="M11" s="349">
        <f t="shared" si="11"/>
        <v>740255253</v>
      </c>
      <c r="N11" s="350"/>
      <c r="O11" s="350">
        <v>19941000</v>
      </c>
      <c r="P11" s="349">
        <f t="shared" si="12"/>
        <v>760196253</v>
      </c>
      <c r="Q11" s="365"/>
      <c r="R11" s="352" t="s">
        <v>1268</v>
      </c>
      <c r="T11" s="467" t="s">
        <v>1200</v>
      </c>
      <c r="U11" s="366">
        <f t="shared" si="13"/>
        <v>0</v>
      </c>
      <c r="V11" s="366">
        <f t="shared" si="14"/>
        <v>0</v>
      </c>
      <c r="W11" s="359" t="str">
        <f t="shared" si="7"/>
        <v>ok</v>
      </c>
      <c r="Y11" s="468" t="str">
        <f t="shared" si="8"/>
        <v>국비</v>
      </c>
      <c r="Z11" s="366">
        <f t="shared" si="15"/>
        <v>19941000</v>
      </c>
      <c r="AA11" s="366">
        <f t="shared" si="16"/>
        <v>0</v>
      </c>
      <c r="AB11" s="359"/>
      <c r="AD11" s="469" t="str">
        <f>IF(AF11="","",IF($T11="도비","세입없음",$AF11&amp;"-"&amp;TEXT(COUNTIF(AF$7:AF11,AF$7:AF11),"00")))</f>
        <v/>
      </c>
      <c r="AF11" s="470"/>
    </row>
    <row r="12" spans="1:42" ht="39.950000000000003" customHeight="1">
      <c r="A12" s="474" t="s">
        <v>321</v>
      </c>
      <c r="B12" s="344" t="s">
        <v>106</v>
      </c>
      <c r="C12" s="364" t="s">
        <v>598</v>
      </c>
      <c r="D12" s="363" t="s">
        <v>480</v>
      </c>
      <c r="E12" s="363">
        <v>637</v>
      </c>
      <c r="F12" s="363"/>
      <c r="G12" s="364" t="s">
        <v>1266</v>
      </c>
      <c r="H12" s="349">
        <v>130284825</v>
      </c>
      <c r="I12" s="349">
        <v>125520932</v>
      </c>
      <c r="J12" s="349">
        <f t="shared" si="10"/>
        <v>4763893</v>
      </c>
      <c r="K12" s="350"/>
      <c r="L12" s="350"/>
      <c r="M12" s="349">
        <f t="shared" si="11"/>
        <v>130284825</v>
      </c>
      <c r="N12" s="350"/>
      <c r="O12" s="350">
        <v>3509065</v>
      </c>
      <c r="P12" s="349">
        <f t="shared" si="12"/>
        <v>133793890</v>
      </c>
      <c r="Q12" s="365"/>
      <c r="R12" s="352" t="s">
        <v>1268</v>
      </c>
      <c r="T12" s="467" t="s">
        <v>1182</v>
      </c>
      <c r="U12" s="366">
        <f t="shared" si="13"/>
        <v>0</v>
      </c>
      <c r="V12" s="366">
        <f t="shared" si="14"/>
        <v>0</v>
      </c>
      <c r="W12" s="359" t="str">
        <f t="shared" si="7"/>
        <v>ok</v>
      </c>
      <c r="Y12" s="468" t="str">
        <f t="shared" si="8"/>
        <v>도비</v>
      </c>
      <c r="Z12" s="366">
        <f t="shared" si="15"/>
        <v>0</v>
      </c>
      <c r="AA12" s="366">
        <f t="shared" si="16"/>
        <v>3509065</v>
      </c>
      <c r="AB12" s="359"/>
      <c r="AD12" s="469" t="str">
        <f>IF(AF12="","",IF($T12="도비","세입없음",$AF12&amp;"-"&amp;TEXT(COUNTIF(AF$7:AF12,AF$7:AF12),"00")))</f>
        <v/>
      </c>
      <c r="AF12" s="470"/>
    </row>
    <row r="13" spans="1:42" ht="39.950000000000003" customHeight="1">
      <c r="A13" s="474" t="s">
        <v>321</v>
      </c>
      <c r="B13" s="344" t="s">
        <v>106</v>
      </c>
      <c r="C13" s="364" t="s">
        <v>598</v>
      </c>
      <c r="D13" s="363" t="s">
        <v>480</v>
      </c>
      <c r="E13" s="363">
        <v>637</v>
      </c>
      <c r="F13" s="363"/>
      <c r="G13" s="364" t="s">
        <v>1267</v>
      </c>
      <c r="H13" s="349">
        <v>54139979</v>
      </c>
      <c r="I13" s="349">
        <v>52008362</v>
      </c>
      <c r="J13" s="349">
        <f t="shared" ref="J13" si="20">IF(D13="","",H13-I13)</f>
        <v>2131617</v>
      </c>
      <c r="K13" s="350"/>
      <c r="L13" s="350"/>
      <c r="M13" s="349">
        <f t="shared" ref="M13" si="21">IF(H13=0,I13+K13+L13,H13+K13+L13)</f>
        <v>54139979</v>
      </c>
      <c r="N13" s="350"/>
      <c r="O13" s="350">
        <v>1385871</v>
      </c>
      <c r="P13" s="349">
        <f t="shared" ref="P13" si="22">IF(H13=0,I13+N13+O13,H13+N13+O13)</f>
        <v>55525850</v>
      </c>
      <c r="Q13" s="365"/>
      <c r="R13" s="352" t="s">
        <v>1268</v>
      </c>
      <c r="T13" s="467" t="s">
        <v>1182</v>
      </c>
      <c r="U13" s="366">
        <f t="shared" si="13"/>
        <v>0</v>
      </c>
      <c r="V13" s="366">
        <f t="shared" si="14"/>
        <v>0</v>
      </c>
      <c r="W13" s="359" t="str">
        <f t="shared" si="7"/>
        <v>ok</v>
      </c>
      <c r="Y13" s="468" t="str">
        <f t="shared" si="8"/>
        <v>도비</v>
      </c>
      <c r="Z13" s="366">
        <f t="shared" si="15"/>
        <v>0</v>
      </c>
      <c r="AA13" s="366">
        <f t="shared" si="16"/>
        <v>1385871</v>
      </c>
      <c r="AB13" s="359"/>
      <c r="AD13" s="469" t="str">
        <f>IF(AF13="","",IF($T13="도비","세입없음",$AF13&amp;"-"&amp;TEXT(COUNTIF(AF$7:AF13,AF$7:AF13),"00")))</f>
        <v/>
      </c>
      <c r="AF13" s="470"/>
    </row>
    <row r="14" spans="1:42" ht="39.950000000000003" hidden="1" customHeight="1">
      <c r="A14" s="474"/>
      <c r="B14" s="344"/>
      <c r="C14" s="364"/>
      <c r="D14" s="363"/>
      <c r="E14" s="363"/>
      <c r="F14" s="363"/>
      <c r="G14" s="364"/>
      <c r="H14" s="349"/>
      <c r="I14" s="349"/>
      <c r="J14" s="349" t="str">
        <f t="shared" si="10"/>
        <v/>
      </c>
      <c r="K14" s="350"/>
      <c r="L14" s="350"/>
      <c r="M14" s="349">
        <f t="shared" si="11"/>
        <v>0</v>
      </c>
      <c r="N14" s="350"/>
      <c r="O14" s="350"/>
      <c r="P14" s="349">
        <f t="shared" si="12"/>
        <v>0</v>
      </c>
      <c r="Q14" s="365"/>
      <c r="R14" s="352"/>
      <c r="T14" s="467"/>
      <c r="U14" s="366">
        <f t="shared" si="13"/>
        <v>0</v>
      </c>
      <c r="V14" s="366">
        <f t="shared" si="14"/>
        <v>0</v>
      </c>
      <c r="W14" s="359" t="str">
        <f t="shared" si="7"/>
        <v>ok</v>
      </c>
      <c r="Y14" s="468">
        <f t="shared" si="8"/>
        <v>0</v>
      </c>
      <c r="Z14" s="366">
        <f t="shared" si="15"/>
        <v>0</v>
      </c>
      <c r="AA14" s="366">
        <f t="shared" si="16"/>
        <v>0</v>
      </c>
      <c r="AB14" s="359"/>
      <c r="AD14" s="469" t="str">
        <f>IF(AF14="","",IF($T14="도비","세입없음",$AF14&amp;"-"&amp;TEXT(COUNTIF(AF$7:AF14,AF$7:AF14),"00")))</f>
        <v/>
      </c>
      <c r="AF14" s="470"/>
    </row>
    <row r="15" spans="1:42" ht="39.950000000000003" hidden="1" customHeight="1">
      <c r="A15" s="471" t="s">
        <v>463</v>
      </c>
      <c r="B15" s="403"/>
      <c r="C15" s="428"/>
      <c r="D15" s="403"/>
      <c r="E15" s="403"/>
      <c r="F15" s="428"/>
      <c r="G15" s="403"/>
      <c r="H15" s="464">
        <f t="shared" ref="H15:P15" si="23">SUM(H16:H17)</f>
        <v>0</v>
      </c>
      <c r="I15" s="407">
        <f t="shared" si="23"/>
        <v>0</v>
      </c>
      <c r="J15" s="407">
        <f t="shared" si="23"/>
        <v>0</v>
      </c>
      <c r="K15" s="407">
        <f t="shared" si="23"/>
        <v>0</v>
      </c>
      <c r="L15" s="407">
        <f t="shared" si="23"/>
        <v>0</v>
      </c>
      <c r="M15" s="407">
        <f t="shared" si="23"/>
        <v>0</v>
      </c>
      <c r="N15" s="407">
        <f t="shared" si="23"/>
        <v>0</v>
      </c>
      <c r="O15" s="407">
        <f t="shared" si="23"/>
        <v>0</v>
      </c>
      <c r="P15" s="407">
        <f t="shared" si="23"/>
        <v>0</v>
      </c>
      <c r="Q15" s="472"/>
      <c r="R15" s="473"/>
      <c r="T15" s="467"/>
      <c r="U15" s="407">
        <f t="shared" ref="U15:V15" si="24">SUM(U16:U17)</f>
        <v>0</v>
      </c>
      <c r="V15" s="407">
        <f t="shared" si="24"/>
        <v>0</v>
      </c>
      <c r="W15" s="359" t="str">
        <f t="shared" si="7"/>
        <v>ok</v>
      </c>
      <c r="Y15" s="468">
        <f t="shared" si="8"/>
        <v>0</v>
      </c>
      <c r="Z15" s="407">
        <f t="shared" ref="Z15:AA15" si="25">SUM(Z16:Z17)</f>
        <v>0</v>
      </c>
      <c r="AA15" s="407">
        <f t="shared" si="25"/>
        <v>0</v>
      </c>
      <c r="AB15" s="359"/>
      <c r="AD15" s="469" t="str">
        <f>IF(AF15="","",IF($T15="도비","세입없음",$AF15&amp;"-"&amp;TEXT(COUNTIF(AF$7:AF15,AF$7:AF15),"00")))</f>
        <v/>
      </c>
      <c r="AF15" s="470"/>
    </row>
    <row r="16" spans="1:42" ht="39.950000000000003" hidden="1" customHeight="1">
      <c r="A16" s="474"/>
      <c r="B16" s="344"/>
      <c r="C16" s="364"/>
      <c r="D16" s="363"/>
      <c r="E16" s="363"/>
      <c r="F16" s="363"/>
      <c r="G16" s="364"/>
      <c r="H16" s="475"/>
      <c r="I16" s="475"/>
      <c r="J16" s="349" t="str">
        <f t="shared" si="10"/>
        <v/>
      </c>
      <c r="K16" s="350"/>
      <c r="L16" s="350"/>
      <c r="M16" s="349">
        <f t="shared" si="11"/>
        <v>0</v>
      </c>
      <c r="N16" s="350"/>
      <c r="O16" s="350"/>
      <c r="P16" s="349">
        <f t="shared" si="12"/>
        <v>0</v>
      </c>
      <c r="Q16" s="365"/>
      <c r="R16" s="352"/>
      <c r="T16" s="467"/>
      <c r="U16" s="366">
        <f t="shared" si="13"/>
        <v>0</v>
      </c>
      <c r="V16" s="366">
        <f t="shared" si="14"/>
        <v>0</v>
      </c>
      <c r="W16" s="359" t="str">
        <f t="shared" si="7"/>
        <v>ok</v>
      </c>
      <c r="Y16" s="468">
        <f t="shared" si="8"/>
        <v>0</v>
      </c>
      <c r="Z16" s="366">
        <f t="shared" si="15"/>
        <v>0</v>
      </c>
      <c r="AA16" s="366">
        <f t="shared" si="16"/>
        <v>0</v>
      </c>
      <c r="AB16" s="359"/>
      <c r="AD16" s="469" t="str">
        <f>IF(AF16="","",IF($T16="도비","세입없음",$AF16&amp;"-"&amp;TEXT(COUNTIF(AF$7:AF16,AF$7:AF16),"00")))</f>
        <v/>
      </c>
      <c r="AF16" s="470"/>
    </row>
    <row r="17" spans="1:32" ht="39.950000000000003" hidden="1" customHeight="1">
      <c r="A17" s="474"/>
      <c r="B17" s="344"/>
      <c r="C17" s="364"/>
      <c r="D17" s="363"/>
      <c r="E17" s="363"/>
      <c r="F17" s="363"/>
      <c r="G17" s="364"/>
      <c r="H17" s="475"/>
      <c r="I17" s="475"/>
      <c r="J17" s="349" t="str">
        <f t="shared" si="10"/>
        <v/>
      </c>
      <c r="K17" s="350"/>
      <c r="L17" s="350"/>
      <c r="M17" s="349">
        <f t="shared" si="11"/>
        <v>0</v>
      </c>
      <c r="N17" s="350"/>
      <c r="O17" s="350"/>
      <c r="P17" s="349">
        <f t="shared" si="12"/>
        <v>0</v>
      </c>
      <c r="Q17" s="365"/>
      <c r="R17" s="352"/>
      <c r="T17" s="467"/>
      <c r="U17" s="366">
        <f t="shared" si="13"/>
        <v>0</v>
      </c>
      <c r="V17" s="366">
        <f t="shared" si="14"/>
        <v>0</v>
      </c>
      <c r="W17" s="359" t="str">
        <f t="shared" si="7"/>
        <v>ok</v>
      </c>
      <c r="Y17" s="468">
        <f t="shared" si="8"/>
        <v>0</v>
      </c>
      <c r="Z17" s="366">
        <f t="shared" si="15"/>
        <v>0</v>
      </c>
      <c r="AA17" s="366">
        <f t="shared" si="16"/>
        <v>0</v>
      </c>
      <c r="AB17" s="359"/>
      <c r="AD17" s="469" t="str">
        <f>IF(AF17="","",IF($T17="도비","세입없음",$AF17&amp;"-"&amp;TEXT(COUNTIF(AF$7:AF17,AF$7:AF17),"00")))</f>
        <v/>
      </c>
      <c r="AF17" s="470"/>
    </row>
    <row r="18" spans="1:32" ht="39.950000000000003" hidden="1" customHeight="1">
      <c r="A18" s="471" t="s">
        <v>464</v>
      </c>
      <c r="B18" s="403"/>
      <c r="C18" s="428"/>
      <c r="D18" s="403"/>
      <c r="E18" s="403"/>
      <c r="F18" s="428"/>
      <c r="G18" s="403"/>
      <c r="H18" s="464">
        <f t="shared" ref="H18:P18" si="26">SUM(H19:H20)</f>
        <v>0</v>
      </c>
      <c r="I18" s="407">
        <f t="shared" si="26"/>
        <v>0</v>
      </c>
      <c r="J18" s="407">
        <f t="shared" si="26"/>
        <v>0</v>
      </c>
      <c r="K18" s="407">
        <f t="shared" si="26"/>
        <v>0</v>
      </c>
      <c r="L18" s="407">
        <f t="shared" si="26"/>
        <v>0</v>
      </c>
      <c r="M18" s="407">
        <f t="shared" si="26"/>
        <v>0</v>
      </c>
      <c r="N18" s="407">
        <f t="shared" si="26"/>
        <v>0</v>
      </c>
      <c r="O18" s="407">
        <f t="shared" si="26"/>
        <v>0</v>
      </c>
      <c r="P18" s="407">
        <f t="shared" si="26"/>
        <v>0</v>
      </c>
      <c r="Q18" s="472"/>
      <c r="R18" s="473"/>
      <c r="T18" s="467"/>
      <c r="U18" s="407">
        <f t="shared" ref="U18:V18" si="27">SUM(U19:U20)</f>
        <v>0</v>
      </c>
      <c r="V18" s="407">
        <f t="shared" si="27"/>
        <v>0</v>
      </c>
      <c r="W18" s="359" t="str">
        <f t="shared" si="7"/>
        <v>ok</v>
      </c>
      <c r="Y18" s="468">
        <f t="shared" si="8"/>
        <v>0</v>
      </c>
      <c r="Z18" s="407">
        <f t="shared" ref="Z18:AA18" si="28">SUM(Z19:Z20)</f>
        <v>0</v>
      </c>
      <c r="AA18" s="407">
        <f t="shared" si="28"/>
        <v>0</v>
      </c>
      <c r="AB18" s="359"/>
      <c r="AD18" s="469" t="str">
        <f>IF(AF18="","",IF($T18="도비","세입없음",$AF18&amp;"-"&amp;TEXT(COUNTIF(AF$7:AF18,AF$7:AF18),"00")))</f>
        <v/>
      </c>
      <c r="AF18" s="470"/>
    </row>
    <row r="19" spans="1:32" ht="39.950000000000003" hidden="1" customHeight="1">
      <c r="A19" s="474"/>
      <c r="B19" s="344"/>
      <c r="C19" s="364"/>
      <c r="D19" s="363"/>
      <c r="E19" s="363"/>
      <c r="F19" s="363"/>
      <c r="G19" s="364"/>
      <c r="H19" s="475"/>
      <c r="I19" s="475"/>
      <c r="J19" s="349" t="str">
        <f t="shared" si="10"/>
        <v/>
      </c>
      <c r="K19" s="350"/>
      <c r="L19" s="350"/>
      <c r="M19" s="349">
        <f t="shared" si="11"/>
        <v>0</v>
      </c>
      <c r="N19" s="350"/>
      <c r="O19" s="350"/>
      <c r="P19" s="349">
        <f t="shared" si="12"/>
        <v>0</v>
      </c>
      <c r="Q19" s="365"/>
      <c r="R19" s="352"/>
      <c r="T19" s="467"/>
      <c r="U19" s="366">
        <f t="shared" si="13"/>
        <v>0</v>
      </c>
      <c r="V19" s="366">
        <f t="shared" si="14"/>
        <v>0</v>
      </c>
      <c r="W19" s="359" t="str">
        <f t="shared" si="7"/>
        <v>ok</v>
      </c>
      <c r="Y19" s="468">
        <f t="shared" si="8"/>
        <v>0</v>
      </c>
      <c r="Z19" s="366">
        <f t="shared" si="15"/>
        <v>0</v>
      </c>
      <c r="AA19" s="366">
        <f t="shared" si="16"/>
        <v>0</v>
      </c>
      <c r="AB19" s="359"/>
      <c r="AD19" s="469" t="str">
        <f>IF(AF19="","",IF($T19="도비","세입없음",$AF19&amp;"-"&amp;TEXT(COUNTIF(AF$7:AF19,AF$7:AF19),"00")))</f>
        <v/>
      </c>
      <c r="AF19" s="470"/>
    </row>
    <row r="20" spans="1:32" ht="39.950000000000003" hidden="1" customHeight="1">
      <c r="A20" s="474"/>
      <c r="B20" s="344"/>
      <c r="C20" s="364"/>
      <c r="D20" s="363"/>
      <c r="E20" s="363"/>
      <c r="F20" s="363"/>
      <c r="G20" s="364"/>
      <c r="H20" s="475"/>
      <c r="I20" s="475"/>
      <c r="J20" s="349" t="str">
        <f t="shared" si="10"/>
        <v/>
      </c>
      <c r="K20" s="350"/>
      <c r="L20" s="350"/>
      <c r="M20" s="349">
        <f t="shared" si="11"/>
        <v>0</v>
      </c>
      <c r="N20" s="350"/>
      <c r="O20" s="350"/>
      <c r="P20" s="349">
        <f t="shared" si="12"/>
        <v>0</v>
      </c>
      <c r="Q20" s="365"/>
      <c r="R20" s="352"/>
      <c r="T20" s="467"/>
      <c r="U20" s="366">
        <f t="shared" si="13"/>
        <v>0</v>
      </c>
      <c r="V20" s="366">
        <f t="shared" si="14"/>
        <v>0</v>
      </c>
      <c r="W20" s="359" t="str">
        <f t="shared" si="7"/>
        <v>ok</v>
      </c>
      <c r="Y20" s="468">
        <f t="shared" si="8"/>
        <v>0</v>
      </c>
      <c r="Z20" s="366">
        <f t="shared" si="15"/>
        <v>0</v>
      </c>
      <c r="AA20" s="366">
        <f t="shared" si="16"/>
        <v>0</v>
      </c>
      <c r="AB20" s="359"/>
      <c r="AD20" s="469" t="str">
        <f>IF(AF20="","",IF($T20="도비","세입없음",$AF20&amp;"-"&amp;TEXT(COUNTIF(AF$7:AF20,AF$7:AF20),"00")))</f>
        <v/>
      </c>
      <c r="AF20" s="470"/>
    </row>
    <row r="21" spans="1:32" ht="39.950000000000003" hidden="1" customHeight="1">
      <c r="A21" s="471" t="s">
        <v>465</v>
      </c>
      <c r="B21" s="403"/>
      <c r="C21" s="428"/>
      <c r="D21" s="403"/>
      <c r="E21" s="403"/>
      <c r="F21" s="428"/>
      <c r="G21" s="403"/>
      <c r="H21" s="464">
        <f t="shared" ref="H21:P21" si="29">SUM(H22:H23)</f>
        <v>0</v>
      </c>
      <c r="I21" s="407">
        <f t="shared" si="29"/>
        <v>0</v>
      </c>
      <c r="J21" s="407">
        <f t="shared" si="29"/>
        <v>0</v>
      </c>
      <c r="K21" s="407">
        <f t="shared" si="29"/>
        <v>0</v>
      </c>
      <c r="L21" s="407">
        <f t="shared" si="29"/>
        <v>0</v>
      </c>
      <c r="M21" s="407">
        <f t="shared" si="29"/>
        <v>0</v>
      </c>
      <c r="N21" s="407">
        <f t="shared" si="29"/>
        <v>0</v>
      </c>
      <c r="O21" s="407">
        <f t="shared" si="29"/>
        <v>0</v>
      </c>
      <c r="P21" s="407">
        <f t="shared" si="29"/>
        <v>0</v>
      </c>
      <c r="Q21" s="472"/>
      <c r="R21" s="473"/>
      <c r="T21" s="467"/>
      <c r="U21" s="407">
        <f t="shared" ref="U21:V21" si="30">SUM(U22:U23)</f>
        <v>0</v>
      </c>
      <c r="V21" s="407">
        <f t="shared" si="30"/>
        <v>0</v>
      </c>
      <c r="W21" s="359" t="str">
        <f t="shared" si="7"/>
        <v>ok</v>
      </c>
      <c r="Y21" s="468">
        <f t="shared" si="8"/>
        <v>0</v>
      </c>
      <c r="Z21" s="407">
        <f t="shared" ref="Z21:AA21" si="31">SUM(Z22:Z23)</f>
        <v>0</v>
      </c>
      <c r="AA21" s="407">
        <f t="shared" si="31"/>
        <v>0</v>
      </c>
      <c r="AB21" s="359"/>
      <c r="AD21" s="469" t="str">
        <f>IF(AF21="","",IF($T21="도비","세입없음",$AF21&amp;"-"&amp;TEXT(COUNTIF(AF$7:AF21,AF$7:AF21),"00")))</f>
        <v/>
      </c>
      <c r="AF21" s="470"/>
    </row>
    <row r="22" spans="1:32" ht="39.950000000000003" hidden="1" customHeight="1">
      <c r="A22" s="474"/>
      <c r="B22" s="344"/>
      <c r="C22" s="364"/>
      <c r="D22" s="363"/>
      <c r="E22" s="363"/>
      <c r="F22" s="363"/>
      <c r="G22" s="364"/>
      <c r="H22" s="475"/>
      <c r="I22" s="475"/>
      <c r="J22" s="349" t="str">
        <f t="shared" si="10"/>
        <v/>
      </c>
      <c r="K22" s="350"/>
      <c r="L22" s="350"/>
      <c r="M22" s="349">
        <f t="shared" si="11"/>
        <v>0</v>
      </c>
      <c r="N22" s="350"/>
      <c r="O22" s="350"/>
      <c r="P22" s="349">
        <f t="shared" si="12"/>
        <v>0</v>
      </c>
      <c r="Q22" s="365"/>
      <c r="R22" s="352"/>
      <c r="T22" s="467"/>
      <c r="U22" s="366">
        <f t="shared" si="13"/>
        <v>0</v>
      </c>
      <c r="V22" s="366">
        <f t="shared" si="14"/>
        <v>0</v>
      </c>
      <c r="W22" s="359" t="str">
        <f t="shared" si="7"/>
        <v>ok</v>
      </c>
      <c r="Y22" s="468">
        <f t="shared" si="8"/>
        <v>0</v>
      </c>
      <c r="Z22" s="366">
        <f t="shared" si="15"/>
        <v>0</v>
      </c>
      <c r="AA22" s="366">
        <f t="shared" si="16"/>
        <v>0</v>
      </c>
      <c r="AB22" s="359"/>
      <c r="AD22" s="469" t="str">
        <f>IF(AF22="","",IF($T22="도비","세입없음",$AF22&amp;"-"&amp;TEXT(COUNTIF(AF$7:AF22,AF$7:AF22),"00")))</f>
        <v/>
      </c>
      <c r="AF22" s="470"/>
    </row>
    <row r="23" spans="1:32" ht="39.950000000000003" hidden="1" customHeight="1">
      <c r="A23" s="474"/>
      <c r="B23" s="344"/>
      <c r="C23" s="364"/>
      <c r="D23" s="363"/>
      <c r="E23" s="363"/>
      <c r="F23" s="363"/>
      <c r="G23" s="364"/>
      <c r="H23" s="475"/>
      <c r="I23" s="475"/>
      <c r="J23" s="349" t="str">
        <f t="shared" si="10"/>
        <v/>
      </c>
      <c r="K23" s="350"/>
      <c r="L23" s="350"/>
      <c r="M23" s="349">
        <f t="shared" si="11"/>
        <v>0</v>
      </c>
      <c r="N23" s="350"/>
      <c r="O23" s="350"/>
      <c r="P23" s="349">
        <f t="shared" si="12"/>
        <v>0</v>
      </c>
      <c r="Q23" s="365"/>
      <c r="R23" s="352"/>
      <c r="T23" s="467"/>
      <c r="U23" s="366">
        <f t="shared" si="13"/>
        <v>0</v>
      </c>
      <c r="V23" s="366">
        <f t="shared" si="14"/>
        <v>0</v>
      </c>
      <c r="W23" s="359" t="str">
        <f t="shared" si="7"/>
        <v>ok</v>
      </c>
      <c r="Y23" s="468">
        <f t="shared" si="8"/>
        <v>0</v>
      </c>
      <c r="Z23" s="366">
        <f t="shared" si="15"/>
        <v>0</v>
      </c>
      <c r="AA23" s="366">
        <f t="shared" si="16"/>
        <v>0</v>
      </c>
      <c r="AB23" s="359"/>
      <c r="AD23" s="469" t="str">
        <f>IF(AF23="","",IF($T23="도비","세입없음",$AF23&amp;"-"&amp;TEXT(COUNTIF(AF$7:AF23,AF$7:AF23),"00")))</f>
        <v/>
      </c>
      <c r="AF23" s="470"/>
    </row>
    <row r="24" spans="1:32" ht="39.950000000000003" hidden="1" customHeight="1">
      <c r="A24" s="471" t="s">
        <v>466</v>
      </c>
      <c r="B24" s="403"/>
      <c r="C24" s="428"/>
      <c r="D24" s="403"/>
      <c r="E24" s="403"/>
      <c r="F24" s="428"/>
      <c r="G24" s="403"/>
      <c r="H24" s="464">
        <f t="shared" ref="H24:P24" si="32">SUM(H25:H26)</f>
        <v>0</v>
      </c>
      <c r="I24" s="407">
        <f t="shared" si="32"/>
        <v>0</v>
      </c>
      <c r="J24" s="407">
        <f t="shared" si="32"/>
        <v>0</v>
      </c>
      <c r="K24" s="407">
        <f t="shared" si="32"/>
        <v>0</v>
      </c>
      <c r="L24" s="407">
        <f t="shared" si="32"/>
        <v>0</v>
      </c>
      <c r="M24" s="407">
        <f t="shared" si="32"/>
        <v>0</v>
      </c>
      <c r="N24" s="407">
        <f t="shared" si="32"/>
        <v>0</v>
      </c>
      <c r="O24" s="407">
        <f t="shared" si="32"/>
        <v>0</v>
      </c>
      <c r="P24" s="407">
        <f t="shared" si="32"/>
        <v>0</v>
      </c>
      <c r="Q24" s="472"/>
      <c r="R24" s="473"/>
      <c r="T24" s="467"/>
      <c r="U24" s="407">
        <f t="shared" ref="U24:V24" si="33">SUM(U25:U26)</f>
        <v>0</v>
      </c>
      <c r="V24" s="407">
        <f t="shared" si="33"/>
        <v>0</v>
      </c>
      <c r="W24" s="359" t="str">
        <f t="shared" si="7"/>
        <v>ok</v>
      </c>
      <c r="Y24" s="468">
        <f t="shared" si="8"/>
        <v>0</v>
      </c>
      <c r="Z24" s="407">
        <f t="shared" ref="Z24:AA24" si="34">SUM(Z25:Z26)</f>
        <v>0</v>
      </c>
      <c r="AA24" s="407">
        <f t="shared" si="34"/>
        <v>0</v>
      </c>
      <c r="AB24" s="359"/>
      <c r="AD24" s="469" t="str">
        <f>IF(AF24="","",IF($T24="도비","세입없음",$AF24&amp;"-"&amp;TEXT(COUNTIF(AF$7:AF24,AF$7:AF24),"00")))</f>
        <v/>
      </c>
      <c r="AF24" s="470"/>
    </row>
    <row r="25" spans="1:32" ht="39.950000000000003" hidden="1" customHeight="1">
      <c r="A25" s="474"/>
      <c r="B25" s="344"/>
      <c r="C25" s="364"/>
      <c r="D25" s="363"/>
      <c r="E25" s="363"/>
      <c r="F25" s="363"/>
      <c r="G25" s="364"/>
      <c r="H25" s="475"/>
      <c r="I25" s="475"/>
      <c r="J25" s="349" t="str">
        <f t="shared" si="10"/>
        <v/>
      </c>
      <c r="K25" s="350"/>
      <c r="L25" s="350"/>
      <c r="M25" s="349">
        <f t="shared" si="11"/>
        <v>0</v>
      </c>
      <c r="N25" s="350"/>
      <c r="O25" s="350"/>
      <c r="P25" s="349">
        <f t="shared" si="12"/>
        <v>0</v>
      </c>
      <c r="Q25" s="365"/>
      <c r="R25" s="352"/>
      <c r="T25" s="467"/>
      <c r="U25" s="366">
        <f t="shared" si="13"/>
        <v>0</v>
      </c>
      <c r="V25" s="366">
        <f t="shared" si="14"/>
        <v>0</v>
      </c>
      <c r="W25" s="359" t="str">
        <f t="shared" si="7"/>
        <v>ok</v>
      </c>
      <c r="Y25" s="468">
        <f t="shared" si="8"/>
        <v>0</v>
      </c>
      <c r="Z25" s="366">
        <f t="shared" si="15"/>
        <v>0</v>
      </c>
      <c r="AA25" s="366">
        <f t="shared" si="16"/>
        <v>0</v>
      </c>
      <c r="AB25" s="359"/>
      <c r="AD25" s="469" t="str">
        <f>IF(AF25="","",IF($T25="도비","세입없음",$AF25&amp;"-"&amp;TEXT(COUNTIF(AF$7:AF25,AF$7:AF25),"00")))</f>
        <v/>
      </c>
      <c r="AF25" s="470"/>
    </row>
    <row r="26" spans="1:32" ht="39.950000000000003" hidden="1" customHeight="1">
      <c r="A26" s="474"/>
      <c r="B26" s="344"/>
      <c r="C26" s="364"/>
      <c r="D26" s="363"/>
      <c r="E26" s="363"/>
      <c r="F26" s="363"/>
      <c r="G26" s="364"/>
      <c r="H26" s="475"/>
      <c r="I26" s="475"/>
      <c r="J26" s="349" t="str">
        <f t="shared" si="10"/>
        <v/>
      </c>
      <c r="K26" s="350"/>
      <c r="L26" s="350"/>
      <c r="M26" s="349">
        <f t="shared" si="11"/>
        <v>0</v>
      </c>
      <c r="N26" s="350"/>
      <c r="O26" s="350"/>
      <c r="P26" s="349">
        <f t="shared" si="12"/>
        <v>0</v>
      </c>
      <c r="Q26" s="365"/>
      <c r="R26" s="352"/>
      <c r="T26" s="467"/>
      <c r="U26" s="366">
        <f t="shared" si="13"/>
        <v>0</v>
      </c>
      <c r="V26" s="366">
        <f t="shared" si="14"/>
        <v>0</v>
      </c>
      <c r="W26" s="359" t="str">
        <f t="shared" si="7"/>
        <v>ok</v>
      </c>
      <c r="Y26" s="468">
        <f t="shared" si="8"/>
        <v>0</v>
      </c>
      <c r="Z26" s="366">
        <f t="shared" si="15"/>
        <v>0</v>
      </c>
      <c r="AA26" s="366">
        <f t="shared" si="16"/>
        <v>0</v>
      </c>
      <c r="AB26" s="359"/>
      <c r="AD26" s="469" t="str">
        <f>IF(AF26="","",IF($T26="도비","세입없음",$AF26&amp;"-"&amp;TEXT(COUNTIF(AF$7:AF26,AF$7:AF26),"00")))</f>
        <v/>
      </c>
      <c r="AF26" s="470"/>
    </row>
    <row r="27" spans="1:32" ht="39.950000000000003" hidden="1" customHeight="1">
      <c r="A27" s="471" t="s">
        <v>467</v>
      </c>
      <c r="B27" s="403"/>
      <c r="C27" s="428"/>
      <c r="D27" s="403"/>
      <c r="E27" s="403"/>
      <c r="F27" s="428"/>
      <c r="G27" s="403"/>
      <c r="H27" s="464">
        <f t="shared" ref="H27:P27" si="35">SUM(H28:H29)</f>
        <v>0</v>
      </c>
      <c r="I27" s="407">
        <f t="shared" si="35"/>
        <v>0</v>
      </c>
      <c r="J27" s="407">
        <f t="shared" si="35"/>
        <v>0</v>
      </c>
      <c r="K27" s="407">
        <f t="shared" si="35"/>
        <v>0</v>
      </c>
      <c r="L27" s="407">
        <f t="shared" si="35"/>
        <v>0</v>
      </c>
      <c r="M27" s="407">
        <f t="shared" si="35"/>
        <v>0</v>
      </c>
      <c r="N27" s="407">
        <f t="shared" si="35"/>
        <v>0</v>
      </c>
      <c r="O27" s="407">
        <f t="shared" si="35"/>
        <v>0</v>
      </c>
      <c r="P27" s="407">
        <f t="shared" si="35"/>
        <v>0</v>
      </c>
      <c r="Q27" s="472"/>
      <c r="R27" s="473"/>
      <c r="T27" s="467"/>
      <c r="U27" s="407">
        <f t="shared" ref="U27:V27" si="36">SUM(U28:U29)</f>
        <v>0</v>
      </c>
      <c r="V27" s="407">
        <f t="shared" si="36"/>
        <v>0</v>
      </c>
      <c r="W27" s="359" t="str">
        <f t="shared" si="7"/>
        <v>ok</v>
      </c>
      <c r="Y27" s="468">
        <f t="shared" si="8"/>
        <v>0</v>
      </c>
      <c r="Z27" s="407">
        <f t="shared" ref="Z27:AA27" si="37">SUM(Z28:Z29)</f>
        <v>0</v>
      </c>
      <c r="AA27" s="407">
        <f t="shared" si="37"/>
        <v>0</v>
      </c>
      <c r="AB27" s="359"/>
      <c r="AD27" s="469" t="str">
        <f>IF(AF27="","",IF($T27="도비","세입없음",$AF27&amp;"-"&amp;TEXT(COUNTIF(AF$7:AF27,AF$7:AF27),"00")))</f>
        <v/>
      </c>
      <c r="AF27" s="470"/>
    </row>
    <row r="28" spans="1:32" ht="39.950000000000003" hidden="1" customHeight="1">
      <c r="A28" s="474"/>
      <c r="B28" s="344"/>
      <c r="C28" s="364"/>
      <c r="D28" s="363"/>
      <c r="E28" s="363"/>
      <c r="F28" s="363"/>
      <c r="G28" s="364"/>
      <c r="H28" s="475"/>
      <c r="I28" s="475"/>
      <c r="J28" s="349" t="str">
        <f t="shared" si="10"/>
        <v/>
      </c>
      <c r="K28" s="350"/>
      <c r="L28" s="350"/>
      <c r="M28" s="349">
        <f t="shared" si="11"/>
        <v>0</v>
      </c>
      <c r="N28" s="350"/>
      <c r="O28" s="350"/>
      <c r="P28" s="349">
        <f t="shared" si="12"/>
        <v>0</v>
      </c>
      <c r="Q28" s="365"/>
      <c r="R28" s="352"/>
      <c r="T28" s="467"/>
      <c r="U28" s="366">
        <f t="shared" si="13"/>
        <v>0</v>
      </c>
      <c r="V28" s="366">
        <f t="shared" si="14"/>
        <v>0</v>
      </c>
      <c r="W28" s="359" t="str">
        <f t="shared" si="7"/>
        <v>ok</v>
      </c>
      <c r="Y28" s="468">
        <f t="shared" si="8"/>
        <v>0</v>
      </c>
      <c r="Z28" s="366">
        <f t="shared" si="15"/>
        <v>0</v>
      </c>
      <c r="AA28" s="366">
        <f t="shared" si="16"/>
        <v>0</v>
      </c>
      <c r="AB28" s="359"/>
      <c r="AD28" s="469" t="str">
        <f>IF(AF28="","",IF($T28="도비","세입없음",$AF28&amp;"-"&amp;TEXT(COUNTIF(AF$7:AF28,AF$7:AF28),"00")))</f>
        <v/>
      </c>
      <c r="AF28" s="470"/>
    </row>
    <row r="29" spans="1:32" ht="39.950000000000003" hidden="1" customHeight="1">
      <c r="A29" s="474"/>
      <c r="B29" s="344"/>
      <c r="C29" s="364"/>
      <c r="D29" s="363"/>
      <c r="E29" s="363"/>
      <c r="F29" s="363"/>
      <c r="G29" s="364"/>
      <c r="H29" s="475"/>
      <c r="I29" s="475"/>
      <c r="J29" s="349" t="str">
        <f t="shared" si="10"/>
        <v/>
      </c>
      <c r="K29" s="350"/>
      <c r="L29" s="350"/>
      <c r="M29" s="349">
        <f t="shared" si="11"/>
        <v>0</v>
      </c>
      <c r="N29" s="350"/>
      <c r="O29" s="350"/>
      <c r="P29" s="349">
        <f t="shared" si="12"/>
        <v>0</v>
      </c>
      <c r="Q29" s="365"/>
      <c r="R29" s="352"/>
      <c r="T29" s="467"/>
      <c r="U29" s="366">
        <f t="shared" si="13"/>
        <v>0</v>
      </c>
      <c r="V29" s="366">
        <f t="shared" si="14"/>
        <v>0</v>
      </c>
      <c r="W29" s="359" t="str">
        <f t="shared" si="7"/>
        <v>ok</v>
      </c>
      <c r="Y29" s="468">
        <f t="shared" si="8"/>
        <v>0</v>
      </c>
      <c r="Z29" s="366">
        <f t="shared" si="15"/>
        <v>0</v>
      </c>
      <c r="AA29" s="366">
        <f t="shared" si="16"/>
        <v>0</v>
      </c>
      <c r="AB29" s="359"/>
      <c r="AD29" s="469" t="str">
        <f>IF(AF29="","",IF($T29="도비","세입없음",$AF29&amp;"-"&amp;TEXT(COUNTIF(AF$7:AF29,AF$7:AF29),"00")))</f>
        <v/>
      </c>
      <c r="AF29" s="470"/>
    </row>
    <row r="30" spans="1:32" ht="39.950000000000003" hidden="1" customHeight="1">
      <c r="A30" s="471" t="s">
        <v>468</v>
      </c>
      <c r="B30" s="403"/>
      <c r="C30" s="428"/>
      <c r="D30" s="403"/>
      <c r="E30" s="403"/>
      <c r="F30" s="428"/>
      <c r="G30" s="403"/>
      <c r="H30" s="464">
        <f t="shared" ref="H30:P30" si="38">SUM(H31:H32)</f>
        <v>0</v>
      </c>
      <c r="I30" s="407">
        <f t="shared" si="38"/>
        <v>0</v>
      </c>
      <c r="J30" s="407">
        <f t="shared" si="38"/>
        <v>0</v>
      </c>
      <c r="K30" s="407">
        <f t="shared" si="38"/>
        <v>0</v>
      </c>
      <c r="L30" s="407">
        <f t="shared" si="38"/>
        <v>0</v>
      </c>
      <c r="M30" s="407">
        <f t="shared" si="38"/>
        <v>0</v>
      </c>
      <c r="N30" s="407">
        <f t="shared" si="38"/>
        <v>0</v>
      </c>
      <c r="O30" s="407">
        <f t="shared" si="38"/>
        <v>0</v>
      </c>
      <c r="P30" s="407">
        <f t="shared" si="38"/>
        <v>0</v>
      </c>
      <c r="Q30" s="472"/>
      <c r="R30" s="473"/>
      <c r="T30" s="467"/>
      <c r="U30" s="407">
        <f t="shared" ref="U30:V30" si="39">SUM(U31:U32)</f>
        <v>0</v>
      </c>
      <c r="V30" s="407">
        <f t="shared" si="39"/>
        <v>0</v>
      </c>
      <c r="W30" s="359" t="str">
        <f t="shared" si="7"/>
        <v>ok</v>
      </c>
      <c r="Y30" s="468">
        <f t="shared" si="8"/>
        <v>0</v>
      </c>
      <c r="Z30" s="407">
        <f t="shared" ref="Z30:AA30" si="40">SUM(Z31:Z32)</f>
        <v>0</v>
      </c>
      <c r="AA30" s="407">
        <f t="shared" si="40"/>
        <v>0</v>
      </c>
      <c r="AB30" s="359"/>
      <c r="AD30" s="469" t="str">
        <f>IF(AF30="","",IF($T30="도비","세입없음",$AF30&amp;"-"&amp;TEXT(COUNTIF(AF$7:AF30,AF$7:AF30),"00")))</f>
        <v/>
      </c>
      <c r="AF30" s="470"/>
    </row>
    <row r="31" spans="1:32" ht="39.950000000000003" hidden="1" customHeight="1">
      <c r="A31" s="474"/>
      <c r="B31" s="344"/>
      <c r="C31" s="364"/>
      <c r="D31" s="363"/>
      <c r="E31" s="363"/>
      <c r="F31" s="363"/>
      <c r="G31" s="364"/>
      <c r="H31" s="475"/>
      <c r="I31" s="475"/>
      <c r="J31" s="349" t="str">
        <f t="shared" si="10"/>
        <v/>
      </c>
      <c r="K31" s="350"/>
      <c r="L31" s="350"/>
      <c r="M31" s="349">
        <f t="shared" si="11"/>
        <v>0</v>
      </c>
      <c r="N31" s="350"/>
      <c r="O31" s="350"/>
      <c r="P31" s="349">
        <f t="shared" si="12"/>
        <v>0</v>
      </c>
      <c r="Q31" s="365"/>
      <c r="R31" s="352"/>
      <c r="T31" s="467"/>
      <c r="U31" s="366">
        <f t="shared" si="13"/>
        <v>0</v>
      </c>
      <c r="V31" s="366">
        <f t="shared" si="14"/>
        <v>0</v>
      </c>
      <c r="W31" s="359" t="str">
        <f t="shared" si="7"/>
        <v>ok</v>
      </c>
      <c r="Y31" s="468">
        <f t="shared" si="8"/>
        <v>0</v>
      </c>
      <c r="Z31" s="366">
        <f t="shared" si="15"/>
        <v>0</v>
      </c>
      <c r="AA31" s="366">
        <f t="shared" si="16"/>
        <v>0</v>
      </c>
      <c r="AB31" s="359"/>
      <c r="AD31" s="469" t="str">
        <f>IF(AF31="","",IF($T31="도비","세입없음",$AF31&amp;"-"&amp;TEXT(COUNTIF(AF$7:AF31,AF$7:AF31),"00")))</f>
        <v/>
      </c>
      <c r="AF31" s="470"/>
    </row>
    <row r="32" spans="1:32" ht="39.950000000000003" hidden="1" customHeight="1">
      <c r="A32" s="474"/>
      <c r="B32" s="344"/>
      <c r="C32" s="364"/>
      <c r="D32" s="363"/>
      <c r="E32" s="363"/>
      <c r="F32" s="363"/>
      <c r="G32" s="364"/>
      <c r="H32" s="475"/>
      <c r="I32" s="475"/>
      <c r="J32" s="349" t="str">
        <f t="shared" si="10"/>
        <v/>
      </c>
      <c r="K32" s="350"/>
      <c r="L32" s="350"/>
      <c r="M32" s="349">
        <f t="shared" si="11"/>
        <v>0</v>
      </c>
      <c r="N32" s="350"/>
      <c r="O32" s="350"/>
      <c r="P32" s="349">
        <f t="shared" si="12"/>
        <v>0</v>
      </c>
      <c r="Q32" s="365"/>
      <c r="R32" s="352"/>
      <c r="T32" s="467"/>
      <c r="U32" s="366">
        <f t="shared" si="13"/>
        <v>0</v>
      </c>
      <c r="V32" s="366">
        <f t="shared" si="14"/>
        <v>0</v>
      </c>
      <c r="W32" s="359" t="str">
        <f t="shared" si="7"/>
        <v>ok</v>
      </c>
      <c r="Y32" s="468">
        <f t="shared" si="8"/>
        <v>0</v>
      </c>
      <c r="Z32" s="366">
        <f t="shared" si="15"/>
        <v>0</v>
      </c>
      <c r="AA32" s="366">
        <f t="shared" si="16"/>
        <v>0</v>
      </c>
      <c r="AB32" s="359"/>
      <c r="AD32" s="469" t="str">
        <f>IF(AF32="","",IF($T32="도비","세입없음",$AF32&amp;"-"&amp;TEXT(COUNTIF(AF$7:AF32,AF$7:AF32),"00")))</f>
        <v/>
      </c>
      <c r="AF32" s="470"/>
    </row>
    <row r="33" spans="1:32" ht="39.950000000000003" hidden="1" customHeight="1">
      <c r="A33" s="471" t="s">
        <v>461</v>
      </c>
      <c r="B33" s="403"/>
      <c r="C33" s="428"/>
      <c r="D33" s="403"/>
      <c r="E33" s="403"/>
      <c r="F33" s="428"/>
      <c r="G33" s="403"/>
      <c r="H33" s="407">
        <f t="shared" ref="H33:P33" si="41">SUM(H34:H35)</f>
        <v>0</v>
      </c>
      <c r="I33" s="407">
        <f t="shared" si="41"/>
        <v>0</v>
      </c>
      <c r="J33" s="407">
        <f t="shared" si="41"/>
        <v>0</v>
      </c>
      <c r="K33" s="407">
        <f t="shared" si="41"/>
        <v>0</v>
      </c>
      <c r="L33" s="407">
        <f t="shared" si="41"/>
        <v>0</v>
      </c>
      <c r="M33" s="407">
        <f t="shared" si="41"/>
        <v>0</v>
      </c>
      <c r="N33" s="407">
        <f t="shared" si="41"/>
        <v>0</v>
      </c>
      <c r="O33" s="407">
        <f t="shared" si="41"/>
        <v>0</v>
      </c>
      <c r="P33" s="407">
        <f t="shared" si="41"/>
        <v>0</v>
      </c>
      <c r="Q33" s="472"/>
      <c r="R33" s="473"/>
      <c r="T33" s="467"/>
      <c r="U33" s="407">
        <f t="shared" ref="U33:V33" si="42">SUM(U34:U35)</f>
        <v>0</v>
      </c>
      <c r="V33" s="407">
        <f t="shared" si="42"/>
        <v>0</v>
      </c>
      <c r="W33" s="359" t="str">
        <f t="shared" si="7"/>
        <v>ok</v>
      </c>
      <c r="Y33" s="468">
        <f t="shared" si="8"/>
        <v>0</v>
      </c>
      <c r="Z33" s="407">
        <f t="shared" ref="Z33:AA33" si="43">SUM(Z34:Z35)</f>
        <v>0</v>
      </c>
      <c r="AA33" s="407">
        <f t="shared" si="43"/>
        <v>0</v>
      </c>
      <c r="AB33" s="359"/>
      <c r="AD33" s="469" t="str">
        <f>IF(AF33="","",IF($T33="도비","세입없음",$AF33&amp;"-"&amp;TEXT(COUNTIF(AF$7:AF33,AF$7:AF33),"00")))</f>
        <v/>
      </c>
      <c r="AF33" s="470"/>
    </row>
    <row r="34" spans="1:32" ht="39.950000000000003" hidden="1" customHeight="1">
      <c r="A34" s="474"/>
      <c r="B34" s="344"/>
      <c r="C34" s="364"/>
      <c r="D34" s="363"/>
      <c r="E34" s="363"/>
      <c r="F34" s="363"/>
      <c r="G34" s="364"/>
      <c r="H34" s="349"/>
      <c r="I34" s="349"/>
      <c r="J34" s="349" t="str">
        <f t="shared" si="10"/>
        <v/>
      </c>
      <c r="K34" s="350"/>
      <c r="L34" s="350"/>
      <c r="M34" s="349">
        <f t="shared" si="11"/>
        <v>0</v>
      </c>
      <c r="N34" s="350"/>
      <c r="O34" s="350"/>
      <c r="P34" s="349">
        <f t="shared" si="12"/>
        <v>0</v>
      </c>
      <c r="Q34" s="365"/>
      <c r="R34" s="436"/>
      <c r="T34" s="467"/>
      <c r="U34" s="366">
        <f t="shared" si="13"/>
        <v>0</v>
      </c>
      <c r="V34" s="366">
        <f t="shared" si="14"/>
        <v>0</v>
      </c>
      <c r="W34" s="359" t="str">
        <f t="shared" si="7"/>
        <v>ok</v>
      </c>
      <c r="Y34" s="468">
        <f t="shared" si="8"/>
        <v>0</v>
      </c>
      <c r="Z34" s="366">
        <f t="shared" si="15"/>
        <v>0</v>
      </c>
      <c r="AA34" s="366">
        <f t="shared" si="16"/>
        <v>0</v>
      </c>
      <c r="AB34" s="359"/>
      <c r="AD34" s="469" t="str">
        <f>IF(AF34="","",IF($T34="도비","세입없음",$AF34&amp;"-"&amp;TEXT(COUNTIF(AF$7:AF34,AF$7:AF34),"00")))</f>
        <v/>
      </c>
      <c r="AF34" s="470"/>
    </row>
    <row r="35" spans="1:32" ht="39.950000000000003" hidden="1" customHeight="1">
      <c r="A35" s="474"/>
      <c r="B35" s="344"/>
      <c r="C35" s="364"/>
      <c r="D35" s="363"/>
      <c r="E35" s="363"/>
      <c r="F35" s="363"/>
      <c r="G35" s="364"/>
      <c r="H35" s="349"/>
      <c r="I35" s="349"/>
      <c r="J35" s="349" t="str">
        <f t="shared" si="10"/>
        <v/>
      </c>
      <c r="K35" s="350"/>
      <c r="L35" s="350"/>
      <c r="M35" s="349">
        <f t="shared" si="11"/>
        <v>0</v>
      </c>
      <c r="N35" s="350"/>
      <c r="O35" s="350"/>
      <c r="P35" s="349">
        <f t="shared" si="12"/>
        <v>0</v>
      </c>
      <c r="Q35" s="365"/>
      <c r="R35" s="352"/>
      <c r="T35" s="476"/>
      <c r="U35" s="477">
        <f t="shared" si="13"/>
        <v>0</v>
      </c>
      <c r="V35" s="477">
        <f t="shared" si="14"/>
        <v>0</v>
      </c>
      <c r="W35" s="478" t="str">
        <f t="shared" si="7"/>
        <v>ok</v>
      </c>
      <c r="Y35" s="479">
        <f t="shared" si="8"/>
        <v>0</v>
      </c>
      <c r="Z35" s="477">
        <f t="shared" si="15"/>
        <v>0</v>
      </c>
      <c r="AA35" s="477">
        <f t="shared" si="16"/>
        <v>0</v>
      </c>
      <c r="AB35" s="478"/>
      <c r="AD35" s="480" t="str">
        <f>IF(AF35="","",IF($T35="도비","세입없음",$AF35&amp;"-"&amp;TEXT(COUNTIF(AF$7:AF35,AF$7:AF35),"00")))</f>
        <v/>
      </c>
      <c r="AF35" s="481"/>
    </row>
    <row r="36" spans="1:32">
      <c r="A36" s="482"/>
    </row>
    <row r="37" spans="1:32">
      <c r="A37" s="482"/>
    </row>
  </sheetData>
  <sheetProtection algorithmName="SHA-512" hashValue="BTWKZE9QA239wvhyz9v6yLY84SEVAetIAROuvkVVlU9ZFGCsEsHncjttzoxS08U2sMeuLVA7hlSS9Y7fHVutIQ==" saltValue="Zc2swFxzCG9X1gD2r7V9fQ==" spinCount="100000" sheet="1" objects="1" scenarios="1" formatCells="0" autoFilter="0"/>
  <mergeCells count="26">
    <mergeCell ref="AN4:AP4"/>
    <mergeCell ref="F4:F5"/>
    <mergeCell ref="Y4:Y5"/>
    <mergeCell ref="Z4:AB4"/>
    <mergeCell ref="AD4:AD5"/>
    <mergeCell ref="AF4:AF5"/>
    <mergeCell ref="AH4:AH5"/>
    <mergeCell ref="AJ4:AL4"/>
    <mergeCell ref="N4:O4"/>
    <mergeCell ref="P4:P5"/>
    <mergeCell ref="Q4:Q5"/>
    <mergeCell ref="R4:R5"/>
    <mergeCell ref="T4:T5"/>
    <mergeCell ref="U4:W4"/>
    <mergeCell ref="I4:I5"/>
    <mergeCell ref="J4:J5"/>
    <mergeCell ref="A1:R1"/>
    <mergeCell ref="A4:A5"/>
    <mergeCell ref="B4:B5"/>
    <mergeCell ref="C4:C5"/>
    <mergeCell ref="D4:D5"/>
    <mergeCell ref="E4:E5"/>
    <mergeCell ref="G4:G5"/>
    <mergeCell ref="H4:H5"/>
    <mergeCell ref="K4:L4"/>
    <mergeCell ref="M4:M5"/>
  </mergeCells>
  <phoneticPr fontId="2" type="noConversion"/>
  <conditionalFormatting sqref="AJ7:AL9 AH7:AH9 AN7:AP9 AN11:AP11 AH11 AJ11:AL11 AJ16:AL17 AH16:AH17 AN16:AP17 AN19:AP20 AH19:AH20 AJ19:AL20 AJ22:AL23 AH22:AH23 AN22:AP23 AN25:AP26 AH25:AH26 AJ25:AL26 AJ28:AL29 AH28:AH29 AN28:AP29 AN31:AP582 AH31:AH582 AJ31:AL582 AD7:AD11 AD14:AD582 AJ14:AL14 AH14 AN14:AP14">
    <cfRule type="containsText" dxfId="58" priority="207" operator="containsText" text="국도비">
      <formula>NOT(ISERROR(SEARCH("국도비",AD7)))</formula>
    </cfRule>
  </conditionalFormatting>
  <conditionalFormatting sqref="H8:J9 H11:J11 H16:J17 H19:J20 H22:J23 H25:J26 H28:J29 H31:J32 H34:J582 H14:J14">
    <cfRule type="expression" dxfId="57" priority="206">
      <formula>($D8="본예산")</formula>
    </cfRule>
  </conditionalFormatting>
  <conditionalFormatting sqref="Z8:AB9 S8:V9 S11:V11 Z11:AB11 Z16:AB17 S16:V17 S19:V20 Z19:AB20 Z22:AB23 S22:V23 S25:V26 Z25:AB26 Z28:AB29 S28:V29 S31:V32 Z31:AB32 S7:T7 AB7 S34:V582 S33:T33 Z34:AB582 AB33 Z14:AB14 S14:V14">
    <cfRule type="containsText" dxfId="56" priority="205" operator="containsText" text="직접입력">
      <formula>NOT(ISERROR(SEARCH("직접입력",S7)))</formula>
    </cfRule>
  </conditionalFormatting>
  <conditionalFormatting sqref="AJ10:AL10 AH10 AN10:AP10">
    <cfRule type="containsText" dxfId="55" priority="20" operator="containsText" text="국도비">
      <formula>NOT(ISERROR(SEARCH("국도비",AH10)))</formula>
    </cfRule>
  </conditionalFormatting>
  <conditionalFormatting sqref="AB10 S10:T10">
    <cfRule type="containsText" dxfId="54" priority="19" operator="containsText" text="직접입력">
      <formula>NOT(ISERROR(SEARCH("직접입력",S10)))</formula>
    </cfRule>
  </conditionalFormatting>
  <conditionalFormatting sqref="AJ15:AL15 AH15 AN15:AP15">
    <cfRule type="containsText" dxfId="53" priority="18" operator="containsText" text="국도비">
      <formula>NOT(ISERROR(SEARCH("국도비",AH15)))</formula>
    </cfRule>
  </conditionalFormatting>
  <conditionalFormatting sqref="AB15 S15:T15">
    <cfRule type="containsText" dxfId="52" priority="17" operator="containsText" text="직접입력">
      <formula>NOT(ISERROR(SEARCH("직접입력",S15)))</formula>
    </cfRule>
  </conditionalFormatting>
  <conditionalFormatting sqref="AJ18:AL18 AH18 AN18:AP18">
    <cfRule type="containsText" dxfId="51" priority="16" operator="containsText" text="국도비">
      <formula>NOT(ISERROR(SEARCH("국도비",AH18)))</formula>
    </cfRule>
  </conditionalFormatting>
  <conditionalFormatting sqref="AB18 S18:T18">
    <cfRule type="containsText" dxfId="50" priority="15" operator="containsText" text="직접입력">
      <formula>NOT(ISERROR(SEARCH("직접입력",S18)))</formula>
    </cfRule>
  </conditionalFormatting>
  <conditionalFormatting sqref="AJ21:AL21 AH21 AN21:AP21">
    <cfRule type="containsText" dxfId="49" priority="14" operator="containsText" text="국도비">
      <formula>NOT(ISERROR(SEARCH("국도비",AH21)))</formula>
    </cfRule>
  </conditionalFormatting>
  <conditionalFormatting sqref="AB21 S21:T21">
    <cfRule type="containsText" dxfId="48" priority="13" operator="containsText" text="직접입력">
      <formula>NOT(ISERROR(SEARCH("직접입력",S21)))</formula>
    </cfRule>
  </conditionalFormatting>
  <conditionalFormatting sqref="AJ24:AL24 AH24 AN24:AP24">
    <cfRule type="containsText" dxfId="47" priority="12" operator="containsText" text="국도비">
      <formula>NOT(ISERROR(SEARCH("국도비",AH24)))</formula>
    </cfRule>
  </conditionalFormatting>
  <conditionalFormatting sqref="AB24 S24:T24">
    <cfRule type="containsText" dxfId="46" priority="11" operator="containsText" text="직접입력">
      <formula>NOT(ISERROR(SEARCH("직접입력",S24)))</formula>
    </cfRule>
  </conditionalFormatting>
  <conditionalFormatting sqref="AJ27:AL27 AH27 AN27:AP27">
    <cfRule type="containsText" dxfId="45" priority="10" operator="containsText" text="국도비">
      <formula>NOT(ISERROR(SEARCH("국도비",AH27)))</formula>
    </cfRule>
  </conditionalFormatting>
  <conditionalFormatting sqref="AB27 S27:T27">
    <cfRule type="containsText" dxfId="44" priority="9" operator="containsText" text="직접입력">
      <formula>NOT(ISERROR(SEARCH("직접입력",S27)))</formula>
    </cfRule>
  </conditionalFormatting>
  <conditionalFormatting sqref="AJ30:AL30 AH30 AN30:AP30">
    <cfRule type="containsText" dxfId="43" priority="8" operator="containsText" text="국도비">
      <formula>NOT(ISERROR(SEARCH("국도비",AH30)))</formula>
    </cfRule>
  </conditionalFormatting>
  <conditionalFormatting sqref="AB30 S30:T30">
    <cfRule type="containsText" dxfId="42" priority="7" operator="containsText" text="직접입력">
      <formula>NOT(ISERROR(SEARCH("직접입력",S30)))</formula>
    </cfRule>
  </conditionalFormatting>
  <conditionalFormatting sqref="AD13 AJ13:AL13 AH13 AN13:AP13">
    <cfRule type="containsText" dxfId="41" priority="6" operator="containsText" text="국도비">
      <formula>NOT(ISERROR(SEARCH("국도비",AD13)))</formula>
    </cfRule>
  </conditionalFormatting>
  <conditionalFormatting sqref="H13:J13">
    <cfRule type="expression" dxfId="40" priority="5">
      <formula>($D13="본예산")</formula>
    </cfRule>
  </conditionalFormatting>
  <conditionalFormatting sqref="Z13:AB13 S13:V13">
    <cfRule type="containsText" dxfId="39" priority="4" operator="containsText" text="직접입력">
      <formula>NOT(ISERROR(SEARCH("직접입력",S13)))</formula>
    </cfRule>
  </conditionalFormatting>
  <conditionalFormatting sqref="AD12 AJ12:AL12 AH12 AN12:AP12">
    <cfRule type="containsText" dxfId="38" priority="3" operator="containsText" text="국도비">
      <formula>NOT(ISERROR(SEARCH("국도비",AD12)))</formula>
    </cfRule>
  </conditionalFormatting>
  <conditionalFormatting sqref="H12:J12">
    <cfRule type="expression" dxfId="37" priority="2">
      <formula>($D12="본예산")</formula>
    </cfRule>
  </conditionalFormatting>
  <conditionalFormatting sqref="Z12:AB12 S12:V12">
    <cfRule type="containsText" dxfId="36" priority="1" operator="containsText" text="직접입력">
      <formula>NOT(ISERROR(SEARCH("직접입력",S12)))</formula>
    </cfRule>
  </conditionalFormatting>
  <dataValidations count="1">
    <dataValidation type="list" allowBlank="1" showInputMessage="1" showErrorMessage="1" sqref="D34:D35 D8:D32">
      <formula1>"본예산,1회추경,2회추경,3회추경,신규"</formula1>
    </dataValidation>
  </dataValidations>
  <pageMargins left="0.23622047244094491" right="0.19685039370078741" top="0.35433070866141736" bottom="0.31496062992125984" header="0.31496062992125984" footer="0.15748031496062992"/>
  <pageSetup paperSize="8" scale="79" fitToHeight="0" orientation="landscape" horizontalDpi="4294967295" r:id="rId1"/>
  <headerFooter>
    <oddFooter>&amp;C&amp;P/&amp;N</oddFoot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구분표!$M$2:$M$7</xm:f>
          </x14:formula1>
          <xm:sqref>T7:T35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AN38"/>
  <sheetViews>
    <sheetView showGridLines="0" view="pageBreakPreview" zoomScale="70" zoomScaleNormal="80" zoomScaleSheetLayoutView="70" workbookViewId="0">
      <pane xSplit="3" ySplit="6" topLeftCell="G7" activePane="bottomRight" state="frozen"/>
      <selection activeCell="P3" sqref="P3"/>
      <selection pane="topRight" activeCell="P3" sqref="P3"/>
      <selection pane="bottomLeft" activeCell="P3" sqref="P3"/>
      <selection pane="bottomRight" sqref="A1:R1"/>
    </sheetView>
  </sheetViews>
  <sheetFormatPr defaultColWidth="8.75" defaultRowHeight="13.5"/>
  <cols>
    <col min="1" max="1" width="12.75" style="310" customWidth="1"/>
    <col min="2" max="2" width="12" style="310" customWidth="1"/>
    <col min="3" max="3" width="12.25" style="310" customWidth="1"/>
    <col min="4" max="4" width="7.625" style="312" bestFit="1" customWidth="1"/>
    <col min="5" max="5" width="7.625" style="312" customWidth="1"/>
    <col min="6" max="6" width="7.125" style="312" bestFit="1" customWidth="1"/>
    <col min="7" max="7" width="36" style="310" customWidth="1"/>
    <col min="8" max="16" width="11.625" style="310" customWidth="1"/>
    <col min="17" max="17" width="8.375" style="312" hidden="1" customWidth="1"/>
    <col min="18" max="18" width="36.375" style="310" customWidth="1"/>
    <col min="19" max="19" width="3" style="310" customWidth="1"/>
    <col min="20" max="20" width="6.125" style="312" hidden="1" customWidth="1"/>
    <col min="21" max="21" width="3" style="310" hidden="1" customWidth="1"/>
    <col min="22" max="22" width="6.125" style="311" hidden="1" customWidth="1"/>
    <col min="23" max="23" width="11.625" style="310" hidden="1" customWidth="1"/>
    <col min="24" max="24" width="11.125" style="310" hidden="1" customWidth="1"/>
    <col min="25" max="25" width="6" style="312" hidden="1" customWidth="1"/>
    <col min="26" max="26" width="3" style="310" hidden="1" customWidth="1"/>
    <col min="27" max="27" width="6.125" style="483" hidden="1" customWidth="1"/>
    <col min="28" max="28" width="11.625" style="310" hidden="1" customWidth="1"/>
    <col min="29" max="29" width="11.125" style="310" hidden="1" customWidth="1"/>
    <col min="30" max="30" width="6" style="312" hidden="1" customWidth="1"/>
    <col min="31" max="31" width="3" style="310" hidden="1" customWidth="1"/>
    <col min="32" max="32" width="9.375" style="314" hidden="1" customWidth="1"/>
    <col min="33" max="33" width="3" style="310" hidden="1" customWidth="1"/>
    <col min="34" max="35" width="5.625" style="312" hidden="1" customWidth="1"/>
    <col min="36" max="36" width="3" style="312" hidden="1" customWidth="1"/>
    <col min="37" max="37" width="11.625" style="310" hidden="1" customWidth="1"/>
    <col min="38" max="38" width="3" style="310" hidden="1" customWidth="1"/>
    <col min="39" max="39" width="6.125" style="312" hidden="1" customWidth="1"/>
    <col min="40" max="40" width="17.375" style="310" hidden="1" customWidth="1"/>
    <col min="41" max="16384" width="8.75" style="310"/>
  </cols>
  <sheetData>
    <row r="1" spans="1:39" ht="32.25" customHeight="1">
      <c r="A1" s="557" t="s">
        <v>470</v>
      </c>
      <c r="B1" s="557"/>
      <c r="C1" s="557"/>
      <c r="D1" s="557"/>
      <c r="E1" s="557"/>
      <c r="F1" s="557"/>
      <c r="G1" s="557"/>
      <c r="H1" s="557"/>
      <c r="I1" s="557"/>
      <c r="J1" s="557"/>
      <c r="K1" s="557"/>
      <c r="L1" s="557"/>
      <c r="M1" s="557"/>
      <c r="N1" s="557"/>
      <c r="O1" s="557"/>
      <c r="P1" s="557"/>
      <c r="Q1" s="557"/>
      <c r="R1" s="557"/>
    </row>
    <row r="2" spans="1:39" ht="20.25">
      <c r="A2" s="317" t="s">
        <v>58</v>
      </c>
      <c r="B2" s="317"/>
      <c r="C2" s="317"/>
      <c r="D2" s="318"/>
      <c r="E2" s="318"/>
      <c r="F2" s="318"/>
      <c r="G2" s="317"/>
      <c r="N2" s="319"/>
      <c r="O2" s="319"/>
      <c r="W2" s="319" t="s">
        <v>71</v>
      </c>
      <c r="X2" s="320"/>
      <c r="AB2" s="319" t="s">
        <v>71</v>
      </c>
      <c r="AC2" s="320"/>
    </row>
    <row r="3" spans="1:39" ht="20.25">
      <c r="K3" s="321">
        <f t="shared" ref="K3:O3" si="0">COUNTA(K7:K37)-9</f>
        <v>0</v>
      </c>
      <c r="L3" s="321">
        <f t="shared" si="0"/>
        <v>0</v>
      </c>
      <c r="M3" s="322"/>
      <c r="N3" s="321">
        <f t="shared" si="0"/>
        <v>0</v>
      </c>
      <c r="O3" s="321">
        <f t="shared" si="0"/>
        <v>4</v>
      </c>
      <c r="P3" s="311"/>
      <c r="Q3" s="323"/>
      <c r="R3" s="324" t="s">
        <v>8</v>
      </c>
      <c r="W3" s="320" t="str">
        <f>IF(W6='16년 3추특입'!U6,"OK","@@")</f>
        <v>OK</v>
      </c>
      <c r="X3" s="310">
        <f>SUM(W6:X6)</f>
        <v>0</v>
      </c>
      <c r="Y3" s="320" t="str">
        <f>IF(COUNTIF(Y6:Y811,"@@")&gt;0,"@@","OK")</f>
        <v>OK</v>
      </c>
      <c r="AB3" s="320" t="str">
        <f>IF(AB6='16년 3추특입'!Z6,"OK","@@")</f>
        <v>OK</v>
      </c>
      <c r="AC3" s="310">
        <f>SUM(AB6:AC6)</f>
        <v>24835936</v>
      </c>
      <c r="AD3" s="320" t="str">
        <f>IF(COUNTIF(AD6:AD811,"@@")&gt;0,"@@","OK")</f>
        <v>OK</v>
      </c>
      <c r="AK3" s="325"/>
    </row>
    <row r="4" spans="1:39" ht="30" customHeight="1">
      <c r="A4" s="558" t="s">
        <v>362</v>
      </c>
      <c r="B4" s="558" t="s">
        <v>115</v>
      </c>
      <c r="C4" s="558" t="s">
        <v>4</v>
      </c>
      <c r="D4" s="555" t="s">
        <v>116</v>
      </c>
      <c r="E4" s="555" t="s">
        <v>403</v>
      </c>
      <c r="F4" s="561" t="s">
        <v>404</v>
      </c>
      <c r="G4" s="558" t="s">
        <v>117</v>
      </c>
      <c r="H4" s="561" t="s">
        <v>471</v>
      </c>
      <c r="I4" s="555" t="s">
        <v>440</v>
      </c>
      <c r="J4" s="555" t="s">
        <v>472</v>
      </c>
      <c r="K4" s="563" t="s">
        <v>378</v>
      </c>
      <c r="L4" s="564"/>
      <c r="M4" s="565" t="s">
        <v>441</v>
      </c>
      <c r="N4" s="567" t="s">
        <v>379</v>
      </c>
      <c r="O4" s="568"/>
      <c r="P4" s="569" t="s">
        <v>442</v>
      </c>
      <c r="Q4" s="571" t="s">
        <v>405</v>
      </c>
      <c r="R4" s="562" t="s">
        <v>1311</v>
      </c>
      <c r="T4" s="623" t="s">
        <v>361</v>
      </c>
      <c r="V4" s="625" t="s">
        <v>5</v>
      </c>
      <c r="W4" s="627" t="s">
        <v>7</v>
      </c>
      <c r="X4" s="628"/>
      <c r="Y4" s="628"/>
      <c r="AA4" s="629" t="s">
        <v>5</v>
      </c>
      <c r="AB4" s="620" t="s">
        <v>78</v>
      </c>
      <c r="AC4" s="620"/>
      <c r="AD4" s="620"/>
      <c r="AF4" s="621" t="s">
        <v>395</v>
      </c>
      <c r="AH4" s="623" t="s">
        <v>396</v>
      </c>
      <c r="AI4" s="623" t="s">
        <v>397</v>
      </c>
      <c r="AK4" s="623" t="s">
        <v>118</v>
      </c>
      <c r="AM4" s="623" t="s">
        <v>392</v>
      </c>
    </row>
    <row r="5" spans="1:39" ht="18" customHeight="1">
      <c r="A5" s="559"/>
      <c r="B5" s="559"/>
      <c r="C5" s="559"/>
      <c r="D5" s="559"/>
      <c r="E5" s="560"/>
      <c r="F5" s="561"/>
      <c r="G5" s="559"/>
      <c r="H5" s="562"/>
      <c r="I5" s="556"/>
      <c r="J5" s="556"/>
      <c r="K5" s="326" t="s">
        <v>0</v>
      </c>
      <c r="L5" s="326" t="s">
        <v>1</v>
      </c>
      <c r="M5" s="566"/>
      <c r="N5" s="327" t="s">
        <v>0</v>
      </c>
      <c r="O5" s="327" t="s">
        <v>1</v>
      </c>
      <c r="P5" s="570"/>
      <c r="Q5" s="571"/>
      <c r="R5" s="562"/>
      <c r="T5" s="624"/>
      <c r="V5" s="626"/>
      <c r="W5" s="451" t="s">
        <v>3</v>
      </c>
      <c r="X5" s="451" t="s">
        <v>2</v>
      </c>
      <c r="Y5" s="451" t="s">
        <v>76</v>
      </c>
      <c r="AA5" s="630"/>
      <c r="AB5" s="452" t="s">
        <v>3</v>
      </c>
      <c r="AC5" s="452" t="s">
        <v>2</v>
      </c>
      <c r="AD5" s="452" t="s">
        <v>76</v>
      </c>
      <c r="AF5" s="622"/>
      <c r="AH5" s="624"/>
      <c r="AI5" s="624"/>
      <c r="AK5" s="624"/>
      <c r="AM5" s="624"/>
    </row>
    <row r="6" spans="1:39" ht="39.950000000000003" customHeight="1">
      <c r="A6" s="454"/>
      <c r="B6" s="454"/>
      <c r="C6" s="280"/>
      <c r="D6" s="454"/>
      <c r="E6" s="454"/>
      <c r="F6" s="285"/>
      <c r="G6" s="454"/>
      <c r="H6" s="337">
        <f t="shared" ref="H6:O6" si="1">SUM(H7,H10,H16,H19,H22,H25,H28,H31,H35)</f>
        <v>924670057</v>
      </c>
      <c r="I6" s="337">
        <f t="shared" si="1"/>
        <v>892360052</v>
      </c>
      <c r="J6" s="337">
        <f t="shared" si="1"/>
        <v>32310005</v>
      </c>
      <c r="K6" s="337">
        <f t="shared" si="1"/>
        <v>0</v>
      </c>
      <c r="L6" s="337">
        <f t="shared" si="1"/>
        <v>0</v>
      </c>
      <c r="M6" s="337">
        <f t="shared" si="1"/>
        <v>924670057</v>
      </c>
      <c r="N6" s="337">
        <f t="shared" si="1"/>
        <v>0</v>
      </c>
      <c r="O6" s="337">
        <f t="shared" si="1"/>
        <v>24835936</v>
      </c>
      <c r="P6" s="337">
        <f>SUM(P7,P10,P16,P19,P22,P25,P28,P31,P35)</f>
        <v>949505993</v>
      </c>
      <c r="Q6" s="341"/>
      <c r="R6" s="455"/>
      <c r="T6" s="359"/>
      <c r="V6" s="484"/>
      <c r="W6" s="337">
        <f t="shared" ref="W6:X6" si="2">SUM(W7,W10,W16,W19,W22,W25,W28,W31,W35)</f>
        <v>0</v>
      </c>
      <c r="X6" s="457">
        <f t="shared" si="2"/>
        <v>0</v>
      </c>
      <c r="Y6" s="458"/>
      <c r="AA6" s="485"/>
      <c r="AB6" s="337">
        <f t="shared" ref="AB6" si="3">SUM(AB7,AB10,AB16,AB19,AB22,AB25,AB28,AB31,AB35)</f>
        <v>19941000</v>
      </c>
      <c r="AC6" s="457">
        <f t="shared" ref="AC6" si="4">SUM(AC7,AC10,AC16,AC19,AC22,AC25,AC28,AC31,AC35)</f>
        <v>4894936</v>
      </c>
      <c r="AD6" s="458"/>
      <c r="AF6" s="460"/>
      <c r="AH6" s="359"/>
      <c r="AI6" s="458"/>
      <c r="AK6" s="458"/>
      <c r="AM6" s="359"/>
    </row>
    <row r="7" spans="1:39" ht="39.950000000000003" hidden="1" customHeight="1">
      <c r="A7" s="461" t="s">
        <v>460</v>
      </c>
      <c r="B7" s="462"/>
      <c r="C7" s="463"/>
      <c r="D7" s="462"/>
      <c r="E7" s="462"/>
      <c r="F7" s="463"/>
      <c r="G7" s="462"/>
      <c r="H7" s="464">
        <f t="shared" ref="H7:P7" si="5">SUM(H8:H9)</f>
        <v>0</v>
      </c>
      <c r="I7" s="464">
        <f t="shared" si="5"/>
        <v>0</v>
      </c>
      <c r="J7" s="464">
        <f t="shared" si="5"/>
        <v>0</v>
      </c>
      <c r="K7" s="464">
        <f t="shared" si="5"/>
        <v>0</v>
      </c>
      <c r="L7" s="464">
        <f t="shared" si="5"/>
        <v>0</v>
      </c>
      <c r="M7" s="464">
        <f t="shared" si="5"/>
        <v>0</v>
      </c>
      <c r="N7" s="464">
        <f t="shared" si="5"/>
        <v>0</v>
      </c>
      <c r="O7" s="464">
        <f t="shared" si="5"/>
        <v>0</v>
      </c>
      <c r="P7" s="464">
        <f t="shared" si="5"/>
        <v>0</v>
      </c>
      <c r="Q7" s="465"/>
      <c r="R7" s="466"/>
      <c r="T7" s="359"/>
      <c r="V7" s="484"/>
      <c r="W7" s="464">
        <f t="shared" ref="W7:X7" si="6">SUM(W8:W9)</f>
        <v>0</v>
      </c>
      <c r="X7" s="464">
        <f t="shared" si="6"/>
        <v>0</v>
      </c>
      <c r="Y7" s="458" t="str">
        <f t="shared" ref="Y7:Y8" si="7">IFERROR(IF(($K7+$L7)=($W7+$X7),"ok","검토"),"검토")</f>
        <v>ok</v>
      </c>
      <c r="AA7" s="485">
        <f t="shared" ref="AA7:AA37" si="8">$V7</f>
        <v>0</v>
      </c>
      <c r="AB7" s="464">
        <f t="shared" ref="AB7:AC7" si="9">SUM(AB8:AB9)</f>
        <v>0</v>
      </c>
      <c r="AC7" s="464">
        <f t="shared" si="9"/>
        <v>0</v>
      </c>
      <c r="AD7" s="458" t="str">
        <f t="shared" ref="AD7:AD37" si="10">IFERROR(IF((N7+O7)=(AB7+AC7),"ok","검토"),"검토")</f>
        <v>ok</v>
      </c>
      <c r="AF7" s="460"/>
      <c r="AH7" s="359" t="str">
        <f t="shared" ref="AH7:AH37" si="11">IF(AF7="","",COUNTIF($AF$7:$AF$9978,$AF7))</f>
        <v/>
      </c>
      <c r="AI7" s="458" t="str">
        <f t="shared" ref="AI7:AI37" si="12">IF(C7="","",IF(AND(V7="도비",AF7="세입없음"),"OK",IF(AND(V7&lt;&gt;"도비",AF7&lt;&gt;""),"Ok","@@")))</f>
        <v/>
      </c>
      <c r="AK7" s="458"/>
      <c r="AM7" s="359"/>
    </row>
    <row r="8" spans="1:39" ht="39.950000000000003" hidden="1" customHeight="1">
      <c r="A8" s="474"/>
      <c r="B8" s="344"/>
      <c r="C8" s="364"/>
      <c r="D8" s="363"/>
      <c r="E8" s="363"/>
      <c r="F8" s="363"/>
      <c r="G8" s="364"/>
      <c r="H8" s="349"/>
      <c r="I8" s="349"/>
      <c r="J8" s="349" t="str">
        <f t="shared" ref="J8:J37" si="13">IF(D8="","",H8-I8)</f>
        <v/>
      </c>
      <c r="K8" s="350"/>
      <c r="L8" s="350"/>
      <c r="M8" s="349">
        <f t="shared" ref="M8:M37" si="14">IF(H8=0,I8+K8+L8,H8+K8+L8)</f>
        <v>0</v>
      </c>
      <c r="N8" s="350"/>
      <c r="O8" s="350"/>
      <c r="P8" s="349">
        <f t="shared" ref="P8:P27" si="15">IF(H8=0,I8+N8+O8,H8+N8+O8)</f>
        <v>0</v>
      </c>
      <c r="Q8" s="365"/>
      <c r="R8" s="352"/>
      <c r="S8" s="353"/>
      <c r="T8" s="359"/>
      <c r="U8" s="486"/>
      <c r="V8" s="484"/>
      <c r="W8" s="350">
        <f t="shared" ref="W8" si="16">IF($V8&lt;&gt;"도비",IF($T8="국도비","직접입력",SUM($K8:$L8)),)</f>
        <v>0</v>
      </c>
      <c r="X8" s="350">
        <f t="shared" ref="X8" si="17">IF($V8="도비",SUM($K8:$L8),IF($T8="국도비","직접입력",SUM($K8:$L8)-$W8))</f>
        <v>0</v>
      </c>
      <c r="Y8" s="355" t="str">
        <f t="shared" si="7"/>
        <v>ok</v>
      </c>
      <c r="Z8" s="353"/>
      <c r="AA8" s="487">
        <f t="shared" si="8"/>
        <v>0</v>
      </c>
      <c r="AB8" s="350">
        <f t="shared" ref="AB8:AB37" si="18">IF($V8&lt;&gt;"도비",IF($T8="국도비","직접입력",SUM(N8:O8)),)</f>
        <v>0</v>
      </c>
      <c r="AC8" s="350">
        <f t="shared" ref="AC8:AC37" si="19">IF($V8="도비",SUM(N8:O8),IF($T8="국도비","직접입력",SUM(N8:O8)-AB8))</f>
        <v>0</v>
      </c>
      <c r="AD8" s="355" t="str">
        <f t="shared" si="10"/>
        <v>ok</v>
      </c>
      <c r="AE8" s="353"/>
      <c r="AF8" s="460"/>
      <c r="AG8" s="353"/>
      <c r="AH8" s="359" t="str">
        <f t="shared" si="11"/>
        <v/>
      </c>
      <c r="AI8" s="359" t="str">
        <f t="shared" si="12"/>
        <v/>
      </c>
      <c r="AJ8" s="488"/>
      <c r="AK8" s="489"/>
      <c r="AL8" s="353"/>
      <c r="AM8" s="359"/>
    </row>
    <row r="9" spans="1:39" ht="39.950000000000003" hidden="1" customHeight="1">
      <c r="A9" s="474"/>
      <c r="B9" s="344"/>
      <c r="C9" s="364"/>
      <c r="D9" s="363"/>
      <c r="E9" s="363"/>
      <c r="F9" s="363"/>
      <c r="G9" s="364"/>
      <c r="H9" s="349"/>
      <c r="I9" s="349"/>
      <c r="J9" s="349" t="str">
        <f t="shared" si="13"/>
        <v/>
      </c>
      <c r="K9" s="350"/>
      <c r="L9" s="350"/>
      <c r="M9" s="349">
        <f t="shared" si="14"/>
        <v>0</v>
      </c>
      <c r="N9" s="350"/>
      <c r="O9" s="350"/>
      <c r="P9" s="349">
        <f t="shared" si="15"/>
        <v>0</v>
      </c>
      <c r="Q9" s="365"/>
      <c r="R9" s="352"/>
      <c r="S9" s="353"/>
      <c r="T9" s="359"/>
      <c r="U9" s="353"/>
      <c r="V9" s="354"/>
      <c r="W9" s="350">
        <f t="shared" ref="W9:W37" si="20">IF($V9&lt;&gt;"도비",IF($T9="국도비","직접입력",SUM($K9:$L9)),)</f>
        <v>0</v>
      </c>
      <c r="X9" s="350">
        <f t="shared" ref="X9:X37" si="21">IF($V9="도비",SUM($K9:$L9),IF($T9="국도비","직접입력",SUM($K9:$L9)-$W9))</f>
        <v>0</v>
      </c>
      <c r="Y9" s="355" t="str">
        <f t="shared" ref="Y9:Y37" si="22">IFERROR(IF(($K9+$L9)=($W9+$X9),"ok","검토"),"검토")</f>
        <v>ok</v>
      </c>
      <c r="Z9" s="353"/>
      <c r="AA9" s="487">
        <f t="shared" si="8"/>
        <v>0</v>
      </c>
      <c r="AB9" s="350">
        <f t="shared" si="18"/>
        <v>0</v>
      </c>
      <c r="AC9" s="350">
        <f t="shared" si="19"/>
        <v>0</v>
      </c>
      <c r="AD9" s="355" t="str">
        <f t="shared" si="10"/>
        <v>ok</v>
      </c>
      <c r="AE9" s="353"/>
      <c r="AF9" s="460"/>
      <c r="AG9" s="353"/>
      <c r="AH9" s="359" t="str">
        <f t="shared" si="11"/>
        <v/>
      </c>
      <c r="AI9" s="359" t="str">
        <f t="shared" si="12"/>
        <v/>
      </c>
      <c r="AJ9" s="490"/>
      <c r="AK9" s="489"/>
      <c r="AL9" s="353"/>
      <c r="AM9" s="359"/>
    </row>
    <row r="10" spans="1:39" ht="39.950000000000003" customHeight="1">
      <c r="A10" s="471" t="s">
        <v>462</v>
      </c>
      <c r="B10" s="403"/>
      <c r="C10" s="428"/>
      <c r="D10" s="403"/>
      <c r="E10" s="403"/>
      <c r="F10" s="428"/>
      <c r="G10" s="403"/>
      <c r="H10" s="464">
        <f t="shared" ref="H10:P10" si="23">SUM(H11:H15)</f>
        <v>924670057</v>
      </c>
      <c r="I10" s="407">
        <f t="shared" si="23"/>
        <v>892360052</v>
      </c>
      <c r="J10" s="407">
        <f t="shared" si="23"/>
        <v>32310005</v>
      </c>
      <c r="K10" s="407">
        <f t="shared" si="23"/>
        <v>0</v>
      </c>
      <c r="L10" s="407">
        <f t="shared" si="23"/>
        <v>0</v>
      </c>
      <c r="M10" s="407">
        <f t="shared" si="23"/>
        <v>924670057</v>
      </c>
      <c r="N10" s="407">
        <f t="shared" si="23"/>
        <v>0</v>
      </c>
      <c r="O10" s="407">
        <f t="shared" si="23"/>
        <v>24835936</v>
      </c>
      <c r="P10" s="407">
        <f t="shared" si="23"/>
        <v>949505993</v>
      </c>
      <c r="Q10" s="472"/>
      <c r="R10" s="473"/>
      <c r="S10" s="353"/>
      <c r="T10" s="359"/>
      <c r="U10" s="353"/>
      <c r="V10" s="354"/>
      <c r="W10" s="407">
        <f t="shared" ref="W10:X10" si="24">SUM(W11:W15)</f>
        <v>0</v>
      </c>
      <c r="X10" s="407">
        <f t="shared" si="24"/>
        <v>0</v>
      </c>
      <c r="Y10" s="355" t="str">
        <f t="shared" si="22"/>
        <v>ok</v>
      </c>
      <c r="Z10" s="353"/>
      <c r="AA10" s="487">
        <f t="shared" si="8"/>
        <v>0</v>
      </c>
      <c r="AB10" s="407">
        <f>SUM(AB11:AB15)</f>
        <v>19941000</v>
      </c>
      <c r="AC10" s="407">
        <f t="shared" ref="AC10" si="25">SUM(AC11:AC15)</f>
        <v>4894936</v>
      </c>
      <c r="AD10" s="355" t="str">
        <f t="shared" si="10"/>
        <v>ok</v>
      </c>
      <c r="AE10" s="353"/>
      <c r="AF10" s="460"/>
      <c r="AG10" s="353"/>
      <c r="AH10" s="359" t="str">
        <f t="shared" si="11"/>
        <v/>
      </c>
      <c r="AI10" s="359" t="str">
        <f t="shared" si="12"/>
        <v/>
      </c>
      <c r="AJ10" s="490"/>
      <c r="AK10" s="489"/>
      <c r="AL10" s="353"/>
      <c r="AM10" s="359"/>
    </row>
    <row r="11" spans="1:39" ht="39.950000000000003" customHeight="1">
      <c r="A11" s="474" t="s">
        <v>321</v>
      </c>
      <c r="B11" s="344" t="s">
        <v>106</v>
      </c>
      <c r="C11" s="364" t="s">
        <v>598</v>
      </c>
      <c r="D11" s="363" t="s">
        <v>480</v>
      </c>
      <c r="E11" s="363">
        <v>639</v>
      </c>
      <c r="F11" s="363"/>
      <c r="G11" s="364" t="s">
        <v>1269</v>
      </c>
      <c r="H11" s="349">
        <v>1370673</v>
      </c>
      <c r="I11" s="349">
        <v>2330000</v>
      </c>
      <c r="J11" s="349">
        <f t="shared" si="13"/>
        <v>-959327</v>
      </c>
      <c r="K11" s="350"/>
      <c r="L11" s="350"/>
      <c r="M11" s="349">
        <f t="shared" si="14"/>
        <v>1370673</v>
      </c>
      <c r="N11" s="350"/>
      <c r="O11" s="350">
        <v>1029327</v>
      </c>
      <c r="P11" s="349">
        <f t="shared" si="15"/>
        <v>2400000</v>
      </c>
      <c r="Q11" s="365"/>
      <c r="R11" s="352" t="s">
        <v>1273</v>
      </c>
      <c r="T11" s="359" t="s">
        <v>1205</v>
      </c>
      <c r="U11" s="486"/>
      <c r="V11" s="484" t="s">
        <v>1200</v>
      </c>
      <c r="W11" s="350"/>
      <c r="X11" s="350"/>
      <c r="Y11" s="355" t="str">
        <f t="shared" si="22"/>
        <v>ok</v>
      </c>
      <c r="Z11" s="353"/>
      <c r="AA11" s="487" t="str">
        <f t="shared" si="8"/>
        <v>국비</v>
      </c>
      <c r="AB11" s="350">
        <v>823461</v>
      </c>
      <c r="AC11" s="350">
        <v>205866</v>
      </c>
      <c r="AD11" s="355" t="str">
        <f t="shared" si="10"/>
        <v>ok</v>
      </c>
      <c r="AE11" s="353"/>
      <c r="AF11" s="460"/>
      <c r="AG11" s="353"/>
      <c r="AH11" s="359" t="str">
        <f t="shared" si="11"/>
        <v/>
      </c>
      <c r="AI11" s="359" t="str">
        <f t="shared" si="12"/>
        <v>@@</v>
      </c>
      <c r="AJ11" s="488"/>
      <c r="AK11" s="489"/>
      <c r="AL11" s="353"/>
      <c r="AM11" s="359"/>
    </row>
    <row r="12" spans="1:39" ht="39.950000000000003" customHeight="1">
      <c r="A12" s="474" t="s">
        <v>321</v>
      </c>
      <c r="B12" s="344" t="s">
        <v>106</v>
      </c>
      <c r="C12" s="364" t="s">
        <v>598</v>
      </c>
      <c r="D12" s="363" t="s">
        <v>480</v>
      </c>
      <c r="E12" s="363">
        <v>639</v>
      </c>
      <c r="F12" s="363"/>
      <c r="G12" s="364" t="s">
        <v>1270</v>
      </c>
      <c r="H12" s="349">
        <v>913060392</v>
      </c>
      <c r="I12" s="349">
        <v>880016974</v>
      </c>
      <c r="J12" s="349">
        <f t="shared" ref="J12" si="26">IF(D12="","",H12-I12)</f>
        <v>33043418</v>
      </c>
      <c r="K12" s="350"/>
      <c r="L12" s="350"/>
      <c r="M12" s="349">
        <f t="shared" ref="M12" si="27">IF(H12=0,I12+K12+L12,H12+K12+L12)</f>
        <v>913060392</v>
      </c>
      <c r="N12" s="350"/>
      <c r="O12" s="350">
        <v>22377652</v>
      </c>
      <c r="P12" s="349">
        <f t="shared" ref="P12" si="28">IF(H12=0,I12+N12+O12,H12+N12+O12)</f>
        <v>935438044</v>
      </c>
      <c r="Q12" s="365"/>
      <c r="R12" s="352" t="s">
        <v>1273</v>
      </c>
      <c r="T12" s="359" t="s">
        <v>1205</v>
      </c>
      <c r="V12" s="491" t="s">
        <v>1200</v>
      </c>
      <c r="W12" s="366"/>
      <c r="X12" s="366"/>
      <c r="Y12" s="359" t="str">
        <f t="shared" si="22"/>
        <v>ok</v>
      </c>
      <c r="AA12" s="492" t="str">
        <f t="shared" si="8"/>
        <v>국비</v>
      </c>
      <c r="AB12" s="366">
        <v>17902121</v>
      </c>
      <c r="AC12" s="366">
        <v>4475531</v>
      </c>
      <c r="AD12" s="359" t="str">
        <f t="shared" ref="AD12" si="29">IFERROR(IF((N12+O12)=(AB12+AC12),"ok","검토"),"검토")</f>
        <v>ok</v>
      </c>
      <c r="AF12" s="460"/>
      <c r="AH12" s="359" t="str">
        <f t="shared" si="11"/>
        <v/>
      </c>
      <c r="AI12" s="359" t="str">
        <f t="shared" ref="AI12" si="30">IF(C12="","",IF(AND(V12="도비",AF12="세입없음"),"OK",IF(AND(V12&lt;&gt;"도비",AF12&lt;&gt;""),"Ok","@@")))</f>
        <v>@@</v>
      </c>
      <c r="AK12" s="366"/>
      <c r="AM12" s="359"/>
    </row>
    <row r="13" spans="1:39" ht="39.950000000000003" customHeight="1">
      <c r="A13" s="474" t="s">
        <v>321</v>
      </c>
      <c r="B13" s="344" t="s">
        <v>106</v>
      </c>
      <c r="C13" s="364" t="s">
        <v>598</v>
      </c>
      <c r="D13" s="363" t="s">
        <v>480</v>
      </c>
      <c r="E13" s="363">
        <v>639</v>
      </c>
      <c r="F13" s="363"/>
      <c r="G13" s="364" t="s">
        <v>1271</v>
      </c>
      <c r="H13" s="349">
        <v>10183992</v>
      </c>
      <c r="I13" s="349">
        <v>9958078</v>
      </c>
      <c r="J13" s="349">
        <f t="shared" si="13"/>
        <v>225914</v>
      </c>
      <c r="K13" s="350"/>
      <c r="L13" s="350"/>
      <c r="M13" s="349">
        <f t="shared" si="14"/>
        <v>10183992</v>
      </c>
      <c r="N13" s="350"/>
      <c r="O13" s="350">
        <v>1427479</v>
      </c>
      <c r="P13" s="349">
        <f t="shared" si="15"/>
        <v>11611471</v>
      </c>
      <c r="Q13" s="365"/>
      <c r="R13" s="352" t="s">
        <v>1273</v>
      </c>
      <c r="T13" s="359" t="s">
        <v>1205</v>
      </c>
      <c r="V13" s="491" t="s">
        <v>1200</v>
      </c>
      <c r="W13" s="366"/>
      <c r="X13" s="366"/>
      <c r="Y13" s="359" t="str">
        <f t="shared" si="22"/>
        <v>ok</v>
      </c>
      <c r="AA13" s="492" t="str">
        <f t="shared" si="8"/>
        <v>국비</v>
      </c>
      <c r="AB13" s="366">
        <v>1214235</v>
      </c>
      <c r="AC13" s="366">
        <v>213244</v>
      </c>
      <c r="AD13" s="359" t="str">
        <f t="shared" si="10"/>
        <v>ok</v>
      </c>
      <c r="AF13" s="460"/>
      <c r="AH13" s="359" t="str">
        <f t="shared" si="11"/>
        <v/>
      </c>
      <c r="AI13" s="359" t="str">
        <f t="shared" si="12"/>
        <v>@@</v>
      </c>
      <c r="AK13" s="366"/>
      <c r="AM13" s="359"/>
    </row>
    <row r="14" spans="1:39" ht="39.950000000000003" customHeight="1">
      <c r="A14" s="474" t="s">
        <v>321</v>
      </c>
      <c r="B14" s="344" t="s">
        <v>106</v>
      </c>
      <c r="C14" s="364" t="s">
        <v>598</v>
      </c>
      <c r="D14" s="363" t="s">
        <v>501</v>
      </c>
      <c r="E14" s="363">
        <v>1009</v>
      </c>
      <c r="F14" s="363"/>
      <c r="G14" s="364" t="s">
        <v>1272</v>
      </c>
      <c r="H14" s="493">
        <v>55000</v>
      </c>
      <c r="I14" s="493">
        <v>55000</v>
      </c>
      <c r="J14" s="493">
        <f t="shared" ref="J14" si="31">IF(D14="","",H14-I14)</f>
        <v>0</v>
      </c>
      <c r="K14" s="350"/>
      <c r="L14" s="350"/>
      <c r="M14" s="349">
        <f t="shared" ref="M14" si="32">IF(H14=0,I14+K14+L14,H14+K14+L14)</f>
        <v>55000</v>
      </c>
      <c r="N14" s="350"/>
      <c r="O14" s="350">
        <v>1478</v>
      </c>
      <c r="P14" s="349">
        <f t="shared" ref="P14" si="33">IF(H14=0,I14+N14+O14,H14+N14+O14)</f>
        <v>56478</v>
      </c>
      <c r="Q14" s="365"/>
      <c r="R14" s="352" t="s">
        <v>1273</v>
      </c>
      <c r="T14" s="359" t="s">
        <v>1205</v>
      </c>
      <c r="V14" s="491" t="s">
        <v>1200</v>
      </c>
      <c r="W14" s="366"/>
      <c r="X14" s="366"/>
      <c r="Y14" s="359" t="str">
        <f t="shared" si="22"/>
        <v>ok</v>
      </c>
      <c r="AA14" s="492" t="str">
        <f t="shared" si="8"/>
        <v>국비</v>
      </c>
      <c r="AB14" s="366">
        <v>1183</v>
      </c>
      <c r="AC14" s="366">
        <v>295</v>
      </c>
      <c r="AD14" s="359" t="str">
        <f t="shared" ref="AD14" si="34">IFERROR(IF((N14+O14)=(AB14+AC14),"ok","검토"),"검토")</f>
        <v>ok</v>
      </c>
      <c r="AF14" s="460"/>
      <c r="AH14" s="359" t="str">
        <f t="shared" si="11"/>
        <v/>
      </c>
      <c r="AI14" s="359" t="str">
        <f t="shared" ref="AI14" si="35">IF(C14="","",IF(AND(V14="도비",AF14="세입없음"),"OK",IF(AND(V14&lt;&gt;"도비",AF14&lt;&gt;""),"Ok","@@")))</f>
        <v>@@</v>
      </c>
      <c r="AK14" s="366"/>
      <c r="AM14" s="359"/>
    </row>
    <row r="15" spans="1:39" ht="39.950000000000003" hidden="1" customHeight="1">
      <c r="A15" s="474"/>
      <c r="B15" s="344"/>
      <c r="C15" s="364"/>
      <c r="D15" s="363"/>
      <c r="E15" s="363"/>
      <c r="F15" s="363"/>
      <c r="G15" s="364"/>
      <c r="H15" s="349"/>
      <c r="I15" s="349"/>
      <c r="J15" s="349" t="str">
        <f t="shared" si="13"/>
        <v/>
      </c>
      <c r="K15" s="350"/>
      <c r="L15" s="350"/>
      <c r="M15" s="349">
        <f t="shared" si="14"/>
        <v>0</v>
      </c>
      <c r="N15" s="350"/>
      <c r="O15" s="350"/>
      <c r="P15" s="349">
        <f t="shared" si="15"/>
        <v>0</v>
      </c>
      <c r="Q15" s="365"/>
      <c r="R15" s="352"/>
      <c r="T15" s="359"/>
      <c r="V15" s="491"/>
      <c r="W15" s="366">
        <f t="shared" si="20"/>
        <v>0</v>
      </c>
      <c r="X15" s="366">
        <f t="shared" si="21"/>
        <v>0</v>
      </c>
      <c r="Y15" s="359" t="str">
        <f t="shared" si="22"/>
        <v>ok</v>
      </c>
      <c r="AA15" s="492">
        <f t="shared" si="8"/>
        <v>0</v>
      </c>
      <c r="AB15" s="366">
        <f t="shared" si="18"/>
        <v>0</v>
      </c>
      <c r="AC15" s="366">
        <f t="shared" si="19"/>
        <v>0</v>
      </c>
      <c r="AD15" s="359" t="str">
        <f t="shared" si="10"/>
        <v>ok</v>
      </c>
      <c r="AF15" s="460"/>
      <c r="AH15" s="359" t="str">
        <f t="shared" si="11"/>
        <v/>
      </c>
      <c r="AI15" s="359" t="str">
        <f t="shared" si="12"/>
        <v/>
      </c>
      <c r="AK15" s="366"/>
      <c r="AM15" s="359"/>
    </row>
    <row r="16" spans="1:39" ht="39.950000000000003" hidden="1" customHeight="1">
      <c r="A16" s="471" t="s">
        <v>463</v>
      </c>
      <c r="B16" s="403"/>
      <c r="C16" s="428"/>
      <c r="D16" s="403"/>
      <c r="E16" s="403"/>
      <c r="F16" s="428"/>
      <c r="G16" s="403"/>
      <c r="H16" s="464">
        <f t="shared" ref="H16:P16" si="36">SUM(H17:H18)</f>
        <v>0</v>
      </c>
      <c r="I16" s="407">
        <f t="shared" si="36"/>
        <v>0</v>
      </c>
      <c r="J16" s="407">
        <f t="shared" si="36"/>
        <v>0</v>
      </c>
      <c r="K16" s="407">
        <f t="shared" si="36"/>
        <v>0</v>
      </c>
      <c r="L16" s="407">
        <f t="shared" si="36"/>
        <v>0</v>
      </c>
      <c r="M16" s="407">
        <f t="shared" si="36"/>
        <v>0</v>
      </c>
      <c r="N16" s="407">
        <f t="shared" si="36"/>
        <v>0</v>
      </c>
      <c r="O16" s="407">
        <f t="shared" si="36"/>
        <v>0</v>
      </c>
      <c r="P16" s="407">
        <f t="shared" si="36"/>
        <v>0</v>
      </c>
      <c r="Q16" s="472"/>
      <c r="R16" s="473"/>
      <c r="T16" s="359"/>
      <c r="V16" s="491"/>
      <c r="W16" s="407">
        <f>SUM(W17:W18)</f>
        <v>0</v>
      </c>
      <c r="X16" s="407">
        <f t="shared" ref="X16" si="37">SUM(X17:X18)</f>
        <v>0</v>
      </c>
      <c r="Y16" s="359" t="str">
        <f t="shared" si="22"/>
        <v>ok</v>
      </c>
      <c r="AA16" s="492">
        <f t="shared" si="8"/>
        <v>0</v>
      </c>
      <c r="AB16" s="407">
        <f>SUM(AB17:AB18)</f>
        <v>0</v>
      </c>
      <c r="AC16" s="407">
        <f t="shared" ref="AC16" si="38">SUM(AC17:AC18)</f>
        <v>0</v>
      </c>
      <c r="AD16" s="359" t="str">
        <f t="shared" si="10"/>
        <v>ok</v>
      </c>
      <c r="AF16" s="460"/>
      <c r="AH16" s="359" t="str">
        <f t="shared" si="11"/>
        <v/>
      </c>
      <c r="AI16" s="359" t="str">
        <f t="shared" si="12"/>
        <v/>
      </c>
      <c r="AK16" s="366"/>
      <c r="AM16" s="359"/>
    </row>
    <row r="17" spans="1:39" ht="39.950000000000003" hidden="1" customHeight="1">
      <c r="A17" s="474"/>
      <c r="B17" s="344"/>
      <c r="C17" s="364"/>
      <c r="D17" s="363"/>
      <c r="E17" s="363"/>
      <c r="F17" s="363"/>
      <c r="G17" s="364"/>
      <c r="H17" s="475"/>
      <c r="I17" s="475"/>
      <c r="J17" s="349" t="str">
        <f t="shared" si="13"/>
        <v/>
      </c>
      <c r="K17" s="350"/>
      <c r="L17" s="350"/>
      <c r="M17" s="349">
        <f t="shared" si="14"/>
        <v>0</v>
      </c>
      <c r="N17" s="350"/>
      <c r="O17" s="350"/>
      <c r="P17" s="349">
        <f t="shared" si="15"/>
        <v>0</v>
      </c>
      <c r="Q17" s="365"/>
      <c r="R17" s="352"/>
      <c r="T17" s="359"/>
      <c r="V17" s="491"/>
      <c r="W17" s="366">
        <f t="shared" si="20"/>
        <v>0</v>
      </c>
      <c r="X17" s="366">
        <f t="shared" si="21"/>
        <v>0</v>
      </c>
      <c r="Y17" s="359" t="str">
        <f t="shared" si="22"/>
        <v>ok</v>
      </c>
      <c r="AA17" s="492">
        <f t="shared" si="8"/>
        <v>0</v>
      </c>
      <c r="AB17" s="366">
        <f t="shared" si="18"/>
        <v>0</v>
      </c>
      <c r="AC17" s="366">
        <f t="shared" si="19"/>
        <v>0</v>
      </c>
      <c r="AD17" s="359" t="str">
        <f t="shared" si="10"/>
        <v>ok</v>
      </c>
      <c r="AF17" s="460"/>
      <c r="AH17" s="359" t="str">
        <f t="shared" si="11"/>
        <v/>
      </c>
      <c r="AI17" s="359" t="str">
        <f t="shared" si="12"/>
        <v/>
      </c>
      <c r="AK17" s="366"/>
      <c r="AM17" s="359"/>
    </row>
    <row r="18" spans="1:39" ht="39.950000000000003" hidden="1" customHeight="1">
      <c r="A18" s="474"/>
      <c r="B18" s="344"/>
      <c r="C18" s="364"/>
      <c r="D18" s="363"/>
      <c r="E18" s="363"/>
      <c r="F18" s="363"/>
      <c r="G18" s="364"/>
      <c r="H18" s="475"/>
      <c r="I18" s="475"/>
      <c r="J18" s="349" t="str">
        <f t="shared" si="13"/>
        <v/>
      </c>
      <c r="K18" s="350"/>
      <c r="L18" s="350"/>
      <c r="M18" s="349">
        <f t="shared" si="14"/>
        <v>0</v>
      </c>
      <c r="N18" s="350"/>
      <c r="O18" s="350"/>
      <c r="P18" s="349">
        <f t="shared" si="15"/>
        <v>0</v>
      </c>
      <c r="Q18" s="365"/>
      <c r="R18" s="352"/>
      <c r="T18" s="359"/>
      <c r="V18" s="491"/>
      <c r="W18" s="366">
        <f t="shared" si="20"/>
        <v>0</v>
      </c>
      <c r="X18" s="366">
        <f t="shared" si="21"/>
        <v>0</v>
      </c>
      <c r="Y18" s="359" t="str">
        <f t="shared" si="22"/>
        <v>ok</v>
      </c>
      <c r="AA18" s="492">
        <f t="shared" si="8"/>
        <v>0</v>
      </c>
      <c r="AB18" s="366">
        <f t="shared" si="18"/>
        <v>0</v>
      </c>
      <c r="AC18" s="366">
        <f t="shared" si="19"/>
        <v>0</v>
      </c>
      <c r="AD18" s="359" t="str">
        <f t="shared" si="10"/>
        <v>ok</v>
      </c>
      <c r="AF18" s="460"/>
      <c r="AH18" s="359" t="str">
        <f t="shared" si="11"/>
        <v/>
      </c>
      <c r="AI18" s="359" t="str">
        <f t="shared" si="12"/>
        <v/>
      </c>
      <c r="AK18" s="366"/>
      <c r="AM18" s="359"/>
    </row>
    <row r="19" spans="1:39" ht="39.950000000000003" hidden="1" customHeight="1">
      <c r="A19" s="471" t="s">
        <v>464</v>
      </c>
      <c r="B19" s="403"/>
      <c r="C19" s="428"/>
      <c r="D19" s="403"/>
      <c r="E19" s="403"/>
      <c r="F19" s="428"/>
      <c r="G19" s="403"/>
      <c r="H19" s="464">
        <f t="shared" ref="H19:P19" si="39">SUM(H20:H21)</f>
        <v>0</v>
      </c>
      <c r="I19" s="407">
        <f t="shared" si="39"/>
        <v>0</v>
      </c>
      <c r="J19" s="407">
        <f t="shared" si="39"/>
        <v>0</v>
      </c>
      <c r="K19" s="407">
        <f t="shared" si="39"/>
        <v>0</v>
      </c>
      <c r="L19" s="407">
        <f t="shared" si="39"/>
        <v>0</v>
      </c>
      <c r="M19" s="407">
        <f t="shared" si="39"/>
        <v>0</v>
      </c>
      <c r="N19" s="407">
        <f t="shared" si="39"/>
        <v>0</v>
      </c>
      <c r="O19" s="407">
        <f t="shared" si="39"/>
        <v>0</v>
      </c>
      <c r="P19" s="407">
        <f t="shared" si="39"/>
        <v>0</v>
      </c>
      <c r="Q19" s="472"/>
      <c r="R19" s="473"/>
      <c r="T19" s="359"/>
      <c r="V19" s="491"/>
      <c r="W19" s="407">
        <f t="shared" ref="W19:X19" si="40">SUM(W20:W21)</f>
        <v>0</v>
      </c>
      <c r="X19" s="407">
        <f t="shared" si="40"/>
        <v>0</v>
      </c>
      <c r="Y19" s="359" t="str">
        <f t="shared" si="22"/>
        <v>ok</v>
      </c>
      <c r="AA19" s="492">
        <f t="shared" si="8"/>
        <v>0</v>
      </c>
      <c r="AB19" s="407">
        <f t="shared" ref="AB19:AC19" si="41">SUM(AB20:AB21)</f>
        <v>0</v>
      </c>
      <c r="AC19" s="407">
        <f t="shared" si="41"/>
        <v>0</v>
      </c>
      <c r="AD19" s="359" t="str">
        <f t="shared" si="10"/>
        <v>ok</v>
      </c>
      <c r="AF19" s="460"/>
      <c r="AH19" s="359" t="str">
        <f t="shared" si="11"/>
        <v/>
      </c>
      <c r="AI19" s="359" t="str">
        <f t="shared" si="12"/>
        <v/>
      </c>
      <c r="AK19" s="366"/>
      <c r="AM19" s="359"/>
    </row>
    <row r="20" spans="1:39" ht="39.950000000000003" hidden="1" customHeight="1">
      <c r="A20" s="474"/>
      <c r="B20" s="344"/>
      <c r="C20" s="364"/>
      <c r="D20" s="363"/>
      <c r="E20" s="363"/>
      <c r="F20" s="363"/>
      <c r="G20" s="364"/>
      <c r="H20" s="475"/>
      <c r="I20" s="475"/>
      <c r="J20" s="349" t="str">
        <f t="shared" si="13"/>
        <v/>
      </c>
      <c r="K20" s="350"/>
      <c r="L20" s="350"/>
      <c r="M20" s="349">
        <f t="shared" si="14"/>
        <v>0</v>
      </c>
      <c r="N20" s="350"/>
      <c r="O20" s="350"/>
      <c r="P20" s="349">
        <f t="shared" si="15"/>
        <v>0</v>
      </c>
      <c r="Q20" s="365"/>
      <c r="R20" s="352"/>
      <c r="T20" s="359"/>
      <c r="V20" s="491"/>
      <c r="W20" s="366">
        <f t="shared" si="20"/>
        <v>0</v>
      </c>
      <c r="X20" s="366">
        <f t="shared" si="21"/>
        <v>0</v>
      </c>
      <c r="Y20" s="359" t="str">
        <f t="shared" si="22"/>
        <v>ok</v>
      </c>
      <c r="AA20" s="492">
        <f t="shared" si="8"/>
        <v>0</v>
      </c>
      <c r="AB20" s="366">
        <f t="shared" si="18"/>
        <v>0</v>
      </c>
      <c r="AC20" s="366">
        <f t="shared" si="19"/>
        <v>0</v>
      </c>
      <c r="AD20" s="359" t="str">
        <f t="shared" si="10"/>
        <v>ok</v>
      </c>
      <c r="AF20" s="460"/>
      <c r="AH20" s="359" t="str">
        <f t="shared" si="11"/>
        <v/>
      </c>
      <c r="AI20" s="359" t="str">
        <f t="shared" si="12"/>
        <v/>
      </c>
      <c r="AK20" s="366"/>
      <c r="AM20" s="359"/>
    </row>
    <row r="21" spans="1:39" ht="39.950000000000003" hidden="1" customHeight="1">
      <c r="A21" s="474"/>
      <c r="B21" s="344"/>
      <c r="C21" s="364"/>
      <c r="D21" s="363"/>
      <c r="E21" s="363"/>
      <c r="F21" s="363"/>
      <c r="G21" s="364"/>
      <c r="H21" s="475"/>
      <c r="I21" s="475"/>
      <c r="J21" s="349" t="str">
        <f t="shared" si="13"/>
        <v/>
      </c>
      <c r="K21" s="350"/>
      <c r="L21" s="350"/>
      <c r="M21" s="349">
        <f t="shared" si="14"/>
        <v>0</v>
      </c>
      <c r="N21" s="350"/>
      <c r="O21" s="350"/>
      <c r="P21" s="349">
        <f t="shared" si="15"/>
        <v>0</v>
      </c>
      <c r="Q21" s="365"/>
      <c r="R21" s="352"/>
      <c r="T21" s="359"/>
      <c r="V21" s="491"/>
      <c r="W21" s="366">
        <f t="shared" si="20"/>
        <v>0</v>
      </c>
      <c r="X21" s="366">
        <f t="shared" si="21"/>
        <v>0</v>
      </c>
      <c r="Y21" s="359" t="str">
        <f t="shared" si="22"/>
        <v>ok</v>
      </c>
      <c r="AA21" s="492">
        <f t="shared" si="8"/>
        <v>0</v>
      </c>
      <c r="AB21" s="366">
        <f t="shared" si="18"/>
        <v>0</v>
      </c>
      <c r="AC21" s="366">
        <f t="shared" si="19"/>
        <v>0</v>
      </c>
      <c r="AD21" s="359" t="str">
        <f t="shared" si="10"/>
        <v>ok</v>
      </c>
      <c r="AF21" s="460"/>
      <c r="AH21" s="359" t="str">
        <f t="shared" si="11"/>
        <v/>
      </c>
      <c r="AI21" s="359" t="str">
        <f t="shared" si="12"/>
        <v/>
      </c>
      <c r="AK21" s="366"/>
      <c r="AM21" s="359"/>
    </row>
    <row r="22" spans="1:39" ht="39.950000000000003" hidden="1" customHeight="1">
      <c r="A22" s="471" t="s">
        <v>465</v>
      </c>
      <c r="B22" s="403"/>
      <c r="C22" s="428"/>
      <c r="D22" s="403"/>
      <c r="E22" s="403"/>
      <c r="F22" s="428"/>
      <c r="G22" s="403"/>
      <c r="H22" s="464">
        <f t="shared" ref="H22:P22" si="42">SUM(H23:H24)</f>
        <v>0</v>
      </c>
      <c r="I22" s="407">
        <f t="shared" si="42"/>
        <v>0</v>
      </c>
      <c r="J22" s="407">
        <f t="shared" si="42"/>
        <v>0</v>
      </c>
      <c r="K22" s="407">
        <f t="shared" si="42"/>
        <v>0</v>
      </c>
      <c r="L22" s="407">
        <f t="shared" si="42"/>
        <v>0</v>
      </c>
      <c r="M22" s="407">
        <f t="shared" si="42"/>
        <v>0</v>
      </c>
      <c r="N22" s="407">
        <f t="shared" si="42"/>
        <v>0</v>
      </c>
      <c r="O22" s="407">
        <f t="shared" si="42"/>
        <v>0</v>
      </c>
      <c r="P22" s="407">
        <f t="shared" si="42"/>
        <v>0</v>
      </c>
      <c r="Q22" s="472"/>
      <c r="R22" s="473"/>
      <c r="T22" s="359"/>
      <c r="V22" s="491"/>
      <c r="W22" s="407">
        <f t="shared" ref="W22:X22" si="43">SUM(W23:W24)</f>
        <v>0</v>
      </c>
      <c r="X22" s="407">
        <f t="shared" si="43"/>
        <v>0</v>
      </c>
      <c r="Y22" s="359" t="str">
        <f t="shared" si="22"/>
        <v>ok</v>
      </c>
      <c r="AA22" s="492">
        <f t="shared" si="8"/>
        <v>0</v>
      </c>
      <c r="AB22" s="407">
        <f t="shared" ref="AB22:AC22" si="44">SUM(AB23:AB24)</f>
        <v>0</v>
      </c>
      <c r="AC22" s="407">
        <f t="shared" si="44"/>
        <v>0</v>
      </c>
      <c r="AD22" s="359" t="str">
        <f t="shared" si="10"/>
        <v>ok</v>
      </c>
      <c r="AF22" s="460"/>
      <c r="AH22" s="359" t="str">
        <f t="shared" si="11"/>
        <v/>
      </c>
      <c r="AI22" s="359" t="str">
        <f t="shared" si="12"/>
        <v/>
      </c>
      <c r="AK22" s="366"/>
      <c r="AM22" s="359"/>
    </row>
    <row r="23" spans="1:39" ht="39.950000000000003" hidden="1" customHeight="1">
      <c r="A23" s="474"/>
      <c r="B23" s="344"/>
      <c r="C23" s="364"/>
      <c r="D23" s="363"/>
      <c r="E23" s="363"/>
      <c r="F23" s="363"/>
      <c r="G23" s="364"/>
      <c r="H23" s="475"/>
      <c r="I23" s="475"/>
      <c r="J23" s="349" t="str">
        <f t="shared" si="13"/>
        <v/>
      </c>
      <c r="K23" s="350"/>
      <c r="L23" s="350"/>
      <c r="M23" s="349">
        <f t="shared" si="14"/>
        <v>0</v>
      </c>
      <c r="N23" s="350"/>
      <c r="O23" s="350"/>
      <c r="P23" s="349">
        <f t="shared" si="15"/>
        <v>0</v>
      </c>
      <c r="Q23" s="365"/>
      <c r="R23" s="352"/>
      <c r="T23" s="359"/>
      <c r="V23" s="491"/>
      <c r="W23" s="366">
        <f t="shared" si="20"/>
        <v>0</v>
      </c>
      <c r="X23" s="366">
        <f t="shared" si="21"/>
        <v>0</v>
      </c>
      <c r="Y23" s="359" t="str">
        <f t="shared" si="22"/>
        <v>ok</v>
      </c>
      <c r="AA23" s="492">
        <f t="shared" si="8"/>
        <v>0</v>
      </c>
      <c r="AB23" s="366">
        <f t="shared" si="18"/>
        <v>0</v>
      </c>
      <c r="AC23" s="366">
        <f t="shared" si="19"/>
        <v>0</v>
      </c>
      <c r="AD23" s="359" t="str">
        <f t="shared" si="10"/>
        <v>ok</v>
      </c>
      <c r="AF23" s="460"/>
      <c r="AH23" s="359" t="str">
        <f t="shared" si="11"/>
        <v/>
      </c>
      <c r="AI23" s="359" t="str">
        <f t="shared" si="12"/>
        <v/>
      </c>
      <c r="AK23" s="366"/>
      <c r="AM23" s="359"/>
    </row>
    <row r="24" spans="1:39" ht="39.950000000000003" hidden="1" customHeight="1">
      <c r="A24" s="474"/>
      <c r="B24" s="344"/>
      <c r="C24" s="364"/>
      <c r="D24" s="363"/>
      <c r="E24" s="363"/>
      <c r="F24" s="363"/>
      <c r="G24" s="364"/>
      <c r="H24" s="475"/>
      <c r="I24" s="475"/>
      <c r="J24" s="349" t="str">
        <f t="shared" si="13"/>
        <v/>
      </c>
      <c r="K24" s="350"/>
      <c r="L24" s="350"/>
      <c r="M24" s="349">
        <f t="shared" si="14"/>
        <v>0</v>
      </c>
      <c r="N24" s="350"/>
      <c r="O24" s="350"/>
      <c r="P24" s="349">
        <f t="shared" si="15"/>
        <v>0</v>
      </c>
      <c r="Q24" s="365"/>
      <c r="R24" s="352"/>
      <c r="T24" s="359"/>
      <c r="V24" s="491"/>
      <c r="W24" s="366">
        <f t="shared" si="20"/>
        <v>0</v>
      </c>
      <c r="X24" s="366">
        <f t="shared" si="21"/>
        <v>0</v>
      </c>
      <c r="Y24" s="359" t="str">
        <f t="shared" si="22"/>
        <v>ok</v>
      </c>
      <c r="AA24" s="492">
        <f t="shared" si="8"/>
        <v>0</v>
      </c>
      <c r="AB24" s="366">
        <f t="shared" si="18"/>
        <v>0</v>
      </c>
      <c r="AC24" s="366">
        <f t="shared" si="19"/>
        <v>0</v>
      </c>
      <c r="AD24" s="359" t="str">
        <f t="shared" si="10"/>
        <v>ok</v>
      </c>
      <c r="AF24" s="460"/>
      <c r="AH24" s="359" t="str">
        <f t="shared" si="11"/>
        <v/>
      </c>
      <c r="AI24" s="359" t="str">
        <f t="shared" si="12"/>
        <v/>
      </c>
      <c r="AK24" s="366"/>
      <c r="AM24" s="359"/>
    </row>
    <row r="25" spans="1:39" ht="39.950000000000003" hidden="1" customHeight="1">
      <c r="A25" s="471" t="s">
        <v>466</v>
      </c>
      <c r="B25" s="403"/>
      <c r="C25" s="428"/>
      <c r="D25" s="403"/>
      <c r="E25" s="403"/>
      <c r="F25" s="428"/>
      <c r="G25" s="403"/>
      <c r="H25" s="464">
        <f t="shared" ref="H25:P25" si="45">SUM(H26:H27)</f>
        <v>0</v>
      </c>
      <c r="I25" s="407">
        <f t="shared" si="45"/>
        <v>0</v>
      </c>
      <c r="J25" s="407">
        <f t="shared" si="45"/>
        <v>0</v>
      </c>
      <c r="K25" s="407">
        <f t="shared" si="45"/>
        <v>0</v>
      </c>
      <c r="L25" s="407">
        <f t="shared" si="45"/>
        <v>0</v>
      </c>
      <c r="M25" s="407">
        <f t="shared" si="45"/>
        <v>0</v>
      </c>
      <c r="N25" s="407">
        <f t="shared" si="45"/>
        <v>0</v>
      </c>
      <c r="O25" s="407">
        <f t="shared" si="45"/>
        <v>0</v>
      </c>
      <c r="P25" s="407">
        <f t="shared" si="45"/>
        <v>0</v>
      </c>
      <c r="Q25" s="472"/>
      <c r="R25" s="473"/>
      <c r="T25" s="359"/>
      <c r="V25" s="491"/>
      <c r="W25" s="407">
        <f>SUM(W26:W27)</f>
        <v>0</v>
      </c>
      <c r="X25" s="407">
        <f t="shared" ref="X25" si="46">SUM(X26:X27)</f>
        <v>0</v>
      </c>
      <c r="Y25" s="359" t="str">
        <f t="shared" si="22"/>
        <v>ok</v>
      </c>
      <c r="AA25" s="492">
        <f t="shared" si="8"/>
        <v>0</v>
      </c>
      <c r="AB25" s="407">
        <f>SUM(AB26:AB27)</f>
        <v>0</v>
      </c>
      <c r="AC25" s="407">
        <f t="shared" ref="AC25" si="47">SUM(AC26:AC27)</f>
        <v>0</v>
      </c>
      <c r="AD25" s="359" t="str">
        <f t="shared" si="10"/>
        <v>ok</v>
      </c>
      <c r="AF25" s="460"/>
      <c r="AH25" s="359" t="str">
        <f t="shared" si="11"/>
        <v/>
      </c>
      <c r="AI25" s="359" t="str">
        <f t="shared" si="12"/>
        <v/>
      </c>
      <c r="AK25" s="366"/>
      <c r="AM25" s="359"/>
    </row>
    <row r="26" spans="1:39" ht="39.950000000000003" hidden="1" customHeight="1">
      <c r="A26" s="474"/>
      <c r="B26" s="344"/>
      <c r="C26" s="364"/>
      <c r="D26" s="363"/>
      <c r="E26" s="363"/>
      <c r="F26" s="363"/>
      <c r="G26" s="364"/>
      <c r="H26" s="475"/>
      <c r="I26" s="475"/>
      <c r="J26" s="349" t="str">
        <f t="shared" si="13"/>
        <v/>
      </c>
      <c r="K26" s="350"/>
      <c r="L26" s="350"/>
      <c r="M26" s="349">
        <f t="shared" si="14"/>
        <v>0</v>
      </c>
      <c r="N26" s="350"/>
      <c r="O26" s="350"/>
      <c r="P26" s="349">
        <f t="shared" si="15"/>
        <v>0</v>
      </c>
      <c r="Q26" s="365"/>
      <c r="R26" s="352"/>
      <c r="T26" s="359"/>
      <c r="V26" s="491"/>
      <c r="W26" s="366">
        <f t="shared" si="20"/>
        <v>0</v>
      </c>
      <c r="X26" s="366">
        <f t="shared" si="21"/>
        <v>0</v>
      </c>
      <c r="Y26" s="359" t="str">
        <f t="shared" si="22"/>
        <v>ok</v>
      </c>
      <c r="AA26" s="492">
        <f t="shared" si="8"/>
        <v>0</v>
      </c>
      <c r="AB26" s="366">
        <f t="shared" si="18"/>
        <v>0</v>
      </c>
      <c r="AC26" s="366">
        <f t="shared" si="19"/>
        <v>0</v>
      </c>
      <c r="AD26" s="359" t="str">
        <f t="shared" si="10"/>
        <v>ok</v>
      </c>
      <c r="AF26" s="460"/>
      <c r="AH26" s="359" t="str">
        <f t="shared" si="11"/>
        <v/>
      </c>
      <c r="AI26" s="359" t="str">
        <f t="shared" si="12"/>
        <v/>
      </c>
      <c r="AK26" s="366"/>
      <c r="AM26" s="359"/>
    </row>
    <row r="27" spans="1:39" ht="39.950000000000003" hidden="1" customHeight="1">
      <c r="A27" s="474"/>
      <c r="B27" s="344"/>
      <c r="C27" s="364"/>
      <c r="D27" s="363"/>
      <c r="E27" s="363"/>
      <c r="F27" s="363"/>
      <c r="G27" s="364"/>
      <c r="H27" s="475"/>
      <c r="I27" s="475"/>
      <c r="J27" s="349" t="str">
        <f t="shared" si="13"/>
        <v/>
      </c>
      <c r="K27" s="350"/>
      <c r="L27" s="350"/>
      <c r="M27" s="349">
        <f t="shared" si="14"/>
        <v>0</v>
      </c>
      <c r="N27" s="350"/>
      <c r="O27" s="350"/>
      <c r="P27" s="349">
        <f t="shared" si="15"/>
        <v>0</v>
      </c>
      <c r="Q27" s="365"/>
      <c r="R27" s="352"/>
      <c r="T27" s="359"/>
      <c r="V27" s="491"/>
      <c r="W27" s="366">
        <f t="shared" si="20"/>
        <v>0</v>
      </c>
      <c r="X27" s="366">
        <f t="shared" si="21"/>
        <v>0</v>
      </c>
      <c r="Y27" s="359" t="str">
        <f t="shared" si="22"/>
        <v>ok</v>
      </c>
      <c r="AA27" s="492">
        <f t="shared" si="8"/>
        <v>0</v>
      </c>
      <c r="AB27" s="366">
        <f t="shared" si="18"/>
        <v>0</v>
      </c>
      <c r="AC27" s="366">
        <f t="shared" si="19"/>
        <v>0</v>
      </c>
      <c r="AD27" s="359" t="str">
        <f t="shared" si="10"/>
        <v>ok</v>
      </c>
      <c r="AF27" s="460"/>
      <c r="AH27" s="359" t="str">
        <f t="shared" si="11"/>
        <v/>
      </c>
      <c r="AI27" s="359" t="str">
        <f t="shared" si="12"/>
        <v/>
      </c>
      <c r="AK27" s="366"/>
      <c r="AM27" s="359"/>
    </row>
    <row r="28" spans="1:39" ht="39.950000000000003" hidden="1" customHeight="1">
      <c r="A28" s="471" t="s">
        <v>467</v>
      </c>
      <c r="B28" s="403"/>
      <c r="C28" s="428"/>
      <c r="D28" s="403"/>
      <c r="E28" s="403"/>
      <c r="F28" s="428"/>
      <c r="G28" s="403"/>
      <c r="H28" s="464">
        <f t="shared" ref="H28:P28" si="48">SUM(H29:H30)</f>
        <v>0</v>
      </c>
      <c r="I28" s="407">
        <f t="shared" si="48"/>
        <v>0</v>
      </c>
      <c r="J28" s="407">
        <f t="shared" si="48"/>
        <v>0</v>
      </c>
      <c r="K28" s="407">
        <f t="shared" si="48"/>
        <v>0</v>
      </c>
      <c r="L28" s="407">
        <f t="shared" si="48"/>
        <v>0</v>
      </c>
      <c r="M28" s="407">
        <f t="shared" si="48"/>
        <v>0</v>
      </c>
      <c r="N28" s="407">
        <f t="shared" si="48"/>
        <v>0</v>
      </c>
      <c r="O28" s="407">
        <f t="shared" si="48"/>
        <v>0</v>
      </c>
      <c r="P28" s="407">
        <f t="shared" si="48"/>
        <v>0</v>
      </c>
      <c r="Q28" s="472"/>
      <c r="R28" s="473"/>
      <c r="T28" s="359"/>
      <c r="V28" s="491"/>
      <c r="W28" s="407">
        <f t="shared" ref="W28:X28" si="49">SUM(W29:W30)</f>
        <v>0</v>
      </c>
      <c r="X28" s="407">
        <f t="shared" si="49"/>
        <v>0</v>
      </c>
      <c r="Y28" s="359" t="str">
        <f t="shared" si="22"/>
        <v>ok</v>
      </c>
      <c r="AA28" s="492">
        <f t="shared" si="8"/>
        <v>0</v>
      </c>
      <c r="AB28" s="407">
        <f t="shared" ref="AB28:AC28" si="50">SUM(AB29:AB30)</f>
        <v>0</v>
      </c>
      <c r="AC28" s="407">
        <f t="shared" si="50"/>
        <v>0</v>
      </c>
      <c r="AD28" s="359" t="str">
        <f t="shared" si="10"/>
        <v>ok</v>
      </c>
      <c r="AF28" s="460"/>
      <c r="AH28" s="359" t="str">
        <f t="shared" si="11"/>
        <v/>
      </c>
      <c r="AI28" s="359" t="str">
        <f t="shared" si="12"/>
        <v/>
      </c>
      <c r="AK28" s="366"/>
      <c r="AM28" s="359"/>
    </row>
    <row r="29" spans="1:39" ht="39.950000000000003" hidden="1" customHeight="1">
      <c r="A29" s="474"/>
      <c r="B29" s="344"/>
      <c r="C29" s="364"/>
      <c r="D29" s="363"/>
      <c r="E29" s="363"/>
      <c r="F29" s="363"/>
      <c r="G29" s="364"/>
      <c r="H29" s="475"/>
      <c r="I29" s="475"/>
      <c r="J29" s="349" t="str">
        <f t="shared" si="13"/>
        <v/>
      </c>
      <c r="K29" s="350"/>
      <c r="L29" s="350"/>
      <c r="M29" s="349">
        <f t="shared" si="14"/>
        <v>0</v>
      </c>
      <c r="N29" s="350"/>
      <c r="O29" s="350"/>
      <c r="P29" s="349">
        <f t="shared" ref="P29:P37" si="51">IF(H29=0,I29+N29+O29,H29+N29+O29)</f>
        <v>0</v>
      </c>
      <c r="Q29" s="365"/>
      <c r="R29" s="352"/>
      <c r="T29" s="359"/>
      <c r="V29" s="491"/>
      <c r="W29" s="366">
        <f t="shared" si="20"/>
        <v>0</v>
      </c>
      <c r="X29" s="366">
        <f t="shared" si="21"/>
        <v>0</v>
      </c>
      <c r="Y29" s="359" t="str">
        <f t="shared" si="22"/>
        <v>ok</v>
      </c>
      <c r="AA29" s="492">
        <f t="shared" si="8"/>
        <v>0</v>
      </c>
      <c r="AB29" s="366">
        <f t="shared" si="18"/>
        <v>0</v>
      </c>
      <c r="AC29" s="366">
        <f t="shared" si="19"/>
        <v>0</v>
      </c>
      <c r="AD29" s="359" t="str">
        <f t="shared" si="10"/>
        <v>ok</v>
      </c>
      <c r="AF29" s="460"/>
      <c r="AH29" s="359" t="str">
        <f t="shared" si="11"/>
        <v/>
      </c>
      <c r="AI29" s="359" t="str">
        <f t="shared" si="12"/>
        <v/>
      </c>
      <c r="AK29" s="366"/>
      <c r="AM29" s="359"/>
    </row>
    <row r="30" spans="1:39" ht="39.950000000000003" hidden="1" customHeight="1">
      <c r="A30" s="474"/>
      <c r="B30" s="344"/>
      <c r="C30" s="364"/>
      <c r="D30" s="363"/>
      <c r="E30" s="363"/>
      <c r="F30" s="363"/>
      <c r="G30" s="364"/>
      <c r="H30" s="475"/>
      <c r="I30" s="475"/>
      <c r="J30" s="349" t="str">
        <f t="shared" si="13"/>
        <v/>
      </c>
      <c r="K30" s="350"/>
      <c r="L30" s="350"/>
      <c r="M30" s="349">
        <f t="shared" si="14"/>
        <v>0</v>
      </c>
      <c r="N30" s="350"/>
      <c r="O30" s="350"/>
      <c r="P30" s="349">
        <f t="shared" si="51"/>
        <v>0</v>
      </c>
      <c r="Q30" s="365"/>
      <c r="R30" s="352"/>
      <c r="T30" s="359"/>
      <c r="V30" s="491"/>
      <c r="W30" s="366">
        <f t="shared" si="20"/>
        <v>0</v>
      </c>
      <c r="X30" s="366">
        <f t="shared" si="21"/>
        <v>0</v>
      </c>
      <c r="Y30" s="359" t="str">
        <f t="shared" si="22"/>
        <v>ok</v>
      </c>
      <c r="AA30" s="492">
        <f t="shared" si="8"/>
        <v>0</v>
      </c>
      <c r="AB30" s="366">
        <f t="shared" si="18"/>
        <v>0</v>
      </c>
      <c r="AC30" s="366">
        <f t="shared" si="19"/>
        <v>0</v>
      </c>
      <c r="AD30" s="359" t="str">
        <f t="shared" si="10"/>
        <v>ok</v>
      </c>
      <c r="AF30" s="460"/>
      <c r="AH30" s="359" t="str">
        <f t="shared" si="11"/>
        <v/>
      </c>
      <c r="AI30" s="359" t="str">
        <f t="shared" si="12"/>
        <v/>
      </c>
      <c r="AK30" s="366"/>
      <c r="AM30" s="359"/>
    </row>
    <row r="31" spans="1:39" ht="39.950000000000003" hidden="1" customHeight="1">
      <c r="A31" s="471" t="s">
        <v>468</v>
      </c>
      <c r="B31" s="403"/>
      <c r="C31" s="428"/>
      <c r="D31" s="403"/>
      <c r="E31" s="403"/>
      <c r="F31" s="428"/>
      <c r="G31" s="403"/>
      <c r="H31" s="464">
        <f t="shared" ref="H31:P31" si="52">SUM(H32:H34)</f>
        <v>0</v>
      </c>
      <c r="I31" s="407">
        <f t="shared" si="52"/>
        <v>0</v>
      </c>
      <c r="J31" s="407">
        <f t="shared" si="52"/>
        <v>0</v>
      </c>
      <c r="K31" s="407">
        <f t="shared" si="52"/>
        <v>0</v>
      </c>
      <c r="L31" s="407">
        <f t="shared" si="52"/>
        <v>0</v>
      </c>
      <c r="M31" s="407">
        <f t="shared" si="52"/>
        <v>0</v>
      </c>
      <c r="N31" s="407">
        <f t="shared" si="52"/>
        <v>0</v>
      </c>
      <c r="O31" s="407">
        <f t="shared" si="52"/>
        <v>0</v>
      </c>
      <c r="P31" s="407">
        <f t="shared" si="52"/>
        <v>0</v>
      </c>
      <c r="Q31" s="472"/>
      <c r="R31" s="473"/>
      <c r="T31" s="359"/>
      <c r="V31" s="491"/>
      <c r="W31" s="407">
        <f>SUM(W32:W34)</f>
        <v>0</v>
      </c>
      <c r="X31" s="407">
        <f>SUM(X32:X34)</f>
        <v>0</v>
      </c>
      <c r="Y31" s="359" t="str">
        <f t="shared" si="22"/>
        <v>ok</v>
      </c>
      <c r="AA31" s="492">
        <f t="shared" si="8"/>
        <v>0</v>
      </c>
      <c r="AB31" s="407">
        <f>SUM(AB32:AB34)</f>
        <v>0</v>
      </c>
      <c r="AC31" s="407">
        <f>SUM(AC32:AC34)</f>
        <v>0</v>
      </c>
      <c r="AD31" s="359" t="str">
        <f t="shared" si="10"/>
        <v>ok</v>
      </c>
      <c r="AF31" s="460"/>
      <c r="AH31" s="359" t="str">
        <f t="shared" si="11"/>
        <v/>
      </c>
      <c r="AI31" s="359" t="str">
        <f t="shared" si="12"/>
        <v/>
      </c>
      <c r="AK31" s="366"/>
      <c r="AM31" s="359"/>
    </row>
    <row r="32" spans="1:39" ht="39.950000000000003" hidden="1" customHeight="1">
      <c r="A32" s="474"/>
      <c r="B32" s="344"/>
      <c r="C32" s="364"/>
      <c r="D32" s="363"/>
      <c r="E32" s="363"/>
      <c r="F32" s="363"/>
      <c r="G32" s="364"/>
      <c r="H32" s="475"/>
      <c r="I32" s="475"/>
      <c r="J32" s="349" t="str">
        <f t="shared" si="13"/>
        <v/>
      </c>
      <c r="K32" s="350"/>
      <c r="L32" s="350"/>
      <c r="M32" s="349">
        <f t="shared" si="14"/>
        <v>0</v>
      </c>
      <c r="N32" s="350"/>
      <c r="O32" s="350"/>
      <c r="P32" s="349">
        <f t="shared" si="51"/>
        <v>0</v>
      </c>
      <c r="Q32" s="365"/>
      <c r="R32" s="352"/>
      <c r="T32" s="359"/>
      <c r="V32" s="491"/>
      <c r="W32" s="366">
        <f t="shared" si="20"/>
        <v>0</v>
      </c>
      <c r="X32" s="366">
        <f t="shared" si="21"/>
        <v>0</v>
      </c>
      <c r="Y32" s="359" t="str">
        <f t="shared" si="22"/>
        <v>ok</v>
      </c>
      <c r="AA32" s="492">
        <f t="shared" si="8"/>
        <v>0</v>
      </c>
      <c r="AB32" s="366">
        <f t="shared" si="18"/>
        <v>0</v>
      </c>
      <c r="AC32" s="366">
        <f t="shared" si="19"/>
        <v>0</v>
      </c>
      <c r="AD32" s="359" t="str">
        <f t="shared" si="10"/>
        <v>ok</v>
      </c>
      <c r="AF32" s="460"/>
      <c r="AH32" s="359" t="str">
        <f t="shared" si="11"/>
        <v/>
      </c>
      <c r="AI32" s="359" t="str">
        <f t="shared" si="12"/>
        <v/>
      </c>
      <c r="AK32" s="366"/>
      <c r="AM32" s="359"/>
    </row>
    <row r="33" spans="1:39" ht="39.950000000000003" hidden="1" customHeight="1">
      <c r="A33" s="474"/>
      <c r="B33" s="344"/>
      <c r="C33" s="364"/>
      <c r="D33" s="363"/>
      <c r="E33" s="363"/>
      <c r="F33" s="363"/>
      <c r="G33" s="364"/>
      <c r="H33" s="475"/>
      <c r="I33" s="475"/>
      <c r="J33" s="349" t="str">
        <f t="shared" ref="J33" si="53">IF(D33="","",H33-I33)</f>
        <v/>
      </c>
      <c r="K33" s="350"/>
      <c r="L33" s="350"/>
      <c r="M33" s="349">
        <f t="shared" ref="M33" si="54">IF(H33=0,I33+K33+L33,H33+K33+L33)</f>
        <v>0</v>
      </c>
      <c r="N33" s="350"/>
      <c r="O33" s="350"/>
      <c r="P33" s="349">
        <f t="shared" ref="P33" si="55">IF(H33=0,I33+N33+O33,H33+N33+O33)</f>
        <v>0</v>
      </c>
      <c r="Q33" s="365"/>
      <c r="R33" s="352"/>
      <c r="T33" s="359"/>
      <c r="V33" s="491"/>
      <c r="W33" s="366">
        <f t="shared" si="20"/>
        <v>0</v>
      </c>
      <c r="X33" s="366">
        <f t="shared" si="21"/>
        <v>0</v>
      </c>
      <c r="Y33" s="359" t="str">
        <f t="shared" si="22"/>
        <v>ok</v>
      </c>
      <c r="AA33" s="492">
        <f t="shared" si="8"/>
        <v>0</v>
      </c>
      <c r="AB33" s="366">
        <f t="shared" ref="AB33" si="56">IF($V33&lt;&gt;"도비",IF($T33="국도비","직접입력",SUM(N33:O33)),)</f>
        <v>0</v>
      </c>
      <c r="AC33" s="366">
        <f t="shared" ref="AC33" si="57">IF($V33="도비",SUM(N33:O33),IF($T33="국도비","직접입력",SUM(N33:O33)-AB33))</f>
        <v>0</v>
      </c>
      <c r="AD33" s="359" t="str">
        <f t="shared" ref="AD33" si="58">IFERROR(IF((N33+O33)=(AB33+AC33),"ok","검토"),"검토")</f>
        <v>ok</v>
      </c>
      <c r="AF33" s="460"/>
      <c r="AH33" s="359" t="str">
        <f t="shared" si="11"/>
        <v/>
      </c>
      <c r="AI33" s="359" t="str">
        <f t="shared" ref="AI33" si="59">IF(C33="","",IF(AND(V33="도비",AF33="세입없음"),"OK",IF(AND(V33&lt;&gt;"도비",AF33&lt;&gt;""),"Ok","@@")))</f>
        <v/>
      </c>
      <c r="AK33" s="366"/>
      <c r="AM33" s="359"/>
    </row>
    <row r="34" spans="1:39" ht="39.950000000000003" hidden="1" customHeight="1">
      <c r="A34" s="474"/>
      <c r="B34" s="344"/>
      <c r="C34" s="364"/>
      <c r="D34" s="363"/>
      <c r="E34" s="363"/>
      <c r="F34" s="363"/>
      <c r="G34" s="364"/>
      <c r="H34" s="475"/>
      <c r="I34" s="475"/>
      <c r="J34" s="349" t="str">
        <f t="shared" si="13"/>
        <v/>
      </c>
      <c r="K34" s="350"/>
      <c r="L34" s="350"/>
      <c r="M34" s="349">
        <f t="shared" si="14"/>
        <v>0</v>
      </c>
      <c r="N34" s="350"/>
      <c r="O34" s="350"/>
      <c r="P34" s="349">
        <f t="shared" si="51"/>
        <v>0</v>
      </c>
      <c r="Q34" s="365"/>
      <c r="R34" s="352"/>
      <c r="T34" s="359"/>
      <c r="V34" s="491"/>
      <c r="W34" s="366">
        <f t="shared" si="20"/>
        <v>0</v>
      </c>
      <c r="X34" s="366">
        <f t="shared" si="21"/>
        <v>0</v>
      </c>
      <c r="Y34" s="359" t="str">
        <f t="shared" si="22"/>
        <v>ok</v>
      </c>
      <c r="AA34" s="492">
        <f t="shared" si="8"/>
        <v>0</v>
      </c>
      <c r="AB34" s="366">
        <f t="shared" si="18"/>
        <v>0</v>
      </c>
      <c r="AC34" s="366">
        <f t="shared" si="19"/>
        <v>0</v>
      </c>
      <c r="AD34" s="359" t="str">
        <f t="shared" si="10"/>
        <v>ok</v>
      </c>
      <c r="AF34" s="460"/>
      <c r="AH34" s="359" t="str">
        <f t="shared" si="11"/>
        <v/>
      </c>
      <c r="AI34" s="359" t="str">
        <f t="shared" si="12"/>
        <v/>
      </c>
      <c r="AK34" s="366"/>
      <c r="AM34" s="359"/>
    </row>
    <row r="35" spans="1:39" ht="39.950000000000003" hidden="1" customHeight="1">
      <c r="A35" s="471" t="s">
        <v>461</v>
      </c>
      <c r="B35" s="403"/>
      <c r="C35" s="428"/>
      <c r="D35" s="403"/>
      <c r="E35" s="403"/>
      <c r="F35" s="428"/>
      <c r="G35" s="403"/>
      <c r="H35" s="407">
        <f t="shared" ref="H35:P35" si="60">SUM(H36:H37)</f>
        <v>0</v>
      </c>
      <c r="I35" s="407">
        <f t="shared" si="60"/>
        <v>0</v>
      </c>
      <c r="J35" s="407">
        <f t="shared" si="60"/>
        <v>0</v>
      </c>
      <c r="K35" s="407">
        <f t="shared" si="60"/>
        <v>0</v>
      </c>
      <c r="L35" s="407">
        <f t="shared" si="60"/>
        <v>0</v>
      </c>
      <c r="M35" s="407">
        <f t="shared" si="60"/>
        <v>0</v>
      </c>
      <c r="N35" s="407">
        <f t="shared" si="60"/>
        <v>0</v>
      </c>
      <c r="O35" s="407">
        <f t="shared" si="60"/>
        <v>0</v>
      </c>
      <c r="P35" s="407">
        <f t="shared" si="60"/>
        <v>0</v>
      </c>
      <c r="Q35" s="472"/>
      <c r="R35" s="473"/>
      <c r="T35" s="359"/>
      <c r="V35" s="491"/>
      <c r="W35" s="407">
        <f t="shared" ref="W35:X35" si="61">SUM(W36:W37)</f>
        <v>0</v>
      </c>
      <c r="X35" s="407">
        <f t="shared" si="61"/>
        <v>0</v>
      </c>
      <c r="Y35" s="359" t="str">
        <f t="shared" si="22"/>
        <v>ok</v>
      </c>
      <c r="AA35" s="492">
        <f t="shared" si="8"/>
        <v>0</v>
      </c>
      <c r="AB35" s="407">
        <f t="shared" ref="AB35:AC35" si="62">SUM(AB36:AB37)</f>
        <v>0</v>
      </c>
      <c r="AC35" s="407">
        <f t="shared" si="62"/>
        <v>0</v>
      </c>
      <c r="AD35" s="359" t="str">
        <f t="shared" si="10"/>
        <v>ok</v>
      </c>
      <c r="AF35" s="460"/>
      <c r="AH35" s="359" t="str">
        <f t="shared" si="11"/>
        <v/>
      </c>
      <c r="AI35" s="359" t="str">
        <f t="shared" si="12"/>
        <v/>
      </c>
      <c r="AK35" s="366"/>
      <c r="AM35" s="359"/>
    </row>
    <row r="36" spans="1:39" ht="39.950000000000003" hidden="1" customHeight="1">
      <c r="A36" s="474"/>
      <c r="B36" s="344"/>
      <c r="C36" s="364"/>
      <c r="D36" s="363"/>
      <c r="E36" s="363"/>
      <c r="F36" s="363"/>
      <c r="G36" s="364"/>
      <c r="H36" s="349"/>
      <c r="I36" s="349"/>
      <c r="J36" s="349" t="str">
        <f t="shared" si="13"/>
        <v/>
      </c>
      <c r="K36" s="350"/>
      <c r="L36" s="350"/>
      <c r="M36" s="349">
        <f t="shared" si="14"/>
        <v>0</v>
      </c>
      <c r="N36" s="350"/>
      <c r="O36" s="350"/>
      <c r="P36" s="349">
        <f t="shared" si="51"/>
        <v>0</v>
      </c>
      <c r="Q36" s="365"/>
      <c r="R36" s="436"/>
      <c r="T36" s="359"/>
      <c r="V36" s="491"/>
      <c r="W36" s="366">
        <f t="shared" si="20"/>
        <v>0</v>
      </c>
      <c r="X36" s="366">
        <f t="shared" si="21"/>
        <v>0</v>
      </c>
      <c r="Y36" s="359" t="str">
        <f t="shared" si="22"/>
        <v>ok</v>
      </c>
      <c r="AA36" s="492">
        <f t="shared" si="8"/>
        <v>0</v>
      </c>
      <c r="AB36" s="366">
        <f t="shared" si="18"/>
        <v>0</v>
      </c>
      <c r="AC36" s="366">
        <f t="shared" si="19"/>
        <v>0</v>
      </c>
      <c r="AD36" s="359" t="str">
        <f t="shared" si="10"/>
        <v>ok</v>
      </c>
      <c r="AF36" s="460"/>
      <c r="AH36" s="359" t="str">
        <f t="shared" si="11"/>
        <v/>
      </c>
      <c r="AI36" s="359" t="str">
        <f t="shared" si="12"/>
        <v/>
      </c>
      <c r="AK36" s="366"/>
      <c r="AM36" s="359"/>
    </row>
    <row r="37" spans="1:39" ht="39.950000000000003" hidden="1" customHeight="1">
      <c r="A37" s="474"/>
      <c r="B37" s="344"/>
      <c r="C37" s="364"/>
      <c r="D37" s="363"/>
      <c r="E37" s="363"/>
      <c r="F37" s="363"/>
      <c r="G37" s="364"/>
      <c r="H37" s="349"/>
      <c r="I37" s="349"/>
      <c r="J37" s="349" t="str">
        <f t="shared" si="13"/>
        <v/>
      </c>
      <c r="K37" s="350"/>
      <c r="L37" s="350"/>
      <c r="M37" s="349">
        <f t="shared" si="14"/>
        <v>0</v>
      </c>
      <c r="N37" s="350"/>
      <c r="O37" s="350"/>
      <c r="P37" s="349">
        <f t="shared" si="51"/>
        <v>0</v>
      </c>
      <c r="Q37" s="365"/>
      <c r="R37" s="352"/>
      <c r="T37" s="478"/>
      <c r="V37" s="494"/>
      <c r="W37" s="477">
        <f t="shared" si="20"/>
        <v>0</v>
      </c>
      <c r="X37" s="477">
        <f t="shared" si="21"/>
        <v>0</v>
      </c>
      <c r="Y37" s="478" t="str">
        <f t="shared" si="22"/>
        <v>ok</v>
      </c>
      <c r="AA37" s="495">
        <f t="shared" si="8"/>
        <v>0</v>
      </c>
      <c r="AB37" s="477">
        <f t="shared" si="18"/>
        <v>0</v>
      </c>
      <c r="AC37" s="477">
        <f t="shared" si="19"/>
        <v>0</v>
      </c>
      <c r="AD37" s="478" t="str">
        <f t="shared" si="10"/>
        <v>ok</v>
      </c>
      <c r="AF37" s="496"/>
      <c r="AH37" s="478" t="str">
        <f t="shared" si="11"/>
        <v/>
      </c>
      <c r="AI37" s="478" t="str">
        <f t="shared" si="12"/>
        <v/>
      </c>
      <c r="AK37" s="477"/>
      <c r="AM37" s="478"/>
    </row>
    <row r="38" spans="1:39" ht="39.950000000000003" customHeight="1"/>
  </sheetData>
  <sheetProtection algorithmName="SHA-512" hashValue="BOiSUwqxZ9rbEyj4tQBtktYKDPQpK+s3OrlzAunBsBG1RPam45lNtv5mR628khxIny0oOps3c9LaSnPH8Mq9pQ==" saltValue="MkdnfZgbhB00E8SQLGcCEg==" spinCount="100000" sheet="1" objects="1" scenarios="1" formatCells="0" autoFilter="0"/>
  <mergeCells count="27">
    <mergeCell ref="Q4:Q5"/>
    <mergeCell ref="R4:R5"/>
    <mergeCell ref="AI4:AI5"/>
    <mergeCell ref="AK4:AK5"/>
    <mergeCell ref="AM4:AM5"/>
    <mergeCell ref="V4:V5"/>
    <mergeCell ref="W4:Y4"/>
    <mergeCell ref="AA4:AA5"/>
    <mergeCell ref="AB4:AD4"/>
    <mergeCell ref="AF4:AF5"/>
    <mergeCell ref="AH4:AH5"/>
    <mergeCell ref="I4:I5"/>
    <mergeCell ref="J4:J5"/>
    <mergeCell ref="T4:T5"/>
    <mergeCell ref="A1:R1"/>
    <mergeCell ref="A4:A5"/>
    <mergeCell ref="B4:B5"/>
    <mergeCell ref="C4:C5"/>
    <mergeCell ref="D4:D5"/>
    <mergeCell ref="E4:E5"/>
    <mergeCell ref="F4:F5"/>
    <mergeCell ref="G4:G5"/>
    <mergeCell ref="H4:H5"/>
    <mergeCell ref="K4:L4"/>
    <mergeCell ref="M4:M5"/>
    <mergeCell ref="N4:O4"/>
    <mergeCell ref="P4:P5"/>
  </mergeCells>
  <phoneticPr fontId="2" type="noConversion"/>
  <conditionalFormatting sqref="AF9 AH9:AI9 T15:T32 AM15:AM32 AF15:AF32 AH15:AI32 AM9 T9 AH34:AI540 AF34:AF540 AM34:AM540 T34:T540">
    <cfRule type="containsText" dxfId="35" priority="198" operator="containsText" text="국도비">
      <formula>NOT(ISERROR(SEARCH("국도비",T9)))</formula>
    </cfRule>
  </conditionalFormatting>
  <conditionalFormatting sqref="H38:J540">
    <cfRule type="expression" dxfId="34" priority="197">
      <formula>($D38="본예산")</formula>
    </cfRule>
  </conditionalFormatting>
  <conditionalFormatting sqref="U15:X15 AB15:AD15 AB9:AD9 U9:X9 U17:X18 U16:V16 AB17:AD18 AD16 U20:X21 U19:V19 AB20:AD21 AD19 U23:X24 U22:V22 AB23:AD24 AD22 U26:X27 U25:V25 AB26:AD27 AD25 U29:X30 U28:V28 AB29:AD30 AD28 U32:X32 U31:V31 AB32:AD32 AD31 U36:X540 U35:V35 AB36:AD540 AD35 AB34:AD34 U34:X34">
    <cfRule type="containsText" dxfId="33" priority="196" operator="containsText" text="직접입력">
      <formula>NOT(ISERROR(SEARCH("직접입력",U9)))</formula>
    </cfRule>
  </conditionalFormatting>
  <conditionalFormatting sqref="AM10">
    <cfRule type="containsText" dxfId="32" priority="127" operator="containsText" text="국도비">
      <formula>NOT(ISERROR(SEARCH("국도비",AM10)))</formula>
    </cfRule>
  </conditionalFormatting>
  <conditionalFormatting sqref="T10">
    <cfRule type="containsText" dxfId="31" priority="124" operator="containsText" text="국도비">
      <formula>NOT(ISERROR(SEARCH("국도비",T10)))</formula>
    </cfRule>
  </conditionalFormatting>
  <conditionalFormatting sqref="AD10 U10:V10">
    <cfRule type="containsText" dxfId="30" priority="122" operator="containsText" text="직접입력">
      <formula>NOT(ISERROR(SEARCH("직접입력",U10)))</formula>
    </cfRule>
  </conditionalFormatting>
  <conditionalFormatting sqref="AF10">
    <cfRule type="containsText" dxfId="29" priority="121" operator="containsText" text="국도비">
      <formula>NOT(ISERROR(SEARCH("국도비",AF10)))</formula>
    </cfRule>
  </conditionalFormatting>
  <conditionalFormatting sqref="AH10">
    <cfRule type="containsText" dxfId="28" priority="120" operator="containsText" text="국도비">
      <formula>NOT(ISERROR(SEARCH("국도비",AH10)))</formula>
    </cfRule>
  </conditionalFormatting>
  <conditionalFormatting sqref="AI10">
    <cfRule type="containsText" dxfId="27" priority="119" operator="containsText" text="국도비">
      <formula>NOT(ISERROR(SEARCH("국도비",AI10)))</formula>
    </cfRule>
  </conditionalFormatting>
  <conditionalFormatting sqref="AM8">
    <cfRule type="containsText" dxfId="26" priority="45" operator="containsText" text="국도비">
      <formula>NOT(ISERROR(SEARCH("국도비",AM8)))</formula>
    </cfRule>
  </conditionalFormatting>
  <conditionalFormatting sqref="AF8">
    <cfRule type="containsText" dxfId="25" priority="43" operator="containsText" text="국도비">
      <formula>NOT(ISERROR(SEARCH("국도비",AF8)))</formula>
    </cfRule>
  </conditionalFormatting>
  <conditionalFormatting sqref="AH8">
    <cfRule type="containsText" dxfId="24" priority="42" operator="containsText" text="국도비">
      <formula>NOT(ISERROR(SEARCH("국도비",AH8)))</formula>
    </cfRule>
  </conditionalFormatting>
  <conditionalFormatting sqref="AI8">
    <cfRule type="containsText" dxfId="23" priority="41" operator="containsText" text="국도비">
      <formula>NOT(ISERROR(SEARCH("국도비",AI8)))</formula>
    </cfRule>
  </conditionalFormatting>
  <conditionalFormatting sqref="AM11">
    <cfRule type="containsText" dxfId="22" priority="25" operator="containsText" text="국도비">
      <formula>NOT(ISERROR(SEARCH("국도비",AM11)))</formula>
    </cfRule>
  </conditionalFormatting>
  <conditionalFormatting sqref="AF11">
    <cfRule type="containsText" dxfId="21" priority="23" operator="containsText" text="국도비">
      <formula>NOT(ISERROR(SEARCH("국도비",AF11)))</formula>
    </cfRule>
  </conditionalFormatting>
  <conditionalFormatting sqref="AH11">
    <cfRule type="containsText" dxfId="20" priority="22" operator="containsText" text="국도비">
      <formula>NOT(ISERROR(SEARCH("국도비",AH11)))</formula>
    </cfRule>
  </conditionalFormatting>
  <conditionalFormatting sqref="AI11">
    <cfRule type="containsText" dxfId="19" priority="21" operator="containsText" text="국도비">
      <formula>NOT(ISERROR(SEARCH("국도비",AI11)))</formula>
    </cfRule>
  </conditionalFormatting>
  <conditionalFormatting sqref="T8">
    <cfRule type="containsText" dxfId="18" priority="19" operator="containsText" text="국도비">
      <formula>NOT(ISERROR(SEARCH("국도비",T8)))</formula>
    </cfRule>
  </conditionalFormatting>
  <conditionalFormatting sqref="U8 W8:X8">
    <cfRule type="containsText" dxfId="17" priority="18" operator="containsText" text="직접입력">
      <formula>NOT(ISERROR(SEARCH("직접입력",U8)))</formula>
    </cfRule>
  </conditionalFormatting>
  <conditionalFormatting sqref="AB8:AC8">
    <cfRule type="containsText" dxfId="16" priority="17" operator="containsText" text="직접입력">
      <formula>NOT(ISERROR(SEARCH("직접입력",AB8)))</formula>
    </cfRule>
  </conditionalFormatting>
  <conditionalFormatting sqref="T11">
    <cfRule type="containsText" dxfId="15" priority="16" operator="containsText" text="국도비">
      <formula>NOT(ISERROR(SEARCH("국도비",T11)))</formula>
    </cfRule>
  </conditionalFormatting>
  <conditionalFormatting sqref="U11 W11:X11">
    <cfRule type="containsText" dxfId="14" priority="15" operator="containsText" text="직접입력">
      <formula>NOT(ISERROR(SEARCH("직접입력",U11)))</formula>
    </cfRule>
  </conditionalFormatting>
  <conditionalFormatting sqref="AB11:AC11">
    <cfRule type="containsText" dxfId="13" priority="14" operator="containsText" text="직접입력">
      <formula>NOT(ISERROR(SEARCH("직접입력",AB11)))</formula>
    </cfRule>
  </conditionalFormatting>
  <conditionalFormatting sqref="H8:J9 H11:J11 H17:J18 H20:J21 H23:J24 H26:J27 H29:J30 H32:J32 H36:J37 H34:J34 H15:J15">
    <cfRule type="expression" dxfId="12" priority="13">
      <formula>($D8="본예산")</formula>
    </cfRule>
  </conditionalFormatting>
  <conditionalFormatting sqref="AH33:AI33 AF33 AM33 T33">
    <cfRule type="containsText" dxfId="11" priority="12" operator="containsText" text="국도비">
      <formula>NOT(ISERROR(SEARCH("국도비",T33)))</formula>
    </cfRule>
  </conditionalFormatting>
  <conditionalFormatting sqref="AB33:AD33 U33:X33">
    <cfRule type="containsText" dxfId="10" priority="11" operator="containsText" text="직접입력">
      <formula>NOT(ISERROR(SEARCH("직접입력",U33)))</formula>
    </cfRule>
  </conditionalFormatting>
  <conditionalFormatting sqref="H33:J33">
    <cfRule type="expression" dxfId="9" priority="10">
      <formula>($D33="본예산")</formula>
    </cfRule>
  </conditionalFormatting>
  <conditionalFormatting sqref="T14 AM14 AF14 AH14:AI14">
    <cfRule type="containsText" dxfId="8" priority="9" operator="containsText" text="국도비">
      <formula>NOT(ISERROR(SEARCH("국도비",T14)))</formula>
    </cfRule>
  </conditionalFormatting>
  <conditionalFormatting sqref="U14:X14 AB14:AD14">
    <cfRule type="containsText" dxfId="7" priority="8" operator="containsText" text="직접입력">
      <formula>NOT(ISERROR(SEARCH("직접입력",U14)))</formula>
    </cfRule>
  </conditionalFormatting>
  <conditionalFormatting sqref="H14:J14">
    <cfRule type="expression" dxfId="6" priority="7">
      <formula>($D14="본예산")</formula>
    </cfRule>
  </conditionalFormatting>
  <conditionalFormatting sqref="T13 AM13 AF13 AH13:AI13">
    <cfRule type="containsText" dxfId="5" priority="6" operator="containsText" text="국도비">
      <formula>NOT(ISERROR(SEARCH("국도비",T13)))</formula>
    </cfRule>
  </conditionalFormatting>
  <conditionalFormatting sqref="U13:X13 AB13:AD13">
    <cfRule type="containsText" dxfId="4" priority="5" operator="containsText" text="직접입력">
      <formula>NOT(ISERROR(SEARCH("직접입력",U13)))</formula>
    </cfRule>
  </conditionalFormatting>
  <conditionalFormatting sqref="H13:J13">
    <cfRule type="expression" dxfId="3" priority="4">
      <formula>($D13="본예산")</formula>
    </cfRule>
  </conditionalFormatting>
  <conditionalFormatting sqref="T12 AM12 AF12 AH12:AI12">
    <cfRule type="containsText" dxfId="2" priority="3" operator="containsText" text="국도비">
      <formula>NOT(ISERROR(SEARCH("국도비",T12)))</formula>
    </cfRule>
  </conditionalFormatting>
  <conditionalFormatting sqref="U12:X12 AB12:AD12">
    <cfRule type="containsText" dxfId="1" priority="2" operator="containsText" text="직접입력">
      <formula>NOT(ISERROR(SEARCH("직접입력",U12)))</formula>
    </cfRule>
  </conditionalFormatting>
  <conditionalFormatting sqref="H12:J12">
    <cfRule type="expression" dxfId="0" priority="1">
      <formula>($D12="본예산")</formula>
    </cfRule>
  </conditionalFormatting>
  <dataValidations disablePrompts="1" count="3">
    <dataValidation type="list" allowBlank="1" showInputMessage="1" showErrorMessage="1" sqref="D36:D37 D8:D34">
      <formula1>"본예산,1회추경,2회추경,3회추경,신규"</formula1>
    </dataValidation>
    <dataValidation type="list" allowBlank="1" showInputMessage="1" showErrorMessage="1" sqref="T7:T37">
      <formula1>"국도비, 도비"</formula1>
    </dataValidation>
    <dataValidation type="list" allowBlank="1" showInputMessage="1" showErrorMessage="1" sqref="V7:V37">
      <formula1>"도비,국비,지특,기금,특교,소방안전"</formula1>
    </dataValidation>
  </dataValidations>
  <pageMargins left="0.23622047244094491" right="0.19685039370078741" top="0.35433070866141736" bottom="0.31496062992125984" header="0.31496062992125984" footer="0.15748031496062992"/>
  <pageSetup paperSize="8" scale="80" fitToHeight="0" orientation="landscape" horizontalDpi="4294967292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19</vt:i4>
      </vt:variant>
    </vt:vector>
  </HeadingPairs>
  <TitlesOfParts>
    <vt:vector size="36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예산안 표지</vt:lpstr>
      <vt:lpstr>16년 3추총괄표</vt:lpstr>
      <vt:lpstr>16년3추 일입</vt:lpstr>
      <vt:lpstr>16년 3추일출</vt:lpstr>
      <vt:lpstr>2추총괄표</vt:lpstr>
      <vt:lpstr>2추총괄표(실국별)</vt:lpstr>
      <vt:lpstr>16년 3추특입</vt:lpstr>
      <vt:lpstr>16년 3추특출</vt:lpstr>
      <vt:lpstr>'15년검증'!Print_Area</vt:lpstr>
      <vt:lpstr>'15년총괄표'!Print_Area</vt:lpstr>
      <vt:lpstr>'15년총괄표(실국별)'!Print_Area</vt:lpstr>
      <vt:lpstr>'16년 3추일출'!Print_Area</vt:lpstr>
      <vt:lpstr>'16년 3추총괄표'!Print_Area</vt:lpstr>
      <vt:lpstr>'16년 3추특입'!Print_Area</vt:lpstr>
      <vt:lpstr>'16년 3추특출'!Print_Area</vt:lpstr>
      <vt:lpstr>'16년3추 일입'!Print_Area</vt:lpstr>
      <vt:lpstr>'2추검증'!Print_Area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표지!Print_Area</vt:lpstr>
      <vt:lpstr>'16년 3추일출'!Print_Titles</vt:lpstr>
      <vt:lpstr>'16년 3추특입'!Print_Titles</vt:lpstr>
      <vt:lpstr>'16년 3추특출'!Print_Titles</vt:lpstr>
      <vt:lpstr>'16년3추 일입'!Print_Titles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Windows 사용자</cp:lastModifiedBy>
  <cp:lastPrinted>2016-09-07T06:49:24Z</cp:lastPrinted>
  <dcterms:created xsi:type="dcterms:W3CDTF">2013-08-23T08:00:50Z</dcterms:created>
  <dcterms:modified xsi:type="dcterms:W3CDTF">2016-09-07T09:26:52Z</dcterms:modified>
</cp:coreProperties>
</file>