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300" windowWidth="13260" windowHeight="10725" tabRatio="751" firstSheet="4" activeTab="5"/>
  </bookViews>
  <sheets>
    <sheet name="구분표" sheetId="1" state="hidden" r:id="rId1"/>
    <sheet name="예결표지(세로)" sheetId="12" state="hidden" r:id="rId2"/>
    <sheet name="예결표지(가로)" sheetId="11" state="hidden" r:id="rId3"/>
    <sheet name="검증" sheetId="3" state="hidden" r:id="rId4"/>
    <sheet name="표지" sheetId="18" r:id="rId5"/>
    <sheet name="총괄표" sheetId="19" r:id="rId6"/>
    <sheet name="17년일입" sheetId="13" r:id="rId7"/>
    <sheet name="17년일출" sheetId="15" r:id="rId8"/>
    <sheet name="17년 계속비" sheetId="16" r:id="rId9"/>
  </sheets>
  <externalReferences>
    <externalReference r:id="rId10"/>
    <externalReference r:id="rId11"/>
    <externalReference r:id="rId12"/>
    <externalReference r:id="rId13"/>
  </externalReferences>
  <definedNames>
    <definedName name="_xlnm._FilterDatabase" localSheetId="8" hidden="1">'17년 계속비'!#REF!</definedName>
    <definedName name="_xlnm._FilterDatabase" localSheetId="6" hidden="1">'17년일입'!$A$6:$AR$37</definedName>
    <definedName name="_xlnm.Print_Area" localSheetId="8">'17년 계속비'!$B$1:$N$14</definedName>
    <definedName name="_xlnm.Print_Area" localSheetId="6">'17년일입'!$A$1:$R$37</definedName>
    <definedName name="_xlnm.Print_Area" localSheetId="7">'17년일출'!$A$1:$S$102</definedName>
    <definedName name="_xlnm.Print_Area" localSheetId="5">총괄표!$A$1:$I$25</definedName>
    <definedName name="_xlnm.Print_Titles" localSheetId="8">'17년 계속비'!$2:$5</definedName>
  </definedNames>
  <calcPr calcId="145621"/>
</workbook>
</file>

<file path=xl/calcChain.xml><?xml version="1.0" encoding="utf-8"?>
<calcChain xmlns="http://schemas.openxmlformats.org/spreadsheetml/2006/main">
  <c r="AM33" i="13" l="1"/>
  <c r="AM37" i="13"/>
  <c r="AM36" i="13"/>
  <c r="AM35" i="13"/>
  <c r="C40" i="19" l="1"/>
  <c r="B40" i="19"/>
  <c r="C39" i="19"/>
  <c r="B39" i="19"/>
  <c r="C38" i="19"/>
  <c r="B38" i="19"/>
  <c r="C37" i="19"/>
  <c r="B37" i="19"/>
  <c r="C36" i="19"/>
  <c r="C30" i="19" s="1"/>
  <c r="B36" i="19"/>
  <c r="B30" i="19" s="1"/>
  <c r="C35" i="19"/>
  <c r="B35" i="19"/>
  <c r="C34" i="19"/>
  <c r="B34" i="19"/>
  <c r="C33" i="19"/>
  <c r="B33" i="19"/>
  <c r="C32" i="19"/>
  <c r="B32" i="19"/>
  <c r="C31" i="19"/>
  <c r="B31" i="19"/>
  <c r="F30" i="19"/>
  <c r="E30" i="19"/>
  <c r="D30" i="19"/>
  <c r="G25" i="19"/>
  <c r="H25" i="19" s="1"/>
  <c r="H23" i="19" s="1"/>
  <c r="F25" i="19"/>
  <c r="D25" i="19"/>
  <c r="E25" i="19" s="1"/>
  <c r="C25" i="19"/>
  <c r="B25" i="19"/>
  <c r="K25" i="19" s="1"/>
  <c r="H24" i="19"/>
  <c r="G24" i="19"/>
  <c r="F24" i="19"/>
  <c r="D24" i="19"/>
  <c r="E24" i="19" s="1"/>
  <c r="E23" i="19" s="1"/>
  <c r="C24" i="19"/>
  <c r="B24" i="19"/>
  <c r="K24" i="19" s="1"/>
  <c r="K23" i="19" s="1"/>
  <c r="G23" i="19"/>
  <c r="F23" i="19"/>
  <c r="D23" i="19"/>
  <c r="C23" i="19"/>
  <c r="B23" i="19"/>
  <c r="G17" i="19"/>
  <c r="H17" i="19" s="1"/>
  <c r="F17" i="19"/>
  <c r="D17" i="19"/>
  <c r="E17" i="19" s="1"/>
  <c r="C17" i="19"/>
  <c r="B17" i="19"/>
  <c r="I17" i="19" s="1"/>
  <c r="G16" i="19"/>
  <c r="H16" i="19" s="1"/>
  <c r="F16" i="19"/>
  <c r="D16" i="19"/>
  <c r="E16" i="19" s="1"/>
  <c r="C16" i="19"/>
  <c r="B16" i="19"/>
  <c r="I16" i="19" s="1"/>
  <c r="G15" i="19"/>
  <c r="H15" i="19" s="1"/>
  <c r="F15" i="19"/>
  <c r="D15" i="19"/>
  <c r="E15" i="19" s="1"/>
  <c r="C15" i="19"/>
  <c r="B15" i="19"/>
  <c r="I15" i="19" s="1"/>
  <c r="G14" i="19"/>
  <c r="H14" i="19" s="1"/>
  <c r="F14" i="19"/>
  <c r="D14" i="19"/>
  <c r="E14" i="19" s="1"/>
  <c r="C14" i="19"/>
  <c r="B14" i="19"/>
  <c r="I14" i="19" s="1"/>
  <c r="G13" i="19"/>
  <c r="H13" i="19" s="1"/>
  <c r="F13" i="19"/>
  <c r="D13" i="19"/>
  <c r="E13" i="19" s="1"/>
  <c r="C13" i="19"/>
  <c r="B13" i="19"/>
  <c r="I13" i="19" s="1"/>
  <c r="G12" i="19"/>
  <c r="H12" i="19" s="1"/>
  <c r="F12" i="19"/>
  <c r="D12" i="19"/>
  <c r="E12" i="19" s="1"/>
  <c r="C12" i="19"/>
  <c r="B12" i="19"/>
  <c r="I12" i="19" s="1"/>
  <c r="G11" i="19"/>
  <c r="H11" i="19" s="1"/>
  <c r="F11" i="19"/>
  <c r="D11" i="19"/>
  <c r="E11" i="19" s="1"/>
  <c r="C11" i="19"/>
  <c r="B11" i="19"/>
  <c r="I11" i="19" s="1"/>
  <c r="G10" i="19"/>
  <c r="H10" i="19" s="1"/>
  <c r="F10" i="19"/>
  <c r="D10" i="19"/>
  <c r="E10" i="19" s="1"/>
  <c r="C10" i="19"/>
  <c r="C7" i="19" s="1"/>
  <c r="D3" i="19" s="1"/>
  <c r="B10" i="19"/>
  <c r="I10" i="19" s="1"/>
  <c r="M9" i="19"/>
  <c r="L9" i="19"/>
  <c r="N9" i="19" s="1"/>
  <c r="G9" i="19"/>
  <c r="H9" i="19" s="1"/>
  <c r="H7" i="19" s="1"/>
  <c r="F9" i="19"/>
  <c r="E9" i="19"/>
  <c r="D9" i="19"/>
  <c r="C9" i="19"/>
  <c r="B9" i="19"/>
  <c r="I9" i="19" s="1"/>
  <c r="N8" i="19"/>
  <c r="M8" i="19"/>
  <c r="L8" i="19"/>
  <c r="L7" i="19" s="1"/>
  <c r="N7" i="19" s="1"/>
  <c r="I8" i="19"/>
  <c r="H8" i="19"/>
  <c r="G8" i="19"/>
  <c r="F8" i="19"/>
  <c r="F7" i="19" s="1"/>
  <c r="E8" i="19"/>
  <c r="D8" i="19"/>
  <c r="C8" i="19"/>
  <c r="B8" i="19"/>
  <c r="M7" i="19"/>
  <c r="D7" i="19"/>
  <c r="B7" i="19" l="1"/>
  <c r="E7" i="19"/>
  <c r="I7" i="19"/>
  <c r="I25" i="19"/>
  <c r="L25" i="19" s="1"/>
  <c r="G7" i="19"/>
  <c r="G3" i="19" s="1"/>
  <c r="I24" i="19"/>
  <c r="L24" i="19" l="1"/>
  <c r="I23" i="19"/>
  <c r="L23" i="19" s="1"/>
  <c r="L29" i="15" l="1"/>
  <c r="AJ86" i="15" l="1"/>
  <c r="AJ12" i="15"/>
  <c r="AJ13" i="15"/>
  <c r="AJ14" i="15"/>
  <c r="AJ15" i="15"/>
  <c r="AJ16" i="15"/>
  <c r="AJ17" i="15"/>
  <c r="AJ18" i="15"/>
  <c r="AJ19" i="15"/>
  <c r="AJ20" i="15"/>
  <c r="AJ21" i="15"/>
  <c r="AJ22" i="15"/>
  <c r="AJ23" i="15"/>
  <c r="AJ24" i="15"/>
  <c r="AJ25" i="15"/>
  <c r="AJ26" i="15"/>
  <c r="AJ27" i="15"/>
  <c r="AJ28" i="15"/>
  <c r="AJ29" i="15"/>
  <c r="AJ30" i="15"/>
  <c r="AJ31" i="15"/>
  <c r="AJ32" i="15"/>
  <c r="AJ33" i="15"/>
  <c r="AJ34" i="15"/>
  <c r="AJ35" i="15"/>
  <c r="AJ36" i="15"/>
  <c r="AJ37" i="15"/>
  <c r="AJ38" i="15"/>
  <c r="AJ39" i="15"/>
  <c r="AJ40" i="15"/>
  <c r="AJ41" i="15"/>
  <c r="AJ42" i="15"/>
  <c r="AJ43" i="15"/>
  <c r="AJ44" i="15"/>
  <c r="AJ45" i="15"/>
  <c r="AJ46" i="15"/>
  <c r="AJ47" i="15"/>
  <c r="AJ48" i="15"/>
  <c r="AJ49" i="15"/>
  <c r="AJ50" i="15"/>
  <c r="AJ51" i="15"/>
  <c r="AJ52" i="15"/>
  <c r="AJ53" i="15"/>
  <c r="AJ54" i="15"/>
  <c r="AJ55" i="15"/>
  <c r="AJ8" i="15"/>
  <c r="AJ9" i="15"/>
  <c r="AJ10" i="15"/>
  <c r="AJ11" i="15"/>
  <c r="AJ7" i="15"/>
  <c r="AJ56" i="15"/>
  <c r="AG56" i="15"/>
  <c r="AG55" i="15"/>
  <c r="AG54" i="15"/>
  <c r="AG53" i="15"/>
  <c r="AG52" i="15"/>
  <c r="AG51" i="15"/>
  <c r="AG50" i="15"/>
  <c r="AG49" i="15"/>
  <c r="AG48" i="15"/>
  <c r="AG47" i="15"/>
  <c r="AG46" i="15"/>
  <c r="AG45" i="15"/>
  <c r="AG44" i="15"/>
  <c r="AG43" i="15"/>
  <c r="AG42" i="15"/>
  <c r="AG41" i="15"/>
  <c r="AG40" i="15"/>
  <c r="AG39" i="15" l="1"/>
  <c r="AG38" i="15"/>
  <c r="AG37" i="15"/>
  <c r="AG36" i="15"/>
  <c r="AG35" i="15"/>
  <c r="AG34" i="15"/>
  <c r="AG33" i="15"/>
  <c r="AG32" i="15"/>
  <c r="AG31" i="15"/>
  <c r="AG30" i="15"/>
  <c r="AG29" i="15"/>
  <c r="AG28" i="15"/>
  <c r="AG27" i="15"/>
  <c r="AG26" i="15"/>
  <c r="AG25" i="15"/>
  <c r="AG24" i="15"/>
  <c r="AG23" i="15"/>
  <c r="AG22" i="15"/>
  <c r="AG21" i="15"/>
  <c r="AG20" i="15"/>
  <c r="AG19" i="15"/>
  <c r="AG18" i="15"/>
  <c r="AG17" i="15"/>
  <c r="AG16" i="15"/>
  <c r="AG15" i="15"/>
  <c r="AG14" i="15"/>
  <c r="AG13" i="15"/>
  <c r="AG12" i="15"/>
  <c r="AG11" i="15"/>
  <c r="AG10" i="15"/>
  <c r="AG9" i="15"/>
  <c r="AG8" i="15"/>
  <c r="AG7" i="15"/>
  <c r="AI86" i="15"/>
  <c r="K6" i="15" l="1"/>
  <c r="J6" i="15"/>
  <c r="I6" i="15"/>
  <c r="A84" i="15"/>
  <c r="B84" i="15"/>
  <c r="A85" i="15"/>
  <c r="B85" i="15"/>
  <c r="A86" i="15"/>
  <c r="B86" i="15"/>
  <c r="A87" i="15"/>
  <c r="B87" i="15"/>
  <c r="A88" i="15"/>
  <c r="B88" i="15"/>
  <c r="A89" i="15"/>
  <c r="B89" i="15"/>
  <c r="A90" i="15"/>
  <c r="B90" i="15"/>
  <c r="A91" i="15"/>
  <c r="B91" i="15"/>
  <c r="A92" i="15"/>
  <c r="B92" i="15"/>
  <c r="A93" i="15"/>
  <c r="B93" i="15"/>
  <c r="A94" i="15"/>
  <c r="B94" i="15"/>
  <c r="A95" i="15"/>
  <c r="B95" i="15"/>
  <c r="A96" i="15"/>
  <c r="B96" i="15"/>
  <c r="A97" i="15"/>
  <c r="B97" i="15"/>
  <c r="A98" i="15"/>
  <c r="B98" i="15"/>
  <c r="A99" i="15"/>
  <c r="B99" i="15"/>
  <c r="A100" i="15"/>
  <c r="B100" i="15"/>
  <c r="A101" i="15"/>
  <c r="B101" i="15"/>
  <c r="A102" i="15"/>
  <c r="B102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A33" i="15"/>
  <c r="B33" i="15"/>
  <c r="A34" i="15"/>
  <c r="B34" i="15"/>
  <c r="A35" i="15"/>
  <c r="B35" i="15"/>
  <c r="A36" i="15"/>
  <c r="B36" i="15"/>
  <c r="A37" i="15"/>
  <c r="B37" i="15"/>
  <c r="A38" i="15"/>
  <c r="B38" i="15"/>
  <c r="A39" i="15"/>
  <c r="B39" i="15"/>
  <c r="A40" i="15"/>
  <c r="B40" i="15"/>
  <c r="A41" i="15"/>
  <c r="B41" i="15"/>
  <c r="A42" i="15"/>
  <c r="B42" i="15"/>
  <c r="A43" i="15"/>
  <c r="B43" i="15"/>
  <c r="A44" i="15"/>
  <c r="B44" i="15"/>
  <c r="A45" i="15"/>
  <c r="B45" i="15"/>
  <c r="A46" i="15"/>
  <c r="B46" i="15"/>
  <c r="A47" i="15"/>
  <c r="B47" i="15"/>
  <c r="A48" i="15"/>
  <c r="B48" i="15"/>
  <c r="A49" i="15"/>
  <c r="B49" i="15"/>
  <c r="A50" i="15"/>
  <c r="B50" i="15"/>
  <c r="A51" i="15"/>
  <c r="B51" i="15"/>
  <c r="A52" i="15"/>
  <c r="B52" i="15"/>
  <c r="A53" i="15"/>
  <c r="B53" i="15"/>
  <c r="A54" i="15"/>
  <c r="B54" i="15"/>
  <c r="A55" i="15"/>
  <c r="B55" i="15"/>
  <c r="A56" i="15"/>
  <c r="B56" i="15"/>
  <c r="A57" i="15"/>
  <c r="B57" i="15"/>
  <c r="A58" i="15"/>
  <c r="B58" i="15"/>
  <c r="A59" i="15"/>
  <c r="B59" i="15"/>
  <c r="A60" i="15"/>
  <c r="B60" i="15"/>
  <c r="A61" i="15"/>
  <c r="B61" i="15"/>
  <c r="A62" i="15"/>
  <c r="B62" i="15"/>
  <c r="A63" i="15"/>
  <c r="B63" i="15"/>
  <c r="A64" i="15"/>
  <c r="B64" i="15"/>
  <c r="A65" i="15"/>
  <c r="B65" i="15"/>
  <c r="A66" i="15"/>
  <c r="B66" i="15"/>
  <c r="A67" i="15"/>
  <c r="B67" i="15"/>
  <c r="A68" i="15"/>
  <c r="B68" i="15"/>
  <c r="A69" i="15"/>
  <c r="B69" i="15"/>
  <c r="A70" i="15"/>
  <c r="B70" i="15"/>
  <c r="A71" i="15"/>
  <c r="B71" i="15"/>
  <c r="A72" i="15"/>
  <c r="B72" i="15"/>
  <c r="A73" i="15"/>
  <c r="B73" i="15"/>
  <c r="A74" i="15"/>
  <c r="B74" i="15"/>
  <c r="A75" i="15"/>
  <c r="B75" i="15"/>
  <c r="A76" i="15"/>
  <c r="B76" i="15"/>
  <c r="A77" i="15"/>
  <c r="B77" i="15"/>
  <c r="A78" i="15"/>
  <c r="B78" i="15"/>
  <c r="A79" i="15"/>
  <c r="B79" i="15"/>
  <c r="A80" i="15"/>
  <c r="B80" i="15"/>
  <c r="A81" i="15"/>
  <c r="B81" i="15"/>
  <c r="A82" i="15"/>
  <c r="B82" i="15"/>
  <c r="A83" i="15"/>
  <c r="B83" i="15"/>
  <c r="B7" i="15"/>
  <c r="A7" i="15"/>
  <c r="AL30" i="15" l="1" a="1"/>
  <c r="AL30" i="15" s="1"/>
  <c r="AL25" i="15" a="1"/>
  <c r="AL25" i="15" s="1"/>
  <c r="AL22" i="15" a="1"/>
  <c r="AL22" i="15" s="1"/>
  <c r="AL21" i="15" a="1"/>
  <c r="AL21" i="15" s="1"/>
  <c r="AL20" i="15" a="1"/>
  <c r="AL20" i="15" s="1"/>
  <c r="AL19" i="15" a="1"/>
  <c r="AL19" i="15" s="1"/>
  <c r="AL18" i="15" a="1"/>
  <c r="AL18" i="15" s="1"/>
  <c r="AL17" i="15" a="1"/>
  <c r="AL17" i="15" s="1"/>
  <c r="AL16" i="15" a="1"/>
  <c r="AL16" i="15" s="1"/>
  <c r="AL15" i="15" a="1"/>
  <c r="AL15" i="15" s="1"/>
  <c r="AL14" i="15" a="1"/>
  <c r="AL14" i="15" s="1"/>
  <c r="AL13" i="15" a="1"/>
  <c r="AL13" i="15" s="1"/>
  <c r="AL12" i="15" a="1"/>
  <c r="AL12" i="15" s="1"/>
  <c r="AL11" i="15" a="1"/>
  <c r="AL11" i="15" s="1"/>
  <c r="AL10" i="15" a="1"/>
  <c r="AL10" i="15" s="1"/>
  <c r="AL9" i="15" a="1"/>
  <c r="AL9" i="15" s="1"/>
  <c r="AL8" i="15" a="1"/>
  <c r="AL8" i="15" s="1"/>
  <c r="AL7" i="15" a="1"/>
  <c r="AL7" i="15" s="1"/>
  <c r="Z14" i="15" l="1"/>
  <c r="AC14" i="15"/>
  <c r="AD14" i="15"/>
  <c r="AI14" i="15"/>
  <c r="Z15" i="15"/>
  <c r="AC15" i="15"/>
  <c r="AD15" i="15"/>
  <c r="AI15" i="15"/>
  <c r="Z16" i="15"/>
  <c r="AC16" i="15"/>
  <c r="AD16" i="15"/>
  <c r="AI16" i="15"/>
  <c r="Z17" i="15"/>
  <c r="AC17" i="15"/>
  <c r="AD17" i="15"/>
  <c r="AI17" i="15"/>
  <c r="Z18" i="15"/>
  <c r="AC18" i="15"/>
  <c r="AD18" i="15"/>
  <c r="AI18" i="15"/>
  <c r="Z19" i="15"/>
  <c r="AC19" i="15"/>
  <c r="AD19" i="15"/>
  <c r="AI19" i="15"/>
  <c r="Z20" i="15"/>
  <c r="AC20" i="15"/>
  <c r="AD20" i="15"/>
  <c r="AI20" i="15"/>
  <c r="Z21" i="15"/>
  <c r="AC21" i="15"/>
  <c r="AD21" i="15"/>
  <c r="AI21" i="15"/>
  <c r="Z22" i="15"/>
  <c r="AC22" i="15"/>
  <c r="AD22" i="15"/>
  <c r="AI22" i="15"/>
  <c r="Z23" i="15"/>
  <c r="AC23" i="15"/>
  <c r="AD23" i="15"/>
  <c r="AI23" i="15"/>
  <c r="Z24" i="15"/>
  <c r="AC24" i="15"/>
  <c r="AD24" i="15"/>
  <c r="AI24" i="15"/>
  <c r="Z25" i="15"/>
  <c r="AC25" i="15"/>
  <c r="AD25" i="15"/>
  <c r="AI25" i="15"/>
  <c r="Z26" i="15"/>
  <c r="AC26" i="15"/>
  <c r="AD26" i="15"/>
  <c r="AI26" i="15"/>
  <c r="AL26" i="15" a="1"/>
  <c r="AL26" i="15" s="1"/>
  <c r="Z27" i="15"/>
  <c r="AC27" i="15"/>
  <c r="AD27" i="15"/>
  <c r="AI27" i="15"/>
  <c r="AL27" i="15" a="1"/>
  <c r="AL27" i="15" s="1"/>
  <c r="Z28" i="15"/>
  <c r="AC28" i="15"/>
  <c r="AD28" i="15"/>
  <c r="AI28" i="15"/>
  <c r="AL28" i="15" a="1"/>
  <c r="AL28" i="15" s="1"/>
  <c r="Z29" i="15"/>
  <c r="AC29" i="15"/>
  <c r="AD29" i="15"/>
  <c r="AI29" i="15"/>
  <c r="AL29" i="15" a="1"/>
  <c r="AL29" i="15" s="1"/>
  <c r="Z30" i="15"/>
  <c r="AC30" i="15"/>
  <c r="AD30" i="15"/>
  <c r="AI30" i="15"/>
  <c r="Z31" i="15"/>
  <c r="AC31" i="15"/>
  <c r="AD31" i="15"/>
  <c r="AI31" i="15"/>
  <c r="Z32" i="15"/>
  <c r="AC32" i="15"/>
  <c r="AD32" i="15"/>
  <c r="AI32" i="15"/>
  <c r="AL32" i="15" a="1"/>
  <c r="AL32" i="15" s="1"/>
  <c r="Z33" i="15"/>
  <c r="AC33" i="15"/>
  <c r="AD33" i="15"/>
  <c r="AI33" i="15"/>
  <c r="AL33" i="15" a="1"/>
  <c r="AL33" i="15" s="1"/>
  <c r="Z34" i="15"/>
  <c r="AC34" i="15"/>
  <c r="AD34" i="15"/>
  <c r="AI34" i="15"/>
  <c r="Z35" i="15"/>
  <c r="AC35" i="15"/>
  <c r="AD35" i="15"/>
  <c r="AI35" i="15"/>
  <c r="AL35" i="15" a="1"/>
  <c r="AL35" i="15" s="1"/>
  <c r="Z36" i="15"/>
  <c r="AC36" i="15"/>
  <c r="AD36" i="15"/>
  <c r="AI36" i="15"/>
  <c r="Z37" i="15"/>
  <c r="AC37" i="15"/>
  <c r="AD37" i="15"/>
  <c r="AI37" i="15"/>
  <c r="Z38" i="15"/>
  <c r="AC38" i="15"/>
  <c r="AD38" i="15"/>
  <c r="AI38" i="15"/>
  <c r="Z39" i="15"/>
  <c r="AC39" i="15"/>
  <c r="AD39" i="15"/>
  <c r="AI39" i="15"/>
  <c r="AL39" i="15" a="1"/>
  <c r="AL39" i="15" s="1"/>
  <c r="Z40" i="15"/>
  <c r="AC40" i="15"/>
  <c r="AD40" i="15"/>
  <c r="AI40" i="15"/>
  <c r="AL40" i="15" a="1"/>
  <c r="AL40" i="15" s="1"/>
  <c r="Z41" i="15"/>
  <c r="AC41" i="15"/>
  <c r="AD41" i="15"/>
  <c r="AI41" i="15"/>
  <c r="AL41" i="15" a="1"/>
  <c r="AL41" i="15" s="1"/>
  <c r="Z42" i="15"/>
  <c r="AC42" i="15"/>
  <c r="AD42" i="15"/>
  <c r="AI42" i="15"/>
  <c r="AL42" i="15" a="1"/>
  <c r="AL42" i="15" s="1"/>
  <c r="Z43" i="15"/>
  <c r="AC43" i="15"/>
  <c r="AD43" i="15"/>
  <c r="AI43" i="15"/>
  <c r="AL43" i="15" a="1"/>
  <c r="AL43" i="15" s="1"/>
  <c r="Z44" i="15"/>
  <c r="AC44" i="15"/>
  <c r="AD44" i="15"/>
  <c r="AI44" i="15"/>
  <c r="Z45" i="15"/>
  <c r="AC45" i="15"/>
  <c r="AD45" i="15"/>
  <c r="AI45" i="15"/>
  <c r="Z46" i="15"/>
  <c r="AC46" i="15"/>
  <c r="AD46" i="15"/>
  <c r="AI46" i="15"/>
  <c r="AL46" i="15" a="1"/>
  <c r="AL46" i="15" s="1"/>
  <c r="Z47" i="15"/>
  <c r="AC47" i="15"/>
  <c r="AD47" i="15"/>
  <c r="AI47" i="15"/>
  <c r="AL47" i="15" a="1"/>
  <c r="AL47" i="15" s="1"/>
  <c r="Z48" i="15"/>
  <c r="AC48" i="15"/>
  <c r="AD48" i="15"/>
  <c r="AI48" i="15"/>
  <c r="AL48" i="15" a="1"/>
  <c r="AL48" i="15" s="1"/>
  <c r="Z49" i="15"/>
  <c r="AC49" i="15"/>
  <c r="AD49" i="15"/>
  <c r="AI49" i="15"/>
  <c r="AL49" i="15" a="1"/>
  <c r="AL49" i="15" s="1"/>
  <c r="Z50" i="15"/>
  <c r="AC50" i="15"/>
  <c r="AD50" i="15"/>
  <c r="AI50" i="15"/>
  <c r="Z51" i="15"/>
  <c r="AC51" i="15"/>
  <c r="AD51" i="15"/>
  <c r="AI51" i="15"/>
  <c r="AL51" i="15" a="1"/>
  <c r="AL51" i="15" s="1"/>
  <c r="Z52" i="15"/>
  <c r="AC52" i="15"/>
  <c r="AD52" i="15"/>
  <c r="AI52" i="15"/>
  <c r="AL52" i="15" a="1"/>
  <c r="AL52" i="15" s="1"/>
  <c r="Z53" i="15"/>
  <c r="AC53" i="15"/>
  <c r="AD53" i="15"/>
  <c r="AI53" i="15"/>
  <c r="AL53" i="15" a="1"/>
  <c r="AL53" i="15" s="1"/>
  <c r="Z54" i="15"/>
  <c r="AC54" i="15"/>
  <c r="AD54" i="15"/>
  <c r="AI54" i="15"/>
  <c r="AL54" i="15" a="1"/>
  <c r="AL54" i="15" s="1"/>
  <c r="Z55" i="15"/>
  <c r="AC55" i="15"/>
  <c r="AD55" i="15"/>
  <c r="AI55" i="15"/>
  <c r="AL55" i="15" a="1"/>
  <c r="AL55" i="15" s="1"/>
  <c r="Z56" i="15"/>
  <c r="AC56" i="15"/>
  <c r="AD56" i="15"/>
  <c r="AI56" i="15"/>
  <c r="Z9" i="15"/>
  <c r="AC9" i="15"/>
  <c r="AD9" i="15"/>
  <c r="AI9" i="15"/>
  <c r="Z10" i="15"/>
  <c r="AC10" i="15"/>
  <c r="AD10" i="15"/>
  <c r="AI10" i="15"/>
  <c r="Z11" i="15"/>
  <c r="AC11" i="15"/>
  <c r="AD11" i="15"/>
  <c r="AI11" i="15"/>
  <c r="Z12" i="15"/>
  <c r="AC12" i="15"/>
  <c r="AD12" i="15"/>
  <c r="AI12" i="15"/>
  <c r="Z13" i="15"/>
  <c r="AC13" i="15"/>
  <c r="AD13" i="15"/>
  <c r="AI13" i="15"/>
  <c r="AI8" i="15"/>
  <c r="AD8" i="15"/>
  <c r="AC8" i="15"/>
  <c r="Z8" i="15"/>
  <c r="AI7" i="15"/>
  <c r="AC7" i="15"/>
  <c r="AD7" i="15" s="1"/>
  <c r="AE7" i="15" s="1"/>
  <c r="Z7" i="15"/>
  <c r="O56" i="15"/>
  <c r="L56" i="15"/>
  <c r="AL56" i="15" a="1"/>
  <c r="AL56" i="15" s="1"/>
  <c r="O55" i="15"/>
  <c r="L55" i="15"/>
  <c r="O54" i="15"/>
  <c r="L54" i="15"/>
  <c r="O53" i="15"/>
  <c r="L53" i="15"/>
  <c r="O52" i="15"/>
  <c r="L52" i="15"/>
  <c r="P52" i="15" s="1"/>
  <c r="O51" i="15"/>
  <c r="L51" i="15"/>
  <c r="O50" i="15"/>
  <c r="L50" i="15"/>
  <c r="P50" i="15" s="1"/>
  <c r="AL50" i="15" a="1"/>
  <c r="AL50" i="15" s="1"/>
  <c r="O49" i="15"/>
  <c r="L49" i="15"/>
  <c r="O48" i="15"/>
  <c r="L48" i="15"/>
  <c r="O47" i="15"/>
  <c r="L47" i="15"/>
  <c r="O46" i="15"/>
  <c r="L46" i="15"/>
  <c r="O45" i="15"/>
  <c r="L45" i="15"/>
  <c r="AL45" i="15" a="1"/>
  <c r="AL45" i="15" s="1"/>
  <c r="O44" i="15"/>
  <c r="L44" i="15"/>
  <c r="AL44" i="15" a="1"/>
  <c r="AL44" i="15" s="1"/>
  <c r="O43" i="15"/>
  <c r="L43" i="15"/>
  <c r="O42" i="15"/>
  <c r="L42" i="15"/>
  <c r="O41" i="15"/>
  <c r="L41" i="15"/>
  <c r="O40" i="15"/>
  <c r="L40" i="15"/>
  <c r="L39" i="15"/>
  <c r="O38" i="15"/>
  <c r="L38" i="15"/>
  <c r="AL38" i="15" a="1"/>
  <c r="AL38" i="15" s="1"/>
  <c r="O37" i="15"/>
  <c r="L37" i="15"/>
  <c r="AL37" i="15" a="1"/>
  <c r="AL37" i="15" s="1"/>
  <c r="O36" i="15"/>
  <c r="L36" i="15"/>
  <c r="AL36" i="15" a="1"/>
  <c r="AL36" i="15" s="1"/>
  <c r="O35" i="15"/>
  <c r="L35" i="15"/>
  <c r="O34" i="15"/>
  <c r="L34" i="15"/>
  <c r="AL34" i="15" a="1"/>
  <c r="AL34" i="15" s="1"/>
  <c r="O33" i="15"/>
  <c r="L33" i="15"/>
  <c r="O32" i="15"/>
  <c r="L32" i="15"/>
  <c r="O31" i="15"/>
  <c r="L31" i="15"/>
  <c r="AL31" i="15" a="1"/>
  <c r="AL31" i="15" s="1"/>
  <c r="O30" i="15"/>
  <c r="L30" i="15"/>
  <c r="L28" i="15"/>
  <c r="L27" i="15"/>
  <c r="L26" i="15"/>
  <c r="O25" i="15"/>
  <c r="L25" i="15"/>
  <c r="O24" i="15"/>
  <c r="L24" i="15"/>
  <c r="AL24" i="15" a="1"/>
  <c r="AL24" i="15" s="1"/>
  <c r="O23" i="15"/>
  <c r="L23" i="15"/>
  <c r="AL23" i="15" a="1"/>
  <c r="AL23" i="15" s="1"/>
  <c r="O22" i="15"/>
  <c r="L22" i="15"/>
  <c r="O21" i="15"/>
  <c r="L21" i="15"/>
  <c r="O20" i="15"/>
  <c r="L20" i="15"/>
  <c r="O19" i="15"/>
  <c r="L19" i="15"/>
  <c r="O18" i="15"/>
  <c r="L18" i="15"/>
  <c r="O17" i="15"/>
  <c r="L17" i="15"/>
  <c r="O16" i="15"/>
  <c r="L16" i="15"/>
  <c r="O15" i="15"/>
  <c r="L15" i="15"/>
  <c r="O14" i="15"/>
  <c r="L14" i="15"/>
  <c r="O13" i="15"/>
  <c r="L13" i="15"/>
  <c r="O12" i="15"/>
  <c r="L12" i="15"/>
  <c r="L11" i="15"/>
  <c r="O10" i="15"/>
  <c r="L10" i="15"/>
  <c r="L9" i="15"/>
  <c r="L8" i="15"/>
  <c r="O7" i="15"/>
  <c r="L7" i="15"/>
  <c r="L57" i="15"/>
  <c r="O57" i="15"/>
  <c r="L58" i="15"/>
  <c r="O58" i="15"/>
  <c r="L59" i="15"/>
  <c r="O59" i="15"/>
  <c r="L60" i="15"/>
  <c r="O60" i="15"/>
  <c r="L61" i="15"/>
  <c r="O61" i="15"/>
  <c r="L62" i="15"/>
  <c r="O62" i="15"/>
  <c r="L63" i="15"/>
  <c r="L64" i="15"/>
  <c r="L65" i="15"/>
  <c r="L66" i="15"/>
  <c r="L67" i="15"/>
  <c r="L68" i="15"/>
  <c r="L69" i="15"/>
  <c r="L70" i="15"/>
  <c r="L71" i="15"/>
  <c r="L72" i="15"/>
  <c r="L73" i="15"/>
  <c r="L74" i="15"/>
  <c r="P62" i="15" l="1"/>
  <c r="P60" i="15"/>
  <c r="P38" i="15"/>
  <c r="P46" i="15"/>
  <c r="AE8" i="15"/>
  <c r="AE12" i="15"/>
  <c r="AE55" i="15"/>
  <c r="AE32" i="15"/>
  <c r="AE31" i="15"/>
  <c r="AE25" i="15"/>
  <c r="AE24" i="15"/>
  <c r="AE21" i="15"/>
  <c r="AE20" i="15"/>
  <c r="AE16" i="15"/>
  <c r="AE14" i="15"/>
  <c r="AE43" i="15"/>
  <c r="AE39" i="15"/>
  <c r="AE37" i="15"/>
  <c r="AE36" i="15"/>
  <c r="AE47" i="15"/>
  <c r="AE27" i="15"/>
  <c r="P58" i="15"/>
  <c r="P47" i="15"/>
  <c r="AE51" i="15"/>
  <c r="P59" i="15"/>
  <c r="P51" i="15"/>
  <c r="P53" i="15"/>
  <c r="AE35" i="15"/>
  <c r="AE34" i="15"/>
  <c r="AE54" i="15"/>
  <c r="AE50" i="15"/>
  <c r="AE38" i="15"/>
  <c r="AE23" i="15"/>
  <c r="AE17" i="15"/>
  <c r="AE53" i="15"/>
  <c r="AE13" i="15"/>
  <c r="AE11" i="15"/>
  <c r="AE9" i="15"/>
  <c r="AE52" i="15"/>
  <c r="AE48" i="15"/>
  <c r="AE41" i="15"/>
  <c r="P61" i="15"/>
  <c r="P57" i="15"/>
  <c r="P37" i="15"/>
  <c r="AE56" i="15"/>
  <c r="P30" i="15"/>
  <c r="P36" i="15"/>
  <c r="P45" i="15"/>
  <c r="AE10" i="15"/>
  <c r="AE49" i="15"/>
  <c r="AE44" i="15"/>
  <c r="AE42" i="15"/>
  <c r="AE33" i="15"/>
  <c r="AE28" i="15"/>
  <c r="AE26" i="15"/>
  <c r="AE22" i="15"/>
  <c r="AE18" i="15"/>
  <c r="AE15" i="15"/>
  <c r="P7" i="15"/>
  <c r="P18" i="15"/>
  <c r="AE46" i="15"/>
  <c r="AE30" i="15"/>
  <c r="AE45" i="15"/>
  <c r="AE40" i="15"/>
  <c r="AE29" i="15"/>
  <c r="AE19" i="15"/>
  <c r="P12" i="15"/>
  <c r="P17" i="15"/>
  <c r="P44" i="15"/>
  <c r="P16" i="15"/>
  <c r="P20" i="15"/>
  <c r="P34" i="15"/>
  <c r="P41" i="15"/>
  <c r="P19" i="15"/>
  <c r="P31" i="15"/>
  <c r="I6" i="13" l="1"/>
  <c r="J6" i="13"/>
  <c r="H6" i="13"/>
  <c r="P3" i="13" l="1"/>
  <c r="I3" i="13"/>
  <c r="J3" i="13"/>
  <c r="L3" i="13"/>
  <c r="M3" i="13"/>
  <c r="AJ100" i="15" l="1"/>
  <c r="AJ99" i="15"/>
  <c r="Z86" i="15" l="1"/>
  <c r="O86" i="15" l="1"/>
  <c r="L86" i="15"/>
  <c r="P86" i="15" l="1"/>
  <c r="AG83" i="15"/>
  <c r="AL58" i="15" l="1" a="1"/>
  <c r="AL58" i="15" s="1"/>
  <c r="AL59" i="15" a="1"/>
  <c r="AL59" i="15" s="1"/>
  <c r="AL60" i="15" a="1"/>
  <c r="AL60" i="15" s="1"/>
  <c r="AL61" i="15" a="1"/>
  <c r="AL61" i="15" s="1"/>
  <c r="AL62" i="15" a="1"/>
  <c r="AL62" i="15" s="1"/>
  <c r="AL63" i="15" a="1"/>
  <c r="AL63" i="15" s="1"/>
  <c r="AL64" i="15" a="1"/>
  <c r="AL64" i="15" s="1"/>
  <c r="AL65" i="15" a="1"/>
  <c r="AL65" i="15" s="1"/>
  <c r="AL66" i="15" a="1"/>
  <c r="AL66" i="15" s="1"/>
  <c r="AL57" i="15" a="1"/>
  <c r="AL57" i="15" s="1"/>
  <c r="AH8" i="13" a="1"/>
  <c r="AH8" i="13" s="1"/>
  <c r="AH9" i="13" a="1"/>
  <c r="AH9" i="13" s="1"/>
  <c r="AH10" i="13" a="1"/>
  <c r="AH10" i="13" s="1"/>
  <c r="AH11" i="13" a="1"/>
  <c r="AH11" i="13" s="1"/>
  <c r="AH12" i="13" a="1"/>
  <c r="AH12" i="13" s="1"/>
  <c r="AH13" i="13" a="1"/>
  <c r="AH13" i="13" s="1"/>
  <c r="AH14" i="13" a="1"/>
  <c r="AH14" i="13" s="1"/>
  <c r="AH7" i="13" a="1"/>
  <c r="AH7" i="13" s="1"/>
  <c r="AJ66" i="15" l="1"/>
  <c r="AD66" i="15"/>
  <c r="AC66" i="15"/>
  <c r="Z66" i="15"/>
  <c r="O66" i="15"/>
  <c r="AJ65" i="15"/>
  <c r="AD65" i="15"/>
  <c r="AC65" i="15"/>
  <c r="Z65" i="15"/>
  <c r="O65" i="15"/>
  <c r="AJ64" i="15"/>
  <c r="AD64" i="15"/>
  <c r="AC64" i="15"/>
  <c r="Z64" i="15"/>
  <c r="O64" i="15"/>
  <c r="AJ63" i="15"/>
  <c r="AD63" i="15"/>
  <c r="AC63" i="15"/>
  <c r="Z63" i="15"/>
  <c r="O63" i="15"/>
  <c r="AJ62" i="15"/>
  <c r="AD62" i="15"/>
  <c r="AC62" i="15"/>
  <c r="Z62" i="15"/>
  <c r="AJ61" i="15"/>
  <c r="AD61" i="15"/>
  <c r="AC61" i="15"/>
  <c r="Z61" i="15"/>
  <c r="AJ60" i="15"/>
  <c r="AD60" i="15"/>
  <c r="AC60" i="15"/>
  <c r="Z60" i="15"/>
  <c r="AJ59" i="15"/>
  <c r="AD59" i="15"/>
  <c r="AC59" i="15"/>
  <c r="Z59" i="15"/>
  <c r="AJ58" i="15"/>
  <c r="AD58" i="15"/>
  <c r="AC58" i="15"/>
  <c r="Z58" i="15"/>
  <c r="AJ57" i="15"/>
  <c r="AD57" i="15"/>
  <c r="AC57" i="15"/>
  <c r="Z57" i="15"/>
  <c r="AF10" i="13"/>
  <c r="AF9" i="13"/>
  <c r="AF8" i="13"/>
  <c r="AF7" i="13"/>
  <c r="AC14" i="13"/>
  <c r="AB14" i="13"/>
  <c r="Y14" i="13"/>
  <c r="N14" i="13"/>
  <c r="K14" i="13"/>
  <c r="AC13" i="13"/>
  <c r="AB13" i="13"/>
  <c r="Y13" i="13"/>
  <c r="N13" i="13"/>
  <c r="K13" i="13"/>
  <c r="AC12" i="13"/>
  <c r="AB12" i="13"/>
  <c r="Y12" i="13"/>
  <c r="N12" i="13"/>
  <c r="K12" i="13"/>
  <c r="AC11" i="13"/>
  <c r="AB11" i="13"/>
  <c r="Y11" i="13"/>
  <c r="N11" i="13"/>
  <c r="K11" i="13"/>
  <c r="AC10" i="13"/>
  <c r="AB10" i="13"/>
  <c r="Y10" i="13"/>
  <c r="N10" i="13"/>
  <c r="K10" i="13"/>
  <c r="AC9" i="13"/>
  <c r="AB9" i="13"/>
  <c r="Y9" i="13"/>
  <c r="N9" i="13"/>
  <c r="K9" i="13"/>
  <c r="AC8" i="13"/>
  <c r="AB8" i="13"/>
  <c r="Y8" i="13"/>
  <c r="N8" i="13"/>
  <c r="K8" i="13"/>
  <c r="AC7" i="13"/>
  <c r="AB7" i="13"/>
  <c r="Y7" i="13"/>
  <c r="N7" i="13"/>
  <c r="K7" i="13"/>
  <c r="AE65" i="15" l="1"/>
  <c r="O7" i="13"/>
  <c r="O11" i="13"/>
  <c r="O8" i="13"/>
  <c r="AE57" i="15"/>
  <c r="AE59" i="15"/>
  <c r="P65" i="15"/>
  <c r="AE61" i="15"/>
  <c r="P66" i="15"/>
  <c r="AE66" i="15"/>
  <c r="AE58" i="15"/>
  <c r="AE64" i="15"/>
  <c r="AE63" i="15"/>
  <c r="P64" i="15"/>
  <c r="AE60" i="15"/>
  <c r="AE62" i="15"/>
  <c r="P63" i="15"/>
  <c r="O12" i="13"/>
  <c r="O9" i="13"/>
  <c r="O13" i="13"/>
  <c r="O10" i="13"/>
  <c r="O14" i="13"/>
  <c r="AF11" i="13"/>
  <c r="AF12" i="13"/>
  <c r="AF13" i="13"/>
  <c r="AF14" i="13"/>
  <c r="AP8" i="13"/>
  <c r="AR8" i="13" s="1"/>
  <c r="AQ8" i="13"/>
  <c r="AQ7" i="13"/>
  <c r="AP7" i="13"/>
  <c r="AR7" i="13" s="1"/>
  <c r="AP9" i="13"/>
  <c r="AR9" i="13" s="1"/>
  <c r="AQ9" i="13"/>
  <c r="AP10" i="13"/>
  <c r="AR10" i="13" s="1"/>
  <c r="AQ10" i="13"/>
  <c r="AD7" i="13"/>
  <c r="AD8" i="13"/>
  <c r="AD9" i="13"/>
  <c r="AD10" i="13"/>
  <c r="AD11" i="13"/>
  <c r="AD12" i="13"/>
  <c r="AD13" i="13"/>
  <c r="AD14" i="13"/>
  <c r="AQ13" i="13" l="1"/>
  <c r="AQ12" i="13"/>
  <c r="AQ14" i="13"/>
  <c r="AQ11" i="13"/>
  <c r="AP14" i="13"/>
  <c r="AR14" i="13" s="1"/>
  <c r="AP13" i="13"/>
  <c r="AR13" i="13" s="1"/>
  <c r="AP11" i="13"/>
  <c r="AR11" i="13" s="1"/>
  <c r="AP12" i="13"/>
  <c r="AR12" i="13" s="1"/>
  <c r="L91" i="15"/>
  <c r="O91" i="15"/>
  <c r="AL92" i="15" a="1"/>
  <c r="AL92" i="15" s="1"/>
  <c r="L92" i="15"/>
  <c r="L93" i="15"/>
  <c r="L94" i="15"/>
  <c r="L95" i="15"/>
  <c r="AL96" i="15" a="1"/>
  <c r="AL96" i="15" s="1"/>
  <c r="L96" i="15"/>
  <c r="L97" i="15"/>
  <c r="L98" i="15"/>
  <c r="L99" i="15"/>
  <c r="O99" i="15"/>
  <c r="L100" i="15"/>
  <c r="O100" i="15"/>
  <c r="L101" i="15"/>
  <c r="O101" i="15"/>
  <c r="L102" i="15"/>
  <c r="O102" i="15"/>
  <c r="Z91" i="15"/>
  <c r="AC91" i="15"/>
  <c r="AD91" i="15" s="1"/>
  <c r="AE91" i="15" s="1"/>
  <c r="AJ91" i="15"/>
  <c r="Z92" i="15"/>
  <c r="AJ92" i="15"/>
  <c r="Z93" i="15"/>
  <c r="AJ93" i="15"/>
  <c r="Z94" i="15"/>
  <c r="AJ94" i="15"/>
  <c r="Z95" i="15"/>
  <c r="AJ95" i="15"/>
  <c r="Z96" i="15"/>
  <c r="AJ96" i="15"/>
  <c r="Z97" i="15"/>
  <c r="AJ97" i="15"/>
  <c r="Z98" i="15"/>
  <c r="AJ98" i="15"/>
  <c r="Z99" i="15"/>
  <c r="AC99" i="15"/>
  <c r="Z100" i="15"/>
  <c r="AC100" i="15"/>
  <c r="AD100" i="15" s="1"/>
  <c r="AE100" i="15" s="1"/>
  <c r="AI100" i="15"/>
  <c r="Z101" i="15"/>
  <c r="AC101" i="15"/>
  <c r="AD101" i="15" s="1"/>
  <c r="AJ101" i="15"/>
  <c r="Z102" i="15"/>
  <c r="AC102" i="15"/>
  <c r="AD102" i="15" s="1"/>
  <c r="AI102" i="15"/>
  <c r="AJ102" i="15"/>
  <c r="AL91" i="15" l="1" a="1"/>
  <c r="AL91" i="15" s="1"/>
  <c r="P101" i="15"/>
  <c r="P91" i="15"/>
  <c r="AL98" i="15" a="1"/>
  <c r="AL98" i="15" s="1"/>
  <c r="AL94" i="15" a="1"/>
  <c r="AL94" i="15" s="1"/>
  <c r="AL102" i="15" a="1"/>
  <c r="AL102" i="15" s="1"/>
  <c r="AL101" i="15" a="1"/>
  <c r="AL101" i="15" s="1"/>
  <c r="AL100" i="15" a="1"/>
  <c r="AL100" i="15" s="1"/>
  <c r="P102" i="15"/>
  <c r="AL99" i="15" a="1"/>
  <c r="AL99" i="15" s="1"/>
  <c r="AL95" i="15" a="1"/>
  <c r="AL95" i="15" s="1"/>
  <c r="AL97" i="15" a="1"/>
  <c r="AL97" i="15" s="1"/>
  <c r="AL93" i="15" a="1"/>
  <c r="AL93" i="15" s="1"/>
  <c r="P100" i="15"/>
  <c r="P99" i="15"/>
  <c r="AI99" i="15"/>
  <c r="AE101" i="15"/>
  <c r="AE102" i="15"/>
  <c r="AI101" i="15"/>
  <c r="AD99" i="15"/>
  <c r="AE99" i="15" s="1"/>
  <c r="AJ84" i="15"/>
  <c r="AJ85" i="15"/>
  <c r="AJ87" i="15"/>
  <c r="AL87" i="15" a="1"/>
  <c r="AL87" i="15" s="1"/>
  <c r="AJ88" i="15"/>
  <c r="AL88" i="15" a="1"/>
  <c r="AL88" i="15" s="1"/>
  <c r="AJ89" i="15"/>
  <c r="AL89" i="15" a="1"/>
  <c r="AL89" i="15" s="1"/>
  <c r="AJ90" i="15"/>
  <c r="AL90" i="15" a="1"/>
  <c r="AL90" i="15" s="1"/>
  <c r="Y37" i="13"/>
  <c r="Y36" i="13"/>
  <c r="Y35" i="13"/>
  <c r="N37" i="13"/>
  <c r="O37" i="13" s="1"/>
  <c r="N36" i="13"/>
  <c r="N35" i="13"/>
  <c r="AH35" i="13" a="1"/>
  <c r="AH35" i="13" s="1"/>
  <c r="AB35" i="13"/>
  <c r="AB36" i="13"/>
  <c r="AC36" i="13"/>
  <c r="AB37" i="13"/>
  <c r="AC37" i="13"/>
  <c r="AH36" i="13" l="1" a="1"/>
  <c r="AH36" i="13" s="1"/>
  <c r="AH37" i="13" a="1"/>
  <c r="AH37" i="13" s="1"/>
  <c r="O35" i="13"/>
  <c r="O36" i="13"/>
  <c r="AD36" i="13"/>
  <c r="AD37" i="13"/>
  <c r="AC35" i="13"/>
  <c r="AD35" i="13" s="1"/>
  <c r="K33" i="13" l="1"/>
  <c r="AH32" i="13" l="1" a="1"/>
  <c r="AH32" i="13" s="1"/>
  <c r="Y32" i="13"/>
  <c r="AB32" i="13"/>
  <c r="AC32" i="13"/>
  <c r="K32" i="13"/>
  <c r="N32" i="13"/>
  <c r="AD32" i="13" l="1"/>
  <c r="N31" i="13"/>
  <c r="K31" i="13"/>
  <c r="B31" i="13"/>
  <c r="A31" i="13"/>
  <c r="Y31" i="13"/>
  <c r="AB31" i="13"/>
  <c r="AC31" i="13"/>
  <c r="AD31" i="13" l="1"/>
  <c r="O31" i="13"/>
  <c r="AD85" i="15"/>
  <c r="AC85" i="15"/>
  <c r="Z85" i="15"/>
  <c r="O85" i="15"/>
  <c r="L85" i="15"/>
  <c r="AD84" i="15"/>
  <c r="AC84" i="15"/>
  <c r="Z84" i="15"/>
  <c r="O84" i="15"/>
  <c r="L84" i="15"/>
  <c r="AL85" i="15" l="1" a="1"/>
  <c r="AL85" i="15" s="1"/>
  <c r="AL84" i="15" a="1"/>
  <c r="AL84" i="15" s="1"/>
  <c r="AE85" i="15"/>
  <c r="AE84" i="15"/>
  <c r="P84" i="15"/>
  <c r="P85" i="15"/>
  <c r="AD83" i="15" l="1"/>
  <c r="AC83" i="15"/>
  <c r="Y83" i="15"/>
  <c r="X83" i="15"/>
  <c r="O83" i="15"/>
  <c r="L83" i="15"/>
  <c r="AL83" i="15" a="1"/>
  <c r="AL83" i="15" s="1"/>
  <c r="P83" i="15" l="1"/>
  <c r="Z83" i="15"/>
  <c r="AE83" i="15"/>
  <c r="AJ83" i="15"/>
  <c r="Z79" i="15"/>
  <c r="Z78" i="15"/>
  <c r="Z77" i="15"/>
  <c r="Z75" i="15"/>
  <c r="Z74" i="15"/>
  <c r="Z80" i="15"/>
  <c r="Z73" i="15"/>
  <c r="AJ80" i="15"/>
  <c r="AJ79" i="15"/>
  <c r="AJ77" i="15"/>
  <c r="AJ73" i="15"/>
  <c r="AJ72" i="15"/>
  <c r="AJ71" i="15"/>
  <c r="AJ70" i="15"/>
  <c r="AC80" i="15"/>
  <c r="AD80" i="15"/>
  <c r="AC79" i="15"/>
  <c r="AD79" i="15"/>
  <c r="AC78" i="15"/>
  <c r="AD78" i="15"/>
  <c r="AC77" i="15"/>
  <c r="AD77" i="15"/>
  <c r="AC75" i="15"/>
  <c r="AD75" i="15"/>
  <c r="AC74" i="15"/>
  <c r="AD74" i="15"/>
  <c r="AC73" i="15"/>
  <c r="AD73" i="15"/>
  <c r="Z72" i="15"/>
  <c r="AC72" i="15"/>
  <c r="AD72" i="15"/>
  <c r="AC71" i="15"/>
  <c r="AD71" i="15"/>
  <c r="AC70" i="15"/>
  <c r="AD70" i="15"/>
  <c r="L75" i="15"/>
  <c r="L76" i="15"/>
  <c r="L77" i="15"/>
  <c r="L78" i="15"/>
  <c r="L79" i="15"/>
  <c r="L80" i="15"/>
  <c r="AL78" i="15" a="1"/>
  <c r="AL78" i="15" s="1"/>
  <c r="AL80" i="15" a="1"/>
  <c r="AL80" i="15" s="1"/>
  <c r="AL71" i="15" a="1"/>
  <c r="AL71" i="15" s="1"/>
  <c r="AL73" i="15" a="1"/>
  <c r="AL73" i="15" s="1"/>
  <c r="AL75" i="15" a="1"/>
  <c r="AL75" i="15" s="1"/>
  <c r="AL74" i="15" l="1" a="1"/>
  <c r="AL74" i="15" s="1"/>
  <c r="AL72" i="15" a="1"/>
  <c r="AL72" i="15" s="1"/>
  <c r="AL70" i="15" a="1"/>
  <c r="AL70" i="15" s="1"/>
  <c r="AL79" i="15" a="1"/>
  <c r="AL79" i="15" s="1"/>
  <c r="AL77" i="15" a="1"/>
  <c r="AL77" i="15" s="1"/>
  <c r="AE71" i="15"/>
  <c r="AE74" i="15"/>
  <c r="AE77" i="15"/>
  <c r="AE72" i="15"/>
  <c r="AE78" i="15"/>
  <c r="AJ78" i="15"/>
  <c r="AJ75" i="15"/>
  <c r="AJ74" i="15"/>
  <c r="Z71" i="15"/>
  <c r="AE80" i="15"/>
  <c r="AE79" i="15"/>
  <c r="AE75" i="15"/>
  <c r="AE73" i="15"/>
  <c r="Z70" i="15"/>
  <c r="AE70" i="15"/>
  <c r="O90" i="15" l="1"/>
  <c r="L90" i="15"/>
  <c r="O89" i="15"/>
  <c r="L89" i="15"/>
  <c r="O88" i="15"/>
  <c r="L88" i="15"/>
  <c r="O87" i="15"/>
  <c r="L87" i="15"/>
  <c r="O82" i="15"/>
  <c r="L82" i="15"/>
  <c r="O81" i="15"/>
  <c r="L81" i="15"/>
  <c r="O76" i="15"/>
  <c r="O69" i="15"/>
  <c r="O68" i="15"/>
  <c r="O67" i="15"/>
  <c r="N15" i="13"/>
  <c r="K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3" i="13"/>
  <c r="N34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4" i="13"/>
  <c r="AC90" i="15"/>
  <c r="Z90" i="15"/>
  <c r="AC89" i="15"/>
  <c r="AD89" i="15" s="1"/>
  <c r="AC88" i="15"/>
  <c r="AC87" i="15"/>
  <c r="AD87" i="15" s="1"/>
  <c r="AE87" i="15" s="1"/>
  <c r="AJ82" i="15"/>
  <c r="AC82" i="15"/>
  <c r="AD82" i="15" s="1"/>
  <c r="AC81" i="15"/>
  <c r="AJ76" i="15"/>
  <c r="AC76" i="15"/>
  <c r="Z76" i="15"/>
  <c r="AC69" i="15"/>
  <c r="L6" i="15" l="1"/>
  <c r="K6" i="13"/>
  <c r="AL76" i="15" a="1"/>
  <c r="AL76" i="15" s="1"/>
  <c r="AL82" i="15" a="1"/>
  <c r="AL82" i="15" s="1"/>
  <c r="AL81" i="15" a="1"/>
  <c r="AL81" i="15" s="1"/>
  <c r="AL69" i="15" a="1"/>
  <c r="AL69" i="15" s="1"/>
  <c r="AJ81" i="15"/>
  <c r="AJ69" i="15"/>
  <c r="P69" i="15"/>
  <c r="P89" i="15"/>
  <c r="P76" i="15"/>
  <c r="P82" i="15"/>
  <c r="AD90" i="15"/>
  <c r="AE90" i="15" s="1"/>
  <c r="Z89" i="15"/>
  <c r="P87" i="15"/>
  <c r="P88" i="15"/>
  <c r="AD76" i="15"/>
  <c r="AE76" i="15" s="1"/>
  <c r="P90" i="15"/>
  <c r="P81" i="15"/>
  <c r="Z69" i="15"/>
  <c r="Z88" i="15"/>
  <c r="AE89" i="15"/>
  <c r="AD81" i="15"/>
  <c r="AE81" i="15" s="1"/>
  <c r="Z87" i="15"/>
  <c r="AD88" i="15"/>
  <c r="AE88" i="15" s="1"/>
  <c r="Z81" i="15"/>
  <c r="AE82" i="15"/>
  <c r="AD69" i="15"/>
  <c r="AE69" i="15" s="1"/>
  <c r="Z82" i="15"/>
  <c r="AG6" i="15" l="1"/>
  <c r="AC67" i="15"/>
  <c r="AC68" i="15"/>
  <c r="AD68" i="15" s="1"/>
  <c r="AC20" i="13"/>
  <c r="AC24" i="13"/>
  <c r="AC28" i="13"/>
  <c r="AB16" i="13"/>
  <c r="AC16" i="13" s="1"/>
  <c r="AB17" i="13"/>
  <c r="AC17" i="13" s="1"/>
  <c r="AB18" i="13"/>
  <c r="AC18" i="13" s="1"/>
  <c r="AB19" i="13"/>
  <c r="AC19" i="13" s="1"/>
  <c r="AB20" i="13"/>
  <c r="AB21" i="13"/>
  <c r="AC21" i="13" s="1"/>
  <c r="AB22" i="13"/>
  <c r="AC22" i="13" s="1"/>
  <c r="AB23" i="13"/>
  <c r="AC23" i="13" s="1"/>
  <c r="AB24" i="13"/>
  <c r="AB25" i="13"/>
  <c r="AC25" i="13" s="1"/>
  <c r="AB26" i="13"/>
  <c r="AC26" i="13" s="1"/>
  <c r="AB27" i="13"/>
  <c r="AC27" i="13" s="1"/>
  <c r="AB28" i="13"/>
  <c r="AB29" i="13"/>
  <c r="AC29" i="13" s="1"/>
  <c r="AB30" i="13"/>
  <c r="AC30" i="13" s="1"/>
  <c r="AB33" i="13"/>
  <c r="AC33" i="13" s="1"/>
  <c r="AB34" i="13"/>
  <c r="AC34" i="13" s="1"/>
  <c r="AI65" i="15" l="1"/>
  <c r="AI63" i="15"/>
  <c r="AI66" i="15"/>
  <c r="AI64" i="15"/>
  <c r="AI58" i="15"/>
  <c r="AI61" i="15"/>
  <c r="AI59" i="15"/>
  <c r="AI62" i="15"/>
  <c r="AI60" i="15"/>
  <c r="AI57" i="15"/>
  <c r="AM8" i="13"/>
  <c r="AM7" i="13"/>
  <c r="AL8" i="13"/>
  <c r="AN8" i="13" s="1"/>
  <c r="AL9" i="13"/>
  <c r="AN9" i="13" s="1"/>
  <c r="AL7" i="13"/>
  <c r="AN7" i="13" s="1"/>
  <c r="AM9" i="13"/>
  <c r="AM10" i="13"/>
  <c r="AL10" i="13"/>
  <c r="AN10" i="13" s="1"/>
  <c r="AM14" i="13"/>
  <c r="AL13" i="13"/>
  <c r="AN13" i="13" s="1"/>
  <c r="AL14" i="13"/>
  <c r="AN14" i="13" s="1"/>
  <c r="AM12" i="13"/>
  <c r="AM11" i="13"/>
  <c r="AM13" i="13"/>
  <c r="AL12" i="13"/>
  <c r="AN12" i="13" s="1"/>
  <c r="AL11" i="13"/>
  <c r="AN11" i="13" s="1"/>
  <c r="AI95" i="15"/>
  <c r="AI92" i="15"/>
  <c r="AI91" i="15"/>
  <c r="AI98" i="15"/>
  <c r="AI97" i="15"/>
  <c r="AI94" i="15"/>
  <c r="AI96" i="15"/>
  <c r="AI93" i="15"/>
  <c r="AI84" i="15"/>
  <c r="AI89" i="15"/>
  <c r="AI88" i="15"/>
  <c r="AI87" i="15"/>
  <c r="AI85" i="15"/>
  <c r="AI90" i="15"/>
  <c r="Z67" i="15"/>
  <c r="AD67" i="15"/>
  <c r="AE67" i="15" s="1"/>
  <c r="AE68" i="15"/>
  <c r="Z68" i="15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B10" i="3"/>
  <c r="I8" i="3"/>
  <c r="I7" i="3"/>
  <c r="B8" i="3"/>
  <c r="B7" i="3"/>
  <c r="M11" i="3" l="1"/>
  <c r="K6" i="3"/>
  <c r="F11" i="3"/>
  <c r="F13" i="3"/>
  <c r="M12" i="3"/>
  <c r="K9" i="3"/>
  <c r="M13" i="3"/>
  <c r="I9" i="3"/>
  <c r="M10" i="3"/>
  <c r="B9" i="3"/>
  <c r="I6" i="3"/>
  <c r="B6" i="3"/>
  <c r="B5" i="3" l="1"/>
  <c r="M9" i="3"/>
  <c r="K5" i="3"/>
  <c r="I5" i="3"/>
  <c r="AJ67" i="15" l="1"/>
  <c r="AJ68" i="15"/>
  <c r="N6" i="15"/>
  <c r="M6" i="15"/>
  <c r="AD17" i="13"/>
  <c r="AD20" i="13"/>
  <c r="AD21" i="13"/>
  <c r="AD24" i="13"/>
  <c r="AD25" i="13"/>
  <c r="AD29" i="13"/>
  <c r="AB15" i="13"/>
  <c r="AC15" i="13" s="1"/>
  <c r="AD15" i="13" s="1"/>
  <c r="Y17" i="13"/>
  <c r="Y21" i="13"/>
  <c r="Y28" i="13"/>
  <c r="Y29" i="13"/>
  <c r="O15" i="13"/>
  <c r="L6" i="13"/>
  <c r="M6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B15" i="13"/>
  <c r="A15" i="13"/>
  <c r="C5" i="3" l="1"/>
  <c r="Y15" i="13"/>
  <c r="AD28" i="13"/>
  <c r="Y25" i="13"/>
  <c r="Y16" i="13"/>
  <c r="Y20" i="13"/>
  <c r="O29" i="13"/>
  <c r="O25" i="13"/>
  <c r="O21" i="13"/>
  <c r="O17" i="13"/>
  <c r="O34" i="13"/>
  <c r="O27" i="13"/>
  <c r="O23" i="13"/>
  <c r="O19" i="13"/>
  <c r="AH15" i="13" a="1"/>
  <c r="AH15" i="13" s="1"/>
  <c r="AH34" i="13" a="1"/>
  <c r="AH34" i="13" s="1"/>
  <c r="AH29" i="13" a="1"/>
  <c r="AH29" i="13" s="1"/>
  <c r="AH27" i="13" a="1"/>
  <c r="AH27" i="13" s="1"/>
  <c r="AH25" i="13" a="1"/>
  <c r="AH25" i="13" s="1"/>
  <c r="AH23" i="13" a="1"/>
  <c r="AH23" i="13" s="1"/>
  <c r="AH21" i="13" a="1"/>
  <c r="AH21" i="13" s="1"/>
  <c r="AH19" i="13" a="1"/>
  <c r="AH19" i="13" s="1"/>
  <c r="AH17" i="13" a="1"/>
  <c r="AH17" i="13" s="1"/>
  <c r="AH33" i="13" a="1"/>
  <c r="AH33" i="13" s="1"/>
  <c r="AH30" i="13" a="1"/>
  <c r="AH30" i="13" s="1"/>
  <c r="AH28" i="13" a="1"/>
  <c r="AH28" i="13" s="1"/>
  <c r="AH26" i="13" a="1"/>
  <c r="AH26" i="13" s="1"/>
  <c r="AH24" i="13" a="1"/>
  <c r="AH24" i="13" s="1"/>
  <c r="AH22" i="13" a="1"/>
  <c r="AH22" i="13" s="1"/>
  <c r="AH20" i="13" a="1"/>
  <c r="AH20" i="13" s="1"/>
  <c r="AH18" i="13" a="1"/>
  <c r="AH18" i="13" s="1"/>
  <c r="AH16" i="13" a="1"/>
  <c r="AH16" i="13" s="1"/>
  <c r="AL68" i="15" a="1"/>
  <c r="AL68" i="15" s="1"/>
  <c r="AL67" i="15" a="1"/>
  <c r="AL67" i="15" s="1"/>
  <c r="D10" i="3"/>
  <c r="O33" i="13"/>
  <c r="O30" i="13"/>
  <c r="O26" i="13"/>
  <c r="O22" i="13"/>
  <c r="O18" i="13"/>
  <c r="AB6" i="13"/>
  <c r="AB3" i="13" s="1"/>
  <c r="AD34" i="13"/>
  <c r="N6" i="13"/>
  <c r="AD19" i="13"/>
  <c r="O28" i="13"/>
  <c r="O24" i="13"/>
  <c r="O20" i="13"/>
  <c r="O16" i="13"/>
  <c r="J5" i="3"/>
  <c r="AD27" i="13"/>
  <c r="AD23" i="13"/>
  <c r="Y24" i="13"/>
  <c r="Y23" i="13"/>
  <c r="Y34" i="13"/>
  <c r="Y19" i="13"/>
  <c r="Y27" i="13"/>
  <c r="N3" i="15"/>
  <c r="P68" i="15"/>
  <c r="M3" i="15"/>
  <c r="O6" i="15"/>
  <c r="P67" i="15"/>
  <c r="AD16" i="13"/>
  <c r="AD33" i="13"/>
  <c r="AD30" i="13"/>
  <c r="AD26" i="13"/>
  <c r="W6" i="13"/>
  <c r="W3" i="13" s="1"/>
  <c r="Y33" i="13"/>
  <c r="Y30" i="13"/>
  <c r="Y26" i="13"/>
  <c r="Y22" i="13"/>
  <c r="AF37" i="13" l="1"/>
  <c r="AF36" i="13"/>
  <c r="AF16" i="13"/>
  <c r="AF34" i="13"/>
  <c r="AQ34" i="13" s="1"/>
  <c r="AF33" i="13"/>
  <c r="AF31" i="13"/>
  <c r="AF35" i="13"/>
  <c r="AF32" i="13"/>
  <c r="AF15" i="13"/>
  <c r="L6" i="3"/>
  <c r="AF17" i="13"/>
  <c r="AF30" i="13"/>
  <c r="AF21" i="13"/>
  <c r="AF24" i="13"/>
  <c r="AF19" i="13"/>
  <c r="AF18" i="13"/>
  <c r="AF29" i="13"/>
  <c r="AF22" i="13"/>
  <c r="AF28" i="13"/>
  <c r="AF26" i="13"/>
  <c r="AF27" i="13"/>
  <c r="AF23" i="13"/>
  <c r="AF25" i="13"/>
  <c r="AF20" i="13"/>
  <c r="D12" i="3"/>
  <c r="F12" i="3" s="1"/>
  <c r="F10" i="3"/>
  <c r="D8" i="3"/>
  <c r="D7" i="3"/>
  <c r="AD22" i="13"/>
  <c r="AC6" i="13"/>
  <c r="J6" i="3" s="1"/>
  <c r="J9" i="3"/>
  <c r="C9" i="3"/>
  <c r="X6" i="13"/>
  <c r="C6" i="3" s="1"/>
  <c r="L5" i="3"/>
  <c r="L9" i="3"/>
  <c r="AD18" i="13"/>
  <c r="Y18" i="13"/>
  <c r="AM32" i="13" l="1"/>
  <c r="AL32" i="13"/>
  <c r="AN32" i="13" s="1"/>
  <c r="AQ36" i="13"/>
  <c r="AN36" i="13"/>
  <c r="AP36" i="13"/>
  <c r="AR36" i="13" s="1"/>
  <c r="AP37" i="13"/>
  <c r="AR37" i="13" s="1"/>
  <c r="AN37" i="13"/>
  <c r="AQ37" i="13"/>
  <c r="AM31" i="13"/>
  <c r="AN31" i="13"/>
  <c r="AL33" i="13"/>
  <c r="AN33" i="13" s="1"/>
  <c r="AP32" i="13"/>
  <c r="AR32" i="13" s="1"/>
  <c r="AN35" i="13"/>
  <c r="AQ35" i="13"/>
  <c r="AP35" i="13"/>
  <c r="AR35" i="13" s="1"/>
  <c r="AM34" i="13"/>
  <c r="AL34" i="13"/>
  <c r="AN34" i="13" s="1"/>
  <c r="AP34" i="13"/>
  <c r="AR34" i="13" s="1"/>
  <c r="AP33" i="13"/>
  <c r="AR33" i="13" s="1"/>
  <c r="AD6" i="13"/>
  <c r="AD3" i="13" s="1"/>
  <c r="AQ33" i="13"/>
  <c r="AQ32" i="13"/>
  <c r="D6" i="3"/>
  <c r="E6" i="3" s="1"/>
  <c r="D9" i="3"/>
  <c r="E9" i="3" s="1"/>
  <c r="F9" i="3"/>
  <c r="Y6" i="13"/>
  <c r="Y3" i="13" s="1"/>
  <c r="X3" i="15"/>
  <c r="AC3" i="15"/>
  <c r="AE3" i="15"/>
  <c r="D5" i="3" l="1"/>
  <c r="E5" i="3" s="1"/>
  <c r="Z3" i="15"/>
  <c r="AI68" i="15"/>
  <c r="AQ23" i="13"/>
  <c r="AM29" i="13"/>
  <c r="AQ29" i="13"/>
  <c r="AM23" i="13"/>
  <c r="AI76" i="15"/>
  <c r="AI74" i="15"/>
  <c r="AQ25" i="13"/>
  <c r="AQ21" i="13"/>
  <c r="AQ26" i="13"/>
  <c r="AI83" i="15"/>
  <c r="AI70" i="15"/>
  <c r="AI81" i="15"/>
  <c r="AI79" i="15"/>
  <c r="AM22" i="13"/>
  <c r="AQ28" i="13"/>
  <c r="AI73" i="15"/>
  <c r="AM19" i="13"/>
  <c r="AM26" i="13"/>
  <c r="AI69" i="15"/>
  <c r="AM25" i="13"/>
  <c r="AQ20" i="13"/>
  <c r="AM27" i="13"/>
  <c r="AQ22" i="13"/>
  <c r="AM28" i="13"/>
  <c r="AI78" i="15"/>
  <c r="AI67" i="15"/>
  <c r="AI80" i="15"/>
  <c r="AI71" i="15"/>
  <c r="AQ17" i="13"/>
  <c r="AM30" i="13"/>
  <c r="AM17" i="13"/>
  <c r="AM24" i="13"/>
  <c r="AI72" i="15"/>
  <c r="AQ16" i="13"/>
  <c r="AM18" i="13"/>
  <c r="AM20" i="13"/>
  <c r="AQ30" i="13"/>
  <c r="AM16" i="13"/>
  <c r="AI77" i="15"/>
  <c r="AQ27" i="13"/>
  <c r="AI75" i="15"/>
  <c r="AM21" i="13"/>
  <c r="AI82" i="15"/>
  <c r="AQ24" i="13"/>
  <c r="AQ19" i="13"/>
  <c r="AQ18" i="13"/>
  <c r="AQ31" i="13"/>
  <c r="AP17" i="13"/>
  <c r="AR17" i="13" s="1"/>
  <c r="AL16" i="13"/>
  <c r="AN16" i="13" s="1"/>
  <c r="AP27" i="13"/>
  <c r="AR27" i="13" s="1"/>
  <c r="AP30" i="13"/>
  <c r="AR30" i="13" s="1"/>
  <c r="AP21" i="13"/>
  <c r="AR21" i="13" s="1"/>
  <c r="AM15" i="13"/>
  <c r="AQ15" i="13"/>
  <c r="AL23" i="13"/>
  <c r="AN23" i="13" s="1"/>
  <c r="AL20" i="13"/>
  <c r="AN20" i="13" s="1"/>
  <c r="AP26" i="13"/>
  <c r="AR26" i="13" s="1"/>
  <c r="AP20" i="13"/>
  <c r="AR20" i="13" s="1"/>
  <c r="AP25" i="13"/>
  <c r="AR25" i="13" s="1"/>
  <c r="AL29" i="13"/>
  <c r="AN29" i="13" s="1"/>
  <c r="AP22" i="13"/>
  <c r="AR22" i="13" s="1"/>
  <c r="AP19" i="13"/>
  <c r="AR19" i="13" s="1"/>
  <c r="AP29" i="13"/>
  <c r="AR29" i="13" s="1"/>
  <c r="AL15" i="13"/>
  <c r="AN15" i="13" s="1"/>
  <c r="AL28" i="13"/>
  <c r="AN28" i="13" s="1"/>
  <c r="AL24" i="13"/>
  <c r="AN24" i="13" s="1"/>
  <c r="AP24" i="13"/>
  <c r="AR24" i="13" s="1"/>
  <c r="AP31" i="13"/>
  <c r="AR31" i="13" s="1"/>
  <c r="AL19" i="13"/>
  <c r="AN19" i="13" s="1"/>
  <c r="AL22" i="13"/>
  <c r="AN22" i="13" s="1"/>
  <c r="AL27" i="13"/>
  <c r="AN27" i="13" s="1"/>
  <c r="AP23" i="13"/>
  <c r="AR23" i="13" s="1"/>
  <c r="AL26" i="13"/>
  <c r="AN26" i="13" s="1"/>
  <c r="AL25" i="13"/>
  <c r="AN25" i="13" s="1"/>
  <c r="AL30" i="13"/>
  <c r="AN30" i="13" s="1"/>
  <c r="AL21" i="13"/>
  <c r="AN21" i="13" s="1"/>
  <c r="AL18" i="13"/>
  <c r="AN18" i="13" s="1"/>
  <c r="AP18" i="13"/>
  <c r="AR18" i="13" s="1"/>
  <c r="AP28" i="13"/>
  <c r="AR28" i="13" s="1"/>
  <c r="AL17" i="13"/>
  <c r="AN17" i="13" s="1"/>
  <c r="AP16" i="13"/>
  <c r="AR16" i="13" s="1"/>
  <c r="AP15" i="13"/>
  <c r="AP6" i="13" l="1"/>
  <c r="AM6" i="13"/>
  <c r="AN6" i="13"/>
  <c r="AQ6" i="13"/>
  <c r="AR15" i="13"/>
  <c r="AR6" i="13" s="1"/>
  <c r="AL6" i="13"/>
</calcChain>
</file>

<file path=xl/sharedStrings.xml><?xml version="1.0" encoding="utf-8"?>
<sst xmlns="http://schemas.openxmlformats.org/spreadsheetml/2006/main" count="2877" uniqueCount="1131">
  <si>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</si>
  <si>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</si>
  <si>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</si>
  <si>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</si>
  <si>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</si>
  <si>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</si>
  <si>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</si>
  <si>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</si>
  <si>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</si>
  <si>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</si>
  <si>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</si>
  <si>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</si>
  <si>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</si>
  <si>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</si>
  <si>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</si>
  <si>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</si>
  <si>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</si>
  <si>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</si>
  <si>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</si>
  <si>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</si>
  <si>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</si>
  <si>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</si>
  <si>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</si>
  <si>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</si>
  <si>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</si>
  <si>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</si>
  <si>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</si>
  <si>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</si>
  <si>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</si>
  <si>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</si>
  <si>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</si>
  <si>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</si>
  <si>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</si>
  <si>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</si>
  <si>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</si>
  <si>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</si>
  <si>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</si>
  <si>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</si>
  <si>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</si>
  <si>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</si>
  <si>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</si>
  <si>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</si>
  <si>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</si>
  <si>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</si>
  <si>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</si>
  <si>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</si>
  <si>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</si>
  <si>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</si>
  <si>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</si>
  <si>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</si>
  <si>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</si>
  <si>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</si>
  <si>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</si>
  <si>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</si>
  <si>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</si>
  <si>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</si>
  <si>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</si>
  <si>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</si>
  <si>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</si>
  <si>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</si>
  <si>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</si>
  <si>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</si>
  <si>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</si>
  <si>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</si>
  <si>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</si>
  <si>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</si>
  <si>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</si>
  <si>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</si>
  <si>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</si>
  <si>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</si>
  <si>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</si>
  <si>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</si>
  <si>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</si>
  <si>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</si>
  <si>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</si>
  <si>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</si>
  <si>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</si>
  <si>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</si>
  <si>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</si>
  <si>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</si>
  <si>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</si>
  <si>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</si>
  <si>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</si>
  <si>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</si>
  <si>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</si>
  <si>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</si>
  <si>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</si>
  <si>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</si>
  <si>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</si>
  <si>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</si>
  <si>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</si>
  <si>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</si>
  <si>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</si>
  <si>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</si>
  <si>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</si>
  <si>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</si>
  <si>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</si>
  <si>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</si>
  <si>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</si>
  <si>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</si>
  <si>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</si>
  <si>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</si>
  <si>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</si>
  <si>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</si>
  <si>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</si>
  <si>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</si>
  <si>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</si>
  <si>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</si>
  <si>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</si>
  <si>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</si>
  <si>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</si>
  <si>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</si>
  <si>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</si>
  <si>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</si>
  <si>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</si>
  <si>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</si>
  <si>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</si>
  <si>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</si>
  <si>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</si>
  <si>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</si>
  <si>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</si>
  <si>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</si>
  <si>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</si>
  <si>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</si>
  <si>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</si>
  <si>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</si>
  <si>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</si>
  <si>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</si>
  <si>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</si>
  <si>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</si>
  <si>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</si>
  <si>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</si>
  <si>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</si>
  <si>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</si>
  <si>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</si>
  <si>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</si>
  <si>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</si>
  <si>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</si>
  <si>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</si>
  <si>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</si>
  <si>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</si>
  <si>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</si>
  <si>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</si>
  <si>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</si>
  <si>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</si>
  <si>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</si>
  <si>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</si>
  <si>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</si>
  <si>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</si>
  <si>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</si>
  <si>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</si>
  <si>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</si>
  <si>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</si>
  <si>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</si>
  <si>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</si>
  <si>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</si>
  <si>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</si>
  <si>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</si>
  <si>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</si>
  <si>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</si>
  <si>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</si>
  <si>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</si>
  <si>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</si>
  <si>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</si>
  <si>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</si>
  <si>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</si>
  <si>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</si>
  <si>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</si>
  <si>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</si>
  <si>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</si>
  <si>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</si>
  <si>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</si>
  <si>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</si>
  <si>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</si>
  <si>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</si>
  <si>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</si>
  <si>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</si>
  <si>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</si>
  <si>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</si>
  <si>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</si>
  <si>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</si>
  <si>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</si>
  <si>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</si>
  <si>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</si>
  <si>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</si>
  <si>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</si>
  <si>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</si>
  <si>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</si>
  <si>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</si>
  <si>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</si>
  <si>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</si>
  <si>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</si>
  <si>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</si>
  <si>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</si>
  <si>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</si>
  <si>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</si>
  <si>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</si>
  <si>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</si>
  <si>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</si>
  <si>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</si>
  <si>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</si>
  <si>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</si>
  <si>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</si>
  <si>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</si>
  <si>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</si>
  <si>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</si>
  <si>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</si>
  <si>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</si>
  <si>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</si>
  <si>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</si>
  <si>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</si>
  <si>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</si>
  <si>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</si>
  <si>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</si>
  <si>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</si>
  <si>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</si>
  <si>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</si>
  <si>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</si>
  <si>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</si>
  <si>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</si>
  <si>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</si>
  <si>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</si>
  <si>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</si>
  <si>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</si>
  <si>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</si>
  <si>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</si>
  <si>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</si>
  <si>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</si>
  <si>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</si>
  <si>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</si>
  <si>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</si>
  <si>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</si>
  <si>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</si>
  <si>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</si>
  <si>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</si>
  <si>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</si>
  <si>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</si>
  <si>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</si>
  <si>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</si>
  <si>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</si>
  <si>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</si>
  <si>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</si>
  <si>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</si>
  <si>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</si>
  <si>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</si>
  <si>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</si>
  <si>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</si>
  <si>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</si>
  <si>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</si>
  <si>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</si>
  <si>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</si>
  <si>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</si>
  <si>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</si>
  <si>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</si>
  <si>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</si>
  <si>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</si>
  <si>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</si>
  <si>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</si>
  <si>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</si>
  <si>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</si>
  <si>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</si>
  <si>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</si>
  <si>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</si>
  <si>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</si>
  <si>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</si>
  <si>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</si>
  <si>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</si>
  <si>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</si>
  <si>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</si>
  <si>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</si>
  <si>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</si>
  <si>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</si>
  <si>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</si>
  <si>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</si>
  <si>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</si>
  <si>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</si>
  <si>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</si>
  <si>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</si>
  <si>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</si>
  <si>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</si>
  <si>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</si>
  <si>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</si>
  <si>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</si>
  <si>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</si>
  <si>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</si>
  <si>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</si>
  <si>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</si>
  <si>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</si>
  <si>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</si>
  <si>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</si>
  <si>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</si>
  <si>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</si>
  <si>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</si>
  <si>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</si>
  <si>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</si>
  <si>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</si>
  <si>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</si>
  <si>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</si>
  <si>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</si>
  <si>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</si>
  <si>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</si>
  <si>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</si>
  <si>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</si>
  <si>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</si>
  <si>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</si>
  <si>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</si>
  <si>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</si>
  <si>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</si>
  <si>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</si>
  <si>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</si>
  <si>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</si>
  <si>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</si>
  <si>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</si>
  <si>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</si>
  <si>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</si>
  <si>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</si>
  <si>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</si>
  <si>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</si>
  <si>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</si>
  <si>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</si>
  <si>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</si>
  <si>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</si>
  <si>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</si>
  <si>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</si>
  <si>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</si>
  <si>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</si>
  <si>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</si>
  <si>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</si>
  <si>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</si>
  <si>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</si>
  <si>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</si>
  <si>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</si>
  <si>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</si>
  <si>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</si>
  <si>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</si>
  <si>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</si>
  <si>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</si>
  <si>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</si>
  <si>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</si>
  <si>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</si>
  <si>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</si>
  <si>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</si>
  <si>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</si>
  <si>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</si>
  <si>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</si>
  <si>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</si>
  <si>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</si>
  <si>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</si>
  <si>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</si>
  <si>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</si>
  <si>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</si>
  <si>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</si>
  <si>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</si>
  <si>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</si>
  <si>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</si>
  <si>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</si>
  <si>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</si>
  <si>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</si>
  <si>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</si>
  <si>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</si>
  <si>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</si>
  <si>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</si>
  <si>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</si>
  <si>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</si>
  <si>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</si>
  <si>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</si>
  <si>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</si>
  <si>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</si>
  <si>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</si>
  <si>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</si>
  <si>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</si>
  <si>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</si>
  <si>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</si>
  <si>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</si>
  <si>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</si>
  <si>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</si>
  <si>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</si>
  <si>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</si>
  <si>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</si>
  <si>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</si>
  <si>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</si>
  <si>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</si>
  <si>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</si>
  <si>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</si>
  <si>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</si>
  <si>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</si>
  <si>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</si>
  <si>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</si>
  <si>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</si>
  <si>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</si>
  <si>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</si>
  <si>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</si>
  <si>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</si>
  <si>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</si>
  <si>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</si>
  <si>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</si>
  <si>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</si>
  <si>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</si>
  <si>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</si>
  <si>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</si>
  <si>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</si>
  <si>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</si>
  <si>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</si>
  <si>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</si>
  <si>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</si>
  <si>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</si>
  <si>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</si>
  <si>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</si>
  <si>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</si>
  <si>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</si>
  <si>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</si>
  <si>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</si>
  <si>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</si>
  <si>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</si>
  <si>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</si>
  <si>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</si>
  <si>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</si>
  <si>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</si>
  <si>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</si>
  <si>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</si>
  <si>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</si>
  <si>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</si>
  <si>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</si>
  <si>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</si>
  <si>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</si>
  <si>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</si>
  <si>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</si>
  <si>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</si>
  <si>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</si>
  <si>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</si>
  <si>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</si>
  <si>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</si>
  <si>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</si>
  <si>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</si>
  <si>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</si>
  <si>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</si>
  <si>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</si>
  <si>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</si>
  <si>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</si>
  <si>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</si>
  <si>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</si>
  <si>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</si>
  <si>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</si>
  <si>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</si>
  <si>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</si>
  <si>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</si>
  <si>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</si>
  <si>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</si>
  <si>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</si>
  <si>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</si>
  <si>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</si>
  <si>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</si>
  <si>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</si>
  <si>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</si>
  <si>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</si>
  <si>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</si>
  <si>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</si>
  <si>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</si>
  <si>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</si>
  <si>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</si>
  <si>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</si>
  <si>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</si>
  <si>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</si>
  <si>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</si>
  <si>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</si>
  <si>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</si>
  <si>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</si>
  <si>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</si>
  <si>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</si>
  <si>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</si>
  <si>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</si>
  <si>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</si>
  <si>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</si>
  <si>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</si>
  <si>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</si>
  <si>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</si>
  <si>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</si>
  <si>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</si>
  <si>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</si>
  <si>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</si>
  <si>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</si>
  <si>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</si>
  <si>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</si>
  <si>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</si>
  <si>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</si>
  <si>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</si>
  <si>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</si>
  <si>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</si>
  <si>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</si>
  <si>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</si>
  <si>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</si>
  <si>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</si>
  <si>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</si>
  <si>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</si>
  <si>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</si>
  <si>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</si>
  <si>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</si>
  <si>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</si>
  <si>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</si>
  <si>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</si>
  <si>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</si>
  <si>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(농정해양위원회)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</si>
  <si>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</si>
  <si>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</si>
  <si>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</si>
  <si>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</si>
  <si>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</si>
  <si>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</si>
  <si>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</si>
  <si>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</si>
  <si>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</si>
  <si>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</si>
  <si>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</si>
  <si>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</si>
  <si>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</si>
  <si>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</si>
  <si>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</si>
  <si>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</si>
  <si>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</si>
  <si>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</si>
  <si>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</si>
  <si>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</si>
  <si>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</si>
  <si>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</si>
  <si>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</si>
  <si>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2015년도 제2회 일반회계 및 특별회계 추가경정 세입·세출 예산안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</si>
  <si>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</si>
  <si>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</si>
  <si>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</si>
  <si>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</si>
  <si>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</si>
  <si>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</si>
  <si>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</si>
  <si>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</si>
  <si>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</si>
  <si>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</si>
  <si>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</si>
  <si>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</si>
  <si>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</si>
  <si>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</si>
  <si>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</si>
  <si>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</si>
  <si>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</si>
  <si>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</si>
  <si>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</si>
  <si>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</si>
  <si>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</si>
  <si>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</si>
  <si>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</si>
  <si>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</si>
  <si>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</si>
  <si>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</si>
  <si>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</si>
  <si>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</si>
  <si>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</si>
  <si>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</si>
  <si>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</si>
  <si>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</si>
  <si>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</si>
  <si>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</si>
  <si>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</si>
  <si>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</si>
  <si>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</si>
  <si>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</si>
  <si>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</si>
  <si>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</si>
  <si>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</si>
  <si>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</si>
  <si>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</si>
  <si>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</si>
  <si>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</si>
  <si>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</si>
  <si>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</si>
  <si>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</si>
  <si>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</si>
  <si>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</si>
  <si>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</si>
  <si>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</si>
  <si>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</si>
  <si>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</si>
  <si>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</si>
  <si>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</si>
  <si>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</si>
  <si>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</si>
  <si>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</si>
  <si>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</si>
  <si>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</si>
  <si>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</si>
  <si>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</si>
  <si>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</si>
  <si>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</si>
  <si>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</si>
  <si>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</si>
  <si>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</si>
  <si>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</si>
  <si>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</si>
  <si>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</si>
  <si>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</si>
  <si>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</si>
  <si>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</si>
  <si>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</si>
  <si>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</si>
  <si>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</si>
  <si>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</si>
  <si>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</si>
  <si>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</si>
  <si>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</si>
  <si>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</si>
  <si>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</si>
  <si>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</si>
  <si>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</si>
  <si>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</si>
  <si>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</si>
  <si>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</si>
  <si>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</si>
  <si>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</si>
  <si>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</si>
  <si>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</si>
  <si>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</si>
  <si>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</si>
  <si>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</si>
  <si>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</si>
  <si>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</si>
  <si>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</si>
  <si>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</si>
  <si>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</si>
  <si>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</si>
  <si>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</si>
  <si>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</si>
  <si>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</si>
  <si>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</si>
  <si>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</si>
  <si>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</si>
  <si>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</si>
  <si>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</si>
  <si>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</si>
  <si>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</si>
  <si>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</si>
  <si>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</si>
  <si>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</si>
  <si>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</si>
  <si>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</si>
  <si>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</si>
  <si>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</si>
  <si>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</si>
  <si>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</si>
  <si>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</si>
  <si>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</si>
  <si>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</si>
  <si>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</si>
  <si>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</si>
  <si>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</si>
  <si>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</si>
  <si>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</si>
  <si>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</si>
  <si>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</si>
  <si>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</si>
  <si>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</si>
  <si>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</si>
  <si>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</si>
  <si>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</si>
  <si>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</si>
  <si>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</si>
  <si>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</si>
  <si>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</si>
  <si>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</si>
  <si>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</si>
  <si>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</si>
  <si>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</si>
  <si>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</si>
  <si>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</si>
  <si>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</si>
  <si>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</si>
  <si>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</si>
  <si>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</si>
  <si>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</si>
  <si>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</si>
  <si>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</si>
  <si>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</si>
  <si>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</si>
  <si>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</si>
  <si>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</si>
  <si>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</si>
  <si>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</si>
  <si>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</si>
  <si>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</si>
  <si>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</si>
  <si>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</si>
  <si>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</si>
  <si>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</si>
  <si>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</si>
  <si>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</si>
  <si>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</si>
  <si>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</si>
  <si>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</si>
  <si>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</si>
  <si>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</si>
  <si>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</si>
  <si>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</si>
  <si>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</si>
  <si>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</si>
  <si>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</si>
  <si>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</si>
  <si>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</si>
  <si>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</si>
  <si>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</si>
  <si>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</si>
  <si>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</si>
  <si>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</si>
  <si>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</si>
  <si>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</si>
  <si>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</si>
  <si>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</si>
  <si>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</si>
  <si>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</si>
  <si>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</si>
  <si>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</si>
  <si>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</si>
  <si>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</si>
  <si>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</si>
  <si>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</si>
  <si>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</si>
  <si>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</si>
  <si>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</si>
  <si>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</si>
  <si>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</si>
  <si>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</si>
  <si>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</si>
  <si>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</si>
  <si>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</si>
  <si>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</si>
  <si>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</si>
  <si>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</si>
  <si>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</si>
  <si>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</si>
  <si>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</si>
  <si>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</si>
  <si>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</si>
  <si>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</si>
  <si>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</si>
  <si>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</t>
    </r>
    <r>
      <rPr>
        <b/>
        <sz val="22"/>
        <color theme="1"/>
        <rFont val="HY견고딕"/>
        <family val="1"/>
        <charset val="129"/>
      </rPr>
      <t xml:space="preserve">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</si>
  <si>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2" type="noConversion"/>
  </si>
  <si>
    <t>상임위 예산안
조정액(나)</t>
    <phoneticPr fontId="2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</si>
  <si>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(다=가+나)</t>
    </r>
    <phoneticPr fontId="22" type="noConversion"/>
  </si>
  <si>
    <t>예결위 예산안
조정액(라)</t>
    <phoneticPr fontId="22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</si>
  <si>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(마=가+라)</t>
    </r>
    <phoneticPr fontId="22" type="noConversion"/>
  </si>
  <si>
    <t>상임위 변경사유
(심의 참고자료)</t>
    <phoneticPr fontId="1" type="noConversion"/>
  </si>
  <si>
    <t>비고
(상임위 부대의견)</t>
    <phoneticPr fontId="1" type="noConversion"/>
  </si>
  <si>
    <t>본예산</t>
  </si>
  <si>
    <t>신규</t>
  </si>
  <si>
    <t>축산정책과</t>
    <phoneticPr fontId="1" type="noConversion"/>
  </si>
  <si>
    <t>국도비</t>
  </si>
  <si>
    <t>기금</t>
  </si>
  <si>
    <t>0227-1</t>
    <phoneticPr fontId="1" type="noConversion"/>
  </si>
  <si>
    <t>0227-2</t>
  </si>
  <si>
    <t>0227-3</t>
  </si>
  <si>
    <t>0227-4</t>
  </si>
  <si>
    <t>0227-5</t>
  </si>
  <si>
    <t>0227-6</t>
  </si>
  <si>
    <t>0227-7</t>
  </si>
  <si>
    <t>0227-8</t>
  </si>
  <si>
    <t>0227-9</t>
  </si>
  <si>
    <t>0227-10</t>
  </si>
  <si>
    <t>0227-11</t>
  </si>
  <si>
    <t>0227-12</t>
  </si>
  <si>
    <t>0227-13</t>
  </si>
  <si>
    <t>0227-14</t>
  </si>
  <si>
    <t>0227-15</t>
  </si>
  <si>
    <t>0227-16</t>
  </si>
  <si>
    <t xml:space="preserve">  국비변경내시
농림축산식품부방역관리과-6979호,(’16.10.21)</t>
  </si>
  <si>
    <t>동물방역위생과</t>
    <phoneticPr fontId="1" type="noConversion"/>
  </si>
  <si>
    <t>공익신고 보상금 상환금 납입통보(의안번호 제2016-764호)
국민권익위원회 공익보호지원과-6139 (2016.11.14)</t>
    <phoneticPr fontId="1" type="noConversion"/>
  </si>
  <si>
    <t>도비</t>
  </si>
  <si>
    <t>산림과</t>
    <phoneticPr fontId="1" type="noConversion"/>
  </si>
  <si>
    <t>국비변경내시
(산림청 사유림경영소득과-4361(2016.10.27.호))</t>
    <phoneticPr fontId="1" type="noConversion"/>
  </si>
  <si>
    <t>국비</t>
  </si>
  <si>
    <t>국도비</t>
    <phoneticPr fontId="1" type="noConversion"/>
  </si>
  <si>
    <t>0229-1</t>
    <phoneticPr fontId="1" type="noConversion"/>
  </si>
  <si>
    <t>농정해양위원회</t>
    <phoneticPr fontId="1" type="noConversion"/>
  </si>
  <si>
    <t>북부동물위생시험소</t>
    <phoneticPr fontId="1" type="noConversion"/>
  </si>
  <si>
    <t>국비변경내시
(농림축산식품부 방역관리과-6979(2016.10.21.호))</t>
    <phoneticPr fontId="1" type="noConversion"/>
  </si>
  <si>
    <t>농정해양위원회</t>
    <phoneticPr fontId="1" type="noConversion"/>
  </si>
  <si>
    <t>축산산림국</t>
    <phoneticPr fontId="1" type="noConversion"/>
  </si>
  <si>
    <t>축산진흥센터</t>
    <phoneticPr fontId="1" type="noConversion"/>
  </si>
  <si>
    <t>축산진흥센터</t>
    <phoneticPr fontId="1" type="noConversion"/>
  </si>
  <si>
    <t>0228-1</t>
    <phoneticPr fontId="1" type="noConversion"/>
  </si>
  <si>
    <t>기금
 - 한우젖소개량 자본지원(자치단체)</t>
    <phoneticPr fontId="1" type="noConversion"/>
  </si>
  <si>
    <t>국비변경내시
(농림축산식품부 축산경영과-4267(2016.11.1)호</t>
    <phoneticPr fontId="1" type="noConversion"/>
  </si>
  <si>
    <t>본예산</t>
    <phoneticPr fontId="1" type="noConversion"/>
  </si>
  <si>
    <t>국비변경내시
(농림축산식품부 축산경영과-4267(2016.11.1)호</t>
    <phoneticPr fontId="1" type="noConversion"/>
  </si>
  <si>
    <t>국비변경내시
(농림축산식품부 축산경영과-4267(2016.11.1)호</t>
    <phoneticPr fontId="1" type="noConversion"/>
  </si>
  <si>
    <t>0233-1</t>
    <phoneticPr fontId="1" type="noConversion"/>
  </si>
  <si>
    <t>국고보조금
  -산림작물생산단지</t>
    <phoneticPr fontId="1" type="noConversion"/>
  </si>
  <si>
    <t>국고보조금
  -산림복합경영단지</t>
    <phoneticPr fontId="1" type="noConversion"/>
  </si>
  <si>
    <t>축산산림국</t>
    <phoneticPr fontId="1" type="noConversion"/>
  </si>
  <si>
    <t>산림과</t>
    <phoneticPr fontId="1" type="noConversion"/>
  </si>
  <si>
    <t>신규</t>
    <phoneticPr fontId="1" type="noConversion"/>
  </si>
  <si>
    <t>국비변경내시
(산림청 사유림경영소득과-4361(2016.10.27.호))</t>
    <phoneticPr fontId="1" type="noConversion"/>
  </si>
  <si>
    <t>0229-2</t>
    <phoneticPr fontId="1" type="noConversion"/>
  </si>
  <si>
    <t>국비변경내시/농림축산식품부 친환경축산팀-4656('16.11.4)</t>
    <phoneticPr fontId="1" type="noConversion"/>
  </si>
  <si>
    <t>국비변경내시/농림축산식품부 친환경축산팀-4594('16.11.2)</t>
    <phoneticPr fontId="1" type="noConversion"/>
  </si>
  <si>
    <t>전문단지조성용사일리지제조지원(기금/지원)
 -전문단지조성용 사일리지제조 지원(자치단체자본보조)</t>
    <phoneticPr fontId="1" type="noConversion"/>
  </si>
  <si>
    <t>조사료생산용사일리지제조지원(기금/지원)
 -조사료생산용 사일리지제조 지원(자치단체자본보조)</t>
    <phoneticPr fontId="1" type="noConversion"/>
  </si>
  <si>
    <t>조사료생산용종자구입지원(기금/지원)
 -조사료생산용 종자구입 지원(자치단체자본보조)</t>
    <phoneticPr fontId="1" type="noConversion"/>
  </si>
  <si>
    <t>기금
-가축분뇨액비살포비지원</t>
    <phoneticPr fontId="1" type="noConversion"/>
  </si>
  <si>
    <t>기금
-가축분뇨퇴액비화지원</t>
    <phoneticPr fontId="1" type="noConversion"/>
  </si>
  <si>
    <t>기금
-가축분뇨정화개보수지원</t>
    <phoneticPr fontId="1" type="noConversion"/>
  </si>
  <si>
    <t>기금
-공동자원화퇴액비시설장비지원</t>
    <phoneticPr fontId="1" type="noConversion"/>
  </si>
  <si>
    <t>기금
-액비저장조지원</t>
    <phoneticPr fontId="1" type="noConversion"/>
  </si>
  <si>
    <t>기금
-가축분뇨부숙도판정기지원</t>
    <phoneticPr fontId="1" type="noConversion"/>
  </si>
  <si>
    <t>기금
-정착촌가축분뇨처리시설장비지원</t>
    <phoneticPr fontId="1" type="noConversion"/>
  </si>
  <si>
    <t>기금
-전문단지조성용기계장비구입지원</t>
    <phoneticPr fontId="1" type="noConversion"/>
  </si>
  <si>
    <t>기금
-전문단지조성용사일리지제조지원</t>
    <phoneticPr fontId="1" type="noConversion"/>
  </si>
  <si>
    <t>기금
-전문단지조성용종자구입지원</t>
    <phoneticPr fontId="1" type="noConversion"/>
  </si>
  <si>
    <t>기금
-조사료생산용기계장비구입지원</t>
    <phoneticPr fontId="1" type="noConversion"/>
  </si>
  <si>
    <t>기금
-조사료생산용사일리지제조지원</t>
    <phoneticPr fontId="1" type="noConversion"/>
  </si>
  <si>
    <t>기금
-조사료생산용종자구입지원</t>
    <phoneticPr fontId="1" type="noConversion"/>
  </si>
  <si>
    <t>기금
-조사료생산용볏짚처리비지원</t>
    <phoneticPr fontId="1" type="noConversion"/>
  </si>
  <si>
    <t>기금
-조사료가공유통시설지원</t>
    <phoneticPr fontId="1" type="noConversion"/>
  </si>
  <si>
    <t>기금
-조사료품질관리지원</t>
    <phoneticPr fontId="1" type="noConversion"/>
  </si>
  <si>
    <t>0233-1</t>
    <phoneticPr fontId="1" type="noConversion"/>
  </si>
  <si>
    <t>한우젖소개량 자본지원(자치단체)(기금/직접)
 - 실험대 및 책상(자산및물품취득비)</t>
    <phoneticPr fontId="1" type="noConversion"/>
  </si>
  <si>
    <t>한우젖소개량 자본지원(자치단체)(기금/직접)
 - 종축구입(시험연구비)</t>
    <phoneticPr fontId="1" type="noConversion"/>
  </si>
  <si>
    <t>국비 신규 가내시
 (농림축산식품부 창조농식품정책과-3015호, ’16.10.25)</t>
    <phoneticPr fontId="1" type="noConversion"/>
  </si>
  <si>
    <t>국비 신규 가내시
 (농림축산식품부 창조농식품정책과-3015호, ’16.10.25)</t>
    <phoneticPr fontId="1" type="noConversion"/>
  </si>
  <si>
    <t>예산 입력 오류</t>
    <phoneticPr fontId="1" type="noConversion"/>
  </si>
  <si>
    <t>산림과</t>
    <phoneticPr fontId="1" type="noConversion"/>
  </si>
  <si>
    <t>동물방역위생과</t>
    <phoneticPr fontId="1" type="noConversion"/>
  </si>
  <si>
    <t>작물연구과</t>
    <phoneticPr fontId="1" type="noConversion"/>
  </si>
  <si>
    <t>작물연구과</t>
    <phoneticPr fontId="1" type="noConversion"/>
  </si>
  <si>
    <t>소득자원연구소</t>
    <phoneticPr fontId="1" type="noConversion"/>
  </si>
  <si>
    <t>예산 입력 오류
- 통계목 변경</t>
    <phoneticPr fontId="1" type="noConversion"/>
  </si>
  <si>
    <t>행정지원과</t>
    <phoneticPr fontId="1" type="noConversion"/>
  </si>
  <si>
    <t>국고보조금
- 스마트 팜 권역별 현장지원센터 지원사업</t>
    <phoneticPr fontId="1" type="noConversion"/>
  </si>
  <si>
    <t>국고보조금
- 지역전략작목산학연협력</t>
    <phoneticPr fontId="1" type="noConversion"/>
  </si>
  <si>
    <t>국고보조금
- 지역특화작목기술개발</t>
    <phoneticPr fontId="1" type="noConversion"/>
  </si>
  <si>
    <t>국비 신규 가내시
 (농림축산식품부 창조농식품정책과-3015호, ’16.10.25)</t>
    <phoneticPr fontId="1" type="noConversion"/>
  </si>
  <si>
    <t>예산 입력 오류</t>
    <phoneticPr fontId="1" type="noConversion"/>
  </si>
  <si>
    <t>0234-1</t>
    <phoneticPr fontId="1" type="noConversion"/>
  </si>
  <si>
    <t>농정해양국</t>
    <phoneticPr fontId="1" type="noConversion"/>
  </si>
  <si>
    <t>농업정책과</t>
    <phoneticPr fontId="1" type="noConversion"/>
  </si>
  <si>
    <t>국고보조금
 - 농촌재능나눔 활성화 지원(자치단체)</t>
    <phoneticPr fontId="1" type="noConversion"/>
  </si>
  <si>
    <t>국비변경내시
/농림축산식품부 농촌정책과-3546(2016.11.2)</t>
    <phoneticPr fontId="1" type="noConversion"/>
  </si>
  <si>
    <t>친환경농업과</t>
    <phoneticPr fontId="1" type="noConversion"/>
  </si>
  <si>
    <t>기금
 - 과수생산시설현대화 지원</t>
    <phoneticPr fontId="1" type="noConversion"/>
  </si>
  <si>
    <t>국비변경내시/농림축산식품부 원예경영과-4659(2016.10.31)</t>
    <phoneticPr fontId="1" type="noConversion"/>
  </si>
  <si>
    <t>기금
 - 과수ICT분야 시설보조</t>
    <phoneticPr fontId="1" type="noConversion"/>
  </si>
  <si>
    <t>기금
 - FTA폐업지원제</t>
    <phoneticPr fontId="1" type="noConversion"/>
  </si>
  <si>
    <t>국비변경내시/농림축산식품부 원예경영과-4856(2016.11.11)</t>
    <phoneticPr fontId="1" type="noConversion"/>
  </si>
  <si>
    <t>수산과</t>
    <phoneticPr fontId="1" type="noConversion"/>
  </si>
  <si>
    <t>국고보조금
 - 어촌체험마을 사무장채용지원사업</t>
    <phoneticPr fontId="1" type="noConversion"/>
  </si>
  <si>
    <t>국비변경내시해양수산부 어촌어항과-4489(2016.11.11)</t>
    <phoneticPr fontId="1" type="noConversion"/>
  </si>
  <si>
    <t>국고보조금
 - 이동수리소 운영</t>
    <phoneticPr fontId="1" type="noConversion"/>
  </si>
  <si>
    <t>국비변경내시/해양수산부 소득복지과-5039(16.11.2)</t>
    <phoneticPr fontId="1" type="noConversion"/>
  </si>
  <si>
    <t>국고보조금
- 연구교습어장</t>
    <phoneticPr fontId="1" type="noConversion"/>
  </si>
  <si>
    <t>국비변경내시/해양수산부 소득복지과-4870(2016.10.24)</t>
    <phoneticPr fontId="1" type="noConversion"/>
  </si>
  <si>
    <t>농정해양위원회</t>
    <phoneticPr fontId="1" type="noConversion"/>
  </si>
  <si>
    <t>농정해양국</t>
    <phoneticPr fontId="1" type="noConversion"/>
  </si>
  <si>
    <t>농업정책과</t>
    <phoneticPr fontId="1" type="noConversion"/>
  </si>
  <si>
    <t>본예산</t>
    <phoneticPr fontId="1" type="noConversion"/>
  </si>
  <si>
    <t>국고보조금
 - 지역단위 6차산업 활성화 지원</t>
    <phoneticPr fontId="1" type="noConversion"/>
  </si>
  <si>
    <t>국비변경내시/농림축산식품부 농촌산업과-4447(2016.11.17)</t>
    <phoneticPr fontId="1" type="noConversion"/>
  </si>
  <si>
    <t>2017년도 본예산 계속비 사업 조서</t>
    <phoneticPr fontId="22" type="noConversion"/>
  </si>
  <si>
    <t>(단위:천원)</t>
  </si>
  <si>
    <t>사  업  명</t>
  </si>
  <si>
    <t>예산과목
(통계목)</t>
    <phoneticPr fontId="22" type="noConversion"/>
  </si>
  <si>
    <t>총사업비</t>
  </si>
  <si>
    <t xml:space="preserve">   전전년도(2015) 이전</t>
    <phoneticPr fontId="22" type="noConversion"/>
  </si>
  <si>
    <t xml:space="preserve">            전년도(2016)</t>
    <phoneticPr fontId="22" type="noConversion"/>
  </si>
  <si>
    <t>2019 이후</t>
    <phoneticPr fontId="22" type="noConversion"/>
  </si>
  <si>
    <t>비   고</t>
  </si>
  <si>
    <t>예산액</t>
  </si>
  <si>
    <t>집 행 액</t>
  </si>
  <si>
    <t>집행잔액</t>
  </si>
  <si>
    <t>집행액</t>
    <phoneticPr fontId="22" type="noConversion"/>
  </si>
  <si>
    <t>문화관광국</t>
    <phoneticPr fontId="22" type="noConversion"/>
  </si>
  <si>
    <t>○ 제부 마리나항 건설</t>
  </si>
  <si>
    <t>(당초=A)</t>
  </si>
  <si>
    <t>문화정책과</t>
    <phoneticPr fontId="22" type="noConversion"/>
  </si>
  <si>
    <t xml:space="preserve"> · 위 치 : 화성시 서신면 
             제부리</t>
  </si>
  <si>
    <t>시설비</t>
  </si>
  <si>
    <t xml:space="preserve"> · 사업량  : 마리나항 조성</t>
  </si>
  <si>
    <t>감리비</t>
  </si>
  <si>
    <t xml:space="preserve">  계류시설300척,매립38천㎡  </t>
  </si>
  <si>
    <t>시설부대비</t>
  </si>
  <si>
    <t xml:space="preserve"> · 기  간 : 2013 ~ 2018</t>
  </si>
  <si>
    <t>(변경=B)</t>
  </si>
  <si>
    <t>(증감=B-A)</t>
  </si>
  <si>
    <t>농업정책과</t>
    <phoneticPr fontId="1" type="noConversion"/>
  </si>
  <si>
    <t>친환경농업과</t>
    <phoneticPr fontId="1" type="noConversion"/>
  </si>
  <si>
    <t>본예산</t>
    <phoneticPr fontId="1" type="noConversion"/>
  </si>
  <si>
    <t>과수생산시설현대화 지원(기금/지원)
 - 과수생산시설현대화 지원(자치단체자본보조)</t>
    <phoneticPr fontId="1" type="noConversion"/>
  </si>
  <si>
    <t>국비변경내시/농림축산식품부 원예경영과-4659(2016.10.31)</t>
    <phoneticPr fontId="1" type="noConversion"/>
  </si>
  <si>
    <t>0223-1</t>
    <phoneticPr fontId="1" type="noConversion"/>
  </si>
  <si>
    <t>과수ICT분야 시설보조(기금/지원)
 - 과수ICT분야 시설보조(자치단체자본보조)</t>
    <phoneticPr fontId="1" type="noConversion"/>
  </si>
  <si>
    <t>0223-2</t>
    <phoneticPr fontId="1" type="noConversion"/>
  </si>
  <si>
    <t>국비변경내시/농림축산식품부 원예경영과-4856(2016.11.11)</t>
    <phoneticPr fontId="1" type="noConversion"/>
  </si>
  <si>
    <t>0223-3</t>
    <phoneticPr fontId="1" type="noConversion"/>
  </si>
  <si>
    <t>수산과</t>
    <phoneticPr fontId="1" type="noConversion"/>
  </si>
  <si>
    <t>국비변경내시/해양수산부 어촌어항과-4489(2016.11.11)</t>
    <phoneticPr fontId="1" type="noConversion"/>
  </si>
  <si>
    <t>0224-1</t>
    <phoneticPr fontId="1" type="noConversion"/>
  </si>
  <si>
    <t>해양수산자원연구소</t>
    <phoneticPr fontId="1" type="noConversion"/>
  </si>
  <si>
    <t>국비변경내시/해양수산부 소득복지과-5039(2016.11.2)</t>
    <phoneticPr fontId="1" type="noConversion"/>
  </si>
  <si>
    <t>0224-2</t>
    <phoneticPr fontId="1" type="noConversion"/>
  </si>
  <si>
    <t>해양수산자원연구소</t>
    <phoneticPr fontId="1" type="noConversion"/>
  </si>
  <si>
    <t>본예산</t>
    <phoneticPr fontId="1" type="noConversion"/>
  </si>
  <si>
    <t>국비변경내시/해양수산부 소득복지과-4870(2016.10.24)</t>
    <phoneticPr fontId="1" type="noConversion"/>
  </si>
  <si>
    <t>0224-3</t>
    <phoneticPr fontId="1" type="noConversion"/>
  </si>
  <si>
    <t>해양수산자원연구소</t>
    <phoneticPr fontId="1" type="noConversion"/>
  </si>
  <si>
    <t>본예산</t>
    <phoneticPr fontId="1" type="noConversion"/>
  </si>
  <si>
    <t>국비변경내시/해양수산부 소득복지과-4870(2016.10.24)</t>
    <phoneticPr fontId="1" type="noConversion"/>
  </si>
  <si>
    <t>국비</t>
    <phoneticPr fontId="1" type="noConversion"/>
  </si>
  <si>
    <t>농업정책과</t>
    <phoneticPr fontId="1" type="noConversion"/>
  </si>
  <si>
    <t>지역단위 6차산업 활성화 지원(국비/직접)
 - 6차산업화 지원프로그램 운영지원(공기관등에대한경상적대행사업비)</t>
    <phoneticPr fontId="1" type="noConversion"/>
  </si>
  <si>
    <t>국비변경내시/농림축산식품부 농촌산업과-4447(2016.11.17)</t>
    <phoneticPr fontId="1" type="noConversion"/>
  </si>
  <si>
    <t>0220-2</t>
    <phoneticPr fontId="1" type="noConversion"/>
  </si>
  <si>
    <t>농업정책과</t>
    <phoneticPr fontId="1" type="noConversion"/>
  </si>
  <si>
    <t>본예산</t>
    <phoneticPr fontId="1" type="noConversion"/>
  </si>
  <si>
    <t>국비변경내시/농림축산식품부 농촌산업과-4447(2016.11.17)</t>
    <phoneticPr fontId="1" type="noConversion"/>
  </si>
  <si>
    <t>국도비</t>
    <phoneticPr fontId="1" type="noConversion"/>
  </si>
  <si>
    <t>국비</t>
    <phoneticPr fontId="1" type="noConversion"/>
  </si>
  <si>
    <t>0220-2</t>
    <phoneticPr fontId="1" type="noConversion"/>
  </si>
  <si>
    <t>0220-1</t>
    <phoneticPr fontId="1" type="noConversion"/>
  </si>
  <si>
    <t>한우젖소개량 경상지원(자치단체)(기금/직접)
 - 수정란 생산 재료비(재료비)</t>
    <phoneticPr fontId="1" type="noConversion"/>
  </si>
  <si>
    <t>동물위생시험소</t>
    <phoneticPr fontId="1" type="noConversion"/>
  </si>
  <si>
    <t>본예산</t>
    <phoneticPr fontId="1" type="noConversion"/>
  </si>
  <si>
    <t>도비</t>
    <phoneticPr fontId="1" type="noConversion"/>
  </si>
  <si>
    <t>기금
 -축산물위생검사기관 운영비 지원</t>
    <phoneticPr fontId="1" type="noConversion"/>
  </si>
  <si>
    <t>본예산</t>
    <phoneticPr fontId="1" type="noConversion"/>
  </si>
  <si>
    <t>따복미래농장만들기(자체/지원)
 -따복미래농장만들기</t>
    <phoneticPr fontId="1" type="noConversion"/>
  </si>
  <si>
    <t>농식품유통과</t>
    <phoneticPr fontId="1" type="noConversion"/>
  </si>
  <si>
    <t>기업-농UP 상생사업 활성화(자체/직접)
-기업-농UP 상생사업 활성화</t>
    <phoneticPr fontId="1" type="noConversion"/>
  </si>
  <si>
    <t>경기전통주 경쟁력 강화(자체/지원)
 -경기전통주 경쟁력 강화</t>
    <phoneticPr fontId="1" type="noConversion"/>
  </si>
  <si>
    <t>공영도매시장현대화비용지원(기금/지원)
 -수원 농수산물도매시장 시설현대화 사업</t>
    <phoneticPr fontId="1" type="noConversion"/>
  </si>
  <si>
    <t>친환경농업과</t>
    <phoneticPr fontId="1" type="noConversion"/>
  </si>
  <si>
    <t>경기미 생산지원(자체/직접)
 -경기미우수단지농기계공급</t>
    <phoneticPr fontId="1" type="noConversion"/>
  </si>
  <si>
    <t>여성·노약자 농업용관리기 등 지원(자체/지원)
-여성·노약자 농업용관리기 등 지원</t>
    <phoneticPr fontId="1" type="noConversion"/>
  </si>
  <si>
    <t>농업인안전재해보험(자체/지원)
 -농업인안전재해보험</t>
    <phoneticPr fontId="1" type="noConversion"/>
  </si>
  <si>
    <t>해양수산자원연구소</t>
    <phoneticPr fontId="1" type="noConversion"/>
  </si>
  <si>
    <t>신규</t>
    <phoneticPr fontId="1" type="noConversion"/>
  </si>
  <si>
    <t>시험연구개발(자체/직접)
 -시험연구사업 장비구입</t>
    <phoneticPr fontId="1" type="noConversion"/>
  </si>
  <si>
    <t>시험연구개발(자체/직접)
 -시험연구사업 보조인부임</t>
    <phoneticPr fontId="1" type="noConversion"/>
  </si>
  <si>
    <t>수산과</t>
    <phoneticPr fontId="1" type="noConversion"/>
  </si>
  <si>
    <t>축산정책과</t>
    <phoneticPr fontId="1" type="noConversion"/>
  </si>
  <si>
    <t>축산업 경쟁력 향상(자체/지원)
 -양돈경쟁력 강화</t>
    <phoneticPr fontId="1" type="noConversion"/>
  </si>
  <si>
    <t>축산업 경쟁력 향상(자체/지원)
 -가축재해보험 가입지원</t>
    <phoneticPr fontId="1" type="noConversion"/>
  </si>
  <si>
    <t>동물방역위생과</t>
    <phoneticPr fontId="1" type="noConversion"/>
  </si>
  <si>
    <t>반려동물 테마파크 진입로 개설 지원(자체/지원)
 -반려동물 테마파크 진입로 개설 지원</t>
    <phoneticPr fontId="1" type="noConversion"/>
  </si>
  <si>
    <t>북부동물위생시험소</t>
    <phoneticPr fontId="1" type="noConversion"/>
  </si>
  <si>
    <t>산림환경연구소</t>
    <phoneticPr fontId="1" type="noConversion"/>
  </si>
  <si>
    <t>동물위생시험소</t>
    <phoneticPr fontId="1" type="noConversion"/>
  </si>
  <si>
    <t>산림과</t>
    <phoneticPr fontId="1" type="noConversion"/>
  </si>
  <si>
    <t>환경농업연구과</t>
    <phoneticPr fontId="1" type="noConversion"/>
  </si>
  <si>
    <t>병해충 신속 대응을 위한 종합식물병원 설치 운영(자체/직접)
 -기본급,휴일수당,간식비</t>
    <phoneticPr fontId="1" type="noConversion"/>
  </si>
  <si>
    <t>병해충 신속 대응을 위한 종합식물병원 설치 운영(자체/직접)
 -병해충 신속 대응 연구 시험재료</t>
    <phoneticPr fontId="1" type="noConversion"/>
  </si>
  <si>
    <t>한남정맥 석성산~할미산성 단절등산로 연결사업(10억)</t>
    <phoneticPr fontId="1" type="noConversion"/>
  </si>
  <si>
    <t>본예산</t>
    <phoneticPr fontId="1" type="noConversion"/>
  </si>
  <si>
    <t>신규</t>
    <phoneticPr fontId="1" type="noConversion"/>
  </si>
  <si>
    <t>환경농업연구과</t>
    <phoneticPr fontId="1" type="noConversion"/>
  </si>
  <si>
    <t>기술보급과</t>
    <phoneticPr fontId="1" type="noConversion"/>
  </si>
  <si>
    <t>지도정책과</t>
    <phoneticPr fontId="1" type="noConversion"/>
  </si>
  <si>
    <t>지역농업발전(자체/직접)
-NEXT 경기농정 우수사업 홍보</t>
    <phoneticPr fontId="1" type="noConversion"/>
  </si>
  <si>
    <t>평택항 홍보마케팅 (자체/직접)
 -평택항 홍보마케팅</t>
    <phoneticPr fontId="1" type="noConversion"/>
  </si>
  <si>
    <t>시험연구개발(자체/직접)
 -시험연구개발운영비</t>
    <phoneticPr fontId="1" type="noConversion"/>
  </si>
  <si>
    <t>시험연구개발(자체/직접)
 -시험연구장비 및 시설유지보수</t>
    <phoneticPr fontId="1" type="noConversion"/>
  </si>
  <si>
    <t>시험연구개발(자체/직접)
 -시험연구개발 시험연구비</t>
    <phoneticPr fontId="1" type="noConversion"/>
  </si>
  <si>
    <t>축산환경 개선사업(자체/지원)
 -축산환경개선사업</t>
    <phoneticPr fontId="1" type="noConversion"/>
  </si>
  <si>
    <t>기술보급과</t>
    <phoneticPr fontId="1" type="noConversion"/>
  </si>
  <si>
    <t>본예산</t>
    <phoneticPr fontId="1" type="noConversion"/>
  </si>
  <si>
    <t>기술보급과</t>
    <phoneticPr fontId="1" type="noConversion"/>
  </si>
  <si>
    <t>농촌자원과</t>
    <phoneticPr fontId="1" type="noConversion"/>
  </si>
  <si>
    <t>본예산</t>
    <phoneticPr fontId="1" type="noConversion"/>
  </si>
  <si>
    <t>농촌자원과</t>
    <phoneticPr fontId="1" type="noConversion"/>
  </si>
  <si>
    <t>본예산</t>
    <phoneticPr fontId="1" type="noConversion"/>
  </si>
  <si>
    <t>환경농업연구과</t>
    <phoneticPr fontId="1" type="noConversion"/>
  </si>
  <si>
    <t>신규</t>
    <phoneticPr fontId="1" type="noConversion"/>
  </si>
  <si>
    <t>환경농업연구과</t>
    <phoneticPr fontId="1" type="noConversion"/>
  </si>
  <si>
    <t>신규</t>
    <phoneticPr fontId="1" type="noConversion"/>
  </si>
  <si>
    <t>병해충 신속 대응을 위한 종합식물병원 설치 운영(자체/직접)
 -병해충 신속대응 연구시설 및 장비유지관리</t>
    <phoneticPr fontId="1" type="noConversion"/>
  </si>
  <si>
    <t>병해충 신속 대응을 위한 종합식물병원 설치 운영(자체/직접)
 -병해충 신속 종합식물병원 설치 공사</t>
    <phoneticPr fontId="1" type="noConversion"/>
  </si>
  <si>
    <t>연정
구분</t>
    <phoneticPr fontId="1" type="noConversion"/>
  </si>
  <si>
    <t>일반</t>
  </si>
  <si>
    <t>연정</t>
  </si>
  <si>
    <t>일반</t>
    <phoneticPr fontId="1" type="noConversion"/>
  </si>
  <si>
    <t>도로 등 기반시설 
공사비 삭감</t>
    <phoneticPr fontId="1" type="noConversion"/>
  </si>
  <si>
    <t>도비</t>
    <phoneticPr fontId="1" type="noConversion"/>
  </si>
  <si>
    <t>국도비</t>
    <phoneticPr fontId="1" type="noConversion"/>
  </si>
  <si>
    <t>농업정책과</t>
    <phoneticPr fontId="1" type="noConversion"/>
  </si>
  <si>
    <t>해양항만정책과</t>
    <phoneticPr fontId="1" type="noConversion"/>
  </si>
  <si>
    <t>농업연구 활성화를 위한 근무환경개선(자체/직접)
 -버섯연구소, 소득자원연구소 관리사 리모델링 공사 등</t>
    <phoneticPr fontId="1" type="noConversion"/>
  </si>
  <si>
    <t>유용미생물개발 및 이용연구(자체/직접)
-시험연구비</t>
    <phoneticPr fontId="1" type="noConversion"/>
  </si>
  <si>
    <t>전문농업인육성(자체/직접)
 -여성농업인육성(민간행사사업보조)</t>
  </si>
  <si>
    <t>도로사업으로 
농정위 소관이 아님</t>
    <phoneticPr fontId="1" type="noConversion"/>
  </si>
  <si>
    <t>업무추진비
  - 동물위생시험소(본소 등 2팀)      9,600,000원
    동물위생시험소(동부지소 등 3팀) 7,200,000원</t>
    <phoneticPr fontId="1" type="noConversion"/>
  </si>
  <si>
    <t>부기명 변경</t>
    <phoneticPr fontId="1" type="noConversion"/>
  </si>
  <si>
    <t>세입없음</t>
    <phoneticPr fontId="1" type="noConversion"/>
  </si>
  <si>
    <t>유아숲 체험원 조성(자체/지원)
 -유아숲 체험원 조성</t>
    <phoneticPr fontId="1" type="noConversion"/>
  </si>
  <si>
    <t>단절등산로 연결사업(자체/지원)
 -단절등산로 연결사업</t>
    <phoneticPr fontId="1" type="noConversion"/>
  </si>
  <si>
    <t>지역소득개발연구(자체/직접)
 -지역소득개발연구</t>
    <phoneticPr fontId="1" type="noConversion"/>
  </si>
  <si>
    <t>도유재산 철거(자체/직접)
 -도유재산 철거</t>
    <phoneticPr fontId="1" type="noConversion"/>
  </si>
  <si>
    <t>영농 한해 특별대책지원(자체/지원)
 -영농 대비 한해특별대책 지원</t>
    <phoneticPr fontId="1" type="noConversion"/>
  </si>
  <si>
    <t>경기우수농특산물 판매활성화(자체/직접)
 -경기우수농특산물 판매활성화</t>
    <phoneticPr fontId="1" type="noConversion"/>
  </si>
  <si>
    <t>가축전염병 근절기반 조성(자체/직접)
 -재해,구제역 등 방역 재료비</t>
    <phoneticPr fontId="1" type="noConversion"/>
  </si>
  <si>
    <t>여성농업인 
지원확대 필요</t>
    <phoneticPr fontId="1" type="noConversion"/>
  </si>
  <si>
    <t>농업소식 및 정보제공(자체/지원) 
 -농업소식 및 정보제공</t>
    <phoneticPr fontId="1" type="noConversion"/>
  </si>
  <si>
    <t>농업인에게 최신 영농기술 등 정보제공 확대필요</t>
    <phoneticPr fontId="1" type="noConversion"/>
  </si>
  <si>
    <t>경기미 소비촉진을 위해 필요</t>
    <phoneticPr fontId="1" type="noConversion"/>
  </si>
  <si>
    <t>집행율 고려 불용예상액 삭감</t>
    <phoneticPr fontId="1" type="noConversion"/>
  </si>
  <si>
    <t>기금사업에 대한 도비매칭비 금액</t>
    <phoneticPr fontId="1" type="noConversion"/>
  </si>
  <si>
    <t>일손부족해소 및 노동력 절감에 기여</t>
    <phoneticPr fontId="1" type="noConversion"/>
  </si>
  <si>
    <t>이상기후 및 가뭄대비 용수확보 필요</t>
    <phoneticPr fontId="1" type="noConversion"/>
  </si>
  <si>
    <t>양식어업 애로사항 해결을 위한 연구개발운영비 등</t>
    <phoneticPr fontId="1" type="noConversion"/>
  </si>
  <si>
    <t>수산자원 증강을 위해 수산종자 방류 확대 필요</t>
    <phoneticPr fontId="1" type="noConversion"/>
  </si>
  <si>
    <t>사유지 경계침범에 따른 도유재산 철거비</t>
    <phoneticPr fontId="1" type="noConversion"/>
  </si>
  <si>
    <t>잣 부산물 및 피해목 활용화 연구필요</t>
    <phoneticPr fontId="1" type="noConversion"/>
  </si>
  <si>
    <t>숲을 이용한 유아들의 전인적 성정확대</t>
    <phoneticPr fontId="1" type="noConversion"/>
  </si>
  <si>
    <t>매년 발생하는 구제역,AI에 따른 출장여비(기본여비 부족)</t>
    <phoneticPr fontId="1" type="noConversion"/>
  </si>
  <si>
    <t>고속도로 등에 의해 단절된 등산로 연결</t>
    <phoneticPr fontId="1" type="noConversion"/>
  </si>
  <si>
    <t>국비변경내시/농림축산식품부 식품산업진흥과-3169(2016.11.10)</t>
    <phoneticPr fontId="1" type="noConversion"/>
  </si>
  <si>
    <t>농기계 사고 및 신체상해 보상으로 안정적 영농수행</t>
    <phoneticPr fontId="1" type="noConversion"/>
  </si>
  <si>
    <t>가축전염병 근절기반 조성(자체/직접)
 -가축전염병 근절 관련 출장여비</t>
    <phoneticPr fontId="1" type="noConversion"/>
  </si>
  <si>
    <t>어촌체험마을 사무장채용지원사업(국비/지원)
 -어촌체험마을 사무장채용지원(자치단체경상보조금)</t>
    <phoneticPr fontId="1" type="noConversion"/>
  </si>
  <si>
    <t>FTA폐업지원제(기금/지원)
 -FTA폐업지원제(자치단체경상보조금)</t>
    <phoneticPr fontId="1" type="noConversion"/>
  </si>
  <si>
    <t>농촌재능나눔 활성화 지원(자치단체)(국비/지원)
 - 지자체 농촌재능나눔 활동지원사업(자치단체경상보조금)</t>
    <phoneticPr fontId="1" type="noConversion"/>
  </si>
  <si>
    <t>이동수리소 운영(국비/직접)
 -어업용기자재 이동수리소 운영(민간경상사업보조)</t>
    <phoneticPr fontId="1" type="noConversion"/>
  </si>
  <si>
    <t>지역단위 6차산업 활성화 지원(국비/지원)
 -지역컨소시엄 사업(자치단체경상보조금)</t>
    <phoneticPr fontId="1" type="noConversion"/>
  </si>
  <si>
    <t>가축분뇨액비살포비지원(기금/지원)
 -가축분뇨액비살포 지원(자치단체경상보조금)</t>
    <phoneticPr fontId="1" type="noConversion"/>
  </si>
  <si>
    <t>가축분뇨퇴액비화지원(기금/지원)
 -가축분뇨 퇴액비화 지원(자치단체자본보조)</t>
    <phoneticPr fontId="1" type="noConversion"/>
  </si>
  <si>
    <t>가축분뇨정화개보수지원(기금/지원)
 -가축분뇨 정화개보수 지원(자치단체자본보조)</t>
    <phoneticPr fontId="1" type="noConversion"/>
  </si>
  <si>
    <t>공동자원화퇴액비시설장비지원(기금/지원)
 -공동자원화 퇴액비 시설장비 지원(자치단체자본보조)</t>
    <phoneticPr fontId="1" type="noConversion"/>
  </si>
  <si>
    <t>액비저장조지원(기금/지원)
 -액비저장조 지원(자치단체자본보조)</t>
    <phoneticPr fontId="1" type="noConversion"/>
  </si>
  <si>
    <t>가축분뇨부숙도판정기지원(기금/지원)
 -가축분뇨 부숙도판정기 지원(자치단체자본보조)</t>
    <phoneticPr fontId="1" type="noConversion"/>
  </si>
  <si>
    <t>정착촌가축분뇨처리시설장비지원(기금/지원)
 -정착촌 가축분뇨처리 시설장비 지원(자치단체자본보조)</t>
    <phoneticPr fontId="1" type="noConversion"/>
  </si>
  <si>
    <t>전문단지조성용기계장비구입지원(기금/지원)
 -전문단지조성용 기계장비구입 지원(자치단체자본보조)</t>
    <phoneticPr fontId="1" type="noConversion"/>
  </si>
  <si>
    <t>전문단지조성용종자구입지원(기금/지원)
 -전문단지조성용 종자구입 지원(자치단체자본보조)</t>
    <phoneticPr fontId="1" type="noConversion"/>
  </si>
  <si>
    <t>조사료생산용기계장비구입지원(기금/지원)
 -조사료생산용 기계장비구입 지원(자치단체자본보조)</t>
    <phoneticPr fontId="1" type="noConversion"/>
  </si>
  <si>
    <t>조사료생산용볏짚처리비지원(기금/지원)
 -조사료생산용 볏짚처리비 지원(자치단체자본보조)</t>
    <phoneticPr fontId="1" type="noConversion"/>
  </si>
  <si>
    <t>조사료가공유통시설지원(기금/지원)
 -조사료 가공유통시설 지원(자치단체자본보조)</t>
    <phoneticPr fontId="1" type="noConversion"/>
  </si>
  <si>
    <t>조사료품질관리지원(기금/지원)
 -조사료 품질관리 지원(자치단체자본보조)</t>
    <phoneticPr fontId="1" type="noConversion"/>
  </si>
  <si>
    <t>공익신고 보상금 상환(자체/직접)
 -공익신고 보상금 상환(기타보상금)</t>
    <phoneticPr fontId="1" type="noConversion"/>
  </si>
  <si>
    <t>산림작물생산단지(국비/지원)
 -산림작물생산단지(자치단체자본보조)</t>
    <phoneticPr fontId="1" type="noConversion"/>
  </si>
  <si>
    <t>산림복합경영단지(국비/지원)
  -산림복합경영단지(자치단체자본보조)</t>
    <phoneticPr fontId="1" type="noConversion"/>
  </si>
  <si>
    <t>축산물위생검사기관 운영비 지원(기금/직접)
 - 원료축산물 검사재료비(재료비)</t>
    <phoneticPr fontId="1" type="noConversion"/>
  </si>
  <si>
    <t xml:space="preserve">스마트 팜 권역별 현장지원센터 지원사업(국비/직접)
 -인건비(기간제근로자등보수) </t>
    <phoneticPr fontId="1" type="noConversion"/>
  </si>
  <si>
    <t>스마트 팜 권역별 현장지원센터 지원사업(국비/직접)
 -일반운영비(스마트팜 일반운영비)</t>
    <phoneticPr fontId="1" type="noConversion"/>
  </si>
  <si>
    <t>스마트 팜 권역별 현장지원센터 지원사업(국비/직접)
 -일반운영비(스마트 농가 컨설팅비)</t>
    <phoneticPr fontId="1" type="noConversion"/>
  </si>
  <si>
    <t>스마트 팜 권역별 현장지원센터 지원사업(국비/직접)
 -일반운영비(스마트팜 현장실습 전문교육)</t>
    <phoneticPr fontId="1" type="noConversion"/>
  </si>
  <si>
    <t>스마트 팜 권역별 현장지원센터 지원사업(국비/직접)
 -일반운영비(스마트팜 기술 및 정책 교육)</t>
    <phoneticPr fontId="1" type="noConversion"/>
  </si>
  <si>
    <t>스마트 팜 권역별 현장지원센터 지원사업(국비/직접)
 -여비(현장지원센터 사업추진 여비)</t>
    <phoneticPr fontId="1" type="noConversion"/>
  </si>
  <si>
    <t>스마트 팜 권역별 현장지원센터 지원사업(국비/직접)
 -연구개발비(최적생육 환경관리 시험연구비)</t>
    <phoneticPr fontId="1" type="noConversion"/>
  </si>
  <si>
    <t>스마트 팜 권역별 현장지원센터 지원사업(국비/직접)
 -일반보상금(스마트팜 교육생 식비)</t>
    <phoneticPr fontId="1" type="noConversion"/>
  </si>
  <si>
    <t>지역전략작목산학연협력(지특/직접)
 -국내여비 지역특화작목기술개발</t>
    <phoneticPr fontId="1" type="noConversion"/>
  </si>
  <si>
    <t>지역전략작목산학연협력(지특/직접)
 -국외여비 지역특화작목기술개발</t>
    <phoneticPr fontId="1" type="noConversion"/>
  </si>
  <si>
    <t>지역전략작목산학연협력(인삼광역화)(지특/직접)
 -사무관리비</t>
    <phoneticPr fontId="1" type="noConversion"/>
  </si>
  <si>
    <t>지역전략작목산학연협력(인삼광역화)(지특/직접)
 -행사운영비</t>
    <phoneticPr fontId="1" type="noConversion"/>
  </si>
  <si>
    <t>해면 수산자원조성(자체/지원)
 -해면 수산자원조성</t>
    <phoneticPr fontId="1" type="noConversion"/>
  </si>
  <si>
    <t>지역특화 양식시설 지원사업(자체/지원)
 -지역특화 양식시설 지원(자치단체자본보조)</t>
    <phoneticPr fontId="1" type="noConversion"/>
  </si>
  <si>
    <t>G마크 전용관 활성화 지원(자체/직접)
 -G마크 전용관 활성화 지원(공기관등에대한경상적대행사업비)</t>
    <phoneticPr fontId="1" type="noConversion"/>
  </si>
  <si>
    <t>농식품활용 소득창출 지원(자체/지원)
 -농산물가공 창업지원</t>
  </si>
  <si>
    <t>농촌생활 활력화(자체/지원)
 -농촌마을 공동농장 조성지원</t>
  </si>
  <si>
    <t>공수의사 활동수당(자체/지원)
 -공수의사 활동수당</t>
    <phoneticPr fontId="1" type="noConversion"/>
  </si>
  <si>
    <t>공수의사 56명 방역활동 수당 지원</t>
    <phoneticPr fontId="1" type="noConversion"/>
  </si>
  <si>
    <t>양돈농가 자돈폐사율 및 질병감소를 위해 증액필요</t>
    <phoneticPr fontId="1" type="noConversion"/>
  </si>
  <si>
    <t>구제역, AI 간이키트,   긴급방역 소독약품 증액필요</t>
    <phoneticPr fontId="1" type="noConversion"/>
  </si>
  <si>
    <t>유용미생물개발 및 이용연구(자체/직접)
-기간제근로자등 보수</t>
    <phoneticPr fontId="1" type="noConversion"/>
  </si>
  <si>
    <t>직파기술 확대를 위해 필요한 예산</t>
    <phoneticPr fontId="1" type="noConversion"/>
  </si>
  <si>
    <t xml:space="preserve"> - 2017년도 일반회계 및 기타특별회계 예산안, 기금운용계획안</t>
    <phoneticPr fontId="1" type="noConversion"/>
  </si>
  <si>
    <t>계수조정 결과</t>
    <phoneticPr fontId="1" type="noConversion"/>
  </si>
  <si>
    <t>사업설명서페이지</t>
  </si>
  <si>
    <t>자연재해(폭염 등)에 의한 가축피해 발생증가</t>
    <phoneticPr fontId="1" type="noConversion"/>
  </si>
  <si>
    <t>가축분뇨로 인한 해충 및 축산악취 저감을 위해 증액필요</t>
    <phoneticPr fontId="1" type="noConversion"/>
  </si>
  <si>
    <t>11.1 유기농업팀 신설에 따른 유용미생물 연구강화로 연구비 증액</t>
  </si>
  <si>
    <t>버섯연구소 관리사 안전진단결과(11.11) 위험 e등급(발코니 처짐)</t>
    <phoneticPr fontId="1" type="noConversion"/>
  </si>
  <si>
    <t>기후변화에 따른 새로운 돌발병해충 민원증가 및 대응 연구 연구비 증가</t>
  </si>
  <si>
    <t>친환경농업과</t>
    <phoneticPr fontId="1" type="noConversion"/>
  </si>
  <si>
    <t>경기 명품쌀 생산 새기술보급 및 수출단지 조성(자체/지원)
-벼 직파재배 생산기술 시범</t>
  </si>
  <si>
    <t>유용미생물 이용 새기술보급(자체/지원)
-고농도 미생물 배양기 확대 보급</t>
  </si>
  <si>
    <t>원예 새기술보급(자체/지원)
-저면관수베드 등 시설개선 분화생산기술 시범</t>
  </si>
  <si>
    <t>유용미생물 이용 새기술보급(자체/지원)
-미생물 생산 운영 지원</t>
  </si>
  <si>
    <t>축산 새기술보급(자체/지원)
 - 국내육성 꿀벌 신품종 보급 시범</t>
  </si>
  <si>
    <t>축산 새기술보급(자체/지원)
 - 천연 항생물질 이용 가축질병예방 시범</t>
  </si>
  <si>
    <t>4-H육성 지원(자체/지원)
 -젊은농부 영농기술 시범</t>
  </si>
  <si>
    <t>쌀 안정화 특화단지 인센티브 지원(자체/지원)
 -쌀 안정화 특화단지 인센티브 지원(자치단체경상보조)</t>
    <phoneticPr fontId="1" type="noConversion"/>
  </si>
  <si>
    <t>타작물 재배활성화를 통한 쌀 수급 및 쌀값안정 도모</t>
    <phoneticPr fontId="1" type="noConversion"/>
  </si>
  <si>
    <t>경기로컬푸드농축산물 대축제(자체/직접)
 -경기로컬푸드농축산물 대축제(민간행사사업보조)</t>
    <phoneticPr fontId="1" type="noConversion"/>
  </si>
  <si>
    <t>연구교습어장(국비/직접)
 -연구교습어장 시험연구보조인건비(기간제근로자등보수)</t>
    <phoneticPr fontId="1" type="noConversion"/>
  </si>
  <si>
    <t>연구교습어장(국비/직접)
 -연구교습어장 시험연구비(시험연구비)</t>
    <phoneticPr fontId="1" type="noConversion"/>
  </si>
  <si>
    <t>일반회계</t>
    <phoneticPr fontId="1" type="noConversion"/>
  </si>
  <si>
    <t>합  계</t>
    <phoneticPr fontId="1" type="noConversion"/>
  </si>
  <si>
    <t>세출기준-세입기준</t>
    <phoneticPr fontId="1" type="noConversion"/>
  </si>
  <si>
    <t>수정예산(안)</t>
    <phoneticPr fontId="1" type="noConversion"/>
  </si>
  <si>
    <t>증감액</t>
    <phoneticPr fontId="1" type="noConversion"/>
  </si>
  <si>
    <t>증 액</t>
    <phoneticPr fontId="1" type="noConversion"/>
  </si>
  <si>
    <t>감 액</t>
    <phoneticPr fontId="1" type="noConversion"/>
  </si>
  <si>
    <t>세입기준</t>
    <phoneticPr fontId="1" type="noConversion"/>
  </si>
  <si>
    <t>구  분</t>
    <phoneticPr fontId="1" type="noConversion"/>
  </si>
  <si>
    <t>(단위 : 천원)</t>
    <phoneticPr fontId="1" type="noConversion"/>
  </si>
  <si>
    <t>□ 회계별 예산 총 규모</t>
    <phoneticPr fontId="1" type="noConversion"/>
  </si>
  <si>
    <t>도시환경위원회</t>
    <phoneticPr fontId="1" type="noConversion"/>
  </si>
  <si>
    <t>문화체육관광위원회</t>
    <phoneticPr fontId="1" type="noConversion"/>
  </si>
  <si>
    <t>2017년도 일반 및 특별회계 세입·세출 예산안(전체예산총괄)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</si>
  <si>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</si>
  <si>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</si>
  <si>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</si>
  <si>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※ 예비비 증감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</si>
  <si>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</si>
  <si>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</si>
  <si>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</si>
  <si>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※ 예산안 증감현황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</si>
  <si>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</si>
  <si>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</si>
  <si>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</si>
  <si>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비고(???)</t>
    <phoneticPr fontId="1" type="noConversion"/>
  </si>
  <si>
    <t>의회운영위원회</t>
    <phoneticPr fontId="1" type="noConversion"/>
  </si>
  <si>
    <t>예비비 증감
 - 감액,
+ 증액에 입력</t>
    <phoneticPr fontId="1" type="noConversion"/>
  </si>
  <si>
    <t>기획재정위원회</t>
    <phoneticPr fontId="1" type="noConversion"/>
  </si>
  <si>
    <t>특별회계</t>
    <phoneticPr fontId="1" type="noConversion"/>
  </si>
  <si>
    <t>경제과학기술위원회</t>
    <phoneticPr fontId="1" type="noConversion"/>
  </si>
  <si>
    <t>안전행정위원회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</si>
  <si>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</si>
  <si>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</si>
  <si>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</si>
  <si>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</si>
  <si>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※ 회계별, 위원회별 집행부제출안(상임위에서 작성)</t>
    <phoneticPr fontId="1" type="noConversion"/>
  </si>
  <si>
    <t>위원회명</t>
    <phoneticPr fontId="1" type="noConversion"/>
  </si>
  <si>
    <t>합계</t>
    <phoneticPr fontId="1" type="noConversion"/>
  </si>
  <si>
    <t>일반+기타</t>
    <phoneticPr fontId="1" type="noConversion"/>
  </si>
  <si>
    <t>기타특별회계</t>
    <phoneticPr fontId="1" type="noConversion"/>
  </si>
  <si>
    <t>공기업특별회계</t>
    <phoneticPr fontId="1" type="noConversion"/>
  </si>
  <si>
    <t>0234-1</t>
    <phoneticPr fontId="1" type="noConversion"/>
  </si>
  <si>
    <t>세입없음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</si>
</sst>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&quot;RM&quot;#,##0.00_);[Red]&quot;₩&quot;\!\(&quot;RM&quot;#,##0.00&quot;₩&quot;\!\)"/>
    <numFmt numFmtId="181" formatCode="&quot;?#,##0;\-&quot;&quot;?&quot;#,##0"/>
    <numFmt numFmtId="182" formatCode="&quot;?#,##0.00;\-&quot;&quot;?&quot;#,##0.00"/>
    <numFmt numFmtId="183" formatCode="#,##0.00&quot;₩&quot;\!\ &quot;F&quot;;[Red]&quot;₩&quot;\!\-#,##0.00&quot;₩&quot;\!\ &quot;F&quot;"/>
    <numFmt numFmtId="184" formatCode="0.000"/>
    <numFmt numFmtId="185" formatCode="#,##0;&quot;△&quot;#,##0"/>
  </numFmts>
  <fonts count="8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8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뼻뮝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theme="1"/>
      <name val="궁서체"/>
      <family val="1"/>
      <charset val="129"/>
    </font>
    <font>
      <sz val="45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8"/>
      <color theme="1"/>
      <name val="HY견고딕"/>
      <family val="1"/>
      <charset val="129"/>
    </font>
    <font>
      <b/>
      <sz val="12"/>
      <color rgb="FFFF0000"/>
      <name val="맑은 고딕"/>
      <family val="3"/>
      <charset val="129"/>
      <scheme val="minor"/>
    </font>
  </fonts>
  <fills count="9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7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7" fillId="0" borderId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28" fillId="0" borderId="0" applyFill="0" applyAlignment="0"/>
    <xf numFmtId="0" fontId="28" fillId="0" borderId="0" applyNumberFormat="0" applyBorder="0" applyProtection="0"/>
    <xf numFmtId="0" fontId="28" fillId="0" borderId="0" applyNumberFormat="0" applyBorder="0" applyProtection="0"/>
    <xf numFmtId="0" fontId="18" fillId="2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36" fillId="54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7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36" fillId="56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9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36" fillId="60" borderId="0" applyNumberFormat="0" applyBorder="0" applyAlignment="0" applyProtection="0">
      <alignment vertical="center"/>
    </xf>
    <xf numFmtId="0" fontId="36" fillId="61" borderId="0" applyNumberFormat="0" applyBorder="0" applyAlignment="0" applyProtection="0">
      <alignment vertical="center"/>
    </xf>
    <xf numFmtId="0" fontId="36" fillId="60" borderId="0" applyNumberFormat="0" applyBorder="0" applyAlignment="0" applyProtection="0">
      <alignment vertical="center"/>
    </xf>
    <xf numFmtId="0" fontId="36" fillId="6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36" fillId="62" borderId="0" applyNumberFormat="0" applyBorder="0" applyAlignment="0" applyProtection="0">
      <alignment vertical="center"/>
    </xf>
    <xf numFmtId="0" fontId="36" fillId="63" borderId="0" applyNumberFormat="0" applyBorder="0" applyAlignment="0" applyProtection="0">
      <alignment vertical="center"/>
    </xf>
    <xf numFmtId="0" fontId="36" fillId="62" borderId="0" applyNumberFormat="0" applyBorder="0" applyAlignment="0" applyProtection="0">
      <alignment vertical="center"/>
    </xf>
    <xf numFmtId="0" fontId="36" fillId="62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9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18" fillId="44" borderId="0" applyNumberFormat="0" applyBorder="0" applyAlignment="0" applyProtection="0">
      <alignment vertical="center"/>
    </xf>
    <xf numFmtId="0" fontId="36" fillId="64" borderId="0" applyNumberFormat="0" applyBorder="0" applyAlignment="0" applyProtection="0">
      <alignment vertical="center"/>
    </xf>
    <xf numFmtId="0" fontId="36" fillId="65" borderId="0" applyNumberFormat="0" applyBorder="0" applyAlignment="0" applyProtection="0">
      <alignment vertical="center"/>
    </xf>
    <xf numFmtId="0" fontId="36" fillId="64" borderId="0" applyNumberFormat="0" applyBorder="0" applyAlignment="0" applyProtection="0">
      <alignment vertical="center"/>
    </xf>
    <xf numFmtId="0" fontId="36" fillId="64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37" fillId="67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37" fillId="66" borderId="0" applyNumberFormat="0" applyBorder="0" applyAlignment="0" applyProtection="0">
      <alignment vertical="center"/>
    </xf>
    <xf numFmtId="0" fontId="54" fillId="29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1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37" fillId="60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3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37" fillId="62" borderId="0" applyNumberFormat="0" applyBorder="0" applyAlignment="0" applyProtection="0">
      <alignment vertical="center"/>
    </xf>
    <xf numFmtId="0" fontId="54" fillId="37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37" fillId="69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37" fillId="70" borderId="0" applyNumberFormat="0" applyBorder="0" applyAlignment="0" applyProtection="0">
      <alignment vertical="center"/>
    </xf>
    <xf numFmtId="0" fontId="37" fillId="71" borderId="0" applyNumberFormat="0" applyBorder="0" applyAlignment="0" applyProtection="0">
      <alignment vertical="center"/>
    </xf>
    <xf numFmtId="0" fontId="37" fillId="70" borderId="0" applyNumberFormat="0" applyBorder="0" applyAlignment="0" applyProtection="0">
      <alignment vertical="center"/>
    </xf>
    <xf numFmtId="0" fontId="37" fillId="70" borderId="0" applyNumberFormat="0" applyBorder="0" applyAlignment="0" applyProtection="0">
      <alignment vertical="center"/>
    </xf>
    <xf numFmtId="0" fontId="54" fillId="45" borderId="0" applyNumberFormat="0" applyBorder="0" applyAlignment="0" applyProtection="0">
      <alignment vertical="center"/>
    </xf>
    <xf numFmtId="0" fontId="37" fillId="72" borderId="0" applyNumberFormat="0" applyBorder="0" applyAlignment="0" applyProtection="0">
      <alignment vertical="center"/>
    </xf>
    <xf numFmtId="0" fontId="37" fillId="73" borderId="0" applyNumberFormat="0" applyBorder="0" applyAlignment="0" applyProtection="0">
      <alignment vertical="center"/>
    </xf>
    <xf numFmtId="0" fontId="37" fillId="72" borderId="0" applyNumberFormat="0" applyBorder="0" applyAlignment="0" applyProtection="0">
      <alignment vertical="center"/>
    </xf>
    <xf numFmtId="0" fontId="37" fillId="72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32" fillId="0" borderId="0" applyFont="0" applyFill="0" applyBorder="0" applyAlignment="0" applyProtection="0"/>
    <xf numFmtId="180" fontId="27" fillId="0" borderId="0" applyFont="0" applyFill="0" applyBorder="0" applyAlignment="0" applyProtection="0"/>
    <xf numFmtId="38" fontId="33" fillId="74" borderId="0" applyNumberFormat="0" applyBorder="0" applyAlignment="0" applyProtection="0"/>
    <xf numFmtId="0" fontId="34" fillId="0" borderId="25" applyNumberFormat="0" applyAlignment="0" applyProtection="0">
      <alignment horizontal="left" vertical="center"/>
    </xf>
    <xf numFmtId="0" fontId="34" fillId="0" borderId="8">
      <alignment horizontal="left" vertical="center"/>
    </xf>
    <xf numFmtId="10" fontId="33" fillId="13" borderId="2" applyNumberFormat="0" applyBorder="0" applyAlignment="0" applyProtection="0"/>
    <xf numFmtId="180" fontId="27" fillId="0" borderId="0"/>
    <xf numFmtId="180" fontId="27" fillId="0" borderId="0"/>
    <xf numFmtId="180" fontId="27" fillId="0" borderId="0"/>
    <xf numFmtId="180" fontId="27" fillId="0" borderId="0"/>
    <xf numFmtId="180" fontId="27" fillId="0" borderId="0"/>
    <xf numFmtId="180" fontId="27" fillId="0" borderId="0"/>
    <xf numFmtId="180" fontId="27" fillId="0" borderId="0"/>
    <xf numFmtId="180" fontId="27" fillId="0" borderId="0"/>
    <xf numFmtId="180" fontId="27" fillId="0" borderId="0"/>
    <xf numFmtId="180" fontId="27" fillId="0" borderId="0"/>
    <xf numFmtId="180" fontId="27" fillId="0" borderId="0"/>
    <xf numFmtId="0" fontId="31" fillId="0" borderId="0"/>
    <xf numFmtId="10" fontId="31" fillId="0" borderId="0" applyFont="0" applyFill="0" applyBorder="0" applyAlignment="0" applyProtection="0"/>
    <xf numFmtId="0" fontId="54" fillId="22" borderId="0" applyNumberFormat="0" applyBorder="0" applyAlignment="0" applyProtection="0">
      <alignment vertical="center"/>
    </xf>
    <xf numFmtId="0" fontId="37" fillId="75" borderId="0" applyNumberFormat="0" applyBorder="0" applyAlignment="0" applyProtection="0">
      <alignment vertical="center"/>
    </xf>
    <xf numFmtId="0" fontId="37" fillId="76" borderId="0" applyNumberFormat="0" applyBorder="0" applyAlignment="0" applyProtection="0">
      <alignment vertical="center"/>
    </xf>
    <xf numFmtId="0" fontId="37" fillId="75" borderId="0" applyNumberFormat="0" applyBorder="0" applyAlignment="0" applyProtection="0">
      <alignment vertical="center"/>
    </xf>
    <xf numFmtId="0" fontId="37" fillId="75" borderId="0" applyNumberFormat="0" applyBorder="0" applyAlignment="0" applyProtection="0">
      <alignment vertical="center"/>
    </xf>
    <xf numFmtId="0" fontId="54" fillId="26" borderId="0" applyNumberFormat="0" applyBorder="0" applyAlignment="0" applyProtection="0">
      <alignment vertical="center"/>
    </xf>
    <xf numFmtId="0" fontId="37" fillId="77" borderId="0" applyNumberFormat="0" applyBorder="0" applyAlignment="0" applyProtection="0">
      <alignment vertical="center"/>
    </xf>
    <xf numFmtId="0" fontId="37" fillId="78" borderId="0" applyNumberFormat="0" applyBorder="0" applyAlignment="0" applyProtection="0">
      <alignment vertical="center"/>
    </xf>
    <xf numFmtId="0" fontId="37" fillId="77" borderId="0" applyNumberFormat="0" applyBorder="0" applyAlignment="0" applyProtection="0">
      <alignment vertical="center"/>
    </xf>
    <xf numFmtId="0" fontId="37" fillId="77" borderId="0" applyNumberFormat="0" applyBorder="0" applyAlignment="0" applyProtection="0">
      <alignment vertical="center"/>
    </xf>
    <xf numFmtId="0" fontId="54" fillId="30" borderId="0" applyNumberFormat="0" applyBorder="0" applyAlignment="0" applyProtection="0">
      <alignment vertical="center"/>
    </xf>
    <xf numFmtId="0" fontId="37" fillId="79" borderId="0" applyNumberFormat="0" applyBorder="0" applyAlignment="0" applyProtection="0">
      <alignment vertical="center"/>
    </xf>
    <xf numFmtId="0" fontId="37" fillId="80" borderId="0" applyNumberFormat="0" applyBorder="0" applyAlignment="0" applyProtection="0">
      <alignment vertical="center"/>
    </xf>
    <xf numFmtId="0" fontId="37" fillId="79" borderId="0" applyNumberFormat="0" applyBorder="0" applyAlignment="0" applyProtection="0">
      <alignment vertical="center"/>
    </xf>
    <xf numFmtId="0" fontId="37" fillId="79" borderId="0" applyNumberFormat="0" applyBorder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37" fillId="69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37" fillId="68" borderId="0" applyNumberFormat="0" applyBorder="0" applyAlignment="0" applyProtection="0">
      <alignment vertical="center"/>
    </xf>
    <xf numFmtId="0" fontId="54" fillId="38" borderId="0" applyNumberFormat="0" applyBorder="0" applyAlignment="0" applyProtection="0">
      <alignment vertical="center"/>
    </xf>
    <xf numFmtId="0" fontId="37" fillId="70" borderId="0" applyNumberFormat="0" applyBorder="0" applyAlignment="0" applyProtection="0">
      <alignment vertical="center"/>
    </xf>
    <xf numFmtId="0" fontId="37" fillId="71" borderId="0" applyNumberFormat="0" applyBorder="0" applyAlignment="0" applyProtection="0">
      <alignment vertical="center"/>
    </xf>
    <xf numFmtId="0" fontId="37" fillId="70" borderId="0" applyNumberFormat="0" applyBorder="0" applyAlignment="0" applyProtection="0">
      <alignment vertical="center"/>
    </xf>
    <xf numFmtId="0" fontId="37" fillId="70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37" fillId="81" borderId="0" applyNumberFormat="0" applyBorder="0" applyAlignment="0" applyProtection="0">
      <alignment vertical="center"/>
    </xf>
    <xf numFmtId="0" fontId="37" fillId="82" borderId="0" applyNumberFormat="0" applyBorder="0" applyAlignment="0" applyProtection="0">
      <alignment vertical="center"/>
    </xf>
    <xf numFmtId="0" fontId="37" fillId="81" borderId="0" applyNumberFormat="0" applyBorder="0" applyAlignment="0" applyProtection="0">
      <alignment vertical="center"/>
    </xf>
    <xf numFmtId="0" fontId="37" fillId="81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56" fillId="19" borderId="19" applyNumberFormat="0" applyAlignment="0" applyProtection="0">
      <alignment vertical="center"/>
    </xf>
    <xf numFmtId="0" fontId="39" fillId="83" borderId="26" applyNumberFormat="0" applyAlignment="0" applyProtection="0">
      <alignment vertical="center"/>
    </xf>
    <xf numFmtId="0" fontId="39" fillId="74" borderId="26" applyNumberFormat="0" applyAlignment="0" applyProtection="0">
      <alignment vertical="center"/>
    </xf>
    <xf numFmtId="0" fontId="39" fillId="83" borderId="26" applyNumberFormat="0" applyAlignment="0" applyProtection="0">
      <alignment vertical="center"/>
    </xf>
    <xf numFmtId="0" fontId="39" fillId="83" borderId="26" applyNumberFormat="0" applyAlignment="0" applyProtection="0">
      <alignment vertical="center"/>
    </xf>
    <xf numFmtId="0" fontId="57" fillId="16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18" fillId="21" borderId="23" applyNumberFormat="0" applyFont="0" applyAlignment="0" applyProtection="0">
      <alignment vertical="center"/>
    </xf>
    <xf numFmtId="0" fontId="27" fillId="84" borderId="27" applyNumberFormat="0" applyFont="0" applyAlignment="0" applyProtection="0">
      <alignment vertical="center"/>
    </xf>
    <xf numFmtId="0" fontId="27" fillId="13" borderId="27" applyNumberFormat="0" applyFont="0" applyAlignment="0" applyProtection="0">
      <alignment vertical="center"/>
    </xf>
    <xf numFmtId="0" fontId="27" fillId="84" borderId="27" applyNumberFormat="0" applyFont="0" applyAlignment="0" applyProtection="0">
      <alignment vertical="center"/>
    </xf>
    <xf numFmtId="0" fontId="27" fillId="84" borderId="27" applyNumberFormat="0" applyFont="0" applyAlignment="0" applyProtection="0">
      <alignment vertical="center"/>
    </xf>
    <xf numFmtId="9" fontId="28" fillId="0" borderId="0" applyFont="0" applyFill="0" applyAlignment="0" applyProtection="0"/>
    <xf numFmtId="9" fontId="27" fillId="0" borderId="0" applyFont="0" applyFill="0" applyBorder="0" applyAlignment="0" applyProtection="0">
      <alignment vertical="center"/>
    </xf>
    <xf numFmtId="0" fontId="58" fillId="17" borderId="0" applyNumberFormat="0" applyBorder="0" applyAlignment="0" applyProtection="0">
      <alignment vertical="center"/>
    </xf>
    <xf numFmtId="0" fontId="41" fillId="85" borderId="0" applyNumberFormat="0" applyBorder="0" applyAlignment="0" applyProtection="0">
      <alignment vertical="center"/>
    </xf>
    <xf numFmtId="0" fontId="41" fillId="86" borderId="0" applyNumberFormat="0" applyBorder="0" applyAlignment="0" applyProtection="0">
      <alignment vertical="center"/>
    </xf>
    <xf numFmtId="0" fontId="41" fillId="85" borderId="0" applyNumberFormat="0" applyBorder="0" applyAlignment="0" applyProtection="0">
      <alignment vertical="center"/>
    </xf>
    <xf numFmtId="0" fontId="41" fillId="85" borderId="0" applyNumberFormat="0" applyBorder="0" applyAlignment="0" applyProtection="0">
      <alignment vertical="center"/>
    </xf>
    <xf numFmtId="0" fontId="35" fillId="0" borderId="0"/>
    <xf numFmtId="0" fontId="59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60" fillId="20" borderId="22" applyNumberFormat="0" applyAlignment="0" applyProtection="0">
      <alignment vertical="center"/>
    </xf>
    <xf numFmtId="0" fontId="43" fillId="87" borderId="28" applyNumberFormat="0" applyAlignment="0" applyProtection="0">
      <alignment vertical="center"/>
    </xf>
    <xf numFmtId="0" fontId="43" fillId="88" borderId="28" applyNumberFormat="0" applyAlignment="0" applyProtection="0">
      <alignment vertical="center"/>
    </xf>
    <xf numFmtId="0" fontId="43" fillId="87" borderId="28" applyNumberFormat="0" applyAlignment="0" applyProtection="0">
      <alignment vertical="center"/>
    </xf>
    <xf numFmtId="0" fontId="43" fillId="87" borderId="28" applyNumberFormat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179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0" fontId="28" fillId="0" borderId="0" applyNumberFormat="0" applyBorder="0" applyProtection="0"/>
    <xf numFmtId="180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8" fillId="0" borderId="0" applyNumberFormat="0" applyBorder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0" fontId="61" fillId="0" borderId="21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44" fillId="0" borderId="29" applyNumberFormat="0" applyFill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45" fillId="0" borderId="30" applyNumberFormat="0" applyFill="0" applyAlignment="0" applyProtection="0">
      <alignment vertical="center"/>
    </xf>
    <xf numFmtId="0" fontId="62" fillId="18" borderId="19" applyNumberFormat="0" applyAlignment="0" applyProtection="0">
      <alignment vertical="center"/>
    </xf>
    <xf numFmtId="0" fontId="46" fillId="56" borderId="26" applyNumberFormat="0" applyAlignment="0" applyProtection="0">
      <alignment vertical="center"/>
    </xf>
    <xf numFmtId="0" fontId="46" fillId="57" borderId="26" applyNumberFormat="0" applyAlignment="0" applyProtection="0">
      <alignment vertical="center"/>
    </xf>
    <xf numFmtId="0" fontId="46" fillId="56" borderId="26" applyNumberFormat="0" applyAlignment="0" applyProtection="0">
      <alignment vertical="center"/>
    </xf>
    <xf numFmtId="0" fontId="46" fillId="56" borderId="26" applyNumberFormat="0" applyAlignment="0" applyProtection="0">
      <alignment vertical="center"/>
    </xf>
    <xf numFmtId="0" fontId="64" fillId="0" borderId="16" applyNumberFormat="0" applyFill="0" applyAlignment="0" applyProtection="0">
      <alignment vertical="center"/>
    </xf>
    <xf numFmtId="0" fontId="48" fillId="0" borderId="31" applyNumberFormat="0" applyFill="0" applyAlignment="0" applyProtection="0">
      <alignment vertical="center"/>
    </xf>
    <xf numFmtId="0" fontId="48" fillId="0" borderId="31" applyNumberFormat="0" applyFill="0" applyAlignment="0" applyProtection="0">
      <alignment vertical="center"/>
    </xf>
    <xf numFmtId="0" fontId="65" fillId="0" borderId="17" applyNumberFormat="0" applyFill="0" applyAlignment="0" applyProtection="0">
      <alignment vertical="center"/>
    </xf>
    <xf numFmtId="0" fontId="49" fillId="0" borderId="32" applyNumberFormat="0" applyFill="0" applyAlignment="0" applyProtection="0">
      <alignment vertical="center"/>
    </xf>
    <xf numFmtId="0" fontId="49" fillId="0" borderId="32" applyNumberFormat="0" applyFill="0" applyAlignment="0" applyProtection="0">
      <alignment vertical="center"/>
    </xf>
    <xf numFmtId="0" fontId="66" fillId="0" borderId="18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51" fillId="51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51" fillId="50" borderId="0" applyNumberFormat="0" applyBorder="0" applyAlignment="0" applyProtection="0">
      <alignment vertical="center"/>
    </xf>
    <xf numFmtId="0" fontId="68" fillId="19" borderId="20" applyNumberFormat="0" applyAlignment="0" applyProtection="0">
      <alignment vertical="center"/>
    </xf>
    <xf numFmtId="0" fontId="52" fillId="83" borderId="34" applyNumberFormat="0" applyAlignment="0" applyProtection="0">
      <alignment vertical="center"/>
    </xf>
    <xf numFmtId="0" fontId="52" fillId="74" borderId="34" applyNumberFormat="0" applyAlignment="0" applyProtection="0">
      <alignment vertical="center"/>
    </xf>
    <xf numFmtId="0" fontId="52" fillId="83" borderId="34" applyNumberFormat="0" applyAlignment="0" applyProtection="0">
      <alignment vertical="center"/>
    </xf>
    <xf numFmtId="0" fontId="52" fillId="83" borderId="34" applyNumberFormat="0" applyAlignment="0" applyProtection="0">
      <alignment vertical="center"/>
    </xf>
    <xf numFmtId="183" fontId="2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/>
    <xf numFmtId="0" fontId="28" fillId="0" borderId="0" applyFill="0" applyAlignment="0"/>
    <xf numFmtId="0" fontId="27" fillId="0" borderId="0"/>
    <xf numFmtId="0" fontId="18" fillId="0" borderId="0" applyNumberFormat="0" applyFont="0" applyFill="0" applyBorder="0" applyAlignment="0" applyProtection="0">
      <alignment vertical="center"/>
    </xf>
    <xf numFmtId="0" fontId="27" fillId="0" borderId="0"/>
    <xf numFmtId="0" fontId="18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</cellStyleXfs>
  <cellXfs count="29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16" fillId="6" borderId="10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9" xfId="0" applyFont="1" applyFill="1" applyBorder="1" applyAlignment="1">
      <alignment horizontal="centerContinuous" vertical="center"/>
    </xf>
    <xf numFmtId="176" fontId="2" fillId="6" borderId="4" xfId="1" applyNumberFormat="1" applyFont="1" applyFill="1" applyBorder="1" applyAlignment="1">
      <alignment horizontal="righ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7" xfId="0" applyFont="1" applyFill="1" applyBorder="1">
      <alignment vertical="center"/>
    </xf>
    <xf numFmtId="0" fontId="15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2" fillId="0" borderId="7" xfId="0" applyFont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9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20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" fillId="12" borderId="1" xfId="0" applyFont="1" applyFill="1" applyBorder="1">
      <alignment vertical="center"/>
    </xf>
    <xf numFmtId="178" fontId="24" fillId="6" borderId="2" xfId="0" applyNumberFormat="1" applyFont="1" applyFill="1" applyBorder="1" applyAlignment="1">
      <alignment horizontal="center" vertical="center"/>
    </xf>
    <xf numFmtId="178" fontId="24" fillId="10" borderId="2" xfId="0" applyNumberFormat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41" fontId="2" fillId="0" borderId="0" xfId="1" applyFont="1">
      <alignment vertical="center"/>
    </xf>
    <xf numFmtId="41" fontId="3" fillId="0" borderId="0" xfId="1" applyFont="1">
      <alignment vertical="center"/>
    </xf>
    <xf numFmtId="176" fontId="70" fillId="0" borderId="9" xfId="1" applyNumberFormat="1" applyFont="1" applyBorder="1" applyAlignment="1">
      <alignment horizontal="right" vertical="center"/>
    </xf>
    <xf numFmtId="176" fontId="70" fillId="0" borderId="4" xfId="1" applyNumberFormat="1" applyFont="1" applyBorder="1" applyAlignment="1">
      <alignment horizontal="right" vertical="center"/>
    </xf>
    <xf numFmtId="176" fontId="70" fillId="0" borderId="7" xfId="1" applyNumberFormat="1" applyFont="1" applyBorder="1" applyAlignment="1">
      <alignment horizontal="right" vertical="center"/>
    </xf>
    <xf numFmtId="176" fontId="70" fillId="7" borderId="7" xfId="1" applyNumberFormat="1" applyFont="1" applyFill="1" applyBorder="1" applyAlignment="1">
      <alignment horizontal="right" vertical="center"/>
    </xf>
    <xf numFmtId="0" fontId="70" fillId="0" borderId="4" xfId="0" applyFont="1" applyBorder="1" applyAlignment="1">
      <alignment horizontal="center" vertical="center"/>
    </xf>
    <xf numFmtId="0" fontId="70" fillId="0" borderId="7" xfId="0" applyFont="1" applyBorder="1" applyAlignment="1">
      <alignment vertical="center" wrapText="1"/>
    </xf>
    <xf numFmtId="0" fontId="70" fillId="0" borderId="0" xfId="0" applyFont="1">
      <alignment vertical="center"/>
    </xf>
    <xf numFmtId="0" fontId="70" fillId="0" borderId="9" xfId="0" applyFont="1" applyBorder="1">
      <alignment vertical="center"/>
    </xf>
    <xf numFmtId="0" fontId="27" fillId="0" borderId="0" xfId="2" applyFill="1"/>
    <xf numFmtId="0" fontId="74" fillId="0" borderId="0" xfId="2" applyFont="1" applyAlignment="1">
      <alignment vertical="center"/>
    </xf>
    <xf numFmtId="0" fontId="75" fillId="0" borderId="0" xfId="2" applyFont="1" applyAlignment="1">
      <alignment vertical="center"/>
    </xf>
    <xf numFmtId="179" fontId="76" fillId="0" borderId="0" xfId="3" applyFont="1" applyFill="1"/>
    <xf numFmtId="0" fontId="76" fillId="0" borderId="0" xfId="2" applyFont="1" applyFill="1" applyAlignment="1">
      <alignment horizontal="right"/>
    </xf>
    <xf numFmtId="0" fontId="76" fillId="0" borderId="0" xfId="2" applyFont="1" applyFill="1"/>
    <xf numFmtId="0" fontId="77" fillId="13" borderId="37" xfId="2" applyFont="1" applyFill="1" applyBorder="1" applyAlignment="1">
      <alignment vertical="center"/>
    </xf>
    <xf numFmtId="0" fontId="77" fillId="13" borderId="38" xfId="2" applyFont="1" applyFill="1" applyBorder="1" applyAlignment="1">
      <alignment vertical="center"/>
    </xf>
    <xf numFmtId="0" fontId="77" fillId="13" borderId="39" xfId="2" applyFont="1" applyFill="1" applyBorder="1" applyAlignment="1">
      <alignment vertical="center"/>
    </xf>
    <xf numFmtId="0" fontId="27" fillId="0" borderId="0" xfId="2" applyFill="1" applyBorder="1"/>
    <xf numFmtId="0" fontId="77" fillId="13" borderId="43" xfId="2" applyFont="1" applyFill="1" applyBorder="1" applyAlignment="1">
      <alignment horizontal="center" vertical="center"/>
    </xf>
    <xf numFmtId="0" fontId="77" fillId="13" borderId="43" xfId="2" applyFont="1" applyFill="1" applyBorder="1" applyAlignment="1">
      <alignment horizontal="center" vertical="center" wrapText="1"/>
    </xf>
    <xf numFmtId="0" fontId="77" fillId="13" borderId="43" xfId="2" applyFont="1" applyFill="1" applyBorder="1" applyAlignment="1">
      <alignment horizontal="center" vertical="center" wrapText="1" shrinkToFit="1"/>
    </xf>
    <xf numFmtId="0" fontId="79" fillId="0" borderId="46" xfId="2" applyNumberFormat="1" applyFont="1" applyFill="1" applyBorder="1" applyAlignment="1">
      <alignment horizontal="left" vertical="center" shrinkToFit="1"/>
    </xf>
    <xf numFmtId="0" fontId="77" fillId="0" borderId="47" xfId="2" applyFont="1" applyFill="1" applyBorder="1" applyAlignment="1">
      <alignment horizontal="center" vertical="center" shrinkToFit="1"/>
    </xf>
    <xf numFmtId="185" fontId="79" fillId="0" borderId="1" xfId="4" applyNumberFormat="1" applyFont="1" applyFill="1" applyBorder="1" applyAlignment="1">
      <alignment horizontal="right" vertical="center" shrinkToFit="1"/>
    </xf>
    <xf numFmtId="185" fontId="77" fillId="0" borderId="48" xfId="4" applyNumberFormat="1" applyFont="1" applyFill="1" applyBorder="1" applyAlignment="1">
      <alignment horizontal="right" vertical="center" shrinkToFit="1"/>
    </xf>
    <xf numFmtId="185" fontId="76" fillId="0" borderId="40" xfId="4" applyNumberFormat="1" applyFont="1" applyFill="1" applyBorder="1" applyAlignment="1">
      <alignment horizontal="right" vertical="center" shrinkToFit="1"/>
    </xf>
    <xf numFmtId="0" fontId="76" fillId="0" borderId="41" xfId="2" quotePrefix="1" applyFont="1" applyFill="1" applyBorder="1" applyAlignment="1">
      <alignment vertical="center" shrinkToFit="1"/>
    </xf>
    <xf numFmtId="0" fontId="80" fillId="0" borderId="49" xfId="2" applyNumberFormat="1" applyFont="1" applyFill="1" applyBorder="1" applyAlignment="1">
      <alignment horizontal="left" vertical="center" wrapText="1" shrinkToFit="1"/>
    </xf>
    <xf numFmtId="0" fontId="76" fillId="0" borderId="50" xfId="2" applyFont="1" applyFill="1" applyBorder="1" applyAlignment="1">
      <alignment horizontal="center" vertical="center" shrinkToFit="1"/>
    </xf>
    <xf numFmtId="185" fontId="80" fillId="0" borderId="50" xfId="4" applyNumberFormat="1" applyFont="1" applyFill="1" applyBorder="1" applyAlignment="1">
      <alignment horizontal="right" vertical="center" shrinkToFit="1"/>
    </xf>
    <xf numFmtId="185" fontId="76" fillId="0" borderId="50" xfId="4" applyNumberFormat="1" applyFont="1" applyFill="1" applyBorder="1" applyAlignment="1">
      <alignment horizontal="right" vertical="center" shrinkToFit="1"/>
    </xf>
    <xf numFmtId="185" fontId="76" fillId="0" borderId="51" xfId="4" applyNumberFormat="1" applyFont="1" applyFill="1" applyBorder="1" applyAlignment="1">
      <alignment horizontal="right" vertical="center" shrinkToFit="1"/>
    </xf>
    <xf numFmtId="0" fontId="76" fillId="0" borderId="52" xfId="2" applyFont="1" applyFill="1" applyBorder="1" applyAlignment="1">
      <alignment vertical="center" shrinkToFit="1"/>
    </xf>
    <xf numFmtId="0" fontId="80" fillId="0" borderId="49" xfId="2" applyNumberFormat="1" applyFont="1" applyFill="1" applyBorder="1" applyAlignment="1">
      <alignment horizontal="left" vertical="center" shrinkToFit="1"/>
    </xf>
    <xf numFmtId="0" fontId="76" fillId="0" borderId="53" xfId="2" applyFont="1" applyFill="1" applyBorder="1" applyAlignment="1">
      <alignment horizontal="center" vertical="center" shrinkToFit="1"/>
    </xf>
    <xf numFmtId="185" fontId="80" fillId="0" borderId="53" xfId="4" applyNumberFormat="1" applyFont="1" applyFill="1" applyBorder="1" applyAlignment="1" applyProtection="1">
      <alignment horizontal="right" vertical="center" shrinkToFit="1"/>
    </xf>
    <xf numFmtId="185" fontId="80" fillId="0" borderId="53" xfId="4" applyNumberFormat="1" applyFont="1" applyFill="1" applyBorder="1" applyAlignment="1">
      <alignment horizontal="right" vertical="center" shrinkToFit="1"/>
    </xf>
    <xf numFmtId="185" fontId="76" fillId="0" borderId="53" xfId="4" applyNumberFormat="1" applyFont="1" applyFill="1" applyBorder="1" applyAlignment="1">
      <alignment horizontal="right" vertical="center" shrinkToFit="1"/>
    </xf>
    <xf numFmtId="185" fontId="76" fillId="0" borderId="54" xfId="4" applyNumberFormat="1" applyFont="1" applyFill="1" applyBorder="1" applyAlignment="1">
      <alignment horizontal="right" vertical="center" shrinkToFit="1"/>
    </xf>
    <xf numFmtId="0" fontId="81" fillId="89" borderId="49" xfId="2" applyNumberFormat="1" applyFont="1" applyFill="1" applyBorder="1" applyAlignment="1">
      <alignment horizontal="left" vertical="center" wrapText="1" shrinkToFit="1"/>
    </xf>
    <xf numFmtId="0" fontId="76" fillId="0" borderId="47" xfId="2" applyFont="1" applyFill="1" applyBorder="1" applyAlignment="1">
      <alignment horizontal="center" vertical="center" shrinkToFit="1"/>
    </xf>
    <xf numFmtId="185" fontId="80" fillId="0" borderId="47" xfId="4" applyNumberFormat="1" applyFont="1" applyFill="1" applyBorder="1" applyAlignment="1" applyProtection="1">
      <alignment horizontal="right" vertical="center" shrinkToFit="1"/>
    </xf>
    <xf numFmtId="185" fontId="80" fillId="0" borderId="47" xfId="4" applyNumberFormat="1" applyFont="1" applyFill="1" applyBorder="1" applyAlignment="1">
      <alignment horizontal="right" vertical="center" shrinkToFit="1"/>
    </xf>
    <xf numFmtId="185" fontId="76" fillId="0" borderId="47" xfId="4" applyNumberFormat="1" applyFont="1" applyFill="1" applyBorder="1" applyAlignment="1">
      <alignment horizontal="right" vertical="center" shrinkToFit="1"/>
    </xf>
    <xf numFmtId="185" fontId="76" fillId="0" borderId="55" xfId="4" applyNumberFormat="1" applyFont="1" applyFill="1" applyBorder="1" applyAlignment="1">
      <alignment horizontal="right" vertical="center" shrinkToFit="1"/>
    </xf>
    <xf numFmtId="0" fontId="76" fillId="0" borderId="1" xfId="2" applyFont="1" applyFill="1" applyBorder="1" applyAlignment="1">
      <alignment horizontal="center" vertical="center" shrinkToFit="1"/>
    </xf>
    <xf numFmtId="185" fontId="76" fillId="0" borderId="1" xfId="4" applyNumberFormat="1" applyFont="1" applyFill="1" applyBorder="1" applyAlignment="1">
      <alignment horizontal="right" vertical="center" shrinkToFit="1"/>
    </xf>
    <xf numFmtId="0" fontId="76" fillId="0" borderId="49" xfId="2" applyFont="1" applyFill="1" applyBorder="1" applyAlignment="1">
      <alignment horizontal="center" vertical="center" shrinkToFit="1"/>
    </xf>
    <xf numFmtId="0" fontId="76" fillId="0" borderId="49" xfId="2" applyFont="1" applyFill="1" applyBorder="1" applyAlignment="1">
      <alignment horizontal="left" vertical="center" shrinkToFit="1"/>
    </xf>
    <xf numFmtId="0" fontId="76" fillId="0" borderId="49" xfId="2" applyFont="1" applyFill="1" applyBorder="1" applyAlignment="1">
      <alignment shrinkToFit="1"/>
    </xf>
    <xf numFmtId="0" fontId="76" fillId="0" borderId="42" xfId="2" applyFont="1" applyFill="1" applyBorder="1" applyAlignment="1">
      <alignment horizontal="left" vertical="center" shrinkToFit="1"/>
    </xf>
    <xf numFmtId="0" fontId="76" fillId="0" borderId="56" xfId="2" applyFont="1" applyFill="1" applyBorder="1" applyAlignment="1">
      <alignment horizontal="center" vertical="center" shrinkToFit="1"/>
    </xf>
    <xf numFmtId="185" fontId="76" fillId="0" borderId="56" xfId="4" applyNumberFormat="1" applyFont="1" applyFill="1" applyBorder="1" applyAlignment="1">
      <alignment horizontal="right" vertical="center" shrinkToFit="1"/>
    </xf>
    <xf numFmtId="185" fontId="76" fillId="0" borderId="57" xfId="4" applyNumberFormat="1" applyFont="1" applyFill="1" applyBorder="1" applyAlignment="1">
      <alignment horizontal="right" vertical="center" shrinkToFit="1"/>
    </xf>
    <xf numFmtId="0" fontId="76" fillId="0" borderId="45" xfId="2" applyFont="1" applyFill="1" applyBorder="1" applyAlignment="1">
      <alignment vertical="center" shrinkToFit="1"/>
    </xf>
    <xf numFmtId="0" fontId="70" fillId="5" borderId="10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9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176" fontId="70" fillId="90" borderId="4" xfId="1" applyNumberFormat="1" applyFont="1" applyFill="1" applyBorder="1" applyAlignment="1">
      <alignment horizontal="right" vertical="center"/>
    </xf>
    <xf numFmtId="0" fontId="70" fillId="90" borderId="4" xfId="0" applyFont="1" applyFill="1" applyBorder="1" applyAlignment="1">
      <alignment horizontal="center" vertical="center"/>
    </xf>
    <xf numFmtId="0" fontId="70" fillId="90" borderId="0" xfId="0" applyFont="1" applyFill="1">
      <alignment vertical="center"/>
    </xf>
    <xf numFmtId="0" fontId="70" fillId="90" borderId="4" xfId="0" applyFont="1" applyFill="1" applyBorder="1">
      <alignment vertical="center"/>
    </xf>
    <xf numFmtId="0" fontId="70" fillId="90" borderId="7" xfId="0" applyFont="1" applyFill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0" fontId="16" fillId="6" borderId="10" xfId="0" applyFont="1" applyFill="1" applyBorder="1" applyAlignment="1">
      <alignment horizontal="center" vertical="center"/>
    </xf>
    <xf numFmtId="0" fontId="70" fillId="5" borderId="4" xfId="0" applyFont="1" applyFill="1" applyBorder="1">
      <alignment vertical="center"/>
    </xf>
    <xf numFmtId="0" fontId="69" fillId="0" borderId="10" xfId="0" applyFont="1" applyBorder="1">
      <alignment vertical="center"/>
    </xf>
    <xf numFmtId="0" fontId="76" fillId="0" borderId="49" xfId="2" applyNumberFormat="1" applyFont="1" applyFill="1" applyBorder="1" applyAlignment="1">
      <alignment horizontal="left" vertical="center" shrinkToFit="1"/>
    </xf>
    <xf numFmtId="0" fontId="70" fillId="0" borderId="0" xfId="0" applyFont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176" fontId="2" fillId="6" borderId="7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72" fillId="90" borderId="7" xfId="0" applyFont="1" applyFill="1" applyBorder="1" applyAlignment="1">
      <alignment horizontal="center" vertical="center" wrapText="1"/>
    </xf>
    <xf numFmtId="0" fontId="70" fillId="0" borderId="0" xfId="0" applyFont="1" applyBorder="1" applyAlignment="1">
      <alignment horizontal="center" vertical="center" wrapText="1"/>
    </xf>
    <xf numFmtId="0" fontId="70" fillId="0" borderId="0" xfId="0" applyFont="1" applyBorder="1" applyAlignment="1">
      <alignment vertical="center" wrapText="1"/>
    </xf>
    <xf numFmtId="176" fontId="70" fillId="0" borderId="0" xfId="0" applyNumberFormat="1" applyFont="1">
      <alignment vertical="center"/>
    </xf>
    <xf numFmtId="41" fontId="70" fillId="0" borderId="0" xfId="1" applyFont="1">
      <alignment vertical="center"/>
    </xf>
    <xf numFmtId="176" fontId="70" fillId="90" borderId="7" xfId="1" applyNumberFormat="1" applyFont="1" applyFill="1" applyBorder="1" applyAlignment="1">
      <alignment horizontal="right" vertical="center"/>
    </xf>
    <xf numFmtId="0" fontId="70" fillId="5" borderId="4" xfId="0" applyFont="1" applyFill="1" applyBorder="1" applyAlignment="1">
      <alignment horizontal="center" vertical="center"/>
    </xf>
    <xf numFmtId="0" fontId="70" fillId="0" borderId="7" xfId="0" applyFont="1" applyBorder="1" applyAlignment="1">
      <alignment horizontal="center" vertical="center" wrapText="1"/>
    </xf>
    <xf numFmtId="0" fontId="69" fillId="0" borderId="9" xfId="0" applyFont="1" applyBorder="1">
      <alignment vertical="center"/>
    </xf>
    <xf numFmtId="0" fontId="69" fillId="0" borderId="4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176" fontId="2" fillId="6" borderId="4" xfId="1" applyNumberFormat="1" applyFont="1" applyFill="1" applyBorder="1" applyAlignment="1">
      <alignment horizontal="right" vertical="center"/>
    </xf>
    <xf numFmtId="0" fontId="2" fillId="5" borderId="4" xfId="0" applyFont="1" applyFill="1" applyBorder="1" applyAlignment="1">
      <alignment horizontal="center" vertical="center"/>
    </xf>
    <xf numFmtId="176" fontId="70" fillId="0" borderId="9" xfId="1" applyNumberFormat="1" applyFont="1" applyBorder="1" applyAlignment="1">
      <alignment horizontal="right" vertical="center"/>
    </xf>
    <xf numFmtId="176" fontId="70" fillId="0" borderId="4" xfId="1" applyNumberFormat="1" applyFont="1" applyBorder="1" applyAlignment="1">
      <alignment horizontal="right" vertical="center"/>
    </xf>
    <xf numFmtId="176" fontId="70" fillId="0" borderId="7" xfId="1" applyNumberFormat="1" applyFont="1" applyBorder="1" applyAlignment="1">
      <alignment horizontal="right" vertical="center"/>
    </xf>
    <xf numFmtId="176" fontId="70" fillId="7" borderId="9" xfId="1" applyNumberFormat="1" applyFont="1" applyFill="1" applyBorder="1" applyAlignment="1">
      <alignment horizontal="right" vertical="center"/>
    </xf>
    <xf numFmtId="176" fontId="70" fillId="7" borderId="7" xfId="1" applyNumberFormat="1" applyFont="1" applyFill="1" applyBorder="1" applyAlignment="1">
      <alignment horizontal="right" vertical="center"/>
    </xf>
    <xf numFmtId="0" fontId="70" fillId="0" borderId="4" xfId="0" applyFont="1" applyBorder="1" applyAlignment="1">
      <alignment horizontal="center" vertical="center"/>
    </xf>
    <xf numFmtId="0" fontId="70" fillId="0" borderId="7" xfId="0" applyFont="1" applyBorder="1" applyAlignment="1">
      <alignment horizontal="center" vertical="center"/>
    </xf>
    <xf numFmtId="0" fontId="70" fillId="0" borderId="7" xfId="0" applyFont="1" applyBorder="1" applyAlignment="1">
      <alignment vertical="center" wrapText="1"/>
    </xf>
    <xf numFmtId="0" fontId="70" fillId="0" borderId="0" xfId="0" applyFont="1">
      <alignment vertical="center"/>
    </xf>
    <xf numFmtId="0" fontId="70" fillId="0" borderId="4" xfId="0" applyFont="1" applyBorder="1">
      <alignment vertical="center"/>
    </xf>
    <xf numFmtId="0" fontId="70" fillId="0" borderId="9" xfId="0" applyFont="1" applyBorder="1">
      <alignment vertical="center"/>
    </xf>
    <xf numFmtId="0" fontId="70" fillId="5" borderId="4" xfId="0" applyFont="1" applyFill="1" applyBorder="1" applyAlignment="1">
      <alignment vertical="center" wrapText="1"/>
    </xf>
    <xf numFmtId="0" fontId="71" fillId="0" borderId="0" xfId="0" applyFont="1" applyAlignment="1">
      <alignment vertical="center" wrapText="1"/>
    </xf>
    <xf numFmtId="0" fontId="72" fillId="0" borderId="7" xfId="0" applyFont="1" applyBorder="1" applyAlignment="1">
      <alignment horizontal="center" vertical="center" wrapText="1"/>
    </xf>
    <xf numFmtId="0" fontId="70" fillId="5" borderId="10" xfId="0" applyFont="1" applyFill="1" applyBorder="1" applyAlignment="1">
      <alignment horizontal="center" vertical="center"/>
    </xf>
    <xf numFmtId="176" fontId="70" fillId="90" borderId="4" xfId="1" applyNumberFormat="1" applyFont="1" applyFill="1" applyBorder="1" applyAlignment="1">
      <alignment horizontal="right" vertical="center"/>
    </xf>
    <xf numFmtId="0" fontId="70" fillId="90" borderId="4" xfId="0" applyFont="1" applyFill="1" applyBorder="1" applyAlignment="1">
      <alignment horizontal="center" vertical="center"/>
    </xf>
    <xf numFmtId="0" fontId="70" fillId="90" borderId="0" xfId="0" applyFont="1" applyFill="1">
      <alignment vertical="center"/>
    </xf>
    <xf numFmtId="0" fontId="70" fillId="90" borderId="4" xfId="0" applyFont="1" applyFill="1" applyBorder="1">
      <alignment vertical="center"/>
    </xf>
    <xf numFmtId="0" fontId="70" fillId="90" borderId="7" xfId="0" applyFont="1" applyFill="1" applyBorder="1" applyAlignment="1">
      <alignment horizontal="center" vertical="center"/>
    </xf>
    <xf numFmtId="176" fontId="70" fillId="90" borderId="9" xfId="1" applyNumberFormat="1" applyFont="1" applyFill="1" applyBorder="1" applyAlignment="1">
      <alignment horizontal="right" vertical="center"/>
    </xf>
    <xf numFmtId="0" fontId="70" fillId="0" borderId="7" xfId="0" applyFont="1" applyBorder="1">
      <alignment vertical="center"/>
    </xf>
    <xf numFmtId="176" fontId="70" fillId="7" borderId="4" xfId="1" applyNumberFormat="1" applyFont="1" applyFill="1" applyBorder="1" applyAlignment="1">
      <alignment horizontal="right" vertical="center"/>
    </xf>
    <xf numFmtId="0" fontId="70" fillId="0" borderId="0" xfId="0" applyFont="1" applyAlignment="1">
      <alignment horizontal="center" vertical="center"/>
    </xf>
    <xf numFmtId="0" fontId="72" fillId="0" borderId="0" xfId="0" applyFont="1" applyAlignment="1">
      <alignment vertical="center" wrapText="1"/>
    </xf>
    <xf numFmtId="0" fontId="82" fillId="0" borderId="0" xfId="0" applyFont="1" applyAlignment="1">
      <alignment horizontal="centerContinuous" vertical="center"/>
    </xf>
    <xf numFmtId="0" fontId="82" fillId="0" borderId="0" xfId="0" applyFont="1" applyAlignment="1">
      <alignment horizontal="left" vertical="center"/>
    </xf>
    <xf numFmtId="0" fontId="83" fillId="0" borderId="0" xfId="0" applyFont="1">
      <alignment vertical="center"/>
    </xf>
    <xf numFmtId="0" fontId="83" fillId="0" borderId="0" xfId="0" applyFont="1" applyAlignment="1">
      <alignment horizontal="centerContinuous" vertical="center"/>
    </xf>
    <xf numFmtId="0" fontId="2" fillId="0" borderId="6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2" fillId="90" borderId="4" xfId="0" applyFont="1" applyFill="1" applyBorder="1" applyAlignment="1">
      <alignment horizontal="center" vertical="center" wrapText="1"/>
    </xf>
    <xf numFmtId="0" fontId="70" fillId="5" borderId="4" xfId="0" applyFont="1" applyFill="1" applyBorder="1" applyAlignment="1">
      <alignment vertical="center" wrapText="1"/>
    </xf>
    <xf numFmtId="0" fontId="70" fillId="5" borderId="9" xfId="0" applyFont="1" applyFill="1" applyBorder="1">
      <alignment vertical="center"/>
    </xf>
    <xf numFmtId="0" fontId="70" fillId="5" borderId="7" xfId="0" applyFont="1" applyFill="1" applyBorder="1" applyAlignment="1">
      <alignment horizontal="center" vertical="center"/>
    </xf>
    <xf numFmtId="0" fontId="70" fillId="5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vertical="center" wrapText="1"/>
    </xf>
    <xf numFmtId="0" fontId="70" fillId="5" borderId="9" xfId="0" applyFont="1" applyFill="1" applyBorder="1" applyAlignment="1">
      <alignment horizontal="center" vertical="center"/>
    </xf>
    <xf numFmtId="0" fontId="70" fillId="5" borderId="58" xfId="0" applyFont="1" applyFill="1" applyBorder="1" applyAlignment="1">
      <alignment vertical="center" wrapText="1"/>
    </xf>
    <xf numFmtId="0" fontId="70" fillId="5" borderId="14" xfId="0" applyFont="1" applyFill="1" applyBorder="1" applyAlignment="1">
      <alignment vertical="center" wrapText="1"/>
    </xf>
    <xf numFmtId="0" fontId="72" fillId="90" borderId="4" xfId="0" applyFont="1" applyFill="1" applyBorder="1" applyAlignment="1">
      <alignment horizontal="center" vertical="center" wrapText="1"/>
    </xf>
    <xf numFmtId="0" fontId="70" fillId="90" borderId="9" xfId="0" applyFont="1" applyFill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84" fillId="5" borderId="4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178" fontId="85" fillId="0" borderId="2" xfId="0" applyNumberFormat="1" applyFont="1" applyBorder="1">
      <alignment vertical="center"/>
    </xf>
    <xf numFmtId="0" fontId="85" fillId="0" borderId="2" xfId="0" applyFont="1" applyFill="1" applyBorder="1" applyAlignment="1">
      <alignment horizontal="center" vertical="center"/>
    </xf>
    <xf numFmtId="0" fontId="85" fillId="0" borderId="2" xfId="0" applyFont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0" fontId="3" fillId="91" borderId="2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85" fillId="0" borderId="0" xfId="0" applyFont="1">
      <alignment vertical="center"/>
    </xf>
    <xf numFmtId="178" fontId="85" fillId="0" borderId="0" xfId="0" applyNumberFormat="1" applyFont="1">
      <alignment vertical="center"/>
    </xf>
    <xf numFmtId="178" fontId="3" fillId="0" borderId="0" xfId="0" applyNumberFormat="1" applyFont="1" applyFill="1" applyBorder="1">
      <alignment vertical="center"/>
    </xf>
    <xf numFmtId="178" fontId="3" fillId="0" borderId="61" xfId="0" applyNumberFormat="1" applyFont="1" applyBorder="1">
      <alignment vertical="center"/>
    </xf>
    <xf numFmtId="178" fontId="3" fillId="0" borderId="62" xfId="0" applyNumberFormat="1" applyFont="1" applyBorder="1">
      <alignment vertical="center"/>
    </xf>
    <xf numFmtId="0" fontId="3" fillId="0" borderId="63" xfId="0" applyFont="1" applyBorder="1" applyAlignment="1">
      <alignment horizontal="center" vertical="center"/>
    </xf>
    <xf numFmtId="178" fontId="3" fillId="0" borderId="64" xfId="0" applyNumberFormat="1" applyFont="1" applyBorder="1">
      <alignment vertical="center"/>
    </xf>
    <xf numFmtId="178" fontId="3" fillId="0" borderId="2" xfId="0" applyNumberFormat="1" applyFont="1" applyBorder="1">
      <alignment vertical="center"/>
    </xf>
    <xf numFmtId="0" fontId="3" fillId="0" borderId="65" xfId="0" applyFont="1" applyBorder="1" applyAlignment="1">
      <alignment horizontal="center" vertical="center"/>
    </xf>
    <xf numFmtId="178" fontId="3" fillId="8" borderId="64" xfId="0" applyNumberFormat="1" applyFont="1" applyFill="1" applyBorder="1">
      <alignment vertical="center"/>
    </xf>
    <xf numFmtId="0" fontId="3" fillId="8" borderId="65" xfId="0" applyFont="1" applyFill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5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91" borderId="2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2" fillId="0" borderId="0" xfId="0" applyFont="1" applyFill="1" applyAlignment="1">
      <alignment horizontal="right" vertical="center"/>
    </xf>
    <xf numFmtId="0" fontId="86" fillId="0" borderId="0" xfId="0" applyFont="1">
      <alignment vertical="center"/>
    </xf>
    <xf numFmtId="0" fontId="3" fillId="0" borderId="7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5" fillId="8" borderId="2" xfId="0" applyFont="1" applyFill="1" applyBorder="1">
      <alignment vertical="center"/>
    </xf>
    <xf numFmtId="178" fontId="85" fillId="8" borderId="2" xfId="0" applyNumberFormat="1" applyFont="1" applyFill="1" applyBorder="1">
      <alignment vertical="center"/>
    </xf>
    <xf numFmtId="0" fontId="85" fillId="0" borderId="0" xfId="0" applyFont="1" applyBorder="1">
      <alignment vertical="center"/>
    </xf>
    <xf numFmtId="0" fontId="10" fillId="0" borderId="0" xfId="0" applyFont="1" applyAlignment="1">
      <alignment horizontal="center" vertical="center"/>
    </xf>
    <xf numFmtId="178" fontId="85" fillId="0" borderId="0" xfId="0" applyNumberFormat="1" applyFont="1" applyBorder="1">
      <alignment vertical="center"/>
    </xf>
    <xf numFmtId="0" fontId="3" fillId="6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87" fillId="0" borderId="0" xfId="0" applyFont="1" applyAlignment="1">
      <alignment horizontal="centerContinuous" vertical="center"/>
    </xf>
    <xf numFmtId="0" fontId="88" fillId="0" borderId="0" xfId="0" applyFont="1" applyFill="1" applyBorder="1" applyAlignment="1">
      <alignment horizontal="left" vertical="center"/>
    </xf>
    <xf numFmtId="0" fontId="3" fillId="9" borderId="2" xfId="0" applyFont="1" applyFill="1" applyBorder="1" applyAlignment="1">
      <alignment horizontal="center" vertical="center"/>
    </xf>
    <xf numFmtId="0" fontId="85" fillId="0" borderId="13" xfId="0" applyFont="1" applyBorder="1" applyAlignment="1">
      <alignment horizontal="left" vertical="center" wrapText="1"/>
    </xf>
    <xf numFmtId="0" fontId="85" fillId="0" borderId="15" xfId="0" applyFont="1" applyBorder="1" applyAlignment="1">
      <alignment horizontal="left" vertical="center" wrapText="1"/>
    </xf>
    <xf numFmtId="0" fontId="17" fillId="91" borderId="71" xfId="0" applyFont="1" applyFill="1" applyBorder="1" applyAlignment="1">
      <alignment horizontal="center" vertical="center"/>
    </xf>
    <xf numFmtId="0" fontId="17" fillId="91" borderId="65" xfId="0" applyFont="1" applyFill="1" applyBorder="1" applyAlignment="1">
      <alignment horizontal="center" vertical="center"/>
    </xf>
    <xf numFmtId="0" fontId="17" fillId="91" borderId="70" xfId="0" applyFont="1" applyFill="1" applyBorder="1" applyAlignment="1">
      <alignment horizontal="center" vertical="center"/>
    </xf>
    <xf numFmtId="0" fontId="17" fillId="91" borderId="2" xfId="0" applyFont="1" applyFill="1" applyBorder="1" applyAlignment="1">
      <alignment horizontal="center" vertical="center"/>
    </xf>
    <xf numFmtId="0" fontId="17" fillId="91" borderId="66" xfId="0" applyFont="1" applyFill="1" applyBorder="1" applyAlignment="1">
      <alignment horizontal="center" vertical="center"/>
    </xf>
    <xf numFmtId="0" fontId="17" fillId="91" borderId="64" xfId="0" applyFont="1" applyFill="1" applyBorder="1" applyAlignment="1">
      <alignment horizontal="center" vertical="center"/>
    </xf>
    <xf numFmtId="0" fontId="17" fillId="91" borderId="69" xfId="0" applyFont="1" applyFill="1" applyBorder="1" applyAlignment="1">
      <alignment horizontal="center" vertical="center"/>
    </xf>
    <xf numFmtId="0" fontId="17" fillId="91" borderId="68" xfId="0" applyFont="1" applyFill="1" applyBorder="1" applyAlignment="1">
      <alignment horizontal="center" vertical="center"/>
    </xf>
    <xf numFmtId="0" fontId="17" fillId="91" borderId="6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9" fillId="8" borderId="2" xfId="0" applyFont="1" applyFill="1" applyBorder="1" applyAlignment="1">
      <alignment horizontal="center" vertical="center"/>
    </xf>
    <xf numFmtId="178" fontId="23" fillId="14" borderId="13" xfId="0" applyNumberFormat="1" applyFont="1" applyFill="1" applyBorder="1" applyAlignment="1">
      <alignment horizontal="center" vertical="center" wrapText="1"/>
    </xf>
    <xf numFmtId="178" fontId="23" fillId="14" borderId="15" xfId="0" applyNumberFormat="1" applyFont="1" applyFill="1" applyBorder="1" applyAlignment="1">
      <alignment horizontal="center" vertical="center" wrapText="1"/>
    </xf>
    <xf numFmtId="178" fontId="21" fillId="10" borderId="2" xfId="0" applyNumberFormat="1" applyFont="1" applyFill="1" applyBorder="1" applyAlignment="1">
      <alignment horizontal="center" vertical="center" wrapText="1"/>
    </xf>
    <xf numFmtId="178" fontId="21" fillId="10" borderId="2" xfId="0" applyNumberFormat="1" applyFont="1" applyFill="1" applyBorder="1" applyAlignment="1">
      <alignment horizontal="center" vertical="center"/>
    </xf>
    <xf numFmtId="178" fontId="23" fillId="6" borderId="2" xfId="0" applyNumberFormat="1" applyFont="1" applyFill="1" applyBorder="1" applyAlignment="1">
      <alignment horizontal="center" vertical="center" wrapText="1"/>
    </xf>
    <xf numFmtId="178" fontId="24" fillId="6" borderId="2" xfId="0" applyNumberFormat="1" applyFont="1" applyFill="1" applyBorder="1" applyAlignment="1">
      <alignment horizontal="center" vertical="center"/>
    </xf>
    <xf numFmtId="178" fontId="21" fillId="6" borderId="2" xfId="0" applyNumberFormat="1" applyFont="1" applyFill="1" applyBorder="1" applyAlignment="1">
      <alignment horizontal="center" vertical="center" wrapText="1"/>
    </xf>
    <xf numFmtId="178" fontId="21" fillId="6" borderId="2" xfId="0" applyNumberFormat="1" applyFont="1" applyFill="1" applyBorder="1" applyAlignment="1">
      <alignment horizontal="center" vertical="center"/>
    </xf>
    <xf numFmtId="178" fontId="26" fillId="10" borderId="2" xfId="0" applyNumberFormat="1" applyFont="1" applyFill="1" applyBorder="1" applyAlignment="1">
      <alignment horizontal="center" vertical="center" wrapText="1"/>
    </xf>
    <xf numFmtId="178" fontId="26" fillId="10" borderId="2" xfId="0" applyNumberFormat="1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178" fontId="23" fillId="7" borderId="2" xfId="0" applyNumberFormat="1" applyFont="1" applyFill="1" applyBorder="1" applyAlignment="1">
      <alignment horizontal="center" vertical="center" wrapText="1"/>
    </xf>
    <xf numFmtId="178" fontId="23" fillId="7" borderId="2" xfId="0" applyNumberFormat="1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 wrapText="1"/>
    </xf>
    <xf numFmtId="0" fontId="11" fillId="7" borderId="59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73" fillId="0" borderId="0" xfId="2" applyFont="1" applyFill="1" applyAlignment="1">
      <alignment horizontal="center" vertical="center"/>
    </xf>
    <xf numFmtId="0" fontId="77" fillId="13" borderId="35" xfId="2" applyFont="1" applyFill="1" applyBorder="1" applyAlignment="1">
      <alignment horizontal="center" vertical="center"/>
    </xf>
    <xf numFmtId="0" fontId="77" fillId="13" borderId="42" xfId="2" applyFont="1" applyFill="1" applyBorder="1" applyAlignment="1">
      <alignment horizontal="center" vertical="center"/>
    </xf>
    <xf numFmtId="0" fontId="77" fillId="13" borderId="36" xfId="2" applyFont="1" applyFill="1" applyBorder="1" applyAlignment="1">
      <alignment horizontal="center" vertical="center" wrapText="1"/>
    </xf>
    <xf numFmtId="0" fontId="77" fillId="13" borderId="43" xfId="2" applyFont="1" applyFill="1" applyBorder="1" applyAlignment="1">
      <alignment vertical="center"/>
    </xf>
    <xf numFmtId="0" fontId="77" fillId="13" borderId="36" xfId="2" applyFont="1" applyFill="1" applyBorder="1" applyAlignment="1">
      <alignment horizontal="center" vertical="center"/>
    </xf>
    <xf numFmtId="0" fontId="77" fillId="13" borderId="37" xfId="2" applyFont="1" applyFill="1" applyBorder="1" applyAlignment="1">
      <alignment horizontal="center" vertical="center"/>
    </xf>
    <xf numFmtId="0" fontId="77" fillId="13" borderId="38" xfId="2" applyFont="1" applyFill="1" applyBorder="1" applyAlignment="1">
      <alignment horizontal="center" vertical="center"/>
    </xf>
    <xf numFmtId="0" fontId="77" fillId="13" borderId="39" xfId="2" applyFont="1" applyFill="1" applyBorder="1" applyAlignment="1">
      <alignment horizontal="center" vertical="center"/>
    </xf>
    <xf numFmtId="0" fontId="78" fillId="13" borderId="36" xfId="2" applyFont="1" applyFill="1" applyBorder="1" applyAlignment="1">
      <alignment horizontal="center" vertical="center"/>
    </xf>
    <xf numFmtId="0" fontId="78" fillId="13" borderId="43" xfId="2" applyFont="1" applyFill="1" applyBorder="1" applyAlignment="1">
      <alignment vertical="center"/>
    </xf>
    <xf numFmtId="0" fontId="77" fillId="13" borderId="40" xfId="2" applyFont="1" applyFill="1" applyBorder="1" applyAlignment="1">
      <alignment horizontal="center" vertical="center"/>
    </xf>
    <xf numFmtId="0" fontId="77" fillId="13" borderId="44" xfId="2" applyFont="1" applyFill="1" applyBorder="1" applyAlignment="1">
      <alignment vertical="center"/>
    </xf>
    <xf numFmtId="0" fontId="77" fillId="13" borderId="41" xfId="2" applyFont="1" applyFill="1" applyBorder="1" applyAlignment="1">
      <alignment horizontal="center" vertical="center"/>
    </xf>
    <xf numFmtId="0" fontId="77" fillId="13" borderId="45" xfId="2" applyFont="1" applyFill="1" applyBorder="1" applyAlignment="1">
      <alignment vertical="center"/>
    </xf>
  </cellXfs>
  <cellStyles count="274">
    <cellStyle name="20% - 강조색1 2" xfId="9"/>
    <cellStyle name="20% - 강조색1 2 2" xfId="10"/>
    <cellStyle name="20% - 강조색1 2 3" xfId="11"/>
    <cellStyle name="20% - 강조색1 3" xfId="12"/>
    <cellStyle name="20% - 강조색1 4" xfId="13"/>
    <cellStyle name="20% - 강조색2 2" xfId="14"/>
    <cellStyle name="20% - 강조색2 2 2" xfId="15"/>
    <cellStyle name="20% - 강조색2 2 3" xfId="16"/>
    <cellStyle name="20% - 강조색2 3" xfId="17"/>
    <cellStyle name="20% - 강조색2 4" xfId="18"/>
    <cellStyle name="20% - 강조색3 2" xfId="19"/>
    <cellStyle name="20% - 강조색3 2 2" xfId="20"/>
    <cellStyle name="20% - 강조색3 2 3" xfId="21"/>
    <cellStyle name="20% - 강조색3 3" xfId="22"/>
    <cellStyle name="20% - 강조색3 4" xfId="23"/>
    <cellStyle name="20% - 강조색4 2" xfId="24"/>
    <cellStyle name="20% - 강조색4 2 2" xfId="25"/>
    <cellStyle name="20% - 강조색4 2 3" xfId="26"/>
    <cellStyle name="20% - 강조색4 3" xfId="27"/>
    <cellStyle name="20% - 강조색4 4" xfId="28"/>
    <cellStyle name="20% - 강조색5 2" xfId="29"/>
    <cellStyle name="20% - 강조색5 2 2" xfId="30"/>
    <cellStyle name="20% - 강조색5 2 3" xfId="31"/>
    <cellStyle name="20% - 강조색5 3" xfId="32"/>
    <cellStyle name="20% - 강조색5 4" xfId="33"/>
    <cellStyle name="20% - 강조색6 2" xfId="34"/>
    <cellStyle name="20% - 강조색6 2 2" xfId="35"/>
    <cellStyle name="20% - 강조색6 2 3" xfId="36"/>
    <cellStyle name="20% - 강조색6 3" xfId="37"/>
    <cellStyle name="20% - 강조색6 4" xfId="38"/>
    <cellStyle name="40% - 강조색1 2" xfId="39"/>
    <cellStyle name="40% - 강조색1 2 2" xfId="40"/>
    <cellStyle name="40% - 강조색1 2 3" xfId="41"/>
    <cellStyle name="40% - 강조색1 3" xfId="42"/>
    <cellStyle name="40% - 강조색1 4" xfId="43"/>
    <cellStyle name="40% - 강조색2 2" xfId="44"/>
    <cellStyle name="40% - 강조색2 2 2" xfId="45"/>
    <cellStyle name="40% - 강조색2 2 3" xfId="46"/>
    <cellStyle name="40% - 강조색2 3" xfId="47"/>
    <cellStyle name="40% - 강조색2 4" xfId="48"/>
    <cellStyle name="40% - 강조색3 2" xfId="49"/>
    <cellStyle name="40% - 강조색3 2 2" xfId="50"/>
    <cellStyle name="40% - 강조색3 2 3" xfId="51"/>
    <cellStyle name="40% - 강조색3 3" xfId="52"/>
    <cellStyle name="40% - 강조색3 4" xfId="53"/>
    <cellStyle name="40% - 강조색4 2" xfId="54"/>
    <cellStyle name="40% - 강조색4 2 2" xfId="55"/>
    <cellStyle name="40% - 강조색4 2 3" xfId="56"/>
    <cellStyle name="40% - 강조색4 3" xfId="57"/>
    <cellStyle name="40% - 강조색4 4" xfId="58"/>
    <cellStyle name="40% - 강조색5 2" xfId="59"/>
    <cellStyle name="40% - 강조색5 2 2" xfId="60"/>
    <cellStyle name="40% - 강조색5 2 3" xfId="61"/>
    <cellStyle name="40% - 강조색5 3" xfId="62"/>
    <cellStyle name="40% - 강조색5 4" xfId="63"/>
    <cellStyle name="40% - 강조색6 2" xfId="64"/>
    <cellStyle name="40% - 강조색6 2 2" xfId="65"/>
    <cellStyle name="40% - 강조색6 2 3" xfId="66"/>
    <cellStyle name="40% - 강조색6 3" xfId="67"/>
    <cellStyle name="40% - 강조색6 4" xfId="68"/>
    <cellStyle name="60% - 강조색1 2" xfId="69"/>
    <cellStyle name="60% - 강조색1 2 2" xfId="70"/>
    <cellStyle name="60% - 강조색1 2 3" xfId="71"/>
    <cellStyle name="60% - 강조색1 3" xfId="72"/>
    <cellStyle name="60% - 강조색1 4" xfId="73"/>
    <cellStyle name="60% - 강조색2 2" xfId="74"/>
    <cellStyle name="60% - 강조색2 2 2" xfId="75"/>
    <cellStyle name="60% - 강조색2 2 3" xfId="76"/>
    <cellStyle name="60% - 강조색2 3" xfId="77"/>
    <cellStyle name="60% - 강조색2 4" xfId="78"/>
    <cellStyle name="60% - 강조색3 2" xfId="79"/>
    <cellStyle name="60% - 강조색3 2 2" xfId="80"/>
    <cellStyle name="60% - 강조색3 2 3" xfId="81"/>
    <cellStyle name="60% - 강조색3 3" xfId="82"/>
    <cellStyle name="60% - 강조색3 4" xfId="83"/>
    <cellStyle name="60% - 강조색4 2" xfId="84"/>
    <cellStyle name="60% - 강조색4 2 2" xfId="85"/>
    <cellStyle name="60% - 강조색4 2 3" xfId="86"/>
    <cellStyle name="60% - 강조색4 3" xfId="87"/>
    <cellStyle name="60% - 강조색4 4" xfId="88"/>
    <cellStyle name="60% - 강조색5 2" xfId="89"/>
    <cellStyle name="60% - 강조색5 2 2" xfId="90"/>
    <cellStyle name="60% - 강조색5 2 3" xfId="91"/>
    <cellStyle name="60% - 강조색5 3" xfId="92"/>
    <cellStyle name="60% - 강조색5 4" xfId="93"/>
    <cellStyle name="60% - 강조색6 2" xfId="94"/>
    <cellStyle name="60% - 강조색6 2 2" xfId="95"/>
    <cellStyle name="60% - 강조색6 2 3" xfId="96"/>
    <cellStyle name="60% - 강조색6 3" xfId="97"/>
    <cellStyle name="60% - 강조색6 4" xfId="98"/>
    <cellStyle name="AeE­ [0]_INQUIRY ¿μ¾÷AßAø " xfId="99"/>
    <cellStyle name="AeE­_INQUIRY ¿μ¾÷AßAø " xfId="100"/>
    <cellStyle name="AÞ¸¶ [0]_INQUIRY ¿μ¾÷AßAø " xfId="101"/>
    <cellStyle name="AÞ¸¶_INQUIRY ¿μ¾÷AßAø " xfId="102"/>
    <cellStyle name="C￥AØ_¿μ¾÷CoE² " xfId="103"/>
    <cellStyle name="Comma [0]_ SG&amp;A Bridge " xfId="104"/>
    <cellStyle name="Comma_ SG&amp;A Bridge " xfId="105"/>
    <cellStyle name="Currency [0]_ SG&amp;A Bridge " xfId="106"/>
    <cellStyle name="Currency_ SG&amp;A Bridge " xfId="107"/>
    <cellStyle name="Grey" xfId="108"/>
    <cellStyle name="Header1" xfId="109"/>
    <cellStyle name="Header2" xfId="110"/>
    <cellStyle name="Input [yellow]" xfId="111"/>
    <cellStyle name="Normal - Style1" xfId="112"/>
    <cellStyle name="Normal - Style1 10" xfId="113"/>
    <cellStyle name="Normal - Style1 11" xfId="114"/>
    <cellStyle name="Normal - Style1 2" xfId="115"/>
    <cellStyle name="Normal - Style1 3" xfId="116"/>
    <cellStyle name="Normal - Style1 4" xfId="117"/>
    <cellStyle name="Normal - Style1 5" xfId="118"/>
    <cellStyle name="Normal - Style1 6" xfId="119"/>
    <cellStyle name="Normal - Style1 7" xfId="120"/>
    <cellStyle name="Normal - Style1 8" xfId="121"/>
    <cellStyle name="Normal - Style1 9" xfId="122"/>
    <cellStyle name="Normal_ SG&amp;A Bridge " xfId="123"/>
    <cellStyle name="Percent [2]" xfId="124"/>
    <cellStyle name="강조색1 2" xfId="125"/>
    <cellStyle name="강조색1 2 2" xfId="126"/>
    <cellStyle name="강조색1 2 3" xfId="127"/>
    <cellStyle name="강조색1 3" xfId="128"/>
    <cellStyle name="강조색1 4" xfId="129"/>
    <cellStyle name="강조색2 2" xfId="130"/>
    <cellStyle name="강조색2 2 2" xfId="131"/>
    <cellStyle name="강조색2 2 3" xfId="132"/>
    <cellStyle name="강조색2 3" xfId="133"/>
    <cellStyle name="강조색2 4" xfId="134"/>
    <cellStyle name="강조색3 2" xfId="135"/>
    <cellStyle name="강조색3 2 2" xfId="136"/>
    <cellStyle name="강조색3 2 3" xfId="137"/>
    <cellStyle name="강조색3 3" xfId="138"/>
    <cellStyle name="강조색3 4" xfId="139"/>
    <cellStyle name="강조색4 2" xfId="140"/>
    <cellStyle name="강조색4 2 2" xfId="141"/>
    <cellStyle name="강조색4 2 3" xfId="142"/>
    <cellStyle name="강조색4 3" xfId="143"/>
    <cellStyle name="강조색4 4" xfId="144"/>
    <cellStyle name="강조색5 2" xfId="145"/>
    <cellStyle name="강조색5 2 2" xfId="146"/>
    <cellStyle name="강조색5 2 3" xfId="147"/>
    <cellStyle name="강조색5 3" xfId="148"/>
    <cellStyle name="강조색5 4" xfId="149"/>
    <cellStyle name="강조색6 2" xfId="150"/>
    <cellStyle name="강조색6 2 2" xfId="151"/>
    <cellStyle name="강조색6 2 3" xfId="152"/>
    <cellStyle name="강조색6 3" xfId="153"/>
    <cellStyle name="강조색6 4" xfId="154"/>
    <cellStyle name="경고문 2" xfId="155"/>
    <cellStyle name="경고문 2 2" xfId="156"/>
    <cellStyle name="경고문 3" xfId="157"/>
    <cellStyle name="계산 2" xfId="158"/>
    <cellStyle name="계산 2 2" xfId="159"/>
    <cellStyle name="계산 2 3" xfId="160"/>
    <cellStyle name="계산 3" xfId="161"/>
    <cellStyle name="계산 4" xfId="162"/>
    <cellStyle name="나쁨 2" xfId="163"/>
    <cellStyle name="나쁨 2 2" xfId="164"/>
    <cellStyle name="나쁨 2 3" xfId="165"/>
    <cellStyle name="나쁨 3" xfId="166"/>
    <cellStyle name="나쁨 4" xfId="167"/>
    <cellStyle name="메모 2" xfId="168"/>
    <cellStyle name="메모 2 2" xfId="169"/>
    <cellStyle name="메모 2 3" xfId="170"/>
    <cellStyle name="메모 3" xfId="171"/>
    <cellStyle name="메모 4" xfId="172"/>
    <cellStyle name="백분율 2" xfId="173"/>
    <cellStyle name="백분율 3" xfId="174"/>
    <cellStyle name="보통 2" xfId="175"/>
    <cellStyle name="보통 2 2" xfId="176"/>
    <cellStyle name="보통 2 3" xfId="177"/>
    <cellStyle name="보통 3" xfId="178"/>
    <cellStyle name="보통 4" xfId="179"/>
    <cellStyle name="뷭?_BOOKSHIP" xfId="180"/>
    <cellStyle name="설명 텍스트 2" xfId="181"/>
    <cellStyle name="설명 텍스트 2 2" xfId="182"/>
    <cellStyle name="설명 텍스트 3" xfId="183"/>
    <cellStyle name="셀 확인 2" xfId="184"/>
    <cellStyle name="셀 확인 2 2" xfId="185"/>
    <cellStyle name="셀 확인 2 3" xfId="186"/>
    <cellStyle name="셀 확인 3" xfId="187"/>
    <cellStyle name="셀 확인 4" xfId="188"/>
    <cellStyle name="쉼표 [0]" xfId="1" builtinId="6"/>
    <cellStyle name="쉼표 [0] 10" xfId="4"/>
    <cellStyle name="쉼표 [0] 10 2" xfId="5"/>
    <cellStyle name="쉼표 [0] 10 3" xfId="189"/>
    <cellStyle name="쉼표 [0] 11" xfId="190"/>
    <cellStyle name="쉼표 [0] 11 2" xfId="191"/>
    <cellStyle name="쉼표 [0] 12" xfId="192"/>
    <cellStyle name="쉼표 [0] 12 2" xfId="193"/>
    <cellStyle name="쉼표 [0] 2" xfId="3"/>
    <cellStyle name="쉼표 [0] 2 2" xfId="194"/>
    <cellStyle name="쉼표 [0] 2 2 2" xfId="195"/>
    <cellStyle name="쉼표 [0] 2 2 2 2" xfId="196"/>
    <cellStyle name="쉼표 [0] 2 2 2 3" xfId="197"/>
    <cellStyle name="쉼표 [0] 2 2 3" xfId="198"/>
    <cellStyle name="쉼표 [0] 2 2 4" xfId="199"/>
    <cellStyle name="쉼표 [0] 2 3" xfId="7"/>
    <cellStyle name="쉼표 [0] 2 3 2" xfId="8"/>
    <cellStyle name="쉼표 [0] 2 3 2 2" xfId="200"/>
    <cellStyle name="쉼표 [0] 2 3 3" xfId="201"/>
    <cellStyle name="쉼표 [0] 2 3 4" xfId="202"/>
    <cellStyle name="쉼표 [0] 2 4" xfId="203"/>
    <cellStyle name="쉼표 [0] 2 4 2" xfId="204"/>
    <cellStyle name="쉼표 [0] 2 4 3" xfId="205"/>
    <cellStyle name="쉼표 [0] 2 4 4" xfId="206"/>
    <cellStyle name="쉼표 [0] 2 5" xfId="207"/>
    <cellStyle name="쉼표 [0] 2 6" xfId="208"/>
    <cellStyle name="쉼표 [0] 2 7" xfId="209"/>
    <cellStyle name="쉼표 [0] 2 7 2" xfId="210"/>
    <cellStyle name="쉼표 [0] 3" xfId="211"/>
    <cellStyle name="쉼표 [0] 3 2" xfId="212"/>
    <cellStyle name="쉼표 [0] 3 2 2" xfId="213"/>
    <cellStyle name="쉼표 [0] 3 2 3" xfId="214"/>
    <cellStyle name="쉼표 [0] 3 2 4" xfId="215"/>
    <cellStyle name="쉼표 [0] 3 3" xfId="216"/>
    <cellStyle name="쉼표 [0] 3 3 2" xfId="217"/>
    <cellStyle name="쉼표 [0] 3 4" xfId="218"/>
    <cellStyle name="쉼표 [0] 4" xfId="219"/>
    <cellStyle name="쉼표 [0] 4 2" xfId="220"/>
    <cellStyle name="쉼표 [0] 5" xfId="221"/>
    <cellStyle name="쉼표 [0] 6" xfId="222"/>
    <cellStyle name="쉼표 [0] 6 3" xfId="223"/>
    <cellStyle name="쉼표 [0] 7" xfId="224"/>
    <cellStyle name="쉼표 [0] 8" xfId="225"/>
    <cellStyle name="쉼표 [0] 9" xfId="226"/>
    <cellStyle name="연결된 셀 2" xfId="227"/>
    <cellStyle name="연결된 셀 2 2" xfId="228"/>
    <cellStyle name="연결된 셀 3" xfId="229"/>
    <cellStyle name="요약 2" xfId="230"/>
    <cellStyle name="요약 2 2" xfId="231"/>
    <cellStyle name="요약 3" xfId="232"/>
    <cellStyle name="입력 2" xfId="233"/>
    <cellStyle name="입력 2 2" xfId="234"/>
    <cellStyle name="입력 2 3" xfId="235"/>
    <cellStyle name="입력 3" xfId="236"/>
    <cellStyle name="입력 4" xfId="237"/>
    <cellStyle name="제목 1 2" xfId="238"/>
    <cellStyle name="제목 1 2 2" xfId="239"/>
    <cellStyle name="제목 1 3" xfId="240"/>
    <cellStyle name="제목 2 2" xfId="241"/>
    <cellStyle name="제목 2 2 2" xfId="242"/>
    <cellStyle name="제목 2 3" xfId="243"/>
    <cellStyle name="제목 3 2" xfId="244"/>
    <cellStyle name="제목 3 2 2" xfId="245"/>
    <cellStyle name="제목 3 3" xfId="246"/>
    <cellStyle name="제목 4 2" xfId="247"/>
    <cellStyle name="제목 4 2 2" xfId="248"/>
    <cellStyle name="제목 4 3" xfId="249"/>
    <cellStyle name="제목 5" xfId="250"/>
    <cellStyle name="제목 5 2" xfId="251"/>
    <cellStyle name="제목 6" xfId="252"/>
    <cellStyle name="좋음 2" xfId="253"/>
    <cellStyle name="좋음 2 2" xfId="254"/>
    <cellStyle name="좋음 2 3" xfId="255"/>
    <cellStyle name="좋음 3" xfId="256"/>
    <cellStyle name="좋음 4" xfId="257"/>
    <cellStyle name="출력 2" xfId="258"/>
    <cellStyle name="출력 2 2" xfId="259"/>
    <cellStyle name="출력 2 3" xfId="260"/>
    <cellStyle name="출력 3" xfId="261"/>
    <cellStyle name="출력 4" xfId="262"/>
    <cellStyle name="콤마 [0]_1202" xfId="263"/>
    <cellStyle name="콤마_1202" xfId="264"/>
    <cellStyle name="표준" xfId="0" builtinId="0"/>
    <cellStyle name="표준 2" xfId="2"/>
    <cellStyle name="표준 2 2" xfId="6"/>
    <cellStyle name="표준 2 2 2" xfId="265"/>
    <cellStyle name="표준 2 2 3" xfId="266"/>
    <cellStyle name="표준 2 3" xfId="267"/>
    <cellStyle name="표준 3" xfId="268"/>
    <cellStyle name="표준 3 2" xfId="269"/>
    <cellStyle name="표준 4" xfId="270"/>
    <cellStyle name="표준 4 6" xfId="271"/>
    <cellStyle name="표준 5" xfId="272"/>
    <cellStyle name="표준 6" xfId="273"/>
  </cellStyles>
  <dxfs count="0"/>
  <tableStyles count="0" defaultTableStyle="TableStyleMedium2" defaultPivotStyle="PivotStyleLight16"/>
  <colors>
    <mruColors>
      <color rgb="FFFFFFCC"/>
      <color rgb="FFFFFF66"/>
      <color rgb="FFCCFFFF"/>
      <color rgb="FF9999FF"/>
      <color rgb="FF0000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/AppData/Local/Microsoft/Windows/Temporary%20Internet%20Files/Content.IE5/HUN8917A/2.2017&#45380;%20&#48376;&#50696;&#49328;%20&#50696;&#49328;&#50504;&#51312;&#51221;&#49436;&#49885;(&#49345;&#51076;&#50948;&#50857;)-&#49569;&#48512;&#50857;-&#50672;&#51221;,&#49324;&#50629;&#49444;&#47749;&#49436;%20&#54168;&#51060;&#51648;%20&#52628;&#4403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/AppData/Local/Microsoft/Windows/Temporary%20Internet%20Files/Content.IE5/HUN8917A/&#48373;&#49324;&#48376;%202.2017&#45380;%20&#48376;&#50696;&#49328;%20&#50696;&#49328;&#50504;&#51312;&#51221;&#49436;&#49885;(&#49345;&#51076;&#50948;&#50857;)-&#45453;&#51221;&#54644;&#50577;&#44397;(&#49688;&#51221;&#52572;&#51333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16&#45380;/&#50696;&#49328;%20&#48143;%20&#44208;&#49328;/2017&#45380;%20&#48376;&#50696;&#49328;%20&#54200;&#49457;/&#49464;&#51077;&#49464;&#52636;&#50696;&#49328;&#49444;&#47749;&#49436;%20&#48143;%20&#48372;&#52649;&#51088;&#47308;/&#48320;&#44221;&#45236;&#50669;/&#45453;&#51221;&#50948;%20&#51228;&#52636;&#50857;/2017&#45380;%20&#48376;&#50696;&#49328;/2017&#45380;%20&#48376;&#50696;&#49328;%20&#50696;&#49328;&#50504;&#51312;&#51221;&#49436;&#49885;(&#49345;&#51076;&#50948;&#50857;)-&#46041;&#48169;&#44284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/AppData/Local/Microsoft/Windows/Temporary%20Internet%20Files/Content.IE5/QYV14WG4/2.2017&#45380;%20&#48376;&#50696;&#49328;%20&#50696;&#49328;&#50504;&#51312;&#51221;&#49436;&#49885;(&#49345;&#51076;&#50948;&#50857;)-&#49569;&#48512;&#50857;-&#50672;&#51221;&#52628;&#440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7년일입"/>
      <sheetName val="17년일출"/>
      <sheetName val="17년특입"/>
      <sheetName val="17년특출"/>
      <sheetName val="17년기금입"/>
      <sheetName val="17년기금출"/>
      <sheetName val="17년 계속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8">
          <cell r="A8" t="str">
            <v>의회운영위원회</v>
          </cell>
        </row>
        <row r="9">
          <cell r="A9" t="str">
            <v>기획재정위원회</v>
          </cell>
        </row>
        <row r="10">
          <cell r="A10" t="str">
            <v>경제과학기술위원회</v>
          </cell>
        </row>
        <row r="11">
          <cell r="A11" t="str">
            <v>안전행정위원회</v>
          </cell>
        </row>
        <row r="12">
          <cell r="A12" t="str">
            <v>문화체육관광위원회</v>
          </cell>
        </row>
        <row r="13">
          <cell r="A13" t="str">
            <v>농정해양위원회</v>
          </cell>
        </row>
        <row r="14">
          <cell r="A14" t="str">
            <v>보건복지위원회</v>
          </cell>
        </row>
        <row r="15">
          <cell r="A15" t="str">
            <v>건설교통위원회</v>
          </cell>
        </row>
        <row r="16">
          <cell r="A16" t="str">
            <v>도시환경위원회</v>
          </cell>
        </row>
        <row r="17">
          <cell r="A17" t="str">
            <v>여상가족교육협력위원회</v>
          </cell>
        </row>
      </sheetData>
      <sheetData sheetId="6">
        <row r="6">
          <cell r="A6" t="str">
            <v>합  계</v>
          </cell>
          <cell r="L6">
            <v>0</v>
          </cell>
          <cell r="M6">
            <v>0</v>
          </cell>
        </row>
        <row r="7">
          <cell r="A7" t="str">
            <v/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/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/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</sheetData>
      <sheetData sheetId="7">
        <row r="6">
          <cell r="A6" t="str">
            <v>합  계</v>
          </cell>
          <cell r="M6">
            <v>0</v>
          </cell>
          <cell r="N6">
            <v>0</v>
          </cell>
        </row>
        <row r="7">
          <cell r="A7" t="str">
            <v>(의회운영위원회)</v>
          </cell>
          <cell r="M7">
            <v>0</v>
          </cell>
          <cell r="N7">
            <v>0</v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>(기획재정위원회)</v>
          </cell>
          <cell r="M18">
            <v>0</v>
          </cell>
          <cell r="N18">
            <v>0</v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>(경제과학기술위원회)</v>
          </cell>
          <cell r="M29">
            <v>0</v>
          </cell>
          <cell r="N29">
            <v>0</v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>(안전행정위원회)</v>
          </cell>
          <cell r="M40">
            <v>0</v>
          </cell>
          <cell r="N40">
            <v>0</v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  <row r="51">
          <cell r="A51" t="str">
            <v>(문화체육관광위원회)</v>
          </cell>
          <cell r="M51">
            <v>0</v>
          </cell>
          <cell r="N51">
            <v>0</v>
          </cell>
        </row>
        <row r="52">
          <cell r="A52" t="str">
            <v/>
          </cell>
        </row>
        <row r="53">
          <cell r="A53" t="str">
            <v/>
          </cell>
        </row>
        <row r="54">
          <cell r="A54" t="str">
            <v/>
          </cell>
        </row>
        <row r="55">
          <cell r="A55" t="str">
            <v/>
          </cell>
        </row>
        <row r="56">
          <cell r="A56" t="str">
            <v/>
          </cell>
        </row>
        <row r="57">
          <cell r="A57" t="str">
            <v/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>(농정해양위원회)</v>
          </cell>
          <cell r="M62">
            <v>0</v>
          </cell>
          <cell r="N62">
            <v>0</v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>(보건복지위원회)</v>
          </cell>
          <cell r="M73">
            <v>0</v>
          </cell>
          <cell r="N73">
            <v>0</v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>(건설교통위원회)</v>
          </cell>
          <cell r="M84">
            <v>0</v>
          </cell>
          <cell r="N84">
            <v>0</v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>(도시환경위원회)</v>
          </cell>
          <cell r="M95">
            <v>0</v>
          </cell>
          <cell r="N95">
            <v>0</v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>(여성가족교육협력위원회)</v>
          </cell>
          <cell r="M106">
            <v>0</v>
          </cell>
          <cell r="N106">
            <v>0</v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</sheetData>
      <sheetData sheetId="8">
        <row r="6">
          <cell r="A6" t="str">
            <v>합  계</v>
          </cell>
          <cell r="L6">
            <v>0</v>
          </cell>
          <cell r="M6">
            <v>0</v>
          </cell>
        </row>
        <row r="7">
          <cell r="A7" t="str">
            <v>(       특별회계)</v>
          </cell>
          <cell r="L7">
            <v>0</v>
          </cell>
          <cell r="M7">
            <v>0</v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>(       특별회계)</v>
          </cell>
          <cell r="L18">
            <v>0</v>
          </cell>
          <cell r="M18">
            <v>0</v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>(       특별회계)</v>
          </cell>
          <cell r="L29">
            <v>0</v>
          </cell>
          <cell r="M29">
            <v>0</v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</sheetData>
      <sheetData sheetId="9">
        <row r="6">
          <cell r="A6" t="str">
            <v>합  계</v>
          </cell>
          <cell r="M6">
            <v>0</v>
          </cell>
          <cell r="N6">
            <v>0</v>
          </cell>
        </row>
        <row r="7">
          <cell r="A7" t="str">
            <v>(       특별회계)</v>
          </cell>
          <cell r="M7">
            <v>0</v>
          </cell>
          <cell r="N7">
            <v>0</v>
          </cell>
        </row>
        <row r="8">
          <cell r="A8" t="str">
            <v/>
          </cell>
        </row>
        <row r="9">
          <cell r="A9" t="str">
            <v/>
          </cell>
        </row>
        <row r="10">
          <cell r="A10" t="str">
            <v/>
          </cell>
        </row>
        <row r="11">
          <cell r="A11" t="str">
            <v/>
          </cell>
        </row>
        <row r="12">
          <cell r="A12" t="str">
            <v/>
          </cell>
        </row>
        <row r="13">
          <cell r="A13" t="str">
            <v/>
          </cell>
        </row>
        <row r="14">
          <cell r="A14" t="str">
            <v/>
          </cell>
        </row>
        <row r="15">
          <cell r="A15" t="str">
            <v/>
          </cell>
        </row>
        <row r="16">
          <cell r="A16" t="str">
            <v/>
          </cell>
        </row>
        <row r="17">
          <cell r="A17" t="str">
            <v/>
          </cell>
        </row>
        <row r="18">
          <cell r="A18" t="str">
            <v>(       특별회계)</v>
          </cell>
          <cell r="M18">
            <v>0</v>
          </cell>
          <cell r="N18">
            <v>0</v>
          </cell>
        </row>
        <row r="19">
          <cell r="A19" t="str">
            <v/>
          </cell>
        </row>
        <row r="20">
          <cell r="A20" t="str">
            <v/>
          </cell>
        </row>
        <row r="21">
          <cell r="A21" t="str">
            <v/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>(       특별회계)</v>
          </cell>
          <cell r="M29">
            <v>0</v>
          </cell>
          <cell r="N29">
            <v>0</v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</sheetData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17년일입"/>
      <sheetName val="17년일출"/>
      <sheetName val="17년 계속비"/>
      <sheetName val="총괄표"/>
      <sheetName val="17년특입"/>
      <sheetName val="17년특출"/>
      <sheetName val="17년기금입"/>
      <sheetName val="17년기금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0">
          <cell r="A30">
            <v>0</v>
          </cell>
          <cell r="AE30">
            <v>0</v>
          </cell>
        </row>
        <row r="31">
          <cell r="AE31">
            <v>0</v>
          </cell>
        </row>
        <row r="32">
          <cell r="AE32">
            <v>0</v>
          </cell>
        </row>
        <row r="33">
          <cell r="AE33">
            <v>0</v>
          </cell>
        </row>
        <row r="34">
          <cell r="AE34">
            <v>0</v>
          </cell>
        </row>
        <row r="35">
          <cell r="AE35">
            <v>0</v>
          </cell>
        </row>
        <row r="36">
          <cell r="AE36">
            <v>0</v>
          </cell>
        </row>
        <row r="37">
          <cell r="AE37">
            <v>0</v>
          </cell>
        </row>
      </sheetData>
      <sheetData sheetId="6" refreshError="1">
        <row r="6">
          <cell r="V6">
            <v>0</v>
          </cell>
          <cell r="AA6">
            <v>0</v>
          </cell>
          <cell r="AE6">
            <v>0</v>
          </cell>
        </row>
        <row r="7">
          <cell r="AE7" t="str">
            <v/>
          </cell>
        </row>
        <row r="8">
          <cell r="AA8">
            <v>0</v>
          </cell>
          <cell r="AE8" t="str">
            <v>0220-01</v>
          </cell>
        </row>
        <row r="9">
          <cell r="AA9">
            <v>0</v>
          </cell>
          <cell r="AE9" t="str">
            <v>0223-1</v>
          </cell>
        </row>
        <row r="10">
          <cell r="AA10">
            <v>0</v>
          </cell>
          <cell r="AE10" t="str">
            <v>0223-2</v>
          </cell>
        </row>
        <row r="11">
          <cell r="AA11">
            <v>0</v>
          </cell>
          <cell r="AE11" t="str">
            <v>0223-3</v>
          </cell>
        </row>
        <row r="12">
          <cell r="AA12">
            <v>0</v>
          </cell>
          <cell r="AE12" t="str">
            <v>0224-1</v>
          </cell>
        </row>
        <row r="13">
          <cell r="AA13">
            <v>0</v>
          </cell>
          <cell r="AE13" t="str">
            <v>0224-2</v>
          </cell>
        </row>
        <row r="14">
          <cell r="AA14">
            <v>0</v>
          </cell>
          <cell r="AE14" t="str">
            <v>0224-3</v>
          </cell>
        </row>
        <row r="15">
          <cell r="AA15">
            <v>0</v>
          </cell>
          <cell r="AE15" t="str">
            <v>0224-3</v>
          </cell>
        </row>
        <row r="16">
          <cell r="AA16">
            <v>0</v>
          </cell>
          <cell r="AE16" t="str">
            <v>0220-2</v>
          </cell>
        </row>
        <row r="17">
          <cell r="AA17">
            <v>0</v>
          </cell>
          <cell r="AE17" t="str">
            <v>0220-2</v>
          </cell>
        </row>
        <row r="18">
          <cell r="AE18">
            <v>0</v>
          </cell>
        </row>
        <row r="19">
          <cell r="AA19">
            <v>0</v>
          </cell>
          <cell r="AE19">
            <v>0</v>
          </cell>
        </row>
        <row r="20">
          <cell r="AA20">
            <v>0</v>
          </cell>
          <cell r="AE20">
            <v>0</v>
          </cell>
        </row>
        <row r="21">
          <cell r="AA21">
            <v>0</v>
          </cell>
          <cell r="AE21">
            <v>0</v>
          </cell>
        </row>
        <row r="22">
          <cell r="AA22">
            <v>0</v>
          </cell>
          <cell r="AE22">
            <v>0</v>
          </cell>
        </row>
        <row r="23">
          <cell r="AA23">
            <v>0</v>
          </cell>
          <cell r="AE23">
            <v>0</v>
          </cell>
        </row>
        <row r="24">
          <cell r="AA24">
            <v>0</v>
          </cell>
          <cell r="AE24">
            <v>0</v>
          </cell>
        </row>
        <row r="25">
          <cell r="AA25">
            <v>0</v>
          </cell>
          <cell r="AE25">
            <v>0</v>
          </cell>
        </row>
        <row r="26">
          <cell r="AA26">
            <v>0</v>
          </cell>
          <cell r="AE26">
            <v>0</v>
          </cell>
        </row>
        <row r="27">
          <cell r="AA27">
            <v>0</v>
          </cell>
          <cell r="AE27">
            <v>0</v>
          </cell>
        </row>
        <row r="28">
          <cell r="AA28">
            <v>0</v>
          </cell>
          <cell r="AE28">
            <v>0</v>
          </cell>
        </row>
        <row r="29">
          <cell r="AE29">
            <v>0</v>
          </cell>
        </row>
        <row r="30">
          <cell r="AA30">
            <v>0</v>
          </cell>
          <cell r="AE30">
            <v>0</v>
          </cell>
        </row>
        <row r="31">
          <cell r="AA31">
            <v>0</v>
          </cell>
          <cell r="AE31">
            <v>0</v>
          </cell>
        </row>
        <row r="32">
          <cell r="AA32">
            <v>0</v>
          </cell>
          <cell r="AE32">
            <v>0</v>
          </cell>
        </row>
        <row r="33">
          <cell r="AA33">
            <v>0</v>
          </cell>
          <cell r="AE33">
            <v>0</v>
          </cell>
        </row>
        <row r="34">
          <cell r="AA34">
            <v>0</v>
          </cell>
          <cell r="AE34">
            <v>0</v>
          </cell>
        </row>
        <row r="35">
          <cell r="AA35">
            <v>0</v>
          </cell>
          <cell r="AE35">
            <v>0</v>
          </cell>
        </row>
        <row r="36">
          <cell r="AA36">
            <v>0</v>
          </cell>
          <cell r="AE36">
            <v>0</v>
          </cell>
        </row>
        <row r="37">
          <cell r="AA37">
            <v>0</v>
          </cell>
          <cell r="AE37">
            <v>0</v>
          </cell>
        </row>
        <row r="38">
          <cell r="AA38">
            <v>0</v>
          </cell>
          <cell r="AE38">
            <v>0</v>
          </cell>
        </row>
        <row r="39">
          <cell r="AA39">
            <v>0</v>
          </cell>
          <cell r="AE39">
            <v>0</v>
          </cell>
        </row>
        <row r="40">
          <cell r="AE40">
            <v>0</v>
          </cell>
        </row>
        <row r="41">
          <cell r="AA41">
            <v>0</v>
          </cell>
          <cell r="AE41">
            <v>0</v>
          </cell>
        </row>
        <row r="42">
          <cell r="AA42">
            <v>0</v>
          </cell>
          <cell r="AE42">
            <v>0</v>
          </cell>
        </row>
        <row r="43">
          <cell r="AA43">
            <v>0</v>
          </cell>
          <cell r="AE43">
            <v>0</v>
          </cell>
        </row>
        <row r="44">
          <cell r="AA44">
            <v>0</v>
          </cell>
          <cell r="AE44">
            <v>0</v>
          </cell>
        </row>
        <row r="45">
          <cell r="AA45">
            <v>0</v>
          </cell>
          <cell r="AE45">
            <v>0</v>
          </cell>
        </row>
        <row r="46">
          <cell r="AA46">
            <v>0</v>
          </cell>
          <cell r="AE46">
            <v>0</v>
          </cell>
        </row>
        <row r="47">
          <cell r="AA47">
            <v>0</v>
          </cell>
          <cell r="AE47">
            <v>0</v>
          </cell>
        </row>
        <row r="48">
          <cell r="AA48">
            <v>0</v>
          </cell>
          <cell r="AE48">
            <v>0</v>
          </cell>
        </row>
        <row r="49">
          <cell r="AA49">
            <v>0</v>
          </cell>
          <cell r="AE49">
            <v>0</v>
          </cell>
        </row>
        <row r="50">
          <cell r="AA50">
            <v>0</v>
          </cell>
          <cell r="AE50">
            <v>0</v>
          </cell>
        </row>
        <row r="51">
          <cell r="AE51">
            <v>0</v>
          </cell>
        </row>
        <row r="52">
          <cell r="AA52">
            <v>0</v>
          </cell>
          <cell r="AE52">
            <v>0</v>
          </cell>
        </row>
        <row r="53">
          <cell r="AA53">
            <v>0</v>
          </cell>
          <cell r="AE53">
            <v>0</v>
          </cell>
        </row>
        <row r="54">
          <cell r="AA54">
            <v>0</v>
          </cell>
          <cell r="AE54">
            <v>0</v>
          </cell>
        </row>
        <row r="55">
          <cell r="AA55">
            <v>0</v>
          </cell>
          <cell r="AE55">
            <v>0</v>
          </cell>
        </row>
        <row r="56">
          <cell r="AA56">
            <v>0</v>
          </cell>
          <cell r="AE56">
            <v>0</v>
          </cell>
        </row>
        <row r="57">
          <cell r="AA57">
            <v>0</v>
          </cell>
          <cell r="AE57">
            <v>0</v>
          </cell>
        </row>
        <row r="58">
          <cell r="AA58">
            <v>0</v>
          </cell>
          <cell r="AE58">
            <v>0</v>
          </cell>
        </row>
        <row r="59">
          <cell r="AA59">
            <v>0</v>
          </cell>
          <cell r="AE59">
            <v>0</v>
          </cell>
        </row>
        <row r="60">
          <cell r="AA60">
            <v>0</v>
          </cell>
          <cell r="AE60">
            <v>0</v>
          </cell>
        </row>
        <row r="61">
          <cell r="AA61">
            <v>0</v>
          </cell>
          <cell r="AE61">
            <v>0</v>
          </cell>
        </row>
        <row r="62">
          <cell r="AE62">
            <v>0</v>
          </cell>
        </row>
        <row r="63">
          <cell r="AA63" t="str">
            <v>직접입력</v>
          </cell>
          <cell r="AE63">
            <v>0</v>
          </cell>
        </row>
        <row r="64">
          <cell r="AA64" t="str">
            <v>직접입력</v>
          </cell>
          <cell r="AE64">
            <v>0</v>
          </cell>
        </row>
        <row r="65">
          <cell r="AA65" t="str">
            <v>직접입력</v>
          </cell>
          <cell r="AE65">
            <v>0</v>
          </cell>
        </row>
        <row r="66">
          <cell r="AA66" t="str">
            <v>직접입력</v>
          </cell>
          <cell r="AE66">
            <v>0</v>
          </cell>
        </row>
        <row r="67">
          <cell r="AA67" t="str">
            <v>직접입력</v>
          </cell>
          <cell r="AE67">
            <v>0</v>
          </cell>
        </row>
        <row r="68">
          <cell r="AA68" t="str">
            <v>직접입력</v>
          </cell>
          <cell r="AE68">
            <v>0</v>
          </cell>
        </row>
        <row r="69">
          <cell r="AA69" t="str">
            <v>직접입력</v>
          </cell>
          <cell r="AE69">
            <v>0</v>
          </cell>
        </row>
        <row r="70">
          <cell r="AA70" t="str">
            <v>직접입력</v>
          </cell>
          <cell r="AE70">
            <v>0</v>
          </cell>
        </row>
        <row r="71">
          <cell r="AA71" t="str">
            <v>직접입력</v>
          </cell>
          <cell r="AE71">
            <v>0</v>
          </cell>
        </row>
        <row r="72">
          <cell r="AA72" t="str">
            <v>직접입력</v>
          </cell>
          <cell r="AE72">
            <v>0</v>
          </cell>
        </row>
        <row r="73">
          <cell r="AE73">
            <v>0</v>
          </cell>
        </row>
        <row r="74">
          <cell r="AA74">
            <v>0</v>
          </cell>
          <cell r="AE74">
            <v>0</v>
          </cell>
        </row>
        <row r="75">
          <cell r="AA75">
            <v>0</v>
          </cell>
          <cell r="AE75">
            <v>0</v>
          </cell>
        </row>
        <row r="76">
          <cell r="AA76">
            <v>0</v>
          </cell>
          <cell r="AE76">
            <v>0</v>
          </cell>
        </row>
        <row r="77">
          <cell r="AA77">
            <v>0</v>
          </cell>
          <cell r="AE77">
            <v>0</v>
          </cell>
        </row>
        <row r="78">
          <cell r="AA78">
            <v>0</v>
          </cell>
          <cell r="AE78">
            <v>0</v>
          </cell>
        </row>
        <row r="79">
          <cell r="AA79">
            <v>0</v>
          </cell>
          <cell r="AE79">
            <v>0</v>
          </cell>
        </row>
        <row r="80">
          <cell r="AA80">
            <v>0</v>
          </cell>
          <cell r="AE80">
            <v>0</v>
          </cell>
        </row>
        <row r="81">
          <cell r="AA81">
            <v>0</v>
          </cell>
          <cell r="AE81">
            <v>0</v>
          </cell>
        </row>
        <row r="82">
          <cell r="AA82">
            <v>0</v>
          </cell>
          <cell r="AE82">
            <v>0</v>
          </cell>
        </row>
        <row r="83">
          <cell r="AA83">
            <v>0</v>
          </cell>
          <cell r="AE83">
            <v>0</v>
          </cell>
        </row>
        <row r="84">
          <cell r="AE84">
            <v>0</v>
          </cell>
        </row>
        <row r="85">
          <cell r="AA85">
            <v>0</v>
          </cell>
          <cell r="AE85">
            <v>0</v>
          </cell>
        </row>
        <row r="86">
          <cell r="AA86">
            <v>0</v>
          </cell>
          <cell r="AE86">
            <v>0</v>
          </cell>
        </row>
        <row r="87">
          <cell r="AA87">
            <v>0</v>
          </cell>
          <cell r="AE87">
            <v>0</v>
          </cell>
        </row>
        <row r="88">
          <cell r="AA88">
            <v>0</v>
          </cell>
          <cell r="AE88">
            <v>0</v>
          </cell>
        </row>
        <row r="89">
          <cell r="AA89">
            <v>0</v>
          </cell>
          <cell r="AE89">
            <v>0</v>
          </cell>
        </row>
        <row r="90">
          <cell r="AA90">
            <v>0</v>
          </cell>
          <cell r="AE90">
            <v>0</v>
          </cell>
        </row>
        <row r="91">
          <cell r="AA91">
            <v>0</v>
          </cell>
          <cell r="AE91">
            <v>0</v>
          </cell>
        </row>
        <row r="92">
          <cell r="AA92">
            <v>0</v>
          </cell>
          <cell r="AE92">
            <v>0</v>
          </cell>
        </row>
        <row r="93">
          <cell r="AA93">
            <v>0</v>
          </cell>
          <cell r="AE93">
            <v>0</v>
          </cell>
        </row>
        <row r="94">
          <cell r="AA94">
            <v>0</v>
          </cell>
          <cell r="AE94">
            <v>0</v>
          </cell>
        </row>
        <row r="95">
          <cell r="AE95">
            <v>0</v>
          </cell>
        </row>
        <row r="96">
          <cell r="AA96">
            <v>0</v>
          </cell>
          <cell r="AE96">
            <v>0</v>
          </cell>
        </row>
        <row r="97">
          <cell r="AA97">
            <v>0</v>
          </cell>
          <cell r="AE97">
            <v>0</v>
          </cell>
        </row>
        <row r="98">
          <cell r="AA98">
            <v>0</v>
          </cell>
          <cell r="AE98">
            <v>0</v>
          </cell>
        </row>
        <row r="99">
          <cell r="AA99">
            <v>0</v>
          </cell>
          <cell r="AE99">
            <v>0</v>
          </cell>
        </row>
        <row r="100">
          <cell r="AA100">
            <v>0</v>
          </cell>
          <cell r="AE100">
            <v>0</v>
          </cell>
        </row>
        <row r="101">
          <cell r="AA101">
            <v>0</v>
          </cell>
          <cell r="AE101">
            <v>0</v>
          </cell>
        </row>
        <row r="102">
          <cell r="AA102">
            <v>0</v>
          </cell>
          <cell r="AE102">
            <v>0</v>
          </cell>
        </row>
        <row r="103">
          <cell r="AA103">
            <v>0</v>
          </cell>
          <cell r="AE103">
            <v>0</v>
          </cell>
        </row>
        <row r="104">
          <cell r="AA104">
            <v>0</v>
          </cell>
          <cell r="AE104">
            <v>0</v>
          </cell>
        </row>
        <row r="105">
          <cell r="AA105">
            <v>0</v>
          </cell>
          <cell r="AE105">
            <v>0</v>
          </cell>
        </row>
        <row r="106">
          <cell r="AE106">
            <v>0</v>
          </cell>
        </row>
        <row r="107">
          <cell r="AA107">
            <v>0</v>
          </cell>
          <cell r="AE107">
            <v>0</v>
          </cell>
        </row>
        <row r="108">
          <cell r="AA108">
            <v>0</v>
          </cell>
          <cell r="AE108">
            <v>0</v>
          </cell>
        </row>
        <row r="109">
          <cell r="AA109">
            <v>0</v>
          </cell>
          <cell r="AE109">
            <v>0</v>
          </cell>
        </row>
        <row r="110">
          <cell r="AA110">
            <v>0</v>
          </cell>
          <cell r="AE110">
            <v>0</v>
          </cell>
        </row>
        <row r="111">
          <cell r="AA111">
            <v>0</v>
          </cell>
          <cell r="AE111">
            <v>0</v>
          </cell>
        </row>
        <row r="112">
          <cell r="AA112">
            <v>0</v>
          </cell>
          <cell r="AE112">
            <v>0</v>
          </cell>
        </row>
        <row r="113">
          <cell r="AA113">
            <v>0</v>
          </cell>
          <cell r="AE113">
            <v>0</v>
          </cell>
        </row>
        <row r="114">
          <cell r="AA114">
            <v>0</v>
          </cell>
          <cell r="AE114">
            <v>0</v>
          </cell>
        </row>
        <row r="115">
          <cell r="AA115">
            <v>0</v>
          </cell>
          <cell r="AE115">
            <v>0</v>
          </cell>
        </row>
        <row r="116">
          <cell r="AA116">
            <v>0</v>
          </cell>
          <cell r="AE116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17년일입"/>
      <sheetName val="17년일출"/>
      <sheetName val="총괄표"/>
      <sheetName val="17년기금입"/>
      <sheetName val="17년기금출"/>
      <sheetName val="17년 계속비"/>
    </sheetNames>
    <sheetDataSet>
      <sheetData sheetId="0" refreshError="1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17년일입"/>
      <sheetName val="17년일출"/>
      <sheetName val="17년특입"/>
      <sheetName val="17년특출"/>
      <sheetName val="17년기금입"/>
      <sheetName val="17년기금출"/>
      <sheetName val="17년 계속비"/>
    </sheetNames>
    <sheetDataSet>
      <sheetData sheetId="0">
        <row r="2">
          <cell r="A2" t="str">
            <v>실과명 조정</v>
          </cell>
          <cell r="B2" t="str">
            <v>위원회명 조정</v>
          </cell>
          <cell r="C2" t="str">
            <v>실국명 조정</v>
          </cell>
        </row>
        <row r="3">
          <cell r="A3" t="str">
            <v>공보담당관</v>
          </cell>
          <cell r="B3" t="str">
            <v>의회운영위원회</v>
          </cell>
          <cell r="C3" t="str">
            <v>의회사무처</v>
          </cell>
        </row>
        <row r="4">
          <cell r="A4" t="str">
            <v>총무담당관</v>
          </cell>
          <cell r="B4" t="str">
            <v>의회운영위원회</v>
          </cell>
          <cell r="C4" t="str">
            <v>의회사무처</v>
          </cell>
        </row>
        <row r="5">
          <cell r="A5" t="str">
            <v>의정담당관</v>
          </cell>
          <cell r="B5" t="str">
            <v>의회운영위원회</v>
          </cell>
          <cell r="C5" t="str">
            <v>의회사무처</v>
          </cell>
        </row>
        <row r="6">
          <cell r="A6" t="str">
            <v>입법정책담당관</v>
          </cell>
          <cell r="B6" t="str">
            <v>의회운영위원회</v>
          </cell>
          <cell r="C6" t="str">
            <v>의회사무처</v>
          </cell>
        </row>
        <row r="7">
          <cell r="A7" t="str">
            <v>예산정책담당관</v>
          </cell>
          <cell r="B7" t="str">
            <v>의회운영위원회</v>
          </cell>
          <cell r="C7" t="str">
            <v>의회사무처</v>
          </cell>
        </row>
        <row r="8">
          <cell r="A8" t="str">
            <v>언론협력담당관</v>
          </cell>
          <cell r="B8" t="str">
            <v>의회운영위원회</v>
          </cell>
          <cell r="C8" t="str">
            <v>대변인</v>
          </cell>
        </row>
        <row r="9">
          <cell r="A9" t="str">
            <v>보도기획담당관</v>
          </cell>
          <cell r="B9" t="str">
            <v>의회운영위원회</v>
          </cell>
          <cell r="C9" t="str">
            <v>대변인</v>
          </cell>
        </row>
        <row r="10">
          <cell r="A10" t="str">
            <v>홍보미디어담당관</v>
          </cell>
          <cell r="B10" t="str">
            <v>의회운영위원회</v>
          </cell>
          <cell r="C10" t="str">
            <v>소통기획관</v>
          </cell>
        </row>
        <row r="11">
          <cell r="A11" t="str">
            <v>홍보콘텐츠담당관</v>
          </cell>
          <cell r="B11" t="str">
            <v>의회운영위원회</v>
          </cell>
          <cell r="C11" t="str">
            <v>소통기획관</v>
          </cell>
        </row>
        <row r="12">
          <cell r="A12" t="str">
            <v>연정협력과</v>
          </cell>
          <cell r="B12" t="str">
            <v>의회운영위원회</v>
          </cell>
          <cell r="C12" t="str">
            <v>연정협력국</v>
          </cell>
        </row>
        <row r="13">
          <cell r="A13" t="str">
            <v>대외협력과</v>
          </cell>
          <cell r="B13" t="str">
            <v>의회운영위원회</v>
          </cell>
          <cell r="C13" t="str">
            <v>연정협력국</v>
          </cell>
        </row>
        <row r="14">
          <cell r="A14" t="str">
            <v>서울사무소</v>
          </cell>
          <cell r="B14" t="str">
            <v>의회운영위원회</v>
          </cell>
          <cell r="C14" t="str">
            <v>연정협력국</v>
          </cell>
        </row>
        <row r="15">
          <cell r="A15" t="str">
            <v>감사총괄담당관</v>
          </cell>
          <cell r="B15" t="str">
            <v>기획재정위원회</v>
          </cell>
          <cell r="C15" t="str">
            <v>감사관</v>
          </cell>
        </row>
        <row r="16">
          <cell r="A16" t="str">
            <v>조사담당관</v>
          </cell>
          <cell r="B16" t="str">
            <v>기획재정위원회</v>
          </cell>
          <cell r="C16" t="str">
            <v>감사관</v>
          </cell>
        </row>
        <row r="17">
          <cell r="A17" t="str">
            <v>감사담당관</v>
          </cell>
          <cell r="B17" t="str">
            <v>기획재정위원회</v>
          </cell>
          <cell r="C17" t="str">
            <v>감사관</v>
          </cell>
        </row>
        <row r="18">
          <cell r="A18" t="str">
            <v>계약심사담당관</v>
          </cell>
          <cell r="B18" t="str">
            <v>기획재정위원회</v>
          </cell>
          <cell r="C18" t="str">
            <v>감사관</v>
          </cell>
        </row>
        <row r="19">
          <cell r="A19" t="str">
            <v>기획담당관</v>
          </cell>
          <cell r="B19" t="str">
            <v>기획재정위원회</v>
          </cell>
          <cell r="C19" t="str">
            <v>기획조정실</v>
          </cell>
        </row>
        <row r="20">
          <cell r="A20" t="str">
            <v>미래전략담당관</v>
          </cell>
          <cell r="B20" t="str">
            <v>기획재정위원회</v>
          </cell>
          <cell r="C20" t="str">
            <v>기획조정실</v>
          </cell>
        </row>
        <row r="21">
          <cell r="A21" t="str">
            <v>예산담당관</v>
          </cell>
          <cell r="B21" t="str">
            <v>기획재정위원회</v>
          </cell>
          <cell r="C21" t="str">
            <v>기획조정실</v>
          </cell>
        </row>
        <row r="22">
          <cell r="A22" t="str">
            <v>평가담당관</v>
          </cell>
          <cell r="B22" t="str">
            <v>기획재정위원회</v>
          </cell>
          <cell r="C22" t="str">
            <v>기획조정실</v>
          </cell>
        </row>
        <row r="23">
          <cell r="A23" t="str">
            <v>법무담당관</v>
          </cell>
          <cell r="B23" t="str">
            <v>기획재정위원회</v>
          </cell>
          <cell r="C23" t="str">
            <v>기획조정실</v>
          </cell>
        </row>
        <row r="24">
          <cell r="A24" t="str">
            <v>행정심판담당관</v>
          </cell>
          <cell r="B24" t="str">
            <v>기획재정위원회</v>
          </cell>
          <cell r="C24" t="str">
            <v>기획조정실</v>
          </cell>
        </row>
        <row r="25">
          <cell r="A25" t="str">
            <v>규제개혁추진단</v>
          </cell>
          <cell r="B25" t="str">
            <v>기획재정위원회</v>
          </cell>
          <cell r="C25" t="str">
            <v>기획조정실</v>
          </cell>
        </row>
        <row r="26">
          <cell r="A26" t="str">
            <v>정보기획담당관</v>
          </cell>
          <cell r="B26" t="str">
            <v>기획재정위원회</v>
          </cell>
          <cell r="C26" t="str">
            <v>기획조정실</v>
          </cell>
        </row>
        <row r="27">
          <cell r="A27" t="str">
            <v>정보통신보안담당관</v>
          </cell>
          <cell r="B27" t="str">
            <v>기획재정위원회</v>
          </cell>
          <cell r="C27" t="str">
            <v>기획조정실</v>
          </cell>
        </row>
        <row r="28">
          <cell r="A28" t="str">
            <v>빅데이터담당관</v>
          </cell>
          <cell r="B28" t="str">
            <v>기획재정위원회</v>
          </cell>
          <cell r="C28" t="str">
            <v>기획조정실</v>
          </cell>
        </row>
        <row r="29">
          <cell r="A29" t="str">
            <v>기획예산담당관</v>
          </cell>
          <cell r="B29" t="str">
            <v>기획재정위원회</v>
          </cell>
          <cell r="C29" t="str">
            <v>균형발전기획실</v>
          </cell>
        </row>
        <row r="30">
          <cell r="A30" t="str">
            <v>균형발전담당관</v>
          </cell>
          <cell r="B30" t="str">
            <v>기획재정위원회</v>
          </cell>
          <cell r="C30" t="str">
            <v>균형발전기획실</v>
          </cell>
        </row>
        <row r="31">
          <cell r="A31" t="str">
            <v>통일기반조성담당관</v>
          </cell>
          <cell r="B31" t="str">
            <v>기획재정위원회</v>
          </cell>
          <cell r="C31" t="str">
            <v>균형발전기획실</v>
          </cell>
        </row>
        <row r="32">
          <cell r="A32" t="str">
            <v>DMZ정책담당관</v>
          </cell>
          <cell r="B32" t="str">
            <v>기획재정위원회</v>
          </cell>
          <cell r="C32" t="str">
            <v>균형발전기획실</v>
          </cell>
        </row>
        <row r="33">
          <cell r="A33" t="str">
            <v>군관협력담당관</v>
          </cell>
          <cell r="B33" t="str">
            <v>기획재정위원회</v>
          </cell>
          <cell r="C33" t="str">
            <v>균형발전기획실</v>
          </cell>
        </row>
        <row r="34">
          <cell r="A34" t="str">
            <v>따복공동체지원단</v>
          </cell>
          <cell r="B34" t="str">
            <v>기획재정위원회</v>
          </cell>
          <cell r="C34" t="str">
            <v>따복공동체지원단</v>
          </cell>
        </row>
        <row r="35">
          <cell r="A35" t="str">
            <v>경제정책과</v>
          </cell>
          <cell r="B35" t="str">
            <v>경제과학기술위원회</v>
          </cell>
          <cell r="C35" t="str">
            <v>경제실</v>
          </cell>
        </row>
        <row r="36">
          <cell r="A36" t="str">
            <v>일자리정책과</v>
          </cell>
          <cell r="B36" t="str">
            <v>경제과학기술위원회</v>
          </cell>
          <cell r="C36" t="str">
            <v>경제실</v>
          </cell>
        </row>
        <row r="37">
          <cell r="A37" t="str">
            <v>경기일자리센터</v>
          </cell>
          <cell r="B37" t="str">
            <v>경제과학기술위원회</v>
          </cell>
          <cell r="C37" t="str">
            <v>경제실</v>
          </cell>
        </row>
        <row r="38">
          <cell r="A38" t="str">
            <v>공정경제과</v>
          </cell>
          <cell r="B38" t="str">
            <v>경제과학기술위원회</v>
          </cell>
          <cell r="C38" t="str">
            <v>경제실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</row>
        <row r="47">
          <cell r="A47" t="str">
            <v>기술학교</v>
          </cell>
          <cell r="B47" t="str">
            <v>경제과학기술위원회</v>
          </cell>
          <cell r="C47" t="str">
            <v>경제실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</row>
        <row r="51">
          <cell r="A51" t="str">
            <v>따복공동체지원단</v>
          </cell>
          <cell r="B51" t="str">
            <v>경제과학기술위원회</v>
          </cell>
          <cell r="C51" t="str">
            <v>따복공동체지원단</v>
          </cell>
        </row>
        <row r="52">
          <cell r="A52" t="str">
            <v>총무과</v>
          </cell>
          <cell r="B52" t="str">
            <v>안전행정위원회</v>
          </cell>
          <cell r="C52" t="str">
            <v>자치행정국</v>
          </cell>
        </row>
        <row r="53">
          <cell r="A53" t="str">
            <v>자치행정과</v>
          </cell>
          <cell r="B53" t="str">
            <v>안전행정위원회</v>
          </cell>
          <cell r="C53" t="str">
            <v>자치행정국</v>
          </cell>
        </row>
        <row r="54">
          <cell r="A54" t="str">
            <v>인사과</v>
          </cell>
          <cell r="B54" t="str">
            <v>안전행정위원회</v>
          </cell>
          <cell r="C54" t="str">
            <v>자치행정국</v>
          </cell>
        </row>
        <row r="55">
          <cell r="A55" t="str">
            <v>언제나민원실</v>
          </cell>
          <cell r="B55" t="str">
            <v>안전행정위원회</v>
          </cell>
          <cell r="C55" t="str">
            <v>자치행정국</v>
          </cell>
        </row>
        <row r="56">
          <cell r="A56" t="str">
            <v>세정과</v>
          </cell>
          <cell r="B56" t="str">
            <v>안전행정위원회</v>
          </cell>
          <cell r="C56" t="str">
            <v>자치행정국</v>
          </cell>
        </row>
        <row r="57">
          <cell r="A57" t="str">
            <v>세원관리과</v>
          </cell>
          <cell r="B57" t="str">
            <v>안전행정위원회</v>
          </cell>
          <cell r="C57" t="str">
            <v>자치행정국</v>
          </cell>
        </row>
        <row r="58">
          <cell r="A58" t="str">
            <v>회계과</v>
          </cell>
          <cell r="B58" t="str">
            <v>안전행정위원회</v>
          </cell>
          <cell r="C58" t="str">
            <v>자치행정국</v>
          </cell>
        </row>
        <row r="59">
          <cell r="A59" t="str">
            <v>특별사법경찰단</v>
          </cell>
          <cell r="B59" t="str">
            <v>안전행정위원회</v>
          </cell>
          <cell r="C59" t="str">
            <v>자치행정국</v>
          </cell>
        </row>
        <row r="60">
          <cell r="A60" t="str">
            <v>소방행정과</v>
          </cell>
          <cell r="B60" t="str">
            <v>안전행정위원회</v>
          </cell>
          <cell r="C60" t="str">
            <v>재난안전본부</v>
          </cell>
        </row>
        <row r="61">
          <cell r="A61" t="str">
            <v>재난안전과</v>
          </cell>
          <cell r="B61" t="str">
            <v>안전행정위원회</v>
          </cell>
          <cell r="C61" t="str">
            <v>재난안전본부</v>
          </cell>
        </row>
        <row r="62">
          <cell r="A62" t="str">
            <v>재난대응과</v>
          </cell>
          <cell r="B62" t="str">
            <v>안전행정위원회</v>
          </cell>
          <cell r="C62" t="str">
            <v>재난안전본부</v>
          </cell>
        </row>
        <row r="63">
          <cell r="A63" t="str">
            <v>재난종합지휘센터</v>
          </cell>
          <cell r="B63" t="str">
            <v>안전행정위원회</v>
          </cell>
          <cell r="C63" t="str">
            <v>재난안전본부</v>
          </cell>
        </row>
        <row r="64">
          <cell r="A64" t="str">
            <v>안전교육훈련담당관</v>
          </cell>
          <cell r="B64" t="str">
            <v>안전행정위원회</v>
          </cell>
          <cell r="C64" t="str">
            <v>재난안전본부</v>
          </cell>
        </row>
        <row r="65">
          <cell r="A65" t="str">
            <v>청문감사담당관</v>
          </cell>
          <cell r="B65" t="str">
            <v>안전행정위원회</v>
          </cell>
          <cell r="C65" t="str">
            <v>재난안전본부</v>
          </cell>
        </row>
        <row r="66">
          <cell r="A66" t="str">
            <v>특수대응단</v>
          </cell>
          <cell r="B66" t="str">
            <v>안전행정위원회</v>
          </cell>
          <cell r="C66" t="str">
            <v>재난안전본부</v>
          </cell>
        </row>
        <row r="67">
          <cell r="A67" t="str">
            <v>안전기획과</v>
          </cell>
          <cell r="B67" t="str">
            <v>안전행정위원회</v>
          </cell>
          <cell r="C67" t="str">
            <v>재난안전본부</v>
          </cell>
        </row>
        <row r="68">
          <cell r="A68" t="str">
            <v>재난대책과</v>
          </cell>
          <cell r="B68" t="str">
            <v>안전행정위원회</v>
          </cell>
          <cell r="C68" t="str">
            <v>재난안전본부</v>
          </cell>
        </row>
        <row r="69">
          <cell r="A69" t="str">
            <v>기동안전점검단</v>
          </cell>
          <cell r="B69" t="str">
            <v>안전행정위원회</v>
          </cell>
          <cell r="C69" t="str">
            <v>재난안전본부</v>
          </cell>
        </row>
        <row r="70">
          <cell r="A70" t="str">
            <v>소방행정기획과</v>
          </cell>
          <cell r="B70" t="str">
            <v>안전행정위원회</v>
          </cell>
          <cell r="C70" t="str">
            <v>재난안전본부</v>
          </cell>
        </row>
        <row r="71">
          <cell r="A71" t="str">
            <v>특수대응단(북부)</v>
          </cell>
          <cell r="B71" t="str">
            <v>안전행정위원회</v>
          </cell>
          <cell r="C71" t="str">
            <v>재난안전본부</v>
          </cell>
        </row>
        <row r="72">
          <cell r="A72" t="str">
            <v>교육지원과</v>
          </cell>
          <cell r="B72" t="str">
            <v>안전행정위원회</v>
          </cell>
          <cell r="C72" t="str">
            <v>재난안전본부</v>
          </cell>
        </row>
        <row r="73">
          <cell r="A73" t="str">
            <v>교육기획과</v>
          </cell>
          <cell r="B73" t="str">
            <v>안전행정위원회</v>
          </cell>
          <cell r="C73" t="str">
            <v>재난안전본부</v>
          </cell>
        </row>
        <row r="74">
          <cell r="A74" t="str">
            <v>교수운영과</v>
          </cell>
          <cell r="B74" t="str">
            <v>안전행정위원회</v>
          </cell>
          <cell r="C74" t="str">
            <v>재난안전본부</v>
          </cell>
        </row>
        <row r="75">
          <cell r="A75" t="str">
            <v>수원소방서</v>
          </cell>
          <cell r="B75" t="str">
            <v>안전행정위원회</v>
          </cell>
          <cell r="C75" t="str">
            <v>재난안전본부</v>
          </cell>
        </row>
        <row r="76">
          <cell r="A76" t="str">
            <v>성남소방서</v>
          </cell>
          <cell r="B76" t="str">
            <v>안전행정위원회</v>
          </cell>
          <cell r="C76" t="str">
            <v>재난안전본부</v>
          </cell>
        </row>
        <row r="77">
          <cell r="A77" t="str">
            <v>분당소방서</v>
          </cell>
          <cell r="B77" t="str">
            <v>안전행정위원회</v>
          </cell>
          <cell r="C77" t="str">
            <v>재난안전본부</v>
          </cell>
        </row>
        <row r="78">
          <cell r="A78" t="str">
            <v>부천소방서</v>
          </cell>
          <cell r="B78" t="str">
            <v>안전행정위원회</v>
          </cell>
          <cell r="C78" t="str">
            <v>재난안전본부</v>
          </cell>
        </row>
        <row r="79">
          <cell r="A79" t="str">
            <v>안양소방서</v>
          </cell>
          <cell r="B79" t="str">
            <v>안전행정위원회</v>
          </cell>
          <cell r="C79" t="str">
            <v>재난안전본부</v>
          </cell>
        </row>
        <row r="80">
          <cell r="A80" t="str">
            <v>안산소방서</v>
          </cell>
          <cell r="B80" t="str">
            <v>안전행정위원회</v>
          </cell>
          <cell r="C80" t="str">
            <v>재난안전본부</v>
          </cell>
        </row>
        <row r="81">
          <cell r="A81" t="str">
            <v>용인소방서</v>
          </cell>
          <cell r="B81" t="str">
            <v>안전행정위원회</v>
          </cell>
          <cell r="C81" t="str">
            <v>재난안전본부</v>
          </cell>
        </row>
        <row r="82">
          <cell r="A82" t="str">
            <v>평택소방서</v>
          </cell>
          <cell r="B82" t="str">
            <v>안전행정위원회</v>
          </cell>
          <cell r="C82" t="str">
            <v>재난안전본부</v>
          </cell>
        </row>
        <row r="83">
          <cell r="A83" t="str">
            <v>송탄소방서</v>
          </cell>
          <cell r="B83" t="str">
            <v>안전행정위원회</v>
          </cell>
          <cell r="C83" t="str">
            <v>재난안전본부</v>
          </cell>
        </row>
        <row r="84">
          <cell r="A84" t="str">
            <v>광명소방서</v>
          </cell>
          <cell r="B84" t="str">
            <v>안전행정위원회</v>
          </cell>
          <cell r="C84" t="str">
            <v>재난안전본부</v>
          </cell>
        </row>
        <row r="85">
          <cell r="A85" t="str">
            <v>시흥소방서</v>
          </cell>
          <cell r="B85" t="str">
            <v>안전행정위원회</v>
          </cell>
          <cell r="C85" t="str">
            <v>재난안전본부</v>
          </cell>
        </row>
        <row r="86">
          <cell r="A86" t="str">
            <v>군포소방서</v>
          </cell>
          <cell r="B86" t="str">
            <v>안전행정위원회</v>
          </cell>
          <cell r="C86" t="str">
            <v>재난안전본부</v>
          </cell>
        </row>
        <row r="87">
          <cell r="A87" t="str">
            <v>화성소방서</v>
          </cell>
          <cell r="B87" t="str">
            <v>안전행정위원회</v>
          </cell>
          <cell r="C87" t="str">
            <v>재난안전본부</v>
          </cell>
        </row>
        <row r="88">
          <cell r="A88" t="str">
            <v>이천소방서</v>
          </cell>
          <cell r="B88" t="str">
            <v>안전행정위원회</v>
          </cell>
          <cell r="C88" t="str">
            <v>재난안전본부</v>
          </cell>
        </row>
        <row r="89">
          <cell r="A89" t="str">
            <v>김포소방서</v>
          </cell>
          <cell r="B89" t="str">
            <v>안전행정위원회</v>
          </cell>
          <cell r="C89" t="str">
            <v>재난안전본부</v>
          </cell>
        </row>
        <row r="90">
          <cell r="A90" t="str">
            <v>광주소방서</v>
          </cell>
          <cell r="B90" t="str">
            <v>안전행정위원회</v>
          </cell>
          <cell r="C90" t="str">
            <v>재난안전본부</v>
          </cell>
        </row>
        <row r="91">
          <cell r="A91" t="str">
            <v>안성소방서</v>
          </cell>
          <cell r="B91" t="str">
            <v>안전행정위원회</v>
          </cell>
          <cell r="C91" t="str">
            <v>재난안전본부</v>
          </cell>
        </row>
        <row r="92">
          <cell r="A92" t="str">
            <v>하남소방서</v>
          </cell>
          <cell r="B92" t="str">
            <v>안전행정위원회</v>
          </cell>
          <cell r="C92" t="str">
            <v>재난안전본부</v>
          </cell>
        </row>
        <row r="93">
          <cell r="A93" t="str">
            <v>의왕소방서</v>
          </cell>
          <cell r="B93" t="str">
            <v>안전행정위원회</v>
          </cell>
          <cell r="C93" t="str">
            <v>재난안전본부</v>
          </cell>
        </row>
        <row r="94">
          <cell r="A94" t="str">
            <v>오산소방서</v>
          </cell>
          <cell r="B94" t="str">
            <v>안전행정위원회</v>
          </cell>
          <cell r="C94" t="str">
            <v>재난안전본부</v>
          </cell>
        </row>
        <row r="95">
          <cell r="A95" t="str">
            <v>여주소방서</v>
          </cell>
          <cell r="B95" t="str">
            <v>안전행정위원회</v>
          </cell>
          <cell r="C95" t="str">
            <v>재난안전본부</v>
          </cell>
        </row>
        <row r="96">
          <cell r="A96" t="str">
            <v>양평소방서</v>
          </cell>
          <cell r="B96" t="str">
            <v>안전행정위원회</v>
          </cell>
          <cell r="C96" t="str">
            <v>재난안전본부</v>
          </cell>
        </row>
        <row r="97">
          <cell r="A97" t="str">
            <v>과천소방서</v>
          </cell>
          <cell r="B97" t="str">
            <v>안전행정위원회</v>
          </cell>
          <cell r="C97" t="str">
            <v>재난안전본부</v>
          </cell>
        </row>
        <row r="98">
          <cell r="A98" t="str">
            <v>고양소방서</v>
          </cell>
          <cell r="B98" t="str">
            <v>안전행정위원회</v>
          </cell>
          <cell r="C98" t="str">
            <v>재난안전본부</v>
          </cell>
        </row>
        <row r="99">
          <cell r="A99" t="str">
            <v>일산소방서</v>
          </cell>
          <cell r="B99" t="str">
            <v>안전행정위원회</v>
          </cell>
          <cell r="C99" t="str">
            <v>재난안전본부</v>
          </cell>
        </row>
        <row r="100">
          <cell r="A100" t="str">
            <v>의정부소방서</v>
          </cell>
          <cell r="B100" t="str">
            <v>안전행정위원회</v>
          </cell>
          <cell r="C100" t="str">
            <v>재난안전본부</v>
          </cell>
        </row>
        <row r="101">
          <cell r="A101" t="str">
            <v>남양주소방서</v>
          </cell>
          <cell r="B101" t="str">
            <v>안전행정위원회</v>
          </cell>
          <cell r="C101" t="str">
            <v>재난안전본부</v>
          </cell>
        </row>
        <row r="102">
          <cell r="A102" t="str">
            <v>파주소방서</v>
          </cell>
          <cell r="B102" t="str">
            <v>안전행정위원회</v>
          </cell>
          <cell r="C102" t="str">
            <v>재난안전본부</v>
          </cell>
        </row>
        <row r="103">
          <cell r="A103" t="str">
            <v>구리소방서</v>
          </cell>
          <cell r="B103" t="str">
            <v>안전행정위원회</v>
          </cell>
          <cell r="C103" t="str">
            <v>재난안전본부</v>
          </cell>
        </row>
        <row r="104">
          <cell r="A104" t="str">
            <v>포천소방서</v>
          </cell>
          <cell r="B104" t="str">
            <v>안전행정위원회</v>
          </cell>
          <cell r="C104" t="str">
            <v>재난안전본부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</row>
        <row r="106">
          <cell r="A106" t="str">
            <v>동두천소방서</v>
          </cell>
          <cell r="B106" t="str">
            <v>안전행정위원회</v>
          </cell>
          <cell r="C106" t="str">
            <v>재난안전본부</v>
          </cell>
        </row>
        <row r="107">
          <cell r="A107" t="str">
            <v>가평소방서</v>
          </cell>
          <cell r="B107" t="str">
            <v>안전행정위원회</v>
          </cell>
          <cell r="C107" t="str">
            <v>재난안전본부</v>
          </cell>
        </row>
        <row r="108">
          <cell r="A108" t="str">
            <v>연천소방서</v>
          </cell>
          <cell r="B108" t="str">
            <v>안전행정위원회</v>
          </cell>
          <cell r="C108" t="str">
            <v>재난안전본부</v>
          </cell>
        </row>
        <row r="109">
          <cell r="A109" t="str">
            <v>행정관리담당관</v>
          </cell>
          <cell r="B109" t="str">
            <v>안전행정위원회</v>
          </cell>
          <cell r="C109" t="str">
            <v>균형발전기획실</v>
          </cell>
        </row>
        <row r="110">
          <cell r="A110" t="str">
            <v>비상기획담당관</v>
          </cell>
          <cell r="B110" t="str">
            <v>안전행정위원회</v>
          </cell>
          <cell r="C110" t="str">
            <v>균형발전기획실</v>
          </cell>
        </row>
        <row r="111">
          <cell r="A111" t="str">
            <v>교육컨설팅과</v>
          </cell>
          <cell r="B111" t="str">
            <v>안전행정위원회</v>
          </cell>
          <cell r="C111" t="str">
            <v>인재개발원</v>
          </cell>
        </row>
        <row r="112">
          <cell r="A112" t="str">
            <v>역량개발지원과</v>
          </cell>
          <cell r="B112" t="str">
            <v>안전행정위원회</v>
          </cell>
          <cell r="C112" t="str">
            <v>인재개발원</v>
          </cell>
        </row>
        <row r="113">
          <cell r="A113" t="str">
            <v>스마트교육과</v>
          </cell>
          <cell r="B113" t="str">
            <v>안전행정위원회</v>
          </cell>
          <cell r="C113" t="str">
            <v>인재개발원</v>
          </cell>
        </row>
        <row r="114">
          <cell r="A114" t="str">
            <v>문화정책과</v>
          </cell>
          <cell r="B114" t="str">
            <v>문화체육관광위원회</v>
          </cell>
          <cell r="C114" t="str">
            <v>문화체육관광국</v>
          </cell>
        </row>
        <row r="115">
          <cell r="A115" t="str">
            <v>종무과</v>
          </cell>
          <cell r="B115" t="str">
            <v>문화체육관광위원회</v>
          </cell>
          <cell r="C115" t="str">
            <v>문화체육관광국</v>
          </cell>
        </row>
        <row r="116">
          <cell r="A116" t="str">
            <v>체육과</v>
          </cell>
          <cell r="B116" t="str">
            <v>문화체육관광위원회</v>
          </cell>
          <cell r="C116" t="str">
            <v>문화체육관광국</v>
          </cell>
        </row>
        <row r="117">
          <cell r="A117" t="str">
            <v>문화유산과</v>
          </cell>
          <cell r="B117" t="str">
            <v>문화체육관광위원회</v>
          </cell>
          <cell r="C117" t="str">
            <v>문화체육관광국</v>
          </cell>
        </row>
        <row r="118">
          <cell r="A118" t="str">
            <v>콘텐츠산업과</v>
          </cell>
          <cell r="B118" t="str">
            <v>문화체육관광위원회</v>
          </cell>
          <cell r="C118" t="str">
            <v>문화체육관광국</v>
          </cell>
        </row>
        <row r="119">
          <cell r="A119" t="str">
            <v>관광과</v>
          </cell>
          <cell r="B119" t="str">
            <v>문화체육관광위원회</v>
          </cell>
          <cell r="C119" t="str">
            <v>문화체육관광국</v>
          </cell>
        </row>
        <row r="120">
          <cell r="A120" t="str">
            <v>한류월드사업단</v>
          </cell>
          <cell r="B120" t="str">
            <v>문화체육관광위원회</v>
          </cell>
          <cell r="C120" t="str">
            <v>문화체육관광국</v>
          </cell>
        </row>
        <row r="121">
          <cell r="A121" t="str">
            <v>남한산성세계유산센터</v>
          </cell>
          <cell r="B121" t="str">
            <v>문화체육관광위원회</v>
          </cell>
          <cell r="C121" t="str">
            <v>문화체육관광국</v>
          </cell>
        </row>
        <row r="122">
          <cell r="A122" t="str">
            <v>농업정책과</v>
          </cell>
          <cell r="B122" t="str">
            <v>농정해양위원회</v>
          </cell>
          <cell r="C122" t="str">
            <v>농정해양국</v>
          </cell>
        </row>
        <row r="123">
          <cell r="A123" t="str">
            <v>해양항만정책과</v>
          </cell>
          <cell r="B123" t="str">
            <v>농정해양위원회</v>
          </cell>
          <cell r="C123" t="str">
            <v>농정해양국</v>
          </cell>
        </row>
        <row r="124">
          <cell r="A124" t="str">
            <v>농식품유통과</v>
          </cell>
          <cell r="B124" t="str">
            <v>농정해양위원회</v>
          </cell>
          <cell r="C124" t="str">
            <v>농정해양국</v>
          </cell>
        </row>
        <row r="125">
          <cell r="A125" t="str">
            <v>친환경농업과</v>
          </cell>
          <cell r="B125" t="str">
            <v>농정해양위원회</v>
          </cell>
          <cell r="C125" t="str">
            <v>농정해양국</v>
          </cell>
        </row>
        <row r="126">
          <cell r="A126" t="str">
            <v>수산과</v>
          </cell>
          <cell r="B126" t="str">
            <v>농정해양위원회</v>
          </cell>
          <cell r="C126" t="str">
            <v>농정해양국</v>
          </cell>
        </row>
        <row r="127">
          <cell r="A127" t="str">
            <v>해양수산자원연구소</v>
          </cell>
          <cell r="B127" t="str">
            <v>농정해양위원회</v>
          </cell>
          <cell r="C127" t="str">
            <v>농정해양국</v>
          </cell>
        </row>
        <row r="128">
          <cell r="A128" t="str">
            <v>종자관리소</v>
          </cell>
          <cell r="B128" t="str">
            <v>농정해양위원회</v>
          </cell>
          <cell r="C128" t="str">
            <v>농정해양국</v>
          </cell>
        </row>
        <row r="129">
          <cell r="A129" t="str">
            <v>축산정책과</v>
          </cell>
          <cell r="B129" t="str">
            <v>농정해양위원회</v>
          </cell>
          <cell r="C129" t="str">
            <v>축산산림국</v>
          </cell>
        </row>
        <row r="130">
          <cell r="A130" t="str">
            <v>동물방역위생과</v>
          </cell>
          <cell r="B130" t="str">
            <v>농정해양위원회</v>
          </cell>
          <cell r="C130" t="str">
            <v>축산산림국</v>
          </cell>
        </row>
        <row r="131">
          <cell r="A131" t="str">
            <v>산림과</v>
          </cell>
          <cell r="B131" t="str">
            <v>농정해양위원회</v>
          </cell>
          <cell r="C131" t="str">
            <v>축산산림국</v>
          </cell>
        </row>
        <row r="132">
          <cell r="A132" t="str">
            <v>동물위생시험소</v>
          </cell>
          <cell r="B132" t="str">
            <v>농정해양위원회</v>
          </cell>
          <cell r="C132" t="str">
            <v>축산산림국</v>
          </cell>
        </row>
        <row r="133">
          <cell r="A133" t="str">
            <v>북부동물위생시험소</v>
          </cell>
          <cell r="B133" t="str">
            <v>농정해양위원회</v>
          </cell>
          <cell r="C133" t="str">
            <v>축산산림국</v>
          </cell>
        </row>
        <row r="134">
          <cell r="A134" t="str">
            <v>산림환경연구소</v>
          </cell>
          <cell r="B134" t="str">
            <v>농정해양위원회</v>
          </cell>
          <cell r="C134" t="str">
            <v>축산산림국</v>
          </cell>
        </row>
        <row r="135">
          <cell r="A135" t="str">
            <v>축산진흥센터</v>
          </cell>
          <cell r="B135" t="str">
            <v>농정해양위원회</v>
          </cell>
          <cell r="C135" t="str">
            <v>축산산림국</v>
          </cell>
        </row>
        <row r="136">
          <cell r="A136" t="str">
            <v>행정지원과</v>
          </cell>
          <cell r="B136" t="str">
            <v>농정해양위원회</v>
          </cell>
          <cell r="C136" t="str">
            <v>농업기술원</v>
          </cell>
        </row>
        <row r="137">
          <cell r="A137" t="str">
            <v>작물연구과</v>
          </cell>
          <cell r="B137" t="str">
            <v>농정해양위원회</v>
          </cell>
          <cell r="C137" t="str">
            <v>농업기술원</v>
          </cell>
        </row>
        <row r="138">
          <cell r="A138" t="str">
            <v>원예연구과</v>
          </cell>
          <cell r="B138" t="str">
            <v>농정해양위원회</v>
          </cell>
          <cell r="C138" t="str">
            <v>농업기술원</v>
          </cell>
        </row>
        <row r="139">
          <cell r="A139" t="str">
            <v>환경농업연구과</v>
          </cell>
          <cell r="B139" t="str">
            <v>농정해양위원회</v>
          </cell>
          <cell r="C139" t="str">
            <v>농업기술원</v>
          </cell>
        </row>
        <row r="140">
          <cell r="A140" t="str">
            <v>지도정책과</v>
          </cell>
          <cell r="B140" t="str">
            <v>농정해양위원회</v>
          </cell>
          <cell r="C140" t="str">
            <v>농업기술원</v>
          </cell>
        </row>
        <row r="141">
          <cell r="A141" t="str">
            <v>기술보급과</v>
          </cell>
          <cell r="B141" t="str">
            <v>농정해양위원회</v>
          </cell>
          <cell r="C141" t="str">
            <v>농업기술원</v>
          </cell>
        </row>
        <row r="142">
          <cell r="A142" t="str">
            <v>농촌자원과</v>
          </cell>
          <cell r="B142" t="str">
            <v>농정해양위원회</v>
          </cell>
          <cell r="C142" t="str">
            <v>농업기술원</v>
          </cell>
        </row>
        <row r="143">
          <cell r="A143" t="str">
            <v>버섯연구소</v>
          </cell>
          <cell r="B143" t="str">
            <v>농정해양위원회</v>
          </cell>
          <cell r="C143" t="str">
            <v>농업기술원</v>
          </cell>
        </row>
        <row r="144">
          <cell r="A144" t="str">
            <v>소득자원연구소</v>
          </cell>
          <cell r="B144" t="str">
            <v>농정해양위원회</v>
          </cell>
          <cell r="C144" t="str">
            <v>농업기술원</v>
          </cell>
        </row>
        <row r="145">
          <cell r="A145" t="str">
            <v>선인장다육식물연구소</v>
          </cell>
          <cell r="B145" t="str">
            <v>농정해양위원회</v>
          </cell>
          <cell r="C145" t="str">
            <v>농업기술원</v>
          </cell>
        </row>
        <row r="146">
          <cell r="A146" t="str">
            <v>복지정책과</v>
          </cell>
          <cell r="B146" t="str">
            <v>보건복지위원회</v>
          </cell>
          <cell r="C146" t="str">
            <v>보건복지국</v>
          </cell>
        </row>
        <row r="147">
          <cell r="A147" t="str">
            <v>사회적일자리과</v>
          </cell>
          <cell r="B147" t="str">
            <v>보건복지위원회</v>
          </cell>
          <cell r="C147" t="str">
            <v>보건복지국</v>
          </cell>
        </row>
        <row r="148">
          <cell r="A148" t="str">
            <v>노인복지과</v>
          </cell>
          <cell r="B148" t="str">
            <v>보건복지위원회</v>
          </cell>
          <cell r="C148" t="str">
            <v>보건복지국</v>
          </cell>
        </row>
        <row r="149">
          <cell r="A149" t="str">
            <v>장애인복지과</v>
          </cell>
          <cell r="B149" t="str">
            <v>보건복지위원회</v>
          </cell>
          <cell r="C149" t="str">
            <v>보건복지국</v>
          </cell>
        </row>
        <row r="150">
          <cell r="A150" t="str">
            <v>보건정책과</v>
          </cell>
          <cell r="B150" t="str">
            <v>보건복지위원회</v>
          </cell>
          <cell r="C150" t="str">
            <v>보건복지국</v>
          </cell>
        </row>
        <row r="151">
          <cell r="A151" t="str">
            <v>감염병관리과</v>
          </cell>
          <cell r="B151" t="str">
            <v>보건복지위원회</v>
          </cell>
          <cell r="C151" t="str">
            <v>보건복지국</v>
          </cell>
        </row>
        <row r="152">
          <cell r="A152" t="str">
            <v>건강증진과</v>
          </cell>
          <cell r="B152" t="str">
            <v>보건복지위원회</v>
          </cell>
          <cell r="C152" t="str">
            <v>보건복지국</v>
          </cell>
        </row>
        <row r="153">
          <cell r="A153" t="str">
            <v>식품안전과</v>
          </cell>
          <cell r="B153" t="str">
            <v>보건복지위원회</v>
          </cell>
          <cell r="C153" t="str">
            <v>보건복지국</v>
          </cell>
        </row>
        <row r="154">
          <cell r="A154" t="str">
            <v>사회복지담당관</v>
          </cell>
          <cell r="B154" t="str">
            <v>보건복지위원회</v>
          </cell>
          <cell r="C154" t="str">
            <v>복지여성실</v>
          </cell>
        </row>
        <row r="155">
          <cell r="A155" t="str">
            <v>보건위생담당관</v>
          </cell>
          <cell r="B155" t="str">
            <v>보건복지위원회</v>
          </cell>
          <cell r="C155" t="str">
            <v>복지여성실</v>
          </cell>
        </row>
        <row r="156">
          <cell r="A156" t="str">
            <v>보건환경연구원(총무과)</v>
          </cell>
          <cell r="B156" t="str">
            <v>보건복지위원회</v>
          </cell>
          <cell r="C156" t="str">
            <v>보건환경연구원</v>
          </cell>
        </row>
        <row r="157">
          <cell r="A157" t="str">
            <v>보건연구부</v>
          </cell>
          <cell r="B157" t="str">
            <v>보건복지위원회</v>
          </cell>
          <cell r="C157" t="str">
            <v>보건환경연구원</v>
          </cell>
        </row>
        <row r="158">
          <cell r="A158" t="str">
            <v>수원농수산물검사소</v>
          </cell>
          <cell r="B158" t="str">
            <v>보건복지위원회</v>
          </cell>
          <cell r="C158" t="str">
            <v>보건환경연구원</v>
          </cell>
        </row>
        <row r="159">
          <cell r="A159" t="str">
            <v>북부지원</v>
          </cell>
          <cell r="B159" t="str">
            <v>보건복지위원회</v>
          </cell>
          <cell r="C159" t="str">
            <v>보건환경연구원</v>
          </cell>
        </row>
        <row r="160">
          <cell r="A160" t="str">
            <v>철도물류정책과</v>
          </cell>
          <cell r="B160" t="str">
            <v>건설교통위원회</v>
          </cell>
          <cell r="C160" t="str">
            <v>철도국</v>
          </cell>
        </row>
        <row r="161">
          <cell r="A161" t="str">
            <v>광역도시철도과</v>
          </cell>
          <cell r="B161" t="str">
            <v>건설교통위원회</v>
          </cell>
          <cell r="C161" t="str">
            <v>철도국</v>
          </cell>
        </row>
        <row r="162">
          <cell r="A162" t="str">
            <v>철도건설과</v>
          </cell>
          <cell r="B162" t="str">
            <v>건설교통위원회</v>
          </cell>
          <cell r="C162" t="str">
            <v>철도국</v>
          </cell>
        </row>
        <row r="163">
          <cell r="A163" t="str">
            <v>교통정책과</v>
          </cell>
          <cell r="B163" t="str">
            <v>건설교통위원회</v>
          </cell>
          <cell r="C163" t="str">
            <v>교통국</v>
          </cell>
        </row>
        <row r="164">
          <cell r="A164" t="str">
            <v>버스정책과</v>
          </cell>
          <cell r="B164" t="str">
            <v>건설교통위원회</v>
          </cell>
          <cell r="C164" t="str">
            <v>교통국</v>
          </cell>
        </row>
        <row r="165">
          <cell r="A165" t="str">
            <v>굿모닝버스추진단</v>
          </cell>
          <cell r="B165" t="str">
            <v>건설교통위원회</v>
          </cell>
          <cell r="C165" t="str">
            <v>교통국</v>
          </cell>
        </row>
        <row r="166">
          <cell r="A166" t="str">
            <v>택시정책과</v>
          </cell>
          <cell r="B166" t="str">
            <v>건설교통위원회</v>
          </cell>
          <cell r="C166" t="str">
            <v>교통국</v>
          </cell>
        </row>
        <row r="167">
          <cell r="A167" t="str">
            <v>교통정보센터</v>
          </cell>
          <cell r="B167" t="str">
            <v>건설교통위원회</v>
          </cell>
          <cell r="C167" t="str">
            <v>교통국</v>
          </cell>
        </row>
        <row r="168">
          <cell r="A168" t="str">
            <v>건설안전과</v>
          </cell>
          <cell r="B168" t="str">
            <v>건설교통위원회</v>
          </cell>
          <cell r="C168" t="str">
            <v>건설국</v>
          </cell>
        </row>
        <row r="169">
          <cell r="A169" t="str">
            <v>도로정책과</v>
          </cell>
          <cell r="B169" t="str">
            <v>건설교통위원회</v>
          </cell>
          <cell r="C169" t="str">
            <v>건설국</v>
          </cell>
        </row>
        <row r="170">
          <cell r="A170" t="str">
            <v>하천과</v>
          </cell>
          <cell r="B170" t="str">
            <v>건설교통위원회</v>
          </cell>
          <cell r="C170" t="str">
            <v>건설국</v>
          </cell>
        </row>
        <row r="171">
          <cell r="A171" t="str">
            <v>건설기술과</v>
          </cell>
          <cell r="B171" t="str">
            <v>건설교통위원회</v>
          </cell>
          <cell r="C171" t="str">
            <v>건설국</v>
          </cell>
        </row>
        <row r="172">
          <cell r="A172" t="str">
            <v>관리과</v>
          </cell>
          <cell r="B172" t="str">
            <v>건설교통위원회</v>
          </cell>
          <cell r="C172" t="str">
            <v>건설본부</v>
          </cell>
        </row>
        <row r="173">
          <cell r="A173" t="str">
            <v>도로건설과</v>
          </cell>
          <cell r="B173" t="str">
            <v>건설교통위원회</v>
          </cell>
          <cell r="C173" t="str">
            <v>건설본부</v>
          </cell>
        </row>
        <row r="174">
          <cell r="A174" t="str">
            <v>북부도로과</v>
          </cell>
          <cell r="B174" t="str">
            <v>건설교통위원회</v>
          </cell>
          <cell r="C174" t="str">
            <v>건설본부</v>
          </cell>
        </row>
        <row r="175">
          <cell r="A175" t="str">
            <v>건축시설과</v>
          </cell>
          <cell r="B175" t="str">
            <v>건설교통위원회</v>
          </cell>
          <cell r="C175" t="str">
            <v>건설본부</v>
          </cell>
        </row>
        <row r="176">
          <cell r="A176" t="str">
            <v>경기융합타운추진단</v>
          </cell>
          <cell r="B176" t="str">
            <v>건설교통위원회</v>
          </cell>
          <cell r="C176" t="str">
            <v>건설본부</v>
          </cell>
        </row>
        <row r="177">
          <cell r="A177" t="str">
            <v>지역정책과</v>
          </cell>
          <cell r="B177" t="str">
            <v>도시환경위원회</v>
          </cell>
          <cell r="C177" t="str">
            <v>도시주택실</v>
          </cell>
        </row>
        <row r="178">
          <cell r="A178" t="str">
            <v>도시정책과</v>
          </cell>
          <cell r="B178" t="str">
            <v>도시환경위원회</v>
          </cell>
          <cell r="C178" t="str">
            <v>도시주택실</v>
          </cell>
        </row>
        <row r="179">
          <cell r="A179" t="str">
            <v>도시주택과</v>
          </cell>
          <cell r="B179" t="str">
            <v>도시환경위원회</v>
          </cell>
          <cell r="C179" t="str">
            <v>도시주택실</v>
          </cell>
        </row>
        <row r="180">
          <cell r="A180" t="str">
            <v>주택정책과</v>
          </cell>
          <cell r="B180" t="str">
            <v>도시환경위원회</v>
          </cell>
          <cell r="C180" t="str">
            <v>도시주택실</v>
          </cell>
        </row>
        <row r="181">
          <cell r="A181" t="str">
            <v>건축디자인과</v>
          </cell>
          <cell r="B181" t="str">
            <v>도시환경위원회</v>
          </cell>
          <cell r="C181" t="str">
            <v>도시주택실</v>
          </cell>
        </row>
        <row r="182">
          <cell r="A182" t="str">
            <v>공공택지과</v>
          </cell>
          <cell r="B182" t="str">
            <v>도시환경위원회</v>
          </cell>
          <cell r="C182" t="str">
            <v>도시주택실</v>
          </cell>
        </row>
        <row r="183">
          <cell r="A183" t="str">
            <v>토지정보과</v>
          </cell>
          <cell r="B183" t="str">
            <v>도시환경위원회</v>
          </cell>
          <cell r="C183" t="str">
            <v>도시주택실</v>
          </cell>
        </row>
        <row r="184">
          <cell r="A184" t="str">
            <v>공동주택과</v>
          </cell>
          <cell r="B184" t="str">
            <v>도시환경위원회</v>
          </cell>
          <cell r="C184" t="str">
            <v>도시주택실</v>
          </cell>
        </row>
        <row r="185">
          <cell r="A185" t="str">
            <v>따복하우스과</v>
          </cell>
          <cell r="B185" t="str">
            <v>도시환경위원회</v>
          </cell>
          <cell r="C185" t="str">
            <v>도시주택실</v>
          </cell>
        </row>
        <row r="186">
          <cell r="A186" t="str">
            <v>도시재생과</v>
          </cell>
          <cell r="B186" t="str">
            <v>도시환경위원회</v>
          </cell>
          <cell r="C186" t="str">
            <v>도시주택실</v>
          </cell>
        </row>
        <row r="187">
          <cell r="A187" t="str">
            <v>도시계획상임기획단</v>
          </cell>
          <cell r="B187" t="str">
            <v>도시환경위원회</v>
          </cell>
          <cell r="C187" t="str">
            <v>도시주택실</v>
          </cell>
        </row>
        <row r="188">
          <cell r="A188" t="str">
            <v>환경정책과</v>
          </cell>
          <cell r="B188" t="str">
            <v>도시환경위원회</v>
          </cell>
          <cell r="C188" t="str">
            <v>환경국</v>
          </cell>
        </row>
        <row r="189">
          <cell r="A189" t="str">
            <v>기후대기과</v>
          </cell>
          <cell r="B189" t="str">
            <v>도시환경위원회</v>
          </cell>
          <cell r="C189" t="str">
            <v>환경국</v>
          </cell>
        </row>
        <row r="190">
          <cell r="A190" t="str">
            <v>환경안전관리과</v>
          </cell>
          <cell r="B190" t="str">
            <v>도시환경위원회</v>
          </cell>
          <cell r="C190" t="str">
            <v>환경국</v>
          </cell>
        </row>
        <row r="191">
          <cell r="A191" t="str">
            <v>자원순환과</v>
          </cell>
          <cell r="B191" t="str">
            <v>도시환경위원회</v>
          </cell>
          <cell r="C191" t="str">
            <v>환경국</v>
          </cell>
        </row>
        <row r="192">
          <cell r="A192" t="str">
            <v>북부환경관리과</v>
          </cell>
          <cell r="B192" t="str">
            <v>도시환경위원회</v>
          </cell>
          <cell r="C192" t="str">
            <v>환경국</v>
          </cell>
        </row>
        <row r="193">
          <cell r="A193" t="str">
            <v>공단환경관리사업소</v>
          </cell>
          <cell r="B193" t="str">
            <v>도시환경위원회</v>
          </cell>
          <cell r="C193" t="str">
            <v>환경국</v>
          </cell>
        </row>
        <row r="194">
          <cell r="A194" t="str">
            <v>공원녹지과</v>
          </cell>
          <cell r="B194" t="str">
            <v>도시환경위원회</v>
          </cell>
          <cell r="C194" t="str">
            <v>축산산림국</v>
          </cell>
        </row>
        <row r="195">
          <cell r="A195" t="str">
            <v>대기연구부</v>
          </cell>
          <cell r="B195" t="str">
            <v>도시환경위원회</v>
          </cell>
          <cell r="C195" t="str">
            <v>보건환경연구원</v>
          </cell>
        </row>
        <row r="196">
          <cell r="A196" t="str">
            <v>수질연구부</v>
          </cell>
          <cell r="B196" t="str">
            <v>도시환경위원회</v>
          </cell>
          <cell r="C196" t="str">
            <v>보건환경연구원</v>
          </cell>
        </row>
        <row r="197">
          <cell r="A197" t="str">
            <v>북부지원</v>
          </cell>
          <cell r="B197" t="str">
            <v>도시환경위원회</v>
          </cell>
          <cell r="C197" t="str">
            <v>보건환경연구원</v>
          </cell>
        </row>
        <row r="198">
          <cell r="A198" t="str">
            <v>수질정책과</v>
          </cell>
          <cell r="B198" t="str">
            <v>도시환경위원회</v>
          </cell>
          <cell r="C198" t="str">
            <v>수자원본부</v>
          </cell>
        </row>
        <row r="199">
          <cell r="A199" t="str">
            <v>수질관리과</v>
          </cell>
          <cell r="B199" t="str">
            <v>도시환경위원회</v>
          </cell>
          <cell r="C199" t="str">
            <v>수자원본부</v>
          </cell>
        </row>
        <row r="200">
          <cell r="A200" t="str">
            <v>상하수과</v>
          </cell>
          <cell r="B200" t="str">
            <v>도시환경위원회</v>
          </cell>
          <cell r="C200" t="str">
            <v>수자원본부</v>
          </cell>
        </row>
        <row r="201">
          <cell r="A201" t="str">
            <v>수질총량과</v>
          </cell>
          <cell r="B201" t="str">
            <v>도시환경위원회</v>
          </cell>
          <cell r="C201" t="str">
            <v>수자원본부</v>
          </cell>
        </row>
        <row r="202">
          <cell r="A202" t="str">
            <v>여성정책과</v>
          </cell>
          <cell r="B202" t="str">
            <v>여성가족교육협력위원회</v>
          </cell>
          <cell r="C202" t="str">
            <v>여성가족국</v>
          </cell>
        </row>
        <row r="203">
          <cell r="A203" t="str">
            <v>여성권익가족과</v>
          </cell>
          <cell r="B203" t="str">
            <v>여성가족교육협력위원회</v>
          </cell>
          <cell r="C203" t="str">
            <v>여성가족국</v>
          </cell>
        </row>
        <row r="204">
          <cell r="A204" t="str">
            <v>보육정책과</v>
          </cell>
          <cell r="B204" t="str">
            <v>여성가족교육협력위원회</v>
          </cell>
          <cell r="C204" t="str">
            <v>여성가족국</v>
          </cell>
        </row>
        <row r="205">
          <cell r="A205" t="str">
            <v>아동청소년과</v>
          </cell>
          <cell r="B205" t="str">
            <v>여성가족교육협력위원회</v>
          </cell>
          <cell r="C205" t="str">
            <v>여성가족국</v>
          </cell>
        </row>
        <row r="206">
          <cell r="A206" t="str">
            <v>다문화가족과</v>
          </cell>
          <cell r="B206" t="str">
            <v>여성가족교육협력위원회</v>
          </cell>
          <cell r="C206" t="str">
            <v>여성가족국</v>
          </cell>
        </row>
        <row r="207">
          <cell r="A207" t="str">
            <v>여성비전센터</v>
          </cell>
          <cell r="B207" t="str">
            <v>여성가족교육협력위원회</v>
          </cell>
          <cell r="C207" t="str">
            <v>여성가족국</v>
          </cell>
        </row>
        <row r="208">
          <cell r="A208" t="str">
            <v>여성능력개발센터</v>
          </cell>
          <cell r="B208" t="str">
            <v>여성가족교육협력위원회</v>
          </cell>
          <cell r="C208" t="str">
            <v>여성가족국</v>
          </cell>
        </row>
        <row r="209">
          <cell r="A209" t="str">
            <v>가족복지담당관</v>
          </cell>
          <cell r="B209" t="str">
            <v>여성가족교육협력위원회</v>
          </cell>
          <cell r="C209" t="str">
            <v>복지여성실</v>
          </cell>
        </row>
        <row r="210">
          <cell r="A210" t="str">
            <v>북부여성비전담당관</v>
          </cell>
          <cell r="B210" t="str">
            <v>여성가족교육협력위원회</v>
          </cell>
          <cell r="C210" t="str">
            <v>복지여성실</v>
          </cell>
        </row>
        <row r="211">
          <cell r="A211" t="str">
            <v>보육청소년담당관</v>
          </cell>
          <cell r="B211" t="str">
            <v>여성가족교육협력위원회</v>
          </cell>
          <cell r="C211" t="str">
            <v>복지여성실</v>
          </cell>
        </row>
        <row r="212">
          <cell r="A212" t="str">
            <v>북부여성비전센터</v>
          </cell>
          <cell r="B212" t="str">
            <v>여성가족교육협력위원회</v>
          </cell>
          <cell r="C212" t="str">
            <v>복지여성실</v>
          </cell>
        </row>
        <row r="213">
          <cell r="A213" t="str">
            <v>교육정책과</v>
          </cell>
          <cell r="B213" t="str">
            <v>여성가족교육협력위원회</v>
          </cell>
          <cell r="C213" t="str">
            <v>교육협력국</v>
          </cell>
        </row>
        <row r="214">
          <cell r="A214" t="str">
            <v>교육협력과</v>
          </cell>
          <cell r="B214" t="str">
            <v>여성가족교육협력위원회</v>
          </cell>
          <cell r="C214" t="str">
            <v>교육협력국</v>
          </cell>
        </row>
        <row r="215">
          <cell r="A215" t="str">
            <v>도서관정책과</v>
          </cell>
          <cell r="B215" t="str">
            <v>여성가족교육협력위원회</v>
          </cell>
          <cell r="C215" t="str">
            <v>교육협력국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>
      <c r="A10" s="3" t="s">
        <v>531</v>
      </c>
      <c r="B10" s="3" t="s">
        <v>9</v>
      </c>
      <c r="C10" s="3" t="s">
        <v>32</v>
      </c>
      <c r="D10" s="1"/>
      <c r="E10" s="3" t="s">
        <v>32</v>
      </c>
      <c r="F10" s="3" t="s">
        <v>531</v>
      </c>
      <c r="G10" s="3" t="s">
        <v>9</v>
      </c>
      <c r="H10" s="3" t="s">
        <v>33</v>
      </c>
      <c r="I10" s="3" t="s">
        <v>34</v>
      </c>
    </row>
    <row r="11" spans="1:9">
      <c r="A11" s="3" t="s">
        <v>532</v>
      </c>
      <c r="B11" s="3" t="s">
        <v>9</v>
      </c>
      <c r="C11" s="3" t="s">
        <v>32</v>
      </c>
      <c r="D11" s="1"/>
      <c r="E11" s="3" t="s">
        <v>32</v>
      </c>
      <c r="F11" s="3" t="s">
        <v>532</v>
      </c>
      <c r="G11" s="3" t="s">
        <v>9</v>
      </c>
      <c r="H11" s="3" t="s">
        <v>35</v>
      </c>
      <c r="I11" s="3" t="s">
        <v>36</v>
      </c>
    </row>
    <row r="12" spans="1:9">
      <c r="A12" s="50" t="s">
        <v>528</v>
      </c>
      <c r="B12" s="3" t="s">
        <v>9</v>
      </c>
      <c r="C12" s="3" t="s">
        <v>530</v>
      </c>
      <c r="D12" s="1"/>
      <c r="E12" s="3" t="s">
        <v>530</v>
      </c>
      <c r="F12" s="3" t="s">
        <v>528</v>
      </c>
      <c r="G12" s="3" t="s">
        <v>9</v>
      </c>
      <c r="H12" s="3" t="s">
        <v>37</v>
      </c>
      <c r="I12" s="3" t="s">
        <v>38</v>
      </c>
    </row>
    <row r="13" spans="1:9">
      <c r="A13" s="50" t="s">
        <v>529</v>
      </c>
      <c r="B13" s="3" t="s">
        <v>9</v>
      </c>
      <c r="C13" s="3" t="s">
        <v>530</v>
      </c>
      <c r="D13" s="1"/>
      <c r="E13" s="3" t="s">
        <v>530</v>
      </c>
      <c r="F13" s="3" t="s">
        <v>529</v>
      </c>
      <c r="G13" s="3" t="s">
        <v>9</v>
      </c>
      <c r="H13" s="3" t="s">
        <v>39</v>
      </c>
      <c r="I13" s="3" t="s">
        <v>40</v>
      </c>
    </row>
    <row r="14" spans="1:9">
      <c r="A14" s="3" t="s">
        <v>41</v>
      </c>
      <c r="B14" s="3" t="s">
        <v>9</v>
      </c>
      <c r="C14" s="3" t="s">
        <v>530</v>
      </c>
      <c r="D14" s="1"/>
      <c r="E14" s="3" t="s">
        <v>530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571</v>
      </c>
    </row>
    <row r="16" spans="1:9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572</v>
      </c>
    </row>
    <row r="17" spans="1:9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573</v>
      </c>
    </row>
    <row r="18" spans="1:9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574</v>
      </c>
    </row>
    <row r="19" spans="1:9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575</v>
      </c>
    </row>
    <row r="20" spans="1:9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576</v>
      </c>
    </row>
    <row r="21" spans="1:9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577</v>
      </c>
    </row>
    <row r="22" spans="1:9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578</v>
      </c>
    </row>
    <row r="23" spans="1:9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579</v>
      </c>
    </row>
    <row r="24" spans="1:9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580</v>
      </c>
    </row>
    <row r="25" spans="1:9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581</v>
      </c>
    </row>
    <row r="26" spans="1:9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582</v>
      </c>
    </row>
    <row r="27" spans="1:9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583</v>
      </c>
    </row>
    <row r="28" spans="1:9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584</v>
      </c>
    </row>
    <row r="29" spans="1:9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585</v>
      </c>
    </row>
    <row r="30" spans="1:9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586</v>
      </c>
    </row>
    <row r="31" spans="1:9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587</v>
      </c>
    </row>
    <row r="32" spans="1:9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588</v>
      </c>
    </row>
    <row r="33" spans="1:9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589</v>
      </c>
    </row>
    <row r="34" spans="1:9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590</v>
      </c>
    </row>
    <row r="35" spans="1:9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591</v>
      </c>
    </row>
    <row r="36" spans="1:9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592</v>
      </c>
    </row>
    <row r="37" spans="1:9">
      <c r="A37" s="50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593</v>
      </c>
    </row>
    <row r="38" spans="1:9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594</v>
      </c>
    </row>
    <row r="39" spans="1:9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595</v>
      </c>
    </row>
    <row r="40" spans="1:9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596</v>
      </c>
    </row>
    <row r="41" spans="1:9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597</v>
      </c>
    </row>
    <row r="42" spans="1:9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598</v>
      </c>
    </row>
    <row r="43" spans="1:9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599</v>
      </c>
    </row>
    <row r="44" spans="1:9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600</v>
      </c>
    </row>
    <row r="45" spans="1:9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601</v>
      </c>
    </row>
    <row r="46" spans="1:9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602</v>
      </c>
    </row>
    <row r="47" spans="1:9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603</v>
      </c>
    </row>
    <row r="48" spans="1:9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604</v>
      </c>
    </row>
    <row r="49" spans="1:9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605</v>
      </c>
    </row>
    <row r="50" spans="1:9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606</v>
      </c>
    </row>
    <row r="51" spans="1:9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607</v>
      </c>
    </row>
    <row r="52" spans="1:9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608</v>
      </c>
    </row>
    <row r="53" spans="1:9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609</v>
      </c>
    </row>
    <row r="54" spans="1:9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610</v>
      </c>
    </row>
    <row r="55" spans="1:9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611</v>
      </c>
    </row>
    <row r="56" spans="1:9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612</v>
      </c>
    </row>
    <row r="57" spans="1:9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613</v>
      </c>
    </row>
    <row r="58" spans="1:9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614</v>
      </c>
    </row>
    <row r="59" spans="1:9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615</v>
      </c>
    </row>
    <row r="60" spans="1:9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616</v>
      </c>
    </row>
    <row r="61" spans="1:9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617</v>
      </c>
    </row>
    <row r="62" spans="1:9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618</v>
      </c>
    </row>
    <row r="63" spans="1:9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619</v>
      </c>
    </row>
    <row r="64" spans="1:9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620</v>
      </c>
    </row>
    <row r="65" spans="1:9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621</v>
      </c>
    </row>
    <row r="66" spans="1:9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622</v>
      </c>
    </row>
    <row r="67" spans="1:9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623</v>
      </c>
    </row>
    <row r="68" spans="1:9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624</v>
      </c>
    </row>
    <row r="69" spans="1:9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625</v>
      </c>
    </row>
    <row r="70" spans="1:9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626</v>
      </c>
    </row>
    <row r="71" spans="1:9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627</v>
      </c>
    </row>
    <row r="72" spans="1:9">
      <c r="A72" s="50" t="s">
        <v>533</v>
      </c>
      <c r="B72" s="3" t="s">
        <v>158</v>
      </c>
      <c r="C72" s="3" t="s">
        <v>176</v>
      </c>
      <c r="D72" s="1"/>
      <c r="E72" s="3" t="s">
        <v>176</v>
      </c>
      <c r="F72" s="3" t="s">
        <v>533</v>
      </c>
      <c r="G72" s="3" t="s">
        <v>158</v>
      </c>
      <c r="H72" s="3" t="s">
        <v>200</v>
      </c>
      <c r="I72" s="3" t="s">
        <v>628</v>
      </c>
    </row>
    <row r="73" spans="1:9">
      <c r="A73" s="50" t="s">
        <v>534</v>
      </c>
      <c r="B73" s="3" t="s">
        <v>158</v>
      </c>
      <c r="C73" s="3" t="s">
        <v>176</v>
      </c>
      <c r="D73" s="1"/>
      <c r="E73" s="3" t="s">
        <v>176</v>
      </c>
      <c r="F73" s="3" t="s">
        <v>534</v>
      </c>
      <c r="G73" s="3" t="s">
        <v>158</v>
      </c>
      <c r="H73" s="3" t="s">
        <v>202</v>
      </c>
      <c r="I73" s="3" t="s">
        <v>629</v>
      </c>
    </row>
    <row r="74" spans="1:9">
      <c r="A74" s="50" t="s">
        <v>535</v>
      </c>
      <c r="B74" s="3" t="s">
        <v>158</v>
      </c>
      <c r="C74" s="3" t="s">
        <v>176</v>
      </c>
      <c r="D74" s="1"/>
      <c r="E74" s="3" t="s">
        <v>176</v>
      </c>
      <c r="F74" s="3" t="s">
        <v>535</v>
      </c>
      <c r="G74" s="3" t="s">
        <v>158</v>
      </c>
      <c r="H74" s="3" t="s">
        <v>204</v>
      </c>
      <c r="I74" s="3" t="s">
        <v>630</v>
      </c>
    </row>
    <row r="75" spans="1:9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631</v>
      </c>
    </row>
    <row r="76" spans="1:9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632</v>
      </c>
    </row>
    <row r="77" spans="1:9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633</v>
      </c>
    </row>
    <row r="78" spans="1:9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634</v>
      </c>
    </row>
    <row r="79" spans="1:9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635</v>
      </c>
    </row>
    <row r="80" spans="1:9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636</v>
      </c>
    </row>
    <row r="81" spans="1:9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637</v>
      </c>
    </row>
    <row r="82" spans="1:9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638</v>
      </c>
    </row>
    <row r="83" spans="1:9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639</v>
      </c>
    </row>
    <row r="84" spans="1:9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640</v>
      </c>
    </row>
    <row r="85" spans="1:9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641</v>
      </c>
    </row>
    <row r="86" spans="1:9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642</v>
      </c>
    </row>
    <row r="87" spans="1:9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643</v>
      </c>
    </row>
    <row r="88" spans="1:9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644</v>
      </c>
    </row>
    <row r="89" spans="1:9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645</v>
      </c>
    </row>
    <row r="90" spans="1:9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646</v>
      </c>
    </row>
    <row r="91" spans="1:9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647</v>
      </c>
    </row>
    <row r="92" spans="1:9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648</v>
      </c>
    </row>
    <row r="93" spans="1:9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649</v>
      </c>
    </row>
    <row r="94" spans="1:9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650</v>
      </c>
    </row>
    <row r="95" spans="1:9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651</v>
      </c>
    </row>
    <row r="96" spans="1:9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652</v>
      </c>
    </row>
    <row r="97" spans="1:9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653</v>
      </c>
    </row>
    <row r="98" spans="1:9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654</v>
      </c>
    </row>
    <row r="99" spans="1:9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655</v>
      </c>
    </row>
    <row r="100" spans="1:9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656</v>
      </c>
    </row>
    <row r="101" spans="1:9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657</v>
      </c>
    </row>
    <row r="102" spans="1:9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658</v>
      </c>
    </row>
    <row r="103" spans="1:9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>
      <c r="A111" s="50" t="s">
        <v>536</v>
      </c>
      <c r="B111" s="3" t="s">
        <v>158</v>
      </c>
      <c r="C111" s="3" t="s">
        <v>273</v>
      </c>
      <c r="D111" s="1"/>
      <c r="E111" s="3" t="s">
        <v>273</v>
      </c>
      <c r="F111" s="3" t="s">
        <v>536</v>
      </c>
      <c r="G111" s="3" t="s">
        <v>158</v>
      </c>
      <c r="H111" s="3" t="s">
        <v>280</v>
      </c>
      <c r="I111" s="3" t="s">
        <v>73</v>
      </c>
    </row>
    <row r="112" spans="1:9">
      <c r="A112" s="50" t="s">
        <v>537</v>
      </c>
      <c r="B112" s="3" t="s">
        <v>158</v>
      </c>
      <c r="C112" s="3" t="s">
        <v>273</v>
      </c>
      <c r="D112" s="1"/>
      <c r="E112" s="3" t="s">
        <v>273</v>
      </c>
      <c r="F112" s="3" t="s">
        <v>537</v>
      </c>
      <c r="G112" s="3" t="s">
        <v>158</v>
      </c>
      <c r="H112" s="3" t="s">
        <v>282</v>
      </c>
      <c r="I112" s="3" t="s">
        <v>76</v>
      </c>
    </row>
    <row r="113" spans="1:9">
      <c r="A113" s="50" t="s">
        <v>538</v>
      </c>
      <c r="B113" s="3" t="s">
        <v>158</v>
      </c>
      <c r="C113" s="3" t="s">
        <v>273</v>
      </c>
      <c r="D113" s="1"/>
      <c r="E113" s="3" t="s">
        <v>273</v>
      </c>
      <c r="F113" s="3" t="s">
        <v>538</v>
      </c>
      <c r="G113" s="3" t="s">
        <v>158</v>
      </c>
      <c r="H113" s="3" t="s">
        <v>284</v>
      </c>
      <c r="I113" s="3" t="s">
        <v>79</v>
      </c>
    </row>
    <row r="114" spans="1:9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>
      <c r="A121" s="50" t="s">
        <v>539</v>
      </c>
      <c r="B121" s="3" t="s">
        <v>276</v>
      </c>
      <c r="C121" s="3" t="s">
        <v>277</v>
      </c>
      <c r="D121" s="1"/>
      <c r="E121" s="3" t="s">
        <v>277</v>
      </c>
      <c r="F121" s="3" t="s">
        <v>539</v>
      </c>
      <c r="G121" s="3" t="s">
        <v>276</v>
      </c>
      <c r="H121" s="3" t="s">
        <v>302</v>
      </c>
      <c r="I121" s="3" t="s">
        <v>104</v>
      </c>
    </row>
    <row r="122" spans="1:9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659</v>
      </c>
    </row>
    <row r="124" spans="1:9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660</v>
      </c>
    </row>
    <row r="125" spans="1:9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661</v>
      </c>
    </row>
    <row r="126" spans="1:9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662</v>
      </c>
    </row>
    <row r="127" spans="1:9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663</v>
      </c>
    </row>
    <row r="128" spans="1:9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664</v>
      </c>
    </row>
    <row r="129" spans="1:9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665</v>
      </c>
    </row>
    <row r="130" spans="1:9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666</v>
      </c>
    </row>
    <row r="131" spans="1:9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667</v>
      </c>
    </row>
    <row r="132" spans="1:9">
      <c r="A132" s="50" t="s">
        <v>540</v>
      </c>
      <c r="B132" s="3" t="s">
        <v>292</v>
      </c>
      <c r="C132" s="3" t="s">
        <v>308</v>
      </c>
      <c r="D132" s="1"/>
      <c r="E132" s="3" t="s">
        <v>308</v>
      </c>
      <c r="F132" s="3" t="s">
        <v>540</v>
      </c>
      <c r="G132" s="3" t="s">
        <v>292</v>
      </c>
      <c r="H132" s="3" t="s">
        <v>323</v>
      </c>
      <c r="I132" s="3" t="s">
        <v>668</v>
      </c>
    </row>
    <row r="133" spans="1:9">
      <c r="A133" s="50" t="s">
        <v>541</v>
      </c>
      <c r="B133" s="3" t="s">
        <v>292</v>
      </c>
      <c r="C133" s="3" t="s">
        <v>308</v>
      </c>
      <c r="D133" s="1"/>
      <c r="E133" s="3" t="s">
        <v>308</v>
      </c>
      <c r="F133" s="3" t="s">
        <v>541</v>
      </c>
      <c r="G133" s="3" t="s">
        <v>292</v>
      </c>
      <c r="H133" s="3" t="s">
        <v>325</v>
      </c>
      <c r="I133" s="3" t="s">
        <v>669</v>
      </c>
    </row>
    <row r="134" spans="1:9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670</v>
      </c>
    </row>
    <row r="135" spans="1:9">
      <c r="A135" s="50" t="s">
        <v>542</v>
      </c>
      <c r="B135" s="3" t="s">
        <v>292</v>
      </c>
      <c r="C135" s="3" t="s">
        <v>308</v>
      </c>
      <c r="D135" s="1"/>
      <c r="E135" s="3" t="s">
        <v>308</v>
      </c>
      <c r="F135" s="3" t="s">
        <v>542</v>
      </c>
      <c r="G135" s="3" t="s">
        <v>292</v>
      </c>
      <c r="H135" s="3" t="s">
        <v>328</v>
      </c>
      <c r="I135" s="3" t="s">
        <v>671</v>
      </c>
    </row>
    <row r="136" spans="1:9">
      <c r="A136" s="50" t="s">
        <v>543</v>
      </c>
      <c r="B136" s="3" t="s">
        <v>292</v>
      </c>
      <c r="C136" s="3" t="s">
        <v>318</v>
      </c>
      <c r="D136" s="1"/>
      <c r="E136" s="3" t="s">
        <v>318</v>
      </c>
      <c r="F136" s="3" t="s">
        <v>543</v>
      </c>
      <c r="G136" s="3" t="s">
        <v>292</v>
      </c>
      <c r="H136" s="3" t="s">
        <v>330</v>
      </c>
      <c r="I136" s="3" t="s">
        <v>672</v>
      </c>
    </row>
    <row r="137" spans="1:9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673</v>
      </c>
    </row>
    <row r="138" spans="1:9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674</v>
      </c>
    </row>
    <row r="139" spans="1:9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675</v>
      </c>
    </row>
    <row r="140" spans="1:9">
      <c r="A140" s="50" t="s">
        <v>544</v>
      </c>
      <c r="B140" s="3" t="s">
        <v>292</v>
      </c>
      <c r="C140" s="3" t="s">
        <v>318</v>
      </c>
      <c r="D140" s="1"/>
      <c r="E140" s="3" t="s">
        <v>318</v>
      </c>
      <c r="F140" s="3" t="s">
        <v>544</v>
      </c>
      <c r="G140" s="3" t="s">
        <v>292</v>
      </c>
      <c r="H140" s="3" t="s">
        <v>339</v>
      </c>
      <c r="I140" s="3" t="s">
        <v>676</v>
      </c>
    </row>
    <row r="141" spans="1:9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677</v>
      </c>
    </row>
    <row r="142" spans="1:9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678</v>
      </c>
    </row>
    <row r="143" spans="1:9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679</v>
      </c>
    </row>
    <row r="144" spans="1:9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680</v>
      </c>
    </row>
    <row r="145" spans="1:9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681</v>
      </c>
    </row>
    <row r="146" spans="1:9">
      <c r="A146" s="3" t="s">
        <v>545</v>
      </c>
      <c r="B146" s="3" t="s">
        <v>337</v>
      </c>
      <c r="C146" s="3" t="s">
        <v>338</v>
      </c>
      <c r="D146" s="1"/>
      <c r="E146" s="3" t="s">
        <v>338</v>
      </c>
      <c r="F146" s="3" t="s">
        <v>545</v>
      </c>
      <c r="G146" s="3" t="s">
        <v>337</v>
      </c>
      <c r="H146" s="3" t="s">
        <v>351</v>
      </c>
      <c r="I146" s="3" t="s">
        <v>682</v>
      </c>
    </row>
    <row r="147" spans="1:9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683</v>
      </c>
    </row>
    <row r="148" spans="1:9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684</v>
      </c>
    </row>
    <row r="149" spans="1:9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685</v>
      </c>
    </row>
    <row r="150" spans="1:9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686</v>
      </c>
    </row>
    <row r="151" spans="1:9">
      <c r="A151" s="50" t="s">
        <v>546</v>
      </c>
      <c r="B151" s="3" t="s">
        <v>337</v>
      </c>
      <c r="C151" s="3" t="s">
        <v>338</v>
      </c>
      <c r="D151" s="1"/>
      <c r="E151" s="3" t="s">
        <v>338</v>
      </c>
      <c r="F151" s="3" t="s">
        <v>546</v>
      </c>
      <c r="G151" s="3" t="s">
        <v>337</v>
      </c>
      <c r="H151" s="3" t="s">
        <v>363</v>
      </c>
      <c r="I151" s="3" t="s">
        <v>687</v>
      </c>
    </row>
    <row r="152" spans="1:9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688</v>
      </c>
    </row>
    <row r="153" spans="1:9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689</v>
      </c>
    </row>
    <row r="154" spans="1:9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690</v>
      </c>
    </row>
    <row r="155" spans="1:9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691</v>
      </c>
    </row>
    <row r="156" spans="1:9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692</v>
      </c>
    </row>
    <row r="157" spans="1:9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693</v>
      </c>
    </row>
    <row r="158" spans="1:9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694</v>
      </c>
    </row>
    <row r="159" spans="1:9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695</v>
      </c>
    </row>
    <row r="160" spans="1:9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696</v>
      </c>
    </row>
    <row r="161" spans="1:9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697</v>
      </c>
    </row>
    <row r="162" spans="1:9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698</v>
      </c>
    </row>
    <row r="163" spans="1:9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699</v>
      </c>
    </row>
    <row r="164" spans="1:9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700</v>
      </c>
    </row>
    <row r="165" spans="1:9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701</v>
      </c>
    </row>
    <row r="166" spans="1:9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702</v>
      </c>
    </row>
    <row r="167" spans="1:9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703</v>
      </c>
    </row>
    <row r="168" spans="1:9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704</v>
      </c>
    </row>
    <row r="169" spans="1:9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705</v>
      </c>
    </row>
    <row r="170" spans="1:9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706</v>
      </c>
    </row>
    <row r="171" spans="1:9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707</v>
      </c>
    </row>
    <row r="172" spans="1:9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708</v>
      </c>
    </row>
    <row r="173" spans="1:9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709</v>
      </c>
    </row>
    <row r="174" spans="1:9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710</v>
      </c>
    </row>
    <row r="175" spans="1:9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711</v>
      </c>
    </row>
    <row r="176" spans="1:9">
      <c r="A176" s="3" t="s">
        <v>547</v>
      </c>
      <c r="B176" s="3" t="s">
        <v>367</v>
      </c>
      <c r="C176" s="3" t="s">
        <v>395</v>
      </c>
      <c r="D176" s="1"/>
      <c r="E176" s="3" t="s">
        <v>395</v>
      </c>
      <c r="F176" s="3" t="s">
        <v>547</v>
      </c>
      <c r="G176" s="3" t="s">
        <v>367</v>
      </c>
      <c r="H176" s="3" t="s">
        <v>419</v>
      </c>
      <c r="I176" s="3" t="s">
        <v>712</v>
      </c>
    </row>
    <row r="177" spans="1:9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713</v>
      </c>
    </row>
    <row r="178" spans="1:9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714</v>
      </c>
    </row>
    <row r="179" spans="1:9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715</v>
      </c>
    </row>
    <row r="180" spans="1:9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716</v>
      </c>
    </row>
    <row r="181" spans="1:9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717</v>
      </c>
    </row>
    <row r="182" spans="1:9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718</v>
      </c>
    </row>
    <row r="183" spans="1:9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719</v>
      </c>
    </row>
    <row r="184" spans="1:9">
      <c r="A184" s="3" t="s">
        <v>548</v>
      </c>
      <c r="B184" s="3" t="s">
        <v>405</v>
      </c>
      <c r="C184" s="3" t="s">
        <v>406</v>
      </c>
      <c r="D184" s="1"/>
      <c r="E184" s="3" t="s">
        <v>406</v>
      </c>
      <c r="F184" s="3" t="s">
        <v>548</v>
      </c>
      <c r="G184" s="3" t="s">
        <v>405</v>
      </c>
      <c r="H184" s="3" t="s">
        <v>435</v>
      </c>
      <c r="I184" s="3" t="s">
        <v>720</v>
      </c>
    </row>
    <row r="185" spans="1:9">
      <c r="A185" s="50" t="s">
        <v>549</v>
      </c>
      <c r="B185" s="3" t="s">
        <v>405</v>
      </c>
      <c r="C185" s="3" t="s">
        <v>406</v>
      </c>
      <c r="D185" s="1"/>
      <c r="E185" s="3" t="s">
        <v>406</v>
      </c>
      <c r="F185" s="3" t="s">
        <v>549</v>
      </c>
      <c r="G185" s="3" t="s">
        <v>405</v>
      </c>
      <c r="H185" s="3" t="s">
        <v>437</v>
      </c>
      <c r="I185" s="3" t="s">
        <v>721</v>
      </c>
    </row>
    <row r="186" spans="1:9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722</v>
      </c>
    </row>
    <row r="187" spans="1:9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723</v>
      </c>
    </row>
    <row r="188" spans="1:9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724</v>
      </c>
    </row>
    <row r="189" spans="1:9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725</v>
      </c>
    </row>
    <row r="190" spans="1:9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726</v>
      </c>
    </row>
    <row r="191" spans="1:9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727</v>
      </c>
    </row>
    <row r="192" spans="1:9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728</v>
      </c>
    </row>
    <row r="193" spans="1:9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729</v>
      </c>
    </row>
    <row r="194" spans="1:9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730</v>
      </c>
    </row>
    <row r="195" spans="1:9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731</v>
      </c>
    </row>
    <row r="196" spans="1:9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732</v>
      </c>
    </row>
    <row r="197" spans="1:9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733</v>
      </c>
    </row>
    <row r="198" spans="1:9">
      <c r="A198" s="50" t="s">
        <v>550</v>
      </c>
      <c r="B198" s="3" t="s">
        <v>405</v>
      </c>
      <c r="C198" s="3" t="s">
        <v>445</v>
      </c>
      <c r="D198" s="1"/>
      <c r="E198" s="3" t="s">
        <v>445</v>
      </c>
      <c r="F198" s="3" t="s">
        <v>550</v>
      </c>
      <c r="G198" s="3" t="s">
        <v>405</v>
      </c>
      <c r="H198" s="3" t="s">
        <v>462</v>
      </c>
      <c r="I198" s="3" t="s">
        <v>734</v>
      </c>
    </row>
    <row r="199" spans="1:9">
      <c r="A199" s="50" t="s">
        <v>551</v>
      </c>
      <c r="B199" s="3" t="s">
        <v>405</v>
      </c>
      <c r="C199" s="3" t="s">
        <v>445</v>
      </c>
      <c r="D199" s="1"/>
      <c r="E199" s="3" t="s">
        <v>445</v>
      </c>
      <c r="F199" s="3" t="s">
        <v>551</v>
      </c>
      <c r="G199" s="3" t="s">
        <v>405</v>
      </c>
      <c r="H199" s="3" t="s">
        <v>464</v>
      </c>
      <c r="I199" s="3" t="s">
        <v>735</v>
      </c>
    </row>
    <row r="200" spans="1:9">
      <c r="A200" s="50" t="s">
        <v>552</v>
      </c>
      <c r="B200" s="3" t="s">
        <v>405</v>
      </c>
      <c r="C200" s="3" t="s">
        <v>445</v>
      </c>
      <c r="D200" s="1"/>
      <c r="E200" s="3" t="s">
        <v>445</v>
      </c>
      <c r="F200" s="3" t="s">
        <v>552</v>
      </c>
      <c r="G200" s="3" t="s">
        <v>405</v>
      </c>
      <c r="H200" s="3" t="s">
        <v>467</v>
      </c>
      <c r="I200" s="3" t="s">
        <v>736</v>
      </c>
    </row>
    <row r="201" spans="1:9">
      <c r="A201" s="50" t="s">
        <v>553</v>
      </c>
      <c r="B201" s="3" t="s">
        <v>405</v>
      </c>
      <c r="C201" s="3" t="s">
        <v>445</v>
      </c>
      <c r="D201" s="1"/>
      <c r="E201" s="3" t="s">
        <v>445</v>
      </c>
      <c r="F201" s="3" t="s">
        <v>553</v>
      </c>
      <c r="G201" s="3" t="s">
        <v>405</v>
      </c>
      <c r="H201" s="3" t="s">
        <v>469</v>
      </c>
      <c r="I201" s="3" t="s">
        <v>737</v>
      </c>
    </row>
    <row r="202" spans="1:9">
      <c r="A202" s="50" t="s">
        <v>554</v>
      </c>
      <c r="B202" s="3" t="s">
        <v>447</v>
      </c>
      <c r="C202" s="3" t="s">
        <v>448</v>
      </c>
      <c r="D202" s="1"/>
      <c r="E202" s="3" t="s">
        <v>448</v>
      </c>
      <c r="F202" s="3" t="s">
        <v>554</v>
      </c>
      <c r="G202" s="3" t="s">
        <v>447</v>
      </c>
      <c r="H202" s="3" t="s">
        <v>471</v>
      </c>
      <c r="I202" s="3" t="s">
        <v>738</v>
      </c>
    </row>
    <row r="203" spans="1:9">
      <c r="A203" s="50" t="s">
        <v>555</v>
      </c>
      <c r="B203" s="3" t="s">
        <v>447</v>
      </c>
      <c r="C203" s="3" t="s">
        <v>448</v>
      </c>
      <c r="D203" s="1"/>
      <c r="E203" s="3" t="s">
        <v>448</v>
      </c>
      <c r="F203" s="3" t="s">
        <v>555</v>
      </c>
      <c r="G203" s="3" t="s">
        <v>447</v>
      </c>
      <c r="H203" s="3" t="s">
        <v>558</v>
      </c>
      <c r="I203" s="3" t="s">
        <v>112</v>
      </c>
    </row>
    <row r="204" spans="1:9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559</v>
      </c>
      <c r="I204" s="3" t="s">
        <v>115</v>
      </c>
    </row>
    <row r="205" spans="1:9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560</v>
      </c>
      <c r="I205" s="3" t="s">
        <v>118</v>
      </c>
    </row>
    <row r="206" spans="1:9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561</v>
      </c>
      <c r="I206" s="3" t="s">
        <v>121</v>
      </c>
    </row>
    <row r="207" spans="1:9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562</v>
      </c>
      <c r="I207" s="3" t="s">
        <v>124</v>
      </c>
    </row>
    <row r="208" spans="1:9">
      <c r="A208" s="50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563</v>
      </c>
      <c r="I208" s="3" t="s">
        <v>127</v>
      </c>
    </row>
    <row r="209" spans="1:9">
      <c r="A209" s="50" t="s">
        <v>556</v>
      </c>
      <c r="B209" s="3" t="s">
        <v>447</v>
      </c>
      <c r="C209" s="3" t="s">
        <v>353</v>
      </c>
      <c r="D209" s="1"/>
      <c r="E209" s="3" t="s">
        <v>353</v>
      </c>
      <c r="F209" s="3" t="s">
        <v>556</v>
      </c>
      <c r="G209" s="3" t="s">
        <v>447</v>
      </c>
      <c r="H209" s="3" t="s">
        <v>564</v>
      </c>
      <c r="I209" s="3" t="s">
        <v>130</v>
      </c>
    </row>
    <row r="210" spans="1:9">
      <c r="A210" s="50" t="s">
        <v>557</v>
      </c>
      <c r="B210" s="3" t="s">
        <v>447</v>
      </c>
      <c r="C210" s="3" t="s">
        <v>353</v>
      </c>
      <c r="D210" s="1"/>
      <c r="E210" s="3" t="s">
        <v>353</v>
      </c>
      <c r="F210" s="3" t="s">
        <v>557</v>
      </c>
      <c r="G210" s="3" t="s">
        <v>447</v>
      </c>
      <c r="H210" s="3" t="s">
        <v>565</v>
      </c>
      <c r="I210" s="3" t="s">
        <v>133</v>
      </c>
    </row>
    <row r="211" spans="1:9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566</v>
      </c>
      <c r="I211" s="3" t="s">
        <v>136</v>
      </c>
    </row>
    <row r="212" spans="1:9">
      <c r="A212" s="50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567</v>
      </c>
      <c r="I212" s="3" t="s">
        <v>139</v>
      </c>
    </row>
    <row r="213" spans="1:9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568</v>
      </c>
      <c r="I213" s="3" t="s">
        <v>142</v>
      </c>
    </row>
    <row r="214" spans="1:9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569</v>
      </c>
      <c r="I214" s="3" t="s">
        <v>145</v>
      </c>
    </row>
    <row r="215" spans="1:9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570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/>
  <cols>
    <col min="1" max="10" width="8.625" customWidth="1"/>
  </cols>
  <sheetData>
    <row r="1" spans="1:10" ht="30" customHeight="1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>
      <c r="A5" s="10" t="s">
        <v>525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>
      <c r="A7" s="11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>
      <c r="A20" s="8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/>
  <sheetData>
    <row r="1" spans="1:13" ht="30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>
      <c r="A3" s="10" t="s">
        <v>525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>
      <c r="A5" s="9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>
      <c r="A14" s="8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47" t="s">
        <v>526</v>
      </c>
      <c r="B1" s="47"/>
      <c r="C1" s="47"/>
      <c r="D1" s="47"/>
      <c r="E1" s="47"/>
      <c r="F1" s="47"/>
      <c r="H1" s="49" t="s">
        <v>527</v>
      </c>
      <c r="I1" s="48"/>
      <c r="J1" s="49" t="s">
        <v>523</v>
      </c>
      <c r="K1" s="39">
        <f>IFERROR(INDEX('17년일출'!AD6:AD92,MATCH("*예비비*",'17년일출'!H6:H92,0)),0)</f>
        <v>0</v>
      </c>
      <c r="L1" s="49" t="s">
        <v>524</v>
      </c>
      <c r="M1" s="39">
        <f>I1+K1</f>
        <v>0</v>
      </c>
    </row>
    <row r="2" spans="1:13" ht="24.95" customHeight="1">
      <c r="M2" s="15" t="s">
        <v>520</v>
      </c>
    </row>
    <row r="3" spans="1:13" ht="24.95" customHeight="1">
      <c r="A3" s="229" t="s">
        <v>506</v>
      </c>
      <c r="B3" s="40" t="s">
        <v>519</v>
      </c>
      <c r="C3" s="41"/>
      <c r="D3" s="41"/>
      <c r="E3" s="41"/>
      <c r="F3" s="41"/>
      <c r="H3" s="229" t="s">
        <v>506</v>
      </c>
      <c r="I3" s="40" t="s">
        <v>521</v>
      </c>
      <c r="J3" s="41"/>
      <c r="K3" s="41"/>
      <c r="L3" s="41"/>
      <c r="M3" s="41"/>
    </row>
    <row r="4" spans="1:13" ht="24.95" customHeight="1">
      <c r="A4" s="229"/>
      <c r="B4" s="42" t="s">
        <v>507</v>
      </c>
      <c r="C4" s="42" t="s">
        <v>508</v>
      </c>
      <c r="D4" s="42" t="s">
        <v>509</v>
      </c>
      <c r="E4" s="42" t="s">
        <v>508</v>
      </c>
      <c r="F4" s="42" t="s">
        <v>510</v>
      </c>
      <c r="H4" s="229"/>
      <c r="I4" s="42" t="s">
        <v>507</v>
      </c>
      <c r="J4" s="42" t="s">
        <v>508</v>
      </c>
      <c r="K4" s="42" t="s">
        <v>509</v>
      </c>
      <c r="L4" s="42" t="s">
        <v>508</v>
      </c>
      <c r="M4" s="42" t="s">
        <v>510</v>
      </c>
    </row>
    <row r="5" spans="1:13" ht="24.95" customHeight="1">
      <c r="A5" s="43" t="s">
        <v>511</v>
      </c>
      <c r="B5" s="44">
        <f>SUM(B6:B13)/2</f>
        <v>0</v>
      </c>
      <c r="C5" s="43" t="str">
        <f>IF(B5=SUM('17년일입'!I6:J6),"OK","@@")</f>
        <v>@@</v>
      </c>
      <c r="D5" s="44">
        <f>SUM(D6:D13)/2</f>
        <v>6978972</v>
      </c>
      <c r="E5" s="43" t="e">
        <f>IF(D5=SUM('17년일출'!#REF!),"OK","@@")</f>
        <v>#REF!</v>
      </c>
      <c r="F5" s="44"/>
      <c r="H5" s="43" t="s">
        <v>511</v>
      </c>
      <c r="I5" s="44">
        <f>SUM(I6:I13)/2</f>
        <v>0</v>
      </c>
      <c r="J5" s="43" t="str">
        <f>IF(I5=SUM('17년일입'!L6:M6),"OK","@@")</f>
        <v>OK</v>
      </c>
      <c r="K5" s="44">
        <f>SUM(K6:K13)/2</f>
        <v>0</v>
      </c>
      <c r="L5" s="43" t="e">
        <f>IF(K5=SUM('17년일출'!#REF!),"OK","@@")</f>
        <v>#REF!</v>
      </c>
      <c r="M5" s="44"/>
    </row>
    <row r="6" spans="1:13" ht="24.95" customHeight="1">
      <c r="A6" s="45" t="s">
        <v>512</v>
      </c>
      <c r="B6" s="46">
        <f>SUM(B7:B8)</f>
        <v>0</v>
      </c>
      <c r="C6" s="45" t="str">
        <f>IF(B6='17년일입'!X6,"OK","@@")</f>
        <v>OK</v>
      </c>
      <c r="D6" s="46">
        <f>SUM(D7:D8)</f>
        <v>6837342</v>
      </c>
      <c r="E6" s="45" t="e">
        <f>IF(D6='17년일출'!#REF!,"OK","@@")</f>
        <v>#REF!</v>
      </c>
      <c r="F6" s="46"/>
      <c r="H6" s="45" t="s">
        <v>512</v>
      </c>
      <c r="I6" s="46">
        <f>SUM(I7:I8)</f>
        <v>0</v>
      </c>
      <c r="J6" s="45" t="str">
        <f>IF(I6='17년일입'!AC6,"OK","@@")</f>
        <v>OK</v>
      </c>
      <c r="K6" s="46">
        <f>SUM(K7:K8)</f>
        <v>0</v>
      </c>
      <c r="L6" s="45" t="e">
        <f>IF(K6='17년일출'!#REF!,"OK","@@")</f>
        <v>#REF!</v>
      </c>
      <c r="M6" s="46"/>
    </row>
    <row r="7" spans="1:13" ht="24.95" customHeight="1">
      <c r="A7" s="37" t="s">
        <v>513</v>
      </c>
      <c r="B7" s="38">
        <f>SUMIFS('17년일입'!X6:X37,'17년일입'!V6:V37,"도비")</f>
        <v>0</v>
      </c>
      <c r="C7" s="37"/>
      <c r="D7" s="38">
        <f>SUMIFS('17년일출'!$Y$6:$Y$92,'17년일출'!$W$6:$W$92,"도비")</f>
        <v>6695712</v>
      </c>
      <c r="E7" s="37"/>
      <c r="F7" s="38"/>
      <c r="H7" s="37" t="s">
        <v>513</v>
      </c>
      <c r="I7" s="38">
        <f>SUMIFS('17년일입'!AC6:AC37,'17년일입'!AA6:AA37,"국비")</f>
        <v>0</v>
      </c>
      <c r="J7" s="37"/>
      <c r="K7" s="38">
        <f>SUMIFS('17년일출'!$AD$6:$AD$92,'17년일출'!$AB$6:$AB$92,"도비")</f>
        <v>0</v>
      </c>
      <c r="L7" s="37"/>
      <c r="M7" s="38"/>
    </row>
    <row r="8" spans="1:13" ht="24.95" customHeight="1">
      <c r="A8" s="37" t="s">
        <v>514</v>
      </c>
      <c r="B8" s="38">
        <f>SUMIFS('17년일입'!X6:X37,'17년일입'!V6:V37,"국비")+SUMIFS('17년일입'!X6:X37,'17년일입'!V6:V37,"지특")+SUMIFS('17년일입'!X6:X37,'17년일입'!V6:V37,"기금")+SUMIFS('17년일입'!X6:X37,'17년일입'!V6:V37,"특교")</f>
        <v>0</v>
      </c>
      <c r="C8" s="37"/>
      <c r="D8" s="38">
        <f>SUMIFS('17년일출'!$Y$6:$Y$92,'17년일출'!$W$6:$W$92,"국비")+SUMIFS('17년일출'!$Y$6:$Y$92,'17년일출'!$W$6:$W$92,"지특")+SUMIFS('17년일출'!$Y$6:$Y$92,'17년일출'!$W$6:$W$92,"기금")+SUMIFS('17년일출'!$Y$6:$Y$92,'17년일출'!$W$6:$W$92,"특교")</f>
        <v>141630</v>
      </c>
      <c r="E8" s="37"/>
      <c r="F8" s="38"/>
      <c r="H8" s="37" t="s">
        <v>514</v>
      </c>
      <c r="I8" s="38">
        <f>SUMIFS('17년일입'!AC6:AC37,'17년일입'!AA6:AA37,"국비")+SUMIFS('17년일입'!AC6:AC37,'17년일입'!AA6:AA37,"지특")+SUMIFS('17년일입'!AC6:AC37,'17년일입'!AA6:AA37,"기금")+SUMIFS('17년일입'!AC6:AC37,'17년일입'!AA6:AA37,"특교")</f>
        <v>0</v>
      </c>
      <c r="J8" s="37"/>
      <c r="K8" s="38">
        <f>SUMIFS('17년일출'!$AD$6:$AD$92,'17년일출'!$AB$6:$AB$92,"국비")+SUMIFS('17년일출'!$AD$6:$AD$92,'17년일출'!$AB$6:$AB$92,"지특")+SUMIFS('17년일출'!$AD$6:$AD$92,'17년일출'!$AB$6:$AB$92,"기금")+SUMIFS('17년일출'!$AD$6:$AD$92,'17년일출'!$AB$6:$AB$92,"특교")</f>
        <v>0</v>
      </c>
      <c r="L8" s="37"/>
      <c r="M8" s="38"/>
    </row>
    <row r="9" spans="1:13" ht="24.95" customHeight="1">
      <c r="A9" s="45" t="s">
        <v>515</v>
      </c>
      <c r="B9" s="46">
        <f>SUM(B10:B13)</f>
        <v>0</v>
      </c>
      <c r="C9" s="45" t="str">
        <f>IF(B9='17년일입'!W6,"OK","@@")</f>
        <v>@@</v>
      </c>
      <c r="D9" s="46">
        <f>SUM(D10:D13)</f>
        <v>141630</v>
      </c>
      <c r="E9" s="45" t="e">
        <f>IF(D9='17년일출'!#REF!,"OK","@@")</f>
        <v>#REF!</v>
      </c>
      <c r="F9" s="46">
        <f>SUM(F10:F13)</f>
        <v>141630</v>
      </c>
      <c r="H9" s="45" t="s">
        <v>515</v>
      </c>
      <c r="I9" s="46">
        <f>SUM(I10:I13)</f>
        <v>0</v>
      </c>
      <c r="J9" s="45" t="str">
        <f>IF(I9='17년일입'!W6,"OK","@@")</f>
        <v>@@</v>
      </c>
      <c r="K9" s="46">
        <f>SUM(K10:K13)</f>
        <v>0</v>
      </c>
      <c r="L9" s="45" t="e">
        <f>IF(K9='17년일출'!#REF!,"OK","@@")</f>
        <v>#REF!</v>
      </c>
      <c r="M9" s="46">
        <f>SUM(M10:M13)</f>
        <v>0</v>
      </c>
    </row>
    <row r="10" spans="1:13" ht="24.95" customHeight="1">
      <c r="A10" s="37" t="s">
        <v>516</v>
      </c>
      <c r="B10" s="38">
        <f>SUMIFS('17년일입'!$X$6:$X$37,'17년일입'!$V$6:$V$37,검증!A10)</f>
        <v>0</v>
      </c>
      <c r="C10" s="37"/>
      <c r="D10" s="38">
        <f>SUMIFS('17년일출'!$Y$6:$Y$92,'17년일출'!$W$6:$W$92,검증!A10)</f>
        <v>361337</v>
      </c>
      <c r="E10" s="37"/>
      <c r="F10" s="38">
        <f>D10-B10</f>
        <v>361337</v>
      </c>
      <c r="H10" s="37" t="s">
        <v>516</v>
      </c>
      <c r="I10" s="38">
        <f>SUMIFS('17년일입'!$AC$6:$AC$37,'17년일입'!$AA$6:$AA$37,검증!H10)</f>
        <v>0</v>
      </c>
      <c r="J10" s="37"/>
      <c r="K10" s="38">
        <f>SUMIFS('17년일출'!$AD$6:$AD$92,'17년일출'!$AB$6:$AB$92,검증!H10)</f>
        <v>0</v>
      </c>
      <c r="L10" s="37"/>
      <c r="M10" s="38">
        <f>K10-I10</f>
        <v>0</v>
      </c>
    </row>
    <row r="11" spans="1:13" ht="24.95" customHeight="1">
      <c r="A11" s="37" t="s">
        <v>522</v>
      </c>
      <c r="B11" s="38">
        <f>SUMIFS('17년일입'!$X$6:$X$37,'17년일입'!$V$6:$V$37,검증!A11)</f>
        <v>0</v>
      </c>
      <c r="C11" s="37"/>
      <c r="D11" s="38">
        <f>SUMIFS('17년일출'!$Y$6:$Y$92,'17년일출'!$W$6:$W$92,검증!A11)</f>
        <v>0</v>
      </c>
      <c r="E11" s="37"/>
      <c r="F11" s="38">
        <f t="shared" ref="F11:F13" si="0">D11-B11</f>
        <v>0</v>
      </c>
      <c r="H11" s="37" t="s">
        <v>522</v>
      </c>
      <c r="I11" s="38">
        <f>SUMIFS('17년일입'!$AC$6:$AC$37,'17년일입'!$AA$6:$AA$37,검증!H11)</f>
        <v>0</v>
      </c>
      <c r="J11" s="37"/>
      <c r="K11" s="38">
        <f>SUMIFS('17년일출'!$AD$6:$AD$92,'17년일출'!$AB$6:$AB$92,검증!H11)</f>
        <v>0</v>
      </c>
      <c r="L11" s="37"/>
      <c r="M11" s="38">
        <f t="shared" ref="M11:M13" si="1">K11-I11</f>
        <v>0</v>
      </c>
    </row>
    <row r="12" spans="1:13" ht="24.95" customHeight="1">
      <c r="A12" s="37" t="s">
        <v>517</v>
      </c>
      <c r="B12" s="38">
        <f>SUMIFS('17년일입'!$X$6:$X$37,'17년일입'!$V$6:$V$37,검증!A12)</f>
        <v>0</v>
      </c>
      <c r="C12" s="37"/>
      <c r="D12" s="38">
        <f>SUMIFS('17년일출'!$Y$6:$Y$92,'17년일출'!$W$6:$W$92,검증!A12)</f>
        <v>-219707</v>
      </c>
      <c r="E12" s="37"/>
      <c r="F12" s="38">
        <f t="shared" si="0"/>
        <v>-219707</v>
      </c>
      <c r="H12" s="37" t="s">
        <v>517</v>
      </c>
      <c r="I12" s="38">
        <f>SUMIFS('17년일입'!$AC$6:$AC$37,'17년일입'!$AA$6:$AA$37,검증!H12)</f>
        <v>0</v>
      </c>
      <c r="J12" s="37"/>
      <c r="K12" s="38">
        <f>SUMIFS('17년일출'!$AD$6:$AD$92,'17년일출'!$AB$6:$AB$92,검증!H12)</f>
        <v>0</v>
      </c>
      <c r="L12" s="37"/>
      <c r="M12" s="38">
        <f t="shared" si="1"/>
        <v>0</v>
      </c>
    </row>
    <row r="13" spans="1:13" ht="24.95" customHeight="1">
      <c r="A13" s="37" t="s">
        <v>518</v>
      </c>
      <c r="B13" s="38">
        <f>SUMIFS('17년일입'!$X$6:$X$37,'17년일입'!$V$6:$V$37,검증!A13)</f>
        <v>0</v>
      </c>
      <c r="C13" s="37"/>
      <c r="D13" s="38">
        <f>SUMIFS('17년일출'!$Y$6:$Y$92,'17년일출'!$W$6:$W$92,검증!A13)</f>
        <v>0</v>
      </c>
      <c r="E13" s="37"/>
      <c r="F13" s="38">
        <f t="shared" si="0"/>
        <v>0</v>
      </c>
      <c r="H13" s="37" t="s">
        <v>518</v>
      </c>
      <c r="I13" s="38">
        <f>SUMIFS('17년일입'!$AC$6:$AC$37,'17년일입'!$AA$6:$AA$37,검증!H13)</f>
        <v>0</v>
      </c>
      <c r="J13" s="37"/>
      <c r="K13" s="38">
        <f>SUMIFS('17년일출'!$AD$6:$AD$92,'17년일출'!$AB$6:$AB$92,검증!H13)</f>
        <v>0</v>
      </c>
      <c r="L13" s="37"/>
      <c r="M13" s="38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topLeftCell="A3" workbookViewId="0">
      <selection activeCell="A13" sqref="A13"/>
    </sheetView>
  </sheetViews>
  <sheetFormatPr defaultRowHeight="30" customHeight="1"/>
  <cols>
    <col min="1" max="1" width="7.625" customWidth="1"/>
  </cols>
  <sheetData>
    <row r="1" spans="1:13" ht="24.9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75" customFormat="1" ht="60" customHeight="1">
      <c r="A4" s="9" t="s">
        <v>1067</v>
      </c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</row>
    <row r="5" spans="1:13" ht="45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>
      <c r="B6" s="174" t="s">
        <v>1066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7"/>
      <c r="B7" s="173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>
      <c r="A8" s="7"/>
      <c r="B8" s="173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>
      <c r="A12" s="8" t="s">
        <v>778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tabSelected="1" workbookViewId="0">
      <selection activeCell="D8" sqref="D8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193" customWidth="1"/>
    <col min="11" max="15" width="15.625" customWidth="1"/>
  </cols>
  <sheetData>
    <row r="1" spans="1:15" ht="30" customHeight="1">
      <c r="A1" s="227" t="s">
        <v>1100</v>
      </c>
      <c r="B1" s="7"/>
      <c r="C1" s="7"/>
      <c r="D1" s="7"/>
      <c r="E1" s="7"/>
      <c r="F1" s="7"/>
      <c r="G1" s="7"/>
      <c r="H1" s="7"/>
      <c r="I1" s="7"/>
      <c r="J1" s="226"/>
    </row>
    <row r="2" spans="1:15" ht="9.9499999999999993" customHeight="1"/>
    <row r="3" spans="1:15" ht="20.100000000000001" customHeight="1">
      <c r="A3" s="217" t="s">
        <v>1101</v>
      </c>
      <c r="C3" s="225" t="s">
        <v>1102</v>
      </c>
      <c r="D3" s="194">
        <f>SUM(C7:D7)</f>
        <v>0</v>
      </c>
      <c r="F3" s="225" t="s">
        <v>1103</v>
      </c>
      <c r="G3" s="194">
        <f>SUM(F7:G7)</f>
        <v>0</v>
      </c>
      <c r="H3" s="224"/>
    </row>
    <row r="4" spans="1:15" ht="15" customHeight="1" thickBot="1">
      <c r="C4" s="200"/>
      <c r="D4" s="200"/>
      <c r="E4" s="200"/>
      <c r="F4" s="223" t="s">
        <v>1104</v>
      </c>
      <c r="G4" s="200"/>
      <c r="H4" s="200"/>
      <c r="I4" s="15" t="s">
        <v>1096</v>
      </c>
      <c r="J4" s="216"/>
    </row>
    <row r="5" spans="1:15" ht="18" customHeight="1">
      <c r="A5" s="232" t="s">
        <v>1095</v>
      </c>
      <c r="B5" s="234" t="s">
        <v>1105</v>
      </c>
      <c r="C5" s="238" t="s">
        <v>1106</v>
      </c>
      <c r="D5" s="239"/>
      <c r="E5" s="240"/>
      <c r="F5" s="238" t="s">
        <v>1107</v>
      </c>
      <c r="G5" s="239"/>
      <c r="H5" s="240"/>
      <c r="I5" s="236" t="s">
        <v>1090</v>
      </c>
      <c r="J5" s="213"/>
      <c r="K5" s="199" t="s">
        <v>1108</v>
      </c>
      <c r="L5" s="222"/>
      <c r="M5" s="222"/>
      <c r="N5" s="222"/>
      <c r="O5" s="222"/>
    </row>
    <row r="6" spans="1:15" ht="18" customHeight="1">
      <c r="A6" s="233"/>
      <c r="B6" s="235"/>
      <c r="C6" s="214" t="s">
        <v>1093</v>
      </c>
      <c r="D6" s="214" t="s">
        <v>1092</v>
      </c>
      <c r="E6" s="214" t="s">
        <v>1091</v>
      </c>
      <c r="F6" s="214" t="s">
        <v>1093</v>
      </c>
      <c r="G6" s="214" t="s">
        <v>1092</v>
      </c>
      <c r="H6" s="214" t="s">
        <v>1091</v>
      </c>
      <c r="I6" s="237"/>
      <c r="J6" s="213"/>
      <c r="K6" s="198" t="s">
        <v>1095</v>
      </c>
      <c r="L6" s="198" t="s">
        <v>1109</v>
      </c>
      <c r="M6" s="198" t="s">
        <v>1110</v>
      </c>
      <c r="N6" s="198" t="s">
        <v>1111</v>
      </c>
      <c r="O6" s="198" t="s">
        <v>1112</v>
      </c>
    </row>
    <row r="7" spans="1:15" ht="21.95" customHeight="1">
      <c r="A7" s="210" t="s">
        <v>1088</v>
      </c>
      <c r="B7" s="197">
        <f>SUM(B8:B17)</f>
        <v>558747860</v>
      </c>
      <c r="C7" s="197">
        <f t="shared" ref="C7:I7" si="0">SUM(C8:C17)</f>
        <v>0</v>
      </c>
      <c r="D7" s="197">
        <f t="shared" si="0"/>
        <v>0</v>
      </c>
      <c r="E7" s="197">
        <f t="shared" si="0"/>
        <v>0</v>
      </c>
      <c r="F7" s="197">
        <f t="shared" si="0"/>
        <v>0</v>
      </c>
      <c r="G7" s="197">
        <f t="shared" si="0"/>
        <v>0</v>
      </c>
      <c r="H7" s="197">
        <f t="shared" si="0"/>
        <v>0</v>
      </c>
      <c r="I7" s="209">
        <f t="shared" si="0"/>
        <v>558747860</v>
      </c>
      <c r="J7" s="202"/>
      <c r="K7" s="191" t="s">
        <v>1088</v>
      </c>
      <c r="L7" s="220">
        <f>SUM(L8:L9)</f>
        <v>0</v>
      </c>
      <c r="M7" s="220">
        <f>SUM(M8:M9)</f>
        <v>0</v>
      </c>
      <c r="N7" s="221">
        <f>L7-M7</f>
        <v>0</v>
      </c>
      <c r="O7" s="220"/>
    </row>
    <row r="8" spans="1:15" ht="21.95" customHeight="1">
      <c r="A8" s="208" t="s">
        <v>1113</v>
      </c>
      <c r="B8" s="207">
        <f>B31</f>
        <v>0</v>
      </c>
      <c r="C8" s="207">
        <f>SUMIFS('[1]17년일입'!L$6:L$100,'[1]17년일입'!$A$6:$A$100,[1]총괄표!$A8)+SUMIFS('[1]17년특입'!L$6:L$39,'[1]17년특입'!$A$6:$A$39,[1]총괄표!$A8)</f>
        <v>0</v>
      </c>
      <c r="D8" s="207">
        <f>SUMIFS('[1]17년일입'!M$6:M$100,'[1]17년일입'!$A$6:$A$100,[1]총괄표!$A8)+SUMIFS('[1]17년특입'!M$6:M$39,'[1]17년특입'!$A$6:$A$39,[1]총괄표!$A8)</f>
        <v>0</v>
      </c>
      <c r="E8" s="207">
        <f>D8-C8</f>
        <v>0</v>
      </c>
      <c r="F8" s="207">
        <f>SUMIFS('[1]17년일출'!M$6:M$116,'[1]17년일출'!$A$6:$A$116,[1]총괄표!$A8)+SUMIFS('[1]17년특출'!M$6:M$39,'[1]17년특출'!$A$6:$A$39,[1]총괄표!$A8)</f>
        <v>0</v>
      </c>
      <c r="G8" s="207">
        <f>SUMIFS('[1]17년일출'!N$6:N$116,'[1]17년일출'!$A$6:$A$116,[1]총괄표!$A8)+SUMIFS('[1]17년특출'!N$6:N$39,'[1]17년특출'!$A$6:$A$39,[1]총괄표!$A8)</f>
        <v>0</v>
      </c>
      <c r="H8" s="207">
        <f>G8-F8</f>
        <v>0</v>
      </c>
      <c r="I8" s="206">
        <f>B8+F8+G8</f>
        <v>0</v>
      </c>
      <c r="J8" s="202"/>
      <c r="K8" s="219" t="s">
        <v>1087</v>
      </c>
      <c r="L8" s="194">
        <f>SUM(C24:D24)</f>
        <v>0</v>
      </c>
      <c r="M8" s="194">
        <f>SUM(F24:G24)</f>
        <v>0</v>
      </c>
      <c r="N8" s="194">
        <f>L8-M8</f>
        <v>0</v>
      </c>
      <c r="O8" s="230" t="s">
        <v>1114</v>
      </c>
    </row>
    <row r="9" spans="1:15" ht="21.95" customHeight="1">
      <c r="A9" s="208" t="s">
        <v>1115</v>
      </c>
      <c r="B9" s="207">
        <f t="shared" ref="B9:B17" si="1">B32</f>
        <v>0</v>
      </c>
      <c r="C9" s="207">
        <f>SUMIFS('[1]17년일입'!L$6:L$100,'[1]17년일입'!$A$6:$A$100,[1]총괄표!$A9)+SUMIFS('[1]17년특입'!L$6:L$39,'[1]17년특입'!$A$6:$A$39,[1]총괄표!$A9)</f>
        <v>0</v>
      </c>
      <c r="D9" s="207">
        <f>SUMIFS('[1]17년일입'!M$6:M$100,'[1]17년일입'!$A$6:$A$100,[1]총괄표!$A9)+SUMIFS('[1]17년특입'!M$6:M$39,'[1]17년특입'!$A$6:$A$39,[1]총괄표!$A9)</f>
        <v>0</v>
      </c>
      <c r="E9" s="207">
        <f t="shared" ref="E9:E17" si="2">D9-C9</f>
        <v>0</v>
      </c>
      <c r="F9" s="207">
        <f>SUMIFS('[1]17년일출'!M$6:M$116,'[1]17년일출'!$A$6:$A$116,[1]총괄표!$A9)+SUMIFS('[1]17년특출'!M$6:M$39,'[1]17년특출'!$A$6:$A$39,[1]총괄표!$A9)</f>
        <v>0</v>
      </c>
      <c r="G9" s="207">
        <f>SUMIFS('[1]17년일출'!N$6:N$116,'[1]17년일출'!$A$6:$A$116,[1]총괄표!$A9)+SUMIFS('[1]17년특출'!N$6:N$39,'[1]17년특출'!$A$6:$A$39,[1]총괄표!$A9)</f>
        <v>0</v>
      </c>
      <c r="H9" s="207">
        <f t="shared" ref="H9:H17" si="3">G9-F9</f>
        <v>0</v>
      </c>
      <c r="I9" s="206">
        <f t="shared" ref="I9:I17" si="4">B9+F9+G9</f>
        <v>0</v>
      </c>
      <c r="J9" s="202"/>
      <c r="K9" s="219" t="s">
        <v>1116</v>
      </c>
      <c r="L9" s="194">
        <f>SUM(C25:D25)</f>
        <v>0</v>
      </c>
      <c r="M9" s="194">
        <f>SUM(F25:G25)</f>
        <v>0</v>
      </c>
      <c r="N9" s="194">
        <f>L9-M9</f>
        <v>0</v>
      </c>
      <c r="O9" s="231"/>
    </row>
    <row r="10" spans="1:15" ht="21.95" customHeight="1">
      <c r="A10" s="208" t="s">
        <v>1117</v>
      </c>
      <c r="B10" s="207">
        <f t="shared" si="1"/>
        <v>0</v>
      </c>
      <c r="C10" s="207">
        <f>SUMIFS('[1]17년일입'!L$6:L$100,'[1]17년일입'!$A$6:$A$100,[1]총괄표!$A10)+SUMIFS('[1]17년특입'!L$6:L$39,'[1]17년특입'!$A$6:$A$39,[1]총괄표!$A10)</f>
        <v>0</v>
      </c>
      <c r="D10" s="207">
        <f>SUMIFS('[1]17년일입'!M$6:M$100,'[1]17년일입'!$A$6:$A$100,[1]총괄표!$A10)+SUMIFS('[1]17년특입'!M$6:M$39,'[1]17년특입'!$A$6:$A$39,[1]총괄표!$A10)</f>
        <v>0</v>
      </c>
      <c r="E10" s="207">
        <f t="shared" si="2"/>
        <v>0</v>
      </c>
      <c r="F10" s="207">
        <f>SUMIFS('[1]17년일출'!M$6:M$116,'[1]17년일출'!$A$6:$A$116,[1]총괄표!$A10)+SUMIFS('[1]17년특출'!M$6:M$39,'[1]17년특출'!$A$6:$A$39,[1]총괄표!$A10)</f>
        <v>0</v>
      </c>
      <c r="G10" s="207">
        <f>SUMIFS('[1]17년일출'!N$6:N$116,'[1]17년일출'!$A$6:$A$116,[1]총괄표!$A10)+SUMIFS('[1]17년특출'!N$6:N$39,'[1]17년특출'!$A$6:$A$39,[1]총괄표!$A10)</f>
        <v>0</v>
      </c>
      <c r="H10" s="207">
        <f t="shared" si="3"/>
        <v>0</v>
      </c>
      <c r="I10" s="206">
        <f t="shared" si="4"/>
        <v>0</v>
      </c>
      <c r="J10" s="202"/>
    </row>
    <row r="11" spans="1:15" ht="21.95" customHeight="1">
      <c r="A11" s="208" t="s">
        <v>1118</v>
      </c>
      <c r="B11" s="207">
        <f t="shared" si="1"/>
        <v>0</v>
      </c>
      <c r="C11" s="207">
        <f>SUMIFS('[1]17년일입'!L$6:L$100,'[1]17년일입'!$A$6:$A$100,[1]총괄표!$A11)+SUMIFS('[1]17년특입'!L$6:L$39,'[1]17년특입'!$A$6:$A$39,[1]총괄표!$A11)</f>
        <v>0</v>
      </c>
      <c r="D11" s="207">
        <f>SUMIFS('[1]17년일입'!M$6:M$100,'[1]17년일입'!$A$6:$A$100,[1]총괄표!$A11)+SUMIFS('[1]17년특입'!M$6:M$39,'[1]17년특입'!$A$6:$A$39,[1]총괄표!$A11)</f>
        <v>0</v>
      </c>
      <c r="E11" s="207">
        <f t="shared" si="2"/>
        <v>0</v>
      </c>
      <c r="F11" s="207">
        <f>SUMIFS('[1]17년일출'!M$6:M$116,'[1]17년일출'!$A$6:$A$116,[1]총괄표!$A11)+SUMIFS('[1]17년특출'!M$6:M$39,'[1]17년특출'!$A$6:$A$39,[1]총괄표!$A11)</f>
        <v>0</v>
      </c>
      <c r="G11" s="207">
        <f>SUMIFS('[1]17년일출'!N$6:N$116,'[1]17년일출'!$A$6:$A$116,[1]총괄표!$A11)+SUMIFS('[1]17년특출'!N$6:N$39,'[1]17년특출'!$A$6:$A$39,[1]총괄표!$A11)</f>
        <v>0</v>
      </c>
      <c r="H11" s="207">
        <f t="shared" si="3"/>
        <v>0</v>
      </c>
      <c r="I11" s="206">
        <f t="shared" si="4"/>
        <v>0</v>
      </c>
      <c r="J11" s="202"/>
    </row>
    <row r="12" spans="1:15" ht="21.95" customHeight="1">
      <c r="A12" s="208" t="s">
        <v>1099</v>
      </c>
      <c r="B12" s="207">
        <f t="shared" si="1"/>
        <v>0</v>
      </c>
      <c r="C12" s="207">
        <f>SUMIFS('[1]17년일입'!L$6:L$100,'[1]17년일입'!$A$6:$A$100,[1]총괄표!$A12)+SUMIFS('[1]17년특입'!L$6:L$39,'[1]17년특입'!$A$6:$A$39,[1]총괄표!$A12)</f>
        <v>0</v>
      </c>
      <c r="D12" s="207">
        <f>SUMIFS('[1]17년일입'!M$6:M$100,'[1]17년일입'!$A$6:$A$100,[1]총괄표!$A12)+SUMIFS('[1]17년특입'!M$6:M$39,'[1]17년특입'!$A$6:$A$39,[1]총괄표!$A12)</f>
        <v>0</v>
      </c>
      <c r="E12" s="207">
        <f t="shared" si="2"/>
        <v>0</v>
      </c>
      <c r="F12" s="207">
        <f>SUMIFS('[1]17년일출'!M$6:M$116,'[1]17년일출'!$A$6:$A$116,[1]총괄표!$A12)+SUMIFS('[1]17년특출'!M$6:M$39,'[1]17년특출'!$A$6:$A$39,[1]총괄표!$A12)</f>
        <v>0</v>
      </c>
      <c r="G12" s="207">
        <f>SUMIFS('[1]17년일출'!N$6:N$116,'[1]17년일출'!$A$6:$A$116,[1]총괄표!$A12)+SUMIFS('[1]17년특출'!N$6:N$39,'[1]17년특출'!$A$6:$A$39,[1]총괄표!$A12)</f>
        <v>0</v>
      </c>
      <c r="H12" s="207">
        <f t="shared" si="3"/>
        <v>0</v>
      </c>
      <c r="I12" s="206">
        <f t="shared" si="4"/>
        <v>0</v>
      </c>
      <c r="J12" s="202"/>
    </row>
    <row r="13" spans="1:15" ht="21.95" customHeight="1">
      <c r="A13" s="208" t="s">
        <v>1119</v>
      </c>
      <c r="B13" s="207">
        <f t="shared" si="1"/>
        <v>558747860</v>
      </c>
      <c r="C13" s="207">
        <f>SUMIFS('[1]17년일입'!L$6:L$100,'[1]17년일입'!$A$6:$A$100,[1]총괄표!$A13)+SUMIFS('[1]17년특입'!L$6:L$39,'[1]17년특입'!$A$6:$A$39,[1]총괄표!$A13)</f>
        <v>0</v>
      </c>
      <c r="D13" s="207">
        <f>SUMIFS('[1]17년일입'!M$6:M$100,'[1]17년일입'!$A$6:$A$100,[1]총괄표!$A13)+SUMIFS('[1]17년특입'!M$6:M$39,'[1]17년특입'!$A$6:$A$39,[1]총괄표!$A13)</f>
        <v>0</v>
      </c>
      <c r="E13" s="207">
        <f t="shared" si="2"/>
        <v>0</v>
      </c>
      <c r="F13" s="207">
        <f>SUMIFS('[1]17년일출'!M$6:M$116,'[1]17년일출'!$A$6:$A$116,[1]총괄표!$A13)+SUMIFS('[1]17년특출'!M$6:M$39,'[1]17년특출'!$A$6:$A$39,[1]총괄표!$A13)</f>
        <v>0</v>
      </c>
      <c r="G13" s="207">
        <f>SUMIFS('[1]17년일출'!N$6:N$116,'[1]17년일출'!$A$6:$A$116,[1]총괄표!$A13)+SUMIFS('[1]17년특출'!N$6:N$39,'[1]17년특출'!$A$6:$A$39,[1]총괄표!$A13)</f>
        <v>0</v>
      </c>
      <c r="H13" s="207">
        <f t="shared" si="3"/>
        <v>0</v>
      </c>
      <c r="I13" s="206">
        <f t="shared" si="4"/>
        <v>558747860</v>
      </c>
      <c r="J13" s="202"/>
    </row>
    <row r="14" spans="1:15" ht="21.95" customHeight="1">
      <c r="A14" s="208" t="s">
        <v>1120</v>
      </c>
      <c r="B14" s="207">
        <f t="shared" si="1"/>
        <v>0</v>
      </c>
      <c r="C14" s="207">
        <f>SUMIFS('[1]17년일입'!L$6:L$100,'[1]17년일입'!$A$6:$A$100,[1]총괄표!$A14)+SUMIFS('[1]17년특입'!L$6:L$39,'[1]17년특입'!$A$6:$A$39,[1]총괄표!$A14)</f>
        <v>0</v>
      </c>
      <c r="D14" s="207">
        <f>SUMIFS('[1]17년일입'!M$6:M$100,'[1]17년일입'!$A$6:$A$100,[1]총괄표!$A14)+SUMIFS('[1]17년특입'!M$6:M$39,'[1]17년특입'!$A$6:$A$39,[1]총괄표!$A14)</f>
        <v>0</v>
      </c>
      <c r="E14" s="207">
        <f t="shared" si="2"/>
        <v>0</v>
      </c>
      <c r="F14" s="207">
        <f>SUMIFS('[1]17년일출'!M$6:M$116,'[1]17년일출'!$A$6:$A$116,[1]총괄표!$A14)+SUMIFS('[1]17년특출'!M$6:M$39,'[1]17년특출'!$A$6:$A$39,[1]총괄표!$A14)</f>
        <v>0</v>
      </c>
      <c r="G14" s="207">
        <f>SUMIFS('[1]17년일출'!N$6:N$116,'[1]17년일출'!$A$6:$A$116,[1]총괄표!$A14)+SUMIFS('[1]17년특출'!N$6:N$39,'[1]17년특출'!$A$6:$A$39,[1]총괄표!$A14)</f>
        <v>0</v>
      </c>
      <c r="H14" s="207">
        <f t="shared" si="3"/>
        <v>0</v>
      </c>
      <c r="I14" s="206">
        <f t="shared" si="4"/>
        <v>0</v>
      </c>
      <c r="J14" s="202"/>
    </row>
    <row r="15" spans="1:15" ht="21.95" customHeight="1">
      <c r="A15" s="208" t="s">
        <v>1121</v>
      </c>
      <c r="B15" s="207">
        <f t="shared" si="1"/>
        <v>0</v>
      </c>
      <c r="C15" s="207">
        <f>SUMIFS('[1]17년일입'!L$6:L$100,'[1]17년일입'!$A$6:$A$100,[1]총괄표!$A15)+SUMIFS('[1]17년특입'!L$6:L$39,'[1]17년특입'!$A$6:$A$39,[1]총괄표!$A15)</f>
        <v>0</v>
      </c>
      <c r="D15" s="207">
        <f>SUMIFS('[1]17년일입'!M$6:M$100,'[1]17년일입'!$A$6:$A$100,[1]총괄표!$A15)+SUMIFS('[1]17년특입'!M$6:M$39,'[1]17년특입'!$A$6:$A$39,[1]총괄표!$A15)</f>
        <v>0</v>
      </c>
      <c r="E15" s="207">
        <f t="shared" si="2"/>
        <v>0</v>
      </c>
      <c r="F15" s="207">
        <f>SUMIFS('[1]17년일출'!M$6:M$116,'[1]17년일출'!$A$6:$A$116,[1]총괄표!$A15)+SUMIFS('[1]17년특출'!M$6:M$39,'[1]17년특출'!$A$6:$A$39,[1]총괄표!$A15)</f>
        <v>0</v>
      </c>
      <c r="G15" s="207">
        <f>SUMIFS('[1]17년일출'!N$6:N$116,'[1]17년일출'!$A$6:$A$116,[1]총괄표!$A15)+SUMIFS('[1]17년특출'!N$6:N$39,'[1]17년특출'!$A$6:$A$39,[1]총괄표!$A15)</f>
        <v>0</v>
      </c>
      <c r="H15" s="207">
        <f t="shared" si="3"/>
        <v>0</v>
      </c>
      <c r="I15" s="206">
        <f t="shared" si="4"/>
        <v>0</v>
      </c>
      <c r="J15" s="202"/>
    </row>
    <row r="16" spans="1:15" ht="21.95" customHeight="1">
      <c r="A16" s="218" t="s">
        <v>1098</v>
      </c>
      <c r="B16" s="207">
        <f t="shared" si="1"/>
        <v>0</v>
      </c>
      <c r="C16" s="207">
        <f>SUMIFS('[1]17년일입'!L$6:L$100,'[1]17년일입'!$A$6:$A$100,[1]총괄표!$A16)+SUMIFS('[1]17년특입'!L$6:L$39,'[1]17년특입'!$A$6:$A$39,[1]총괄표!$A16)</f>
        <v>0</v>
      </c>
      <c r="D16" s="207">
        <f>SUMIFS('[1]17년일입'!M$6:M$100,'[1]17년일입'!$A$6:$A$100,[1]총괄표!$A16)+SUMIFS('[1]17년특입'!M$6:M$39,'[1]17년특입'!$A$6:$A$39,[1]총괄표!$A16)</f>
        <v>0</v>
      </c>
      <c r="E16" s="207">
        <f t="shared" si="2"/>
        <v>0</v>
      </c>
      <c r="F16" s="207">
        <f>SUMIFS('[1]17년일출'!M$6:M$116,'[1]17년일출'!$A$6:$A$116,[1]총괄표!$A16)+SUMIFS('[1]17년특출'!M$6:M$39,'[1]17년특출'!$A$6:$A$39,[1]총괄표!$A16)</f>
        <v>0</v>
      </c>
      <c r="G16" s="207">
        <f>SUMIFS('[1]17년일출'!N$6:N$116,'[1]17년일출'!$A$6:$A$116,[1]총괄표!$A16)+SUMIFS('[1]17년특출'!N$6:N$39,'[1]17년특출'!$A$6:$A$39,[1]총괄표!$A16)</f>
        <v>0</v>
      </c>
      <c r="H16" s="207">
        <f t="shared" si="3"/>
        <v>0</v>
      </c>
      <c r="I16" s="206">
        <f t="shared" si="4"/>
        <v>0</v>
      </c>
      <c r="J16" s="202"/>
    </row>
    <row r="17" spans="1:13" ht="21.95" customHeight="1" thickBot="1">
      <c r="A17" s="205" t="s">
        <v>1122</v>
      </c>
      <c r="B17" s="204">
        <f t="shared" si="1"/>
        <v>0</v>
      </c>
      <c r="C17" s="204">
        <f>SUMIFS('[1]17년일입'!L$6:L$100,'[1]17년일입'!$A$6:$A$100,[1]총괄표!$A17)+SUMIFS('[1]17년특입'!L$6:L$39,'[1]17년특입'!$A$6:$A$39,[1]총괄표!$A17)</f>
        <v>0</v>
      </c>
      <c r="D17" s="204">
        <f>SUMIFS('[1]17년일입'!M$6:M$100,'[1]17년일입'!$A$6:$A$100,[1]총괄표!$A17)+SUMIFS('[1]17년특입'!M$6:M$39,'[1]17년특입'!$A$6:$A$39,[1]총괄표!$A17)</f>
        <v>0</v>
      </c>
      <c r="E17" s="204">
        <f t="shared" si="2"/>
        <v>0</v>
      </c>
      <c r="F17" s="204">
        <f>SUMIFS('[1]17년일출'!M$6:M$116,'[1]17년일출'!$A$6:$A$116,[1]총괄표!$A17)+SUMIFS('[1]17년특출'!M$6:M$39,'[1]17년특출'!$A$6:$A$39,[1]총괄표!$A17)</f>
        <v>0</v>
      </c>
      <c r="G17" s="204">
        <f>SUMIFS('[1]17년일출'!N$6:N$116,'[1]17년일출'!$A$6:$A$116,[1]총괄표!$A17)+SUMIFS('[1]17년특출'!N$6:N$39,'[1]17년특출'!$A$6:$A$39,[1]총괄표!$A17)</f>
        <v>0</v>
      </c>
      <c r="H17" s="204">
        <f t="shared" si="3"/>
        <v>0</v>
      </c>
      <c r="I17" s="203">
        <f t="shared" si="4"/>
        <v>0</v>
      </c>
      <c r="J17" s="202"/>
    </row>
    <row r="19" spans="1:13" ht="20.100000000000001" customHeight="1">
      <c r="A19" s="217" t="s">
        <v>1097</v>
      </c>
    </row>
    <row r="20" spans="1:13" ht="15" customHeight="1" thickBot="1">
      <c r="I20" s="15" t="s">
        <v>1096</v>
      </c>
      <c r="J20" s="216"/>
    </row>
    <row r="21" spans="1:13" ht="18" customHeight="1">
      <c r="A21" s="232" t="s">
        <v>1095</v>
      </c>
      <c r="B21" s="234" t="s">
        <v>1105</v>
      </c>
      <c r="C21" s="238" t="s">
        <v>1106</v>
      </c>
      <c r="D21" s="239"/>
      <c r="E21" s="240"/>
      <c r="F21" s="238" t="s">
        <v>1107</v>
      </c>
      <c r="G21" s="239"/>
      <c r="H21" s="240"/>
      <c r="I21" s="236" t="s">
        <v>1090</v>
      </c>
      <c r="J21" s="213"/>
      <c r="K21" s="211" t="s">
        <v>1094</v>
      </c>
      <c r="L21" s="215"/>
      <c r="M21" s="200"/>
    </row>
    <row r="22" spans="1:13" ht="18" customHeight="1">
      <c r="A22" s="233"/>
      <c r="B22" s="235"/>
      <c r="C22" s="214" t="s">
        <v>1093</v>
      </c>
      <c r="D22" s="214" t="s">
        <v>1092</v>
      </c>
      <c r="E22" s="214" t="s">
        <v>1091</v>
      </c>
      <c r="F22" s="214" t="s">
        <v>1093</v>
      </c>
      <c r="G22" s="214" t="s">
        <v>1092</v>
      </c>
      <c r="H22" s="214" t="s">
        <v>1091</v>
      </c>
      <c r="I22" s="237"/>
      <c r="J22" s="213"/>
      <c r="K22" s="212" t="s">
        <v>1090</v>
      </c>
      <c r="L22" s="211" t="s">
        <v>1089</v>
      </c>
      <c r="M22" s="200"/>
    </row>
    <row r="23" spans="1:13" ht="21.95" customHeight="1">
      <c r="A23" s="210" t="s">
        <v>1088</v>
      </c>
      <c r="B23" s="197">
        <f>SUM(B24:B25)</f>
        <v>558747860</v>
      </c>
      <c r="C23" s="197">
        <f t="shared" ref="C23:I23" si="5">SUM(C24:C25)</f>
        <v>0</v>
      </c>
      <c r="D23" s="197">
        <f t="shared" si="5"/>
        <v>0</v>
      </c>
      <c r="E23" s="197">
        <f t="shared" si="5"/>
        <v>0</v>
      </c>
      <c r="F23" s="197">
        <f t="shared" si="5"/>
        <v>0</v>
      </c>
      <c r="G23" s="197">
        <f t="shared" si="5"/>
        <v>0</v>
      </c>
      <c r="H23" s="197">
        <f t="shared" si="5"/>
        <v>0</v>
      </c>
      <c r="I23" s="209">
        <f t="shared" si="5"/>
        <v>558747860</v>
      </c>
      <c r="J23" s="202"/>
      <c r="K23" s="201">
        <f>SUM(K24:K25)</f>
        <v>558747860</v>
      </c>
      <c r="L23" s="201">
        <f>I23-K23</f>
        <v>0</v>
      </c>
      <c r="M23" s="200"/>
    </row>
    <row r="24" spans="1:13" ht="21.95" customHeight="1">
      <c r="A24" s="208" t="s">
        <v>1087</v>
      </c>
      <c r="B24" s="207">
        <f>D30</f>
        <v>558747860</v>
      </c>
      <c r="C24" s="207">
        <f>'[1]17년일입'!L6</f>
        <v>0</v>
      </c>
      <c r="D24" s="207">
        <f>'[1]17년일입'!M6</f>
        <v>0</v>
      </c>
      <c r="E24" s="207">
        <f t="shared" ref="E24:E25" si="6">D24-C24</f>
        <v>0</v>
      </c>
      <c r="F24" s="207">
        <f>'[1]17년일출'!M6</f>
        <v>0</v>
      </c>
      <c r="G24" s="207">
        <f>'[1]17년일출'!N6</f>
        <v>0</v>
      </c>
      <c r="H24" s="207">
        <f t="shared" ref="H24:H25" si="7">G24-F24</f>
        <v>0</v>
      </c>
      <c r="I24" s="206">
        <f>B24+F24+G24</f>
        <v>558747860</v>
      </c>
      <c r="J24" s="202"/>
      <c r="K24" s="201">
        <f>B24+C24+D24</f>
        <v>558747860</v>
      </c>
      <c r="L24" s="201">
        <f t="shared" ref="L24:L25" si="8">I24-K24</f>
        <v>0</v>
      </c>
      <c r="M24" s="200"/>
    </row>
    <row r="25" spans="1:13" ht="21.95" customHeight="1" thickBot="1">
      <c r="A25" s="205" t="s">
        <v>1116</v>
      </c>
      <c r="B25" s="204">
        <f>F30+G30</f>
        <v>0</v>
      </c>
      <c r="C25" s="204">
        <f>'[1]17년특입'!L6</f>
        <v>0</v>
      </c>
      <c r="D25" s="204">
        <f>'[1]17년특입'!M6</f>
        <v>0</v>
      </c>
      <c r="E25" s="204">
        <f t="shared" si="6"/>
        <v>0</v>
      </c>
      <c r="F25" s="204">
        <f>'[1]17년특출'!M6</f>
        <v>0</v>
      </c>
      <c r="G25" s="204">
        <f>'[1]17년특출'!N6</f>
        <v>0</v>
      </c>
      <c r="H25" s="204">
        <f t="shared" si="7"/>
        <v>0</v>
      </c>
      <c r="I25" s="203">
        <f t="shared" ref="I25" si="9">B25+F25+G25</f>
        <v>0</v>
      </c>
      <c r="J25" s="202"/>
      <c r="K25" s="201">
        <f>B25+C25+D25</f>
        <v>0</v>
      </c>
      <c r="L25" s="201">
        <f t="shared" si="8"/>
        <v>0</v>
      </c>
      <c r="M25" s="200"/>
    </row>
    <row r="28" spans="1:13" ht="20.100000000000001" customHeight="1">
      <c r="A28" s="228" t="s">
        <v>1123</v>
      </c>
    </row>
    <row r="29" spans="1:13" ht="20.100000000000001" customHeight="1">
      <c r="A29" s="198" t="s">
        <v>1124</v>
      </c>
      <c r="B29" s="198" t="s">
        <v>1125</v>
      </c>
      <c r="C29" s="198" t="s">
        <v>1126</v>
      </c>
      <c r="D29" s="198" t="s">
        <v>1087</v>
      </c>
      <c r="E29" s="198" t="s">
        <v>1127</v>
      </c>
      <c r="F29" s="198" t="s">
        <v>1128</v>
      </c>
    </row>
    <row r="30" spans="1:13" ht="20.100000000000001" customHeight="1">
      <c r="A30" s="191" t="s">
        <v>1125</v>
      </c>
      <c r="B30" s="197">
        <f>SUM(B31:B40)</f>
        <v>558747860</v>
      </c>
      <c r="C30" s="197">
        <f>SUM(C31:C40)</f>
        <v>558747860</v>
      </c>
      <c r="D30" s="197">
        <f t="shared" ref="D30:F30" si="10">SUM(D31:D40)</f>
        <v>558747860</v>
      </c>
      <c r="E30" s="197">
        <f t="shared" si="10"/>
        <v>0</v>
      </c>
      <c r="F30" s="197">
        <f t="shared" si="10"/>
        <v>0</v>
      </c>
    </row>
    <row r="31" spans="1:13" ht="20.100000000000001" customHeight="1">
      <c r="A31" s="196" t="s">
        <v>1113</v>
      </c>
      <c r="B31" s="194">
        <f t="shared" ref="B31:B40" si="11">SUM(D31:G31)</f>
        <v>0</v>
      </c>
      <c r="C31" s="194">
        <f t="shared" ref="C31:C40" si="12">D31+F31</f>
        <v>0</v>
      </c>
      <c r="D31" s="194"/>
      <c r="E31" s="194"/>
      <c r="F31" s="194"/>
    </row>
    <row r="32" spans="1:13" ht="20.100000000000001" customHeight="1">
      <c r="A32" s="196" t="s">
        <v>1115</v>
      </c>
      <c r="B32" s="194">
        <f t="shared" si="11"/>
        <v>0</v>
      </c>
      <c r="C32" s="194">
        <f t="shared" si="12"/>
        <v>0</v>
      </c>
      <c r="D32" s="194"/>
      <c r="E32" s="194"/>
      <c r="F32" s="194"/>
    </row>
    <row r="33" spans="1:6" ht="20.100000000000001" customHeight="1">
      <c r="A33" s="196" t="s">
        <v>1117</v>
      </c>
      <c r="B33" s="194">
        <f t="shared" si="11"/>
        <v>0</v>
      </c>
      <c r="C33" s="194">
        <f t="shared" si="12"/>
        <v>0</v>
      </c>
      <c r="D33" s="194"/>
      <c r="E33" s="194"/>
      <c r="F33" s="194"/>
    </row>
    <row r="34" spans="1:6" ht="20.100000000000001" customHeight="1">
      <c r="A34" s="196" t="s">
        <v>1118</v>
      </c>
      <c r="B34" s="194">
        <f t="shared" si="11"/>
        <v>0</v>
      </c>
      <c r="C34" s="194">
        <f t="shared" si="12"/>
        <v>0</v>
      </c>
      <c r="D34" s="194"/>
      <c r="E34" s="194"/>
      <c r="F34" s="194"/>
    </row>
    <row r="35" spans="1:6" ht="20.100000000000001" customHeight="1">
      <c r="A35" s="196" t="s">
        <v>1099</v>
      </c>
      <c r="B35" s="194">
        <f t="shared" si="11"/>
        <v>0</v>
      </c>
      <c r="C35" s="194">
        <f t="shared" si="12"/>
        <v>0</v>
      </c>
      <c r="D35" s="194"/>
      <c r="E35" s="194"/>
      <c r="F35" s="194"/>
    </row>
    <row r="36" spans="1:6" ht="20.100000000000001" customHeight="1">
      <c r="A36" s="196" t="s">
        <v>1119</v>
      </c>
      <c r="B36" s="194">
        <f t="shared" si="11"/>
        <v>558747860</v>
      </c>
      <c r="C36" s="194">
        <f t="shared" si="12"/>
        <v>558747860</v>
      </c>
      <c r="D36" s="194">
        <v>558747860</v>
      </c>
      <c r="E36" s="194"/>
      <c r="F36" s="194"/>
    </row>
    <row r="37" spans="1:6" ht="20.100000000000001" customHeight="1">
      <c r="A37" s="196" t="s">
        <v>1120</v>
      </c>
      <c r="B37" s="194">
        <f t="shared" si="11"/>
        <v>0</v>
      </c>
      <c r="C37" s="194">
        <f t="shared" si="12"/>
        <v>0</v>
      </c>
      <c r="D37" s="194"/>
      <c r="E37" s="194"/>
      <c r="F37" s="194"/>
    </row>
    <row r="38" spans="1:6" ht="20.100000000000001" customHeight="1">
      <c r="A38" s="196" t="s">
        <v>1121</v>
      </c>
      <c r="B38" s="194">
        <f t="shared" si="11"/>
        <v>0</v>
      </c>
      <c r="C38" s="194">
        <f t="shared" si="12"/>
        <v>0</v>
      </c>
      <c r="D38" s="194"/>
      <c r="E38" s="194"/>
      <c r="F38" s="194"/>
    </row>
    <row r="39" spans="1:6" ht="20.100000000000001" customHeight="1">
      <c r="A39" s="196" t="s">
        <v>1098</v>
      </c>
      <c r="B39" s="194">
        <f t="shared" si="11"/>
        <v>0</v>
      </c>
      <c r="C39" s="194">
        <f t="shared" si="12"/>
        <v>0</v>
      </c>
      <c r="D39" s="194"/>
      <c r="E39" s="194"/>
      <c r="F39" s="194"/>
    </row>
    <row r="40" spans="1:6" ht="20.100000000000001" customHeight="1">
      <c r="A40" s="196" t="s">
        <v>1122</v>
      </c>
      <c r="B40" s="194">
        <f t="shared" si="11"/>
        <v>0</v>
      </c>
      <c r="C40" s="194">
        <f t="shared" si="12"/>
        <v>0</v>
      </c>
      <c r="D40" s="194"/>
      <c r="E40" s="194"/>
      <c r="F40" s="194"/>
    </row>
    <row r="42" spans="1:6" ht="20.100000000000001" customHeight="1">
      <c r="A42" s="195" t="s">
        <v>1111</v>
      </c>
      <c r="B42" s="194"/>
      <c r="C42" s="194"/>
    </row>
  </sheetData>
  <mergeCells count="11">
    <mergeCell ref="A5:A6"/>
    <mergeCell ref="B5:B6"/>
    <mergeCell ref="I5:I6"/>
    <mergeCell ref="C5:E5"/>
    <mergeCell ref="F5:H5"/>
    <mergeCell ref="O8:O9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T38"/>
  <sheetViews>
    <sheetView topLeftCell="G1" zoomScale="70" zoomScaleNormal="70" workbookViewId="0">
      <selection activeCell="AM33" sqref="AM3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16" customWidth="1"/>
    <col min="7" max="7" width="41.625" style="1" customWidth="1"/>
    <col min="8" max="11" width="11.625" style="1" customWidth="1"/>
    <col min="12" max="14" width="11.625" style="1" hidden="1" customWidth="1"/>
    <col min="15" max="15" width="7.625" style="1" hidden="1" customWidth="1"/>
    <col min="16" max="16" width="21" style="1" customWidth="1"/>
    <col min="17" max="17" width="26.75" style="1" customWidth="1"/>
    <col min="18" max="18" width="38.625" style="1" hidden="1" customWidth="1"/>
    <col min="19" max="19" width="3.625" style="1" customWidth="1"/>
    <col min="20" max="20" width="6.625" style="1" customWidth="1"/>
    <col min="21" max="21" width="2.625" style="1" customWidth="1"/>
    <col min="22" max="22" width="6.625" style="1" customWidth="1"/>
    <col min="23" max="24" width="11.625" style="1" customWidth="1"/>
    <col min="25" max="25" width="6.625" style="1" customWidth="1"/>
    <col min="26" max="26" width="2.625" style="1" customWidth="1"/>
    <col min="27" max="27" width="6.625" style="1" hidden="1" customWidth="1"/>
    <col min="28" max="29" width="11.625" style="1" hidden="1" customWidth="1"/>
    <col min="30" max="30" width="6.625" style="1" hidden="1" customWidth="1"/>
    <col min="31" max="31" width="2.625" style="1" customWidth="1"/>
    <col min="32" max="32" width="10.625" style="1" customWidth="1"/>
    <col min="33" max="33" width="2.625" style="1" customWidth="1"/>
    <col min="34" max="34" width="10.625" style="1" customWidth="1"/>
    <col min="35" max="35" width="2.625" style="1" customWidth="1"/>
    <col min="36" max="36" width="8.375" style="1" hidden="1" customWidth="1"/>
    <col min="37" max="37" width="2.625" style="1" customWidth="1"/>
    <col min="38" max="38" width="11.625" style="1" customWidth="1"/>
    <col min="39" max="40" width="5.625" style="1" customWidth="1"/>
    <col min="41" max="41" width="2.625" style="1" customWidth="1"/>
    <col min="42" max="42" width="11.625" style="1" hidden="1" customWidth="1"/>
    <col min="43" max="43" width="5.625" style="1" hidden="1" customWidth="1"/>
    <col min="44" max="44" width="9.5" style="1" hidden="1" customWidth="1"/>
    <col min="45" max="45" width="9" style="1"/>
    <col min="46" max="46" width="10.5" style="55" bestFit="1" customWidth="1"/>
    <col min="47" max="16384" width="9" style="1"/>
  </cols>
  <sheetData>
    <row r="1" spans="1:46" ht="35.1" customHeight="1">
      <c r="A1" s="241" t="s">
        <v>739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12"/>
      <c r="S1" s="12"/>
    </row>
    <row r="2" spans="1:46" ht="20.25" customHeight="1">
      <c r="A2" s="14" t="s">
        <v>505</v>
      </c>
      <c r="W2" s="25" t="s">
        <v>502</v>
      </c>
      <c r="AB2" s="25" t="s">
        <v>502</v>
      </c>
    </row>
    <row r="3" spans="1:46" ht="20.25" customHeight="1">
      <c r="I3" s="24">
        <f>COUNTA(I15:I37)</f>
        <v>11</v>
      </c>
      <c r="J3" s="24">
        <f>COUNTA(J15:J37)</f>
        <v>13</v>
      </c>
      <c r="L3" s="24">
        <f>COUNTA(L15:L37)</f>
        <v>3</v>
      </c>
      <c r="M3" s="24">
        <f>COUNTA(M15:M37)</f>
        <v>0</v>
      </c>
      <c r="P3" s="124">
        <f>I6+J6</f>
        <v>1743211</v>
      </c>
      <c r="R3" s="15" t="s">
        <v>484</v>
      </c>
      <c r="W3" s="32" t="e">
        <f>IF(W6='17년일출'!#REF!,"OK","@@")</f>
        <v>#REF!</v>
      </c>
      <c r="X3" s="33"/>
      <c r="Y3" s="32" t="str">
        <f>IF(COUNTIF(Y6:Y37,"검토")&gt;0,"@@","OK")</f>
        <v>@@</v>
      </c>
      <c r="AB3" s="32" t="e">
        <f>IF(AB6='17년일출'!#REF!,"OK","@@")</f>
        <v>#REF!</v>
      </c>
      <c r="AD3" s="32" t="str">
        <f>IF(COUNTIF(AD6:AD37,"검토")&gt;0,"@@","OK")</f>
        <v>@@</v>
      </c>
    </row>
    <row r="4" spans="1:46" s="13" customFormat="1" ht="30" customHeight="1">
      <c r="A4" s="260" t="s">
        <v>474</v>
      </c>
      <c r="B4" s="266" t="s">
        <v>475</v>
      </c>
      <c r="C4" s="265" t="s">
        <v>476</v>
      </c>
      <c r="D4" s="264" t="s">
        <v>483</v>
      </c>
      <c r="E4" s="264" t="s">
        <v>477</v>
      </c>
      <c r="F4" s="267" t="s">
        <v>1068</v>
      </c>
      <c r="G4" s="263" t="s">
        <v>478</v>
      </c>
      <c r="H4" s="261" t="s">
        <v>741</v>
      </c>
      <c r="I4" s="254" t="s">
        <v>742</v>
      </c>
      <c r="J4" s="255"/>
      <c r="K4" s="256" t="s">
        <v>743</v>
      </c>
      <c r="L4" s="258" t="s">
        <v>744</v>
      </c>
      <c r="M4" s="259"/>
      <c r="N4" s="252" t="s">
        <v>745</v>
      </c>
      <c r="O4" s="244" t="s">
        <v>482</v>
      </c>
      <c r="P4" s="250" t="s">
        <v>746</v>
      </c>
      <c r="Q4" s="250" t="s">
        <v>747</v>
      </c>
      <c r="R4" s="243" t="s">
        <v>481</v>
      </c>
      <c r="T4" s="245" t="s">
        <v>485</v>
      </c>
      <c r="U4" s="54"/>
      <c r="V4" s="246" t="s">
        <v>486</v>
      </c>
      <c r="W4" s="246" t="s">
        <v>487</v>
      </c>
      <c r="X4" s="246"/>
      <c r="Y4" s="246"/>
      <c r="AA4" s="247" t="s">
        <v>486</v>
      </c>
      <c r="AB4" s="242" t="s">
        <v>491</v>
      </c>
      <c r="AC4" s="242"/>
      <c r="AD4" s="242"/>
      <c r="AF4" s="247" t="s">
        <v>492</v>
      </c>
      <c r="AH4" s="248" t="s">
        <v>493</v>
      </c>
      <c r="AJ4" s="248" t="s">
        <v>494</v>
      </c>
      <c r="AL4" s="249" t="s">
        <v>495</v>
      </c>
      <c r="AM4" s="249"/>
      <c r="AN4" s="249"/>
      <c r="AP4" s="242" t="s">
        <v>498</v>
      </c>
      <c r="AQ4" s="242"/>
      <c r="AR4" s="242"/>
      <c r="AT4" s="56"/>
    </row>
    <row r="5" spans="1:46" s="13" customFormat="1" ht="18" customHeight="1">
      <c r="A5" s="260"/>
      <c r="B5" s="266"/>
      <c r="C5" s="265"/>
      <c r="D5" s="263"/>
      <c r="E5" s="264"/>
      <c r="F5" s="268"/>
      <c r="G5" s="263"/>
      <c r="H5" s="262"/>
      <c r="I5" s="51" t="s">
        <v>479</v>
      </c>
      <c r="J5" s="51" t="s">
        <v>480</v>
      </c>
      <c r="K5" s="257"/>
      <c r="L5" s="52" t="s">
        <v>479</v>
      </c>
      <c r="M5" s="52" t="s">
        <v>480</v>
      </c>
      <c r="N5" s="253"/>
      <c r="O5" s="244"/>
      <c r="P5" s="251"/>
      <c r="Q5" s="251"/>
      <c r="R5" s="243"/>
      <c r="T5" s="246"/>
      <c r="U5" s="54"/>
      <c r="V5" s="246"/>
      <c r="W5" s="53" t="s">
        <v>488</v>
      </c>
      <c r="X5" s="53" t="s">
        <v>489</v>
      </c>
      <c r="Y5" s="35" t="s">
        <v>490</v>
      </c>
      <c r="AA5" s="247"/>
      <c r="AB5" s="35" t="s">
        <v>488</v>
      </c>
      <c r="AC5" s="35" t="s">
        <v>489</v>
      </c>
      <c r="AD5" s="35" t="s">
        <v>490</v>
      </c>
      <c r="AF5" s="247"/>
      <c r="AH5" s="247"/>
      <c r="AJ5" s="247"/>
      <c r="AL5" s="35" t="s">
        <v>496</v>
      </c>
      <c r="AM5" s="35" t="s">
        <v>497</v>
      </c>
      <c r="AN5" s="35" t="s">
        <v>490</v>
      </c>
      <c r="AP5" s="35" t="s">
        <v>496</v>
      </c>
      <c r="AQ5" s="35" t="s">
        <v>497</v>
      </c>
      <c r="AR5" s="35" t="s">
        <v>490</v>
      </c>
      <c r="AT5" s="56"/>
    </row>
    <row r="6" spans="1:46" ht="50.1" customHeight="1">
      <c r="A6" s="23" t="s">
        <v>499</v>
      </c>
      <c r="B6" s="16"/>
      <c r="C6" s="16"/>
      <c r="D6" s="115"/>
      <c r="E6" s="178"/>
      <c r="F6" s="177"/>
      <c r="G6" s="16"/>
      <c r="H6" s="21">
        <f>SUM(H7:H37)</f>
        <v>9859247</v>
      </c>
      <c r="I6" s="21">
        <f>SUM(I7:I37)</f>
        <v>-1856190</v>
      </c>
      <c r="J6" s="21">
        <f>SUM(J7:J37)</f>
        <v>3599401</v>
      </c>
      <c r="K6" s="21">
        <f>SUM(K7:K37)</f>
        <v>11602458</v>
      </c>
      <c r="L6" s="21">
        <f t="shared" ref="L6:N6" si="0">SUBTOTAL(9,L15:L37)</f>
        <v>0</v>
      </c>
      <c r="M6" s="21">
        <f t="shared" si="0"/>
        <v>0</v>
      </c>
      <c r="N6" s="21">
        <f t="shared" si="0"/>
        <v>8443247</v>
      </c>
      <c r="O6" s="18"/>
      <c r="P6" s="18"/>
      <c r="Q6" s="18"/>
      <c r="R6" s="16"/>
      <c r="T6" s="18"/>
      <c r="V6" s="18"/>
      <c r="W6" s="21">
        <f>SUBTOTAL(9,W15:W37)</f>
        <v>-42783</v>
      </c>
      <c r="X6" s="21">
        <f>SUBTOTAL(9,X15:X37)</f>
        <v>0</v>
      </c>
      <c r="Y6" s="36" t="str">
        <f t="shared" ref="Y6" si="1">IF(SUM($I6:$J6)=SUM($W6:$X6),"OK","검토")</f>
        <v>검토</v>
      </c>
      <c r="AA6" s="18"/>
      <c r="AB6" s="21">
        <f>SUBTOTAL(9,AB15:AB37)</f>
        <v>0</v>
      </c>
      <c r="AC6" s="21">
        <f>SUBTOTAL(9,AC15:AC37)</f>
        <v>0</v>
      </c>
      <c r="AD6" s="36" t="str">
        <f t="shared" ref="AD6" si="2">IF(SUM($I6:$J6)=SUM($W6:$X6),"OK","검토")</f>
        <v>검토</v>
      </c>
      <c r="AF6" s="18"/>
      <c r="AH6" s="18"/>
      <c r="AJ6" s="18"/>
      <c r="AL6" s="21">
        <f>SUBTOTAL(9,AL15:AL37)</f>
        <v>-42783</v>
      </c>
      <c r="AM6" s="21">
        <f>SUBTOTAL(9,AM15:AM37)</f>
        <v>23</v>
      </c>
      <c r="AN6" s="23" t="str">
        <f>IF(COUNTIF(AN15:AN37,"@@")&gt;0,"@@","OK")</f>
        <v>OK</v>
      </c>
      <c r="AP6" s="21">
        <f>SUBTOTAL(9,AP15:AP37)</f>
        <v>0</v>
      </c>
      <c r="AQ6" s="21">
        <f>SUBTOTAL(9,AQ15:AQ37)</f>
        <v>23</v>
      </c>
      <c r="AR6" s="23" t="str">
        <f>IF(COUNTIF(AR15:AR37,"@@")&gt;0,"@@","OK")</f>
        <v>@@</v>
      </c>
    </row>
    <row r="7" spans="1:46" s="156" customFormat="1" ht="50.1" customHeight="1">
      <c r="A7" s="127" t="s">
        <v>778</v>
      </c>
      <c r="B7" s="157" t="s">
        <v>839</v>
      </c>
      <c r="C7" s="158" t="s">
        <v>840</v>
      </c>
      <c r="D7" s="126" t="s">
        <v>748</v>
      </c>
      <c r="E7" s="126">
        <v>611</v>
      </c>
      <c r="F7" s="182">
        <v>4</v>
      </c>
      <c r="G7" s="159" t="s">
        <v>841</v>
      </c>
      <c r="H7" s="148">
        <v>50000</v>
      </c>
      <c r="I7" s="149">
        <v>-25000</v>
      </c>
      <c r="J7" s="150"/>
      <c r="K7" s="151">
        <f t="shared" ref="K7:K11" si="3">SUM(H7:J7)</f>
        <v>25000</v>
      </c>
      <c r="L7" s="149"/>
      <c r="M7" s="150"/>
      <c r="N7" s="152">
        <f t="shared" ref="N7:N14" si="4">SUM(H7,L7,M7)</f>
        <v>50000</v>
      </c>
      <c r="O7" s="153" t="str">
        <f t="shared" ref="O7:O14" si="5">IF(AND((K7=0),(N7&gt;0)),"O",IF(AND((I7&lt;0),(K7-N7&lt;0)),"O","X"))</f>
        <v>O</v>
      </c>
      <c r="P7" s="141" t="s">
        <v>842</v>
      </c>
      <c r="Q7" s="154"/>
      <c r="R7" s="155"/>
      <c r="T7" s="153" t="s">
        <v>751</v>
      </c>
      <c r="V7" s="153" t="s">
        <v>775</v>
      </c>
      <c r="W7" s="149">
        <v>-25000</v>
      </c>
      <c r="X7" s="149">
        <v>0</v>
      </c>
      <c r="Y7" s="153" t="str">
        <f t="shared" ref="Y7:Y14" si="6">IF(SUM($I7:$J7)=SUM($W7:$X7),"OK","검토")</f>
        <v>OK</v>
      </c>
      <c r="AA7" s="153"/>
      <c r="AB7" s="149" t="str">
        <f t="shared" ref="AB7:AB14" si="7">IF($V7&lt;&gt;"도비",IF($T7="국도비","직접입력",SUM($L7:$M7)),)</f>
        <v>직접입력</v>
      </c>
      <c r="AC7" s="149" t="str">
        <f t="shared" ref="AC7:AC14" si="8">IF($V7="도비",SUM(L7:M7),IF($T7="국도비","직접입력",SUM(L7:M7)-AB7))</f>
        <v>직접입력</v>
      </c>
      <c r="AD7" s="153" t="str">
        <f t="shared" ref="AD7:AD14" si="9">IF(SUM(L7:M7)=SUM(AB7:AC7),"OK","검토")</f>
        <v>OK</v>
      </c>
      <c r="AF7" s="153" t="str">
        <f>IF(AH7="","",IF(V7="도비","세입없음",CONCATENATE(AH7,"-",COUNTIF($AH$7:AH7,AH7))))</f>
        <v>0220-1</v>
      </c>
      <c r="AH7" s="153" t="str">
        <f t="array" ref="AH7">IF(C7="","",INDEX(구분표!$I$2:$I$313, MATCH(1,(구분표!$E$2:$E$313='17년일입'!B7)*(구분표!$F$2:$F$313='17년일입'!C7)*(구분표!$G$2:$G$313='17년일입'!A7),0)))</f>
        <v>0220</v>
      </c>
      <c r="AJ7" s="153"/>
      <c r="AL7" s="149">
        <f>IF(AF7="",0,SUMIFS('17년일출'!$X$6:$X$92,'17년일출'!$AG$6:$AG$92,'17년일입'!$AF7))</f>
        <v>-25000</v>
      </c>
      <c r="AM7" s="149">
        <f>IF(AF7="","",COUNTIFS('17년일출'!$AG$6:$AG$92,'17년일입'!AF7))</f>
        <v>1</v>
      </c>
      <c r="AN7" s="153" t="str">
        <f>IF(W7=AL7,"OK","@@")</f>
        <v>OK</v>
      </c>
      <c r="AP7" s="149" t="e">
        <f>IF(AF7="",0,SUMIFS('[2]17년일출'!$AA$6:$AA$116,'[2]17년일출'!$AE$6:$AE$116,'[2]17년일입'!$AE30))</f>
        <v>#VALUE!</v>
      </c>
      <c r="AQ7" s="149" t="e">
        <f>IF(AF7="","",COUNTIFS('[2]17년일출'!$AE$6:$AE$116,AF7))</f>
        <v>#VALUE!</v>
      </c>
      <c r="AR7" s="153" t="e">
        <f>IF(AB7=AP7,"OK","@@")</f>
        <v>#VALUE!</v>
      </c>
    </row>
    <row r="8" spans="1:46" s="156" customFormat="1" ht="50.1" customHeight="1">
      <c r="A8" s="127" t="s">
        <v>778</v>
      </c>
      <c r="B8" s="157" t="s">
        <v>839</v>
      </c>
      <c r="C8" s="158" t="s">
        <v>843</v>
      </c>
      <c r="D8" s="126" t="s">
        <v>788</v>
      </c>
      <c r="E8" s="126">
        <v>614</v>
      </c>
      <c r="F8" s="182">
        <v>11</v>
      </c>
      <c r="G8" s="159" t="s">
        <v>844</v>
      </c>
      <c r="H8" s="148">
        <v>510000</v>
      </c>
      <c r="I8" s="149">
        <v>-41000</v>
      </c>
      <c r="J8" s="150"/>
      <c r="K8" s="151">
        <f t="shared" si="3"/>
        <v>469000</v>
      </c>
      <c r="L8" s="149"/>
      <c r="M8" s="150"/>
      <c r="N8" s="152">
        <f t="shared" si="4"/>
        <v>510000</v>
      </c>
      <c r="O8" s="153" t="str">
        <f t="shared" si="5"/>
        <v>O</v>
      </c>
      <c r="P8" s="141" t="s">
        <v>845</v>
      </c>
      <c r="Q8" s="154"/>
      <c r="R8" s="155"/>
      <c r="T8" s="153" t="s">
        <v>751</v>
      </c>
      <c r="V8" s="153" t="s">
        <v>752</v>
      </c>
      <c r="W8" s="149">
        <v>-41000</v>
      </c>
      <c r="X8" s="149">
        <v>0</v>
      </c>
      <c r="Y8" s="153" t="str">
        <f t="shared" si="6"/>
        <v>OK</v>
      </c>
      <c r="AA8" s="153"/>
      <c r="AB8" s="149" t="str">
        <f t="shared" si="7"/>
        <v>직접입력</v>
      </c>
      <c r="AC8" s="149" t="str">
        <f t="shared" si="8"/>
        <v>직접입력</v>
      </c>
      <c r="AD8" s="153" t="str">
        <f t="shared" si="9"/>
        <v>OK</v>
      </c>
      <c r="AF8" s="153" t="str">
        <f>IF(AH8="","",IF(V8="도비","세입없음",CONCATENATE(AH8,"-",COUNTIF($AH$7:AH8,AH8))))</f>
        <v>0223-1</v>
      </c>
      <c r="AH8" s="153" t="str">
        <f t="array" ref="AH8">IF(C8="","",INDEX(구분표!$I$2:$I$313, MATCH(1,(구분표!$E$2:$E$313='17년일입'!B8)*(구분표!$F$2:$F$313='17년일입'!C8)*(구분표!$G$2:$G$313='17년일입'!A8),0)))</f>
        <v>0223</v>
      </c>
      <c r="AJ8" s="153"/>
      <c r="AL8" s="149">
        <f>IF(AF8="",0,SUMIFS('17년일출'!$X$6:$X$92,'17년일출'!$AG$6:$AG$92,'17년일입'!$AF8))</f>
        <v>-41000</v>
      </c>
      <c r="AM8" s="149">
        <f>IF(AF8="","",COUNTIFS('17년일출'!$AG$6:$AG$92,'17년일입'!AF8))</f>
        <v>1</v>
      </c>
      <c r="AN8" s="153" t="str">
        <f t="shared" ref="AN8:AN14" si="10">IF(W8=AL8,"OK","@@")</f>
        <v>OK</v>
      </c>
      <c r="AP8" s="149" t="e">
        <f>IF(AF8="",0,SUMIFS('[2]17년일출'!$AA$6:$AA$116,'[2]17년일출'!$AE$6:$AE$116,'[2]17년일입'!$AE31))</f>
        <v>#VALUE!</v>
      </c>
      <c r="AQ8" s="149" t="e">
        <f>IF(AF8="","",COUNTIFS('[2]17년일출'!$AE$6:$AE$116,AF8))</f>
        <v>#VALUE!</v>
      </c>
      <c r="AR8" s="153" t="e">
        <f t="shared" ref="AR8:AR14" si="11">IF(AB8=AP8,"OK","@@")</f>
        <v>#VALUE!</v>
      </c>
    </row>
    <row r="9" spans="1:46" s="156" customFormat="1" ht="50.1" customHeight="1">
      <c r="A9" s="127" t="s">
        <v>778</v>
      </c>
      <c r="B9" s="157" t="s">
        <v>839</v>
      </c>
      <c r="C9" s="158" t="s">
        <v>843</v>
      </c>
      <c r="D9" s="126" t="s">
        <v>788</v>
      </c>
      <c r="E9" s="126">
        <v>614</v>
      </c>
      <c r="F9" s="182">
        <v>11</v>
      </c>
      <c r="G9" s="159" t="s">
        <v>846</v>
      </c>
      <c r="H9" s="148">
        <v>14000</v>
      </c>
      <c r="I9" s="149">
        <v>-2000</v>
      </c>
      <c r="J9" s="150"/>
      <c r="K9" s="151">
        <f t="shared" si="3"/>
        <v>12000</v>
      </c>
      <c r="L9" s="149"/>
      <c r="M9" s="150"/>
      <c r="N9" s="152">
        <f t="shared" si="4"/>
        <v>14000</v>
      </c>
      <c r="O9" s="153" t="str">
        <f t="shared" si="5"/>
        <v>O</v>
      </c>
      <c r="P9" s="141" t="s">
        <v>845</v>
      </c>
      <c r="Q9" s="154"/>
      <c r="R9" s="155"/>
      <c r="T9" s="153" t="s">
        <v>751</v>
      </c>
      <c r="V9" s="153" t="s">
        <v>752</v>
      </c>
      <c r="W9" s="149">
        <v>-2000</v>
      </c>
      <c r="X9" s="149">
        <v>0</v>
      </c>
      <c r="Y9" s="153" t="str">
        <f t="shared" si="6"/>
        <v>OK</v>
      </c>
      <c r="AA9" s="153"/>
      <c r="AB9" s="149" t="str">
        <f t="shared" si="7"/>
        <v>직접입력</v>
      </c>
      <c r="AC9" s="149" t="str">
        <f t="shared" si="8"/>
        <v>직접입력</v>
      </c>
      <c r="AD9" s="153" t="str">
        <f t="shared" si="9"/>
        <v>OK</v>
      </c>
      <c r="AF9" s="153" t="str">
        <f>IF(AH9="","",IF(V9="도비","세입없음",CONCATENATE(AH9,"-",COUNTIF($AH$7:AH9,AH9))))</f>
        <v>0223-2</v>
      </c>
      <c r="AH9" s="153" t="str">
        <f t="array" ref="AH9">IF(C9="","",INDEX(구분표!$I$2:$I$313, MATCH(1,(구분표!$E$2:$E$313='17년일입'!B9)*(구분표!$F$2:$F$313='17년일입'!C9)*(구분표!$G$2:$G$313='17년일입'!A9),0)))</f>
        <v>0223</v>
      </c>
      <c r="AJ9" s="153"/>
      <c r="AL9" s="149">
        <f>IF(AF9="",0,SUMIFS('17년일출'!$X$6:$X$92,'17년일출'!$AG$6:$AG$92,'17년일입'!$AF9))</f>
        <v>-2000</v>
      </c>
      <c r="AM9" s="149">
        <f>IF(AF9="","",COUNTIFS('17년일출'!$AG$6:$AG$92,'17년일입'!AF9))</f>
        <v>1</v>
      </c>
      <c r="AN9" s="153" t="str">
        <f t="shared" si="10"/>
        <v>OK</v>
      </c>
      <c r="AP9" s="149" t="e">
        <f>IF(AF9="",0,SUMIFS('[2]17년일출'!$AA$6:$AA$116,'[2]17년일출'!$AE$6:$AE$116,'[2]17년일입'!$AE32))</f>
        <v>#VALUE!</v>
      </c>
      <c r="AQ9" s="149" t="e">
        <f>IF(AF9="","",COUNTIFS('[2]17년일출'!$AE$6:$AE$116,AF9))</f>
        <v>#VALUE!</v>
      </c>
      <c r="AR9" s="153" t="e">
        <f t="shared" si="11"/>
        <v>#VALUE!</v>
      </c>
    </row>
    <row r="10" spans="1:46" s="156" customFormat="1" ht="50.1" customHeight="1">
      <c r="A10" s="127" t="s">
        <v>778</v>
      </c>
      <c r="B10" s="157" t="s">
        <v>839</v>
      </c>
      <c r="C10" s="158" t="s">
        <v>843</v>
      </c>
      <c r="D10" s="126" t="s">
        <v>749</v>
      </c>
      <c r="E10" s="126"/>
      <c r="F10" s="182"/>
      <c r="G10" s="159" t="s">
        <v>847</v>
      </c>
      <c r="H10" s="148"/>
      <c r="I10" s="149"/>
      <c r="J10" s="150">
        <v>1811994</v>
      </c>
      <c r="K10" s="151">
        <f t="shared" si="3"/>
        <v>1811994</v>
      </c>
      <c r="L10" s="149"/>
      <c r="M10" s="150"/>
      <c r="N10" s="152">
        <f t="shared" si="4"/>
        <v>0</v>
      </c>
      <c r="O10" s="153" t="str">
        <f t="shared" si="5"/>
        <v>X</v>
      </c>
      <c r="P10" s="141" t="s">
        <v>848</v>
      </c>
      <c r="Q10" s="154"/>
      <c r="R10" s="155"/>
      <c r="T10" s="153" t="s">
        <v>751</v>
      </c>
      <c r="V10" s="153" t="s">
        <v>752</v>
      </c>
      <c r="W10" s="149">
        <v>1811994</v>
      </c>
      <c r="X10" s="149">
        <v>0</v>
      </c>
      <c r="Y10" s="153" t="str">
        <f t="shared" si="6"/>
        <v>OK</v>
      </c>
      <c r="AA10" s="153"/>
      <c r="AB10" s="149" t="str">
        <f t="shared" si="7"/>
        <v>직접입력</v>
      </c>
      <c r="AC10" s="149" t="str">
        <f t="shared" si="8"/>
        <v>직접입력</v>
      </c>
      <c r="AD10" s="153" t="str">
        <f t="shared" si="9"/>
        <v>OK</v>
      </c>
      <c r="AF10" s="153" t="str">
        <f>IF(AH10="","",IF(V10="도비","세입없음",CONCATENATE(AH10,"-",COUNTIF($AH$7:AH10,AH10))))</f>
        <v>0223-3</v>
      </c>
      <c r="AH10" s="153" t="str">
        <f t="array" ref="AH10">IF(C10="","",INDEX(구분표!$I$2:$I$313, MATCH(1,(구분표!$E$2:$E$313='17년일입'!B10)*(구분표!$F$2:$F$313='17년일입'!C10)*(구분표!$G$2:$G$313='17년일입'!A10),0)))</f>
        <v>0223</v>
      </c>
      <c r="AJ10" s="153"/>
      <c r="AL10" s="149">
        <f>IF(AF10="",0,SUMIFS('17년일출'!$X$6:$X$92,'17년일출'!$AG$6:$AG$92,'17년일입'!$AF10))</f>
        <v>1811994</v>
      </c>
      <c r="AM10" s="149">
        <f>IF(AF10="","",COUNTIFS('17년일출'!$AG$6:$AG$92,'17년일입'!AF10))</f>
        <v>1</v>
      </c>
      <c r="AN10" s="153" t="str">
        <f t="shared" si="10"/>
        <v>OK</v>
      </c>
      <c r="AP10" s="149" t="e">
        <f>IF(AF10="",0,SUMIFS('[2]17년일출'!$AA$6:$AA$116,'[2]17년일출'!$AE$6:$AE$116,'[2]17년일입'!$AE33))</f>
        <v>#VALUE!</v>
      </c>
      <c r="AQ10" s="149" t="e">
        <f>IF(AF10="","",COUNTIFS('[2]17년일출'!$AE$6:$AE$116,AF10))</f>
        <v>#VALUE!</v>
      </c>
      <c r="AR10" s="153" t="e">
        <f t="shared" si="11"/>
        <v>#VALUE!</v>
      </c>
    </row>
    <row r="11" spans="1:46" s="156" customFormat="1" ht="50.1" customHeight="1">
      <c r="A11" s="127" t="s">
        <v>778</v>
      </c>
      <c r="B11" s="157" t="s">
        <v>839</v>
      </c>
      <c r="C11" s="158" t="s">
        <v>849</v>
      </c>
      <c r="D11" s="126" t="s">
        <v>788</v>
      </c>
      <c r="E11" s="126">
        <v>614</v>
      </c>
      <c r="F11" s="182">
        <v>12</v>
      </c>
      <c r="G11" s="159" t="s">
        <v>850</v>
      </c>
      <c r="H11" s="148">
        <v>72000</v>
      </c>
      <c r="I11" s="149">
        <v>-36000</v>
      </c>
      <c r="J11" s="150"/>
      <c r="K11" s="151">
        <f t="shared" si="3"/>
        <v>36000</v>
      </c>
      <c r="L11" s="149"/>
      <c r="M11" s="150"/>
      <c r="N11" s="152">
        <f t="shared" si="4"/>
        <v>72000</v>
      </c>
      <c r="O11" s="153" t="str">
        <f t="shared" si="5"/>
        <v>O</v>
      </c>
      <c r="P11" s="141" t="s">
        <v>851</v>
      </c>
      <c r="Q11" s="154"/>
      <c r="R11" s="155"/>
      <c r="T11" s="153" t="s">
        <v>751</v>
      </c>
      <c r="V11" s="153" t="s">
        <v>775</v>
      </c>
      <c r="W11" s="149">
        <v>-36000</v>
      </c>
      <c r="X11" s="149">
        <v>0</v>
      </c>
      <c r="Y11" s="153" t="str">
        <f t="shared" si="6"/>
        <v>OK</v>
      </c>
      <c r="AA11" s="153"/>
      <c r="AB11" s="149" t="str">
        <f t="shared" si="7"/>
        <v>직접입력</v>
      </c>
      <c r="AC11" s="149" t="str">
        <f t="shared" si="8"/>
        <v>직접입력</v>
      </c>
      <c r="AD11" s="153" t="str">
        <f t="shared" si="9"/>
        <v>OK</v>
      </c>
      <c r="AF11" s="153" t="str">
        <f>IF(AH11="","",IF(V11="도비","세입없음",CONCATENATE(AH11,"-",COUNTIF($AH$7:AH11,AH11))))</f>
        <v>0224-1</v>
      </c>
      <c r="AH11" s="153" t="str">
        <f t="array" ref="AH11">IF(C11="","",INDEX(구분표!$I$2:$I$313, MATCH(1,(구분표!$E$2:$E$313='17년일입'!B11)*(구분표!$F$2:$F$313='17년일입'!C11)*(구분표!$G$2:$G$313='17년일입'!A11),0)))</f>
        <v>0224</v>
      </c>
      <c r="AJ11" s="153"/>
      <c r="AL11" s="149">
        <f>IF(AF11="",0,SUMIFS('17년일출'!$X$6:$X$92,'17년일출'!$AG$6:$AG$92,'17년일입'!$AF11))</f>
        <v>-36000</v>
      </c>
      <c r="AM11" s="149">
        <f>IF(AF11="","",COUNTIFS('17년일출'!$AG$6:$AG$92,'17년일입'!AF11))</f>
        <v>1</v>
      </c>
      <c r="AN11" s="153" t="str">
        <f t="shared" si="10"/>
        <v>OK</v>
      </c>
      <c r="AP11" s="149" t="e">
        <f>IF(AF11="",0,SUMIFS('[2]17년일출'!$AA$6:$AA$116,'[2]17년일출'!$AE$6:$AE$116,'[2]17년일입'!$AE34))</f>
        <v>#VALUE!</v>
      </c>
      <c r="AQ11" s="149" t="e">
        <f>IF(AF11="","",COUNTIFS('[2]17년일출'!$AE$6:$AE$116,AF11))</f>
        <v>#VALUE!</v>
      </c>
      <c r="AR11" s="153" t="e">
        <f t="shared" si="11"/>
        <v>#VALUE!</v>
      </c>
    </row>
    <row r="12" spans="1:46" s="156" customFormat="1" ht="50.1" customHeight="1">
      <c r="A12" s="127" t="s">
        <v>778</v>
      </c>
      <c r="B12" s="157" t="s">
        <v>839</v>
      </c>
      <c r="C12" s="158" t="s">
        <v>849</v>
      </c>
      <c r="D12" s="126" t="s">
        <v>788</v>
      </c>
      <c r="E12" s="126">
        <v>615</v>
      </c>
      <c r="F12" s="182">
        <v>12</v>
      </c>
      <c r="G12" s="159" t="s">
        <v>852</v>
      </c>
      <c r="H12" s="148">
        <v>35000</v>
      </c>
      <c r="I12" s="149">
        <v>-5000</v>
      </c>
      <c r="J12" s="150"/>
      <c r="K12" s="151">
        <f t="shared" ref="K12:K14" si="12">SUM(H12:J12)</f>
        <v>30000</v>
      </c>
      <c r="L12" s="149"/>
      <c r="M12" s="150"/>
      <c r="N12" s="152">
        <f t="shared" si="4"/>
        <v>35000</v>
      </c>
      <c r="O12" s="153" t="str">
        <f t="shared" si="5"/>
        <v>O</v>
      </c>
      <c r="P12" s="141" t="s">
        <v>853</v>
      </c>
      <c r="Q12" s="154"/>
      <c r="R12" s="155"/>
      <c r="T12" s="153" t="s">
        <v>751</v>
      </c>
      <c r="V12" s="153" t="s">
        <v>775</v>
      </c>
      <c r="W12" s="149">
        <v>-5000</v>
      </c>
      <c r="X12" s="149">
        <v>0</v>
      </c>
      <c r="Y12" s="153" t="str">
        <f t="shared" si="6"/>
        <v>OK</v>
      </c>
      <c r="AA12" s="153"/>
      <c r="AB12" s="149" t="str">
        <f t="shared" si="7"/>
        <v>직접입력</v>
      </c>
      <c r="AC12" s="149" t="str">
        <f t="shared" si="8"/>
        <v>직접입력</v>
      </c>
      <c r="AD12" s="153" t="str">
        <f t="shared" si="9"/>
        <v>OK</v>
      </c>
      <c r="AF12" s="153" t="str">
        <f>IF(AH12="","",IF(V12="도비","세입없음",CONCATENATE(AH12,"-",COUNTIF($AH$7:AH12,AH12))))</f>
        <v>0224-2</v>
      </c>
      <c r="AH12" s="153" t="str">
        <f t="array" ref="AH12">IF(C12="","",INDEX(구분표!$I$2:$I$313, MATCH(1,(구분표!$E$2:$E$313='17년일입'!B12)*(구분표!$F$2:$F$313='17년일입'!C12)*(구분표!$G$2:$G$313='17년일입'!A12),0)))</f>
        <v>0224</v>
      </c>
      <c r="AJ12" s="153"/>
      <c r="AL12" s="149">
        <f>IF(AF12="",0,SUMIFS('17년일출'!$X$6:$X$92,'17년일출'!$AG$6:$AG$92,'17년일입'!$AF12))</f>
        <v>-5000</v>
      </c>
      <c r="AM12" s="149">
        <f>IF(AF12="","",COUNTIFS('17년일출'!$AG$6:$AG$92,'17년일입'!AF12))</f>
        <v>1</v>
      </c>
      <c r="AN12" s="153" t="str">
        <f t="shared" si="10"/>
        <v>OK</v>
      </c>
      <c r="AP12" s="149" t="e">
        <f>IF(AF12="",0,SUMIFS('[2]17년일출'!$AA$6:$AA$116,'[2]17년일출'!$AE$6:$AE$116,'[2]17년일입'!$AE35))</f>
        <v>#VALUE!</v>
      </c>
      <c r="AQ12" s="149" t="e">
        <f>IF(AF12="","",COUNTIFS('[2]17년일출'!$AE$6:$AE$116,AF12))</f>
        <v>#VALUE!</v>
      </c>
      <c r="AR12" s="153" t="e">
        <f t="shared" si="11"/>
        <v>#VALUE!</v>
      </c>
    </row>
    <row r="13" spans="1:46" s="156" customFormat="1" ht="50.1" customHeight="1">
      <c r="A13" s="127" t="s">
        <v>778</v>
      </c>
      <c r="B13" s="157" t="s">
        <v>839</v>
      </c>
      <c r="C13" s="158" t="s">
        <v>849</v>
      </c>
      <c r="D13" s="126" t="s">
        <v>788</v>
      </c>
      <c r="E13" s="126">
        <v>615</v>
      </c>
      <c r="F13" s="182">
        <v>12</v>
      </c>
      <c r="G13" s="159" t="s">
        <v>854</v>
      </c>
      <c r="H13" s="148">
        <v>35000</v>
      </c>
      <c r="I13" s="149">
        <v>-7000</v>
      </c>
      <c r="J13" s="150"/>
      <c r="K13" s="151">
        <f t="shared" si="12"/>
        <v>28000</v>
      </c>
      <c r="L13" s="149"/>
      <c r="M13" s="150"/>
      <c r="N13" s="152">
        <f t="shared" si="4"/>
        <v>35000</v>
      </c>
      <c r="O13" s="153" t="str">
        <f t="shared" si="5"/>
        <v>O</v>
      </c>
      <c r="P13" s="141" t="s">
        <v>855</v>
      </c>
      <c r="Q13" s="154"/>
      <c r="R13" s="155"/>
      <c r="T13" s="153" t="s">
        <v>751</v>
      </c>
      <c r="V13" s="153" t="s">
        <v>775</v>
      </c>
      <c r="W13" s="149">
        <v>-7000</v>
      </c>
      <c r="X13" s="149">
        <v>0</v>
      </c>
      <c r="Y13" s="153" t="str">
        <f t="shared" si="6"/>
        <v>OK</v>
      </c>
      <c r="AA13" s="153"/>
      <c r="AB13" s="149" t="str">
        <f t="shared" si="7"/>
        <v>직접입력</v>
      </c>
      <c r="AC13" s="149" t="str">
        <f t="shared" si="8"/>
        <v>직접입력</v>
      </c>
      <c r="AD13" s="153" t="str">
        <f t="shared" si="9"/>
        <v>OK</v>
      </c>
      <c r="AF13" s="153" t="str">
        <f>IF(AH13="","",IF(V13="도비","세입없음",CONCATENATE(AH13,"-",COUNTIF($AH$7:AH13,AH13))))</f>
        <v>0224-3</v>
      </c>
      <c r="AH13" s="153" t="str">
        <f t="array" ref="AH13">IF(C13="","",INDEX(구분표!$I$2:$I$313, MATCH(1,(구분표!$E$2:$E$313='17년일입'!B13)*(구분표!$F$2:$F$313='17년일입'!C13)*(구분표!$G$2:$G$313='17년일입'!A13),0)))</f>
        <v>0224</v>
      </c>
      <c r="AJ13" s="153"/>
      <c r="AL13" s="149">
        <f>IF(AF13="",0,SUMIFS('17년일출'!$X$6:$X$92,'17년일출'!$AG$6:$AG$92,'17년일입'!$AF13))</f>
        <v>-7000</v>
      </c>
      <c r="AM13" s="149">
        <f>IF(AF13="","",COUNTIFS('17년일출'!$AG$6:$AG$92,'17년일입'!AF13))</f>
        <v>2</v>
      </c>
      <c r="AN13" s="153" t="str">
        <f t="shared" si="10"/>
        <v>OK</v>
      </c>
      <c r="AP13" s="149" t="e">
        <f>IF(AF13="",0,SUMIFS('[2]17년일출'!$AA$6:$AA$116,'[2]17년일출'!$AE$6:$AE$116,'[2]17년일입'!$AE36))</f>
        <v>#VALUE!</v>
      </c>
      <c r="AQ13" s="149" t="e">
        <f>IF(AF13="","",COUNTIFS('[2]17년일출'!$AE$6:$AE$116,AF13))</f>
        <v>#VALUE!</v>
      </c>
      <c r="AR13" s="153" t="e">
        <f t="shared" si="11"/>
        <v>#VALUE!</v>
      </c>
    </row>
    <row r="14" spans="1:46" s="156" customFormat="1" ht="50.1" customHeight="1">
      <c r="A14" s="127" t="s">
        <v>856</v>
      </c>
      <c r="B14" s="157" t="s">
        <v>857</v>
      </c>
      <c r="C14" s="158" t="s">
        <v>858</v>
      </c>
      <c r="D14" s="126" t="s">
        <v>859</v>
      </c>
      <c r="E14" s="126">
        <v>611</v>
      </c>
      <c r="F14" s="182">
        <v>4</v>
      </c>
      <c r="G14" s="159" t="s">
        <v>860</v>
      </c>
      <c r="H14" s="148">
        <v>700000</v>
      </c>
      <c r="I14" s="149"/>
      <c r="J14" s="150">
        <v>90000</v>
      </c>
      <c r="K14" s="151">
        <f t="shared" si="12"/>
        <v>790000</v>
      </c>
      <c r="L14" s="149"/>
      <c r="M14" s="150"/>
      <c r="N14" s="152">
        <f t="shared" si="4"/>
        <v>700000</v>
      </c>
      <c r="O14" s="153" t="str">
        <f t="shared" si="5"/>
        <v>X</v>
      </c>
      <c r="P14" s="141" t="s">
        <v>861</v>
      </c>
      <c r="Q14" s="154"/>
      <c r="R14" s="155"/>
      <c r="T14" s="153" t="s">
        <v>751</v>
      </c>
      <c r="V14" s="153" t="s">
        <v>775</v>
      </c>
      <c r="W14" s="149">
        <v>90000</v>
      </c>
      <c r="X14" s="149">
        <v>0</v>
      </c>
      <c r="Y14" s="153" t="str">
        <f t="shared" si="6"/>
        <v>OK</v>
      </c>
      <c r="AA14" s="153"/>
      <c r="AB14" s="149" t="str">
        <f t="shared" si="7"/>
        <v>직접입력</v>
      </c>
      <c r="AC14" s="149" t="str">
        <f t="shared" si="8"/>
        <v>직접입력</v>
      </c>
      <c r="AD14" s="153" t="str">
        <f t="shared" si="9"/>
        <v>OK</v>
      </c>
      <c r="AF14" s="153" t="str">
        <f>IF(AH14="","",IF(V14="도비","세입없음",CONCATENATE(AH14,"-",COUNTIF($AH$7:AH14,AH14))))</f>
        <v>0220-2</v>
      </c>
      <c r="AH14" s="153" t="str">
        <f t="array" ref="AH14">IF(C14="","",INDEX(구분표!$I$2:$I$313, MATCH(1,(구분표!$E$2:$E$313='17년일입'!B14)*(구분표!$F$2:$F$313='17년일입'!C14)*(구분표!$G$2:$G$313='17년일입'!A14),0)))</f>
        <v>0220</v>
      </c>
      <c r="AJ14" s="153"/>
      <c r="AL14" s="149">
        <f>IF(AF14="",0,SUMIFS('17년일출'!$X$6:$X$92,'17년일출'!$AG$6:$AG$92,'17년일입'!$AF14))</f>
        <v>90000</v>
      </c>
      <c r="AM14" s="149">
        <f>IF(AF14="","",COUNTIFS('17년일출'!$AG$6:$AG$92,'17년일입'!AF14))</f>
        <v>2</v>
      </c>
      <c r="AN14" s="153" t="str">
        <f t="shared" si="10"/>
        <v>OK</v>
      </c>
      <c r="AP14" s="149" t="e">
        <f>IF(AF14="",0,SUMIFS('[2]17년일출'!$AA$6:$AA$116,'[2]17년일출'!$AE$6:$AE$116,'[2]17년일입'!$AE37))</f>
        <v>#VALUE!</v>
      </c>
      <c r="AQ14" s="149" t="e">
        <f>IF(AF14="","",COUNTIFS('[2]17년일출'!$AE$6:$AE$116,AF14))</f>
        <v>#VALUE!</v>
      </c>
      <c r="AR14" s="153" t="e">
        <f t="shared" si="11"/>
        <v>#VALUE!</v>
      </c>
    </row>
    <row r="15" spans="1:46" s="156" customFormat="1" ht="48" customHeight="1">
      <c r="A15" s="127" t="str">
        <f>IFERROR(VLOOKUP($C15,구분표!$A$2:$C$313,2,FALSE),"")</f>
        <v>농정해양위원회</v>
      </c>
      <c r="B15" s="157" t="str">
        <f>IFERROR(VLOOKUP($C15,구분표!$A$2:$C$313,3,FALSE),"")</f>
        <v>축산산림국</v>
      </c>
      <c r="C15" s="158" t="s">
        <v>750</v>
      </c>
      <c r="D15" s="140" t="s">
        <v>748</v>
      </c>
      <c r="E15" s="140">
        <v>681</v>
      </c>
      <c r="F15" s="186"/>
      <c r="G15" s="159" t="s">
        <v>804</v>
      </c>
      <c r="H15" s="168">
        <v>600000</v>
      </c>
      <c r="I15" s="163"/>
      <c r="J15" s="139">
        <v>80000</v>
      </c>
      <c r="K15" s="151">
        <f>SUM(H15:J15)</f>
        <v>680000</v>
      </c>
      <c r="L15" s="149"/>
      <c r="M15" s="150"/>
      <c r="N15" s="152">
        <f>SUM(H15,L15,M15)</f>
        <v>600000</v>
      </c>
      <c r="O15" s="153" t="str">
        <f>IF(AND((K15=0),(N15&gt;0)),"O",IF(AND((I15&lt;0),(K15-N15&lt;0)),"O","X"))</f>
        <v>X</v>
      </c>
      <c r="P15" s="141" t="s">
        <v>799</v>
      </c>
      <c r="Q15" s="141"/>
      <c r="R15" s="155"/>
      <c r="T15" s="153" t="s">
        <v>751</v>
      </c>
      <c r="V15" s="164" t="s">
        <v>752</v>
      </c>
      <c r="W15" s="163">
        <v>80000</v>
      </c>
      <c r="X15" s="163">
        <v>0</v>
      </c>
      <c r="Y15" s="164" t="str">
        <f>IF(SUM($I15:$J15)=SUM($W15:$X15),"OK","검토")</f>
        <v>OK</v>
      </c>
      <c r="Z15" s="165"/>
      <c r="AA15" s="153"/>
      <c r="AB15" s="149" t="str">
        <f>IF($V15&lt;&gt;"도비",IF($T15="국도비","직접입력",SUM($L15:$M15)),)</f>
        <v>직접입력</v>
      </c>
      <c r="AC15" s="149" t="str">
        <f>IF($V15="도비",SUM(L15:M15),IF($T15="국도비","직접입력",SUM(L15:M15)-AB15))</f>
        <v>직접입력</v>
      </c>
      <c r="AD15" s="153" t="str">
        <f>IF(SUM(L15:M15)=SUM(AB15:AC15),"OK","검토")</f>
        <v>OK</v>
      </c>
      <c r="AE15" s="165"/>
      <c r="AF15" s="164" t="str">
        <f>IF(AH15="","",IF(V15="도비","세입없음",CONCATENATE(AH15,"-",COUNTIF($AH$15:AH15,AH15))))</f>
        <v>0227-1</v>
      </c>
      <c r="AG15" s="165"/>
      <c r="AH15" s="164" t="str">
        <f t="array" ref="AH15">IF(C15="","",INDEX(구분표!$I$2:$I$313, MATCH(1,(구분표!$E$2:$E$313='17년일입'!B15)*(구분표!$F$2:$F$313='17년일입'!C15)*(구분표!$G$2:$G$313='17년일입'!A15),0)))</f>
        <v>0227</v>
      </c>
      <c r="AJ15" s="153"/>
      <c r="AL15" s="149">
        <f>IF(AF15="",0,SUMIFS('17년일출'!$X$6:$X$92,'17년일출'!$AG$6:$AG$92,'17년일입'!$AF15))</f>
        <v>80000</v>
      </c>
      <c r="AM15" s="149">
        <f>IF(AF15="","",COUNTIFS('17년일출'!$AG$6:$AG$92,'17년일입'!AF15))</f>
        <v>1</v>
      </c>
      <c r="AN15" s="153" t="str">
        <f>IF(W15=AL15,"OK","@@")</f>
        <v>OK</v>
      </c>
      <c r="AP15" s="149">
        <f>IF(AF15="",0,SUMIFS('17년일출'!$AC$6:$AC$92,'17년일출'!$AG$6:$AG$92,'17년일입'!$AF15))</f>
        <v>0</v>
      </c>
      <c r="AQ15" s="149">
        <f>IF(AF15="","",COUNTIFS('17년일출'!$AG$6:$AG$92,AF15))</f>
        <v>1</v>
      </c>
      <c r="AR15" s="153" t="str">
        <f>IF(AB15=AP15,"OK","@@")</f>
        <v>@@</v>
      </c>
      <c r="AT15" s="138"/>
    </row>
    <row r="16" spans="1:46" s="156" customFormat="1" ht="48" customHeight="1">
      <c r="A16" s="127" t="str">
        <f>IFERROR(VLOOKUP($C16,구분표!$A$2:$C$313,2,FALSE),"")</f>
        <v>농정해양위원회</v>
      </c>
      <c r="B16" s="157" t="str">
        <f>IFERROR(VLOOKUP($C16,구분표!$A$2:$C$313,3,FALSE),"")</f>
        <v>축산산림국</v>
      </c>
      <c r="C16" s="158" t="s">
        <v>750</v>
      </c>
      <c r="D16" s="140" t="s">
        <v>748</v>
      </c>
      <c r="E16" s="140">
        <v>681</v>
      </c>
      <c r="F16" s="186"/>
      <c r="G16" s="159" t="s">
        <v>805</v>
      </c>
      <c r="H16" s="168">
        <v>667450</v>
      </c>
      <c r="I16" s="163">
        <v>-67450</v>
      </c>
      <c r="J16" s="139"/>
      <c r="K16" s="151">
        <f t="shared" ref="K16:K34" si="13">SUM(H16:J16)</f>
        <v>600000</v>
      </c>
      <c r="L16" s="149"/>
      <c r="M16" s="150"/>
      <c r="N16" s="152">
        <f t="shared" ref="N16:N34" si="14">SUM(H16,L16,M16)</f>
        <v>667450</v>
      </c>
      <c r="O16" s="153" t="str">
        <f t="shared" ref="O16:O34" si="15">IF(AND((K16=0),(N16&gt;0)),"O",IF(AND((I16&lt;0),(K16-N16&lt;0)),"O","X"))</f>
        <v>O</v>
      </c>
      <c r="P16" s="141" t="s">
        <v>799</v>
      </c>
      <c r="Q16" s="141"/>
      <c r="R16" s="155"/>
      <c r="T16" s="153" t="s">
        <v>751</v>
      </c>
      <c r="V16" s="164" t="s">
        <v>752</v>
      </c>
      <c r="W16" s="163">
        <v>-67450</v>
      </c>
      <c r="X16" s="163">
        <v>0</v>
      </c>
      <c r="Y16" s="164" t="str">
        <f t="shared" ref="Y16:Y34" si="16">IF(SUM($I16:$J16)=SUM($W16:$X16),"OK","검토")</f>
        <v>OK</v>
      </c>
      <c r="Z16" s="165"/>
      <c r="AA16" s="153"/>
      <c r="AB16" s="149" t="str">
        <f t="shared" ref="AB16:AB37" si="17">IF($V16&lt;&gt;"도비",IF($T16="국도비","직접입력",SUM($L16:$M16)),)</f>
        <v>직접입력</v>
      </c>
      <c r="AC16" s="149" t="str">
        <f t="shared" ref="AC16:AC37" si="18">IF($V16="도비",SUM(L16:M16),IF($T16="국도비","직접입력",SUM(L16:M16)-AB16))</f>
        <v>직접입력</v>
      </c>
      <c r="AD16" s="153" t="str">
        <f t="shared" ref="AD16:AD37" si="19">IF(SUM(L16:M16)=SUM(AB16:AC16),"OK","검토")</f>
        <v>OK</v>
      </c>
      <c r="AE16" s="165"/>
      <c r="AF16" s="164" t="str">
        <f>IF(AH16="","",IF(V16="도비","세입없음",CONCATENATE(AH16,"-",COUNTIF($AH$15:AH16,AH16))))</f>
        <v>0227-2</v>
      </c>
      <c r="AG16" s="165"/>
      <c r="AH16" s="164" t="str">
        <f t="array" ref="AH16">IF(C16="","",INDEX(구분표!$I$2:$I$313, MATCH(1,(구분표!$E$2:$E$313='17년일입'!B16)*(구분표!$F$2:$F$313='17년일입'!C16)*(구분표!$G$2:$G$313='17년일입'!A16),0)))</f>
        <v>0227</v>
      </c>
      <c r="AJ16" s="153"/>
      <c r="AL16" s="149">
        <f>IF(AF16="",0,SUMIFS('17년일출'!$X$6:$X$92,'17년일출'!$AG$6:$AG$92,'17년일입'!$AF16))</f>
        <v>-67450</v>
      </c>
      <c r="AM16" s="149">
        <f>IF(AF16="","",COUNTIFS('17년일출'!$AG$6:$AG$92,'17년일입'!AF16))</f>
        <v>1</v>
      </c>
      <c r="AN16" s="153" t="str">
        <f t="shared" ref="AN16:AN30" si="20">IF(W16=AL16,"OK","@@")</f>
        <v>OK</v>
      </c>
      <c r="AP16" s="149">
        <f>IF(AF16="",0,SUMIFS('17년일출'!$AC$6:$AC$92,'17년일출'!$AG$6:$AG$92,'17년일입'!$AF16))</f>
        <v>0</v>
      </c>
      <c r="AQ16" s="149">
        <f>IF(AF16="","",COUNTIFS('17년일출'!$AG$6:$AG$92,AF16))</f>
        <v>1</v>
      </c>
      <c r="AR16" s="153" t="str">
        <f t="shared" ref="AR16:AR37" si="21">IF(AB16=AP16,"OK","@@")</f>
        <v>@@</v>
      </c>
      <c r="AT16" s="138"/>
    </row>
    <row r="17" spans="1:46" s="156" customFormat="1" ht="48" customHeight="1">
      <c r="A17" s="127" t="str">
        <f>IFERROR(VLOOKUP($C17,구분표!$A$2:$C$313,2,FALSE),"")</f>
        <v>농정해양위원회</v>
      </c>
      <c r="B17" s="157" t="str">
        <f>IFERROR(VLOOKUP($C17,구분표!$A$2:$C$313,3,FALSE),"")</f>
        <v>축산산림국</v>
      </c>
      <c r="C17" s="158" t="s">
        <v>750</v>
      </c>
      <c r="D17" s="140" t="s">
        <v>748</v>
      </c>
      <c r="E17" s="140">
        <v>681</v>
      </c>
      <c r="F17" s="186"/>
      <c r="G17" s="159" t="s">
        <v>806</v>
      </c>
      <c r="H17" s="168">
        <v>494000</v>
      </c>
      <c r="I17" s="163">
        <v>-294000</v>
      </c>
      <c r="J17" s="139"/>
      <c r="K17" s="151">
        <f t="shared" si="13"/>
        <v>200000</v>
      </c>
      <c r="L17" s="149"/>
      <c r="M17" s="150"/>
      <c r="N17" s="152">
        <f t="shared" si="14"/>
        <v>494000</v>
      </c>
      <c r="O17" s="153" t="str">
        <f t="shared" si="15"/>
        <v>O</v>
      </c>
      <c r="P17" s="141" t="s">
        <v>799</v>
      </c>
      <c r="Q17" s="141"/>
      <c r="R17" s="155"/>
      <c r="T17" s="153" t="s">
        <v>751</v>
      </c>
      <c r="V17" s="164" t="s">
        <v>752</v>
      </c>
      <c r="W17" s="163">
        <v>-294000</v>
      </c>
      <c r="X17" s="163">
        <v>0</v>
      </c>
      <c r="Y17" s="164" t="str">
        <f t="shared" si="16"/>
        <v>OK</v>
      </c>
      <c r="Z17" s="165"/>
      <c r="AA17" s="153"/>
      <c r="AB17" s="149" t="str">
        <f t="shared" si="17"/>
        <v>직접입력</v>
      </c>
      <c r="AC17" s="149" t="str">
        <f t="shared" si="18"/>
        <v>직접입력</v>
      </c>
      <c r="AD17" s="153" t="str">
        <f t="shared" si="19"/>
        <v>OK</v>
      </c>
      <c r="AE17" s="165"/>
      <c r="AF17" s="164" t="str">
        <f>IF(AH17="","",IF(V17="도비","세입없음",CONCATENATE(AH17,"-",COUNTIF($AH$15:AH17,AH17))))</f>
        <v>0227-3</v>
      </c>
      <c r="AG17" s="165"/>
      <c r="AH17" s="164" t="str">
        <f t="array" ref="AH17">IF(C17="","",INDEX(구분표!$I$2:$I$313, MATCH(1,(구분표!$E$2:$E$313='17년일입'!B17)*(구분표!$F$2:$F$313='17년일입'!C17)*(구분표!$G$2:$G$313='17년일입'!A17),0)))</f>
        <v>0227</v>
      </c>
      <c r="AJ17" s="153"/>
      <c r="AL17" s="149">
        <f>IF(AF17="",0,SUMIFS('17년일출'!$X$6:$X$92,'17년일출'!$AG$6:$AG$92,'17년일입'!$AF17))</f>
        <v>-294000</v>
      </c>
      <c r="AM17" s="149">
        <f>IF(AF17="","",COUNTIFS('17년일출'!$AG$6:$AG$92,'17년일입'!AF17))</f>
        <v>1</v>
      </c>
      <c r="AN17" s="153" t="str">
        <f t="shared" si="20"/>
        <v>OK</v>
      </c>
      <c r="AP17" s="149">
        <f>IF(AF17="",0,SUMIFS('17년일출'!$AC$6:$AC$92,'17년일출'!$AG$6:$AG$92,'17년일입'!$AF17))</f>
        <v>0</v>
      </c>
      <c r="AQ17" s="149">
        <f>IF(AF17="","",COUNTIFS('17년일출'!$AG$6:$AG$92,AF17))</f>
        <v>1</v>
      </c>
      <c r="AR17" s="153" t="str">
        <f t="shared" si="21"/>
        <v>@@</v>
      </c>
      <c r="AT17" s="138"/>
    </row>
    <row r="18" spans="1:46" s="156" customFormat="1" ht="48" customHeight="1">
      <c r="A18" s="127" t="str">
        <f>IFERROR(VLOOKUP($C18,구분표!$A$2:$C$313,2,FALSE),"")</f>
        <v>농정해양위원회</v>
      </c>
      <c r="B18" s="157" t="str">
        <f>IFERROR(VLOOKUP($C18,구분표!$A$2:$C$313,3,FALSE),"")</f>
        <v>축산산림국</v>
      </c>
      <c r="C18" s="158" t="s">
        <v>750</v>
      </c>
      <c r="D18" s="140" t="s">
        <v>748</v>
      </c>
      <c r="E18" s="140">
        <v>681</v>
      </c>
      <c r="F18" s="186"/>
      <c r="G18" s="159" t="s">
        <v>807</v>
      </c>
      <c r="H18" s="168">
        <v>36000</v>
      </c>
      <c r="I18" s="163">
        <v>-36000</v>
      </c>
      <c r="J18" s="139"/>
      <c r="K18" s="151">
        <f t="shared" si="13"/>
        <v>0</v>
      </c>
      <c r="L18" s="149"/>
      <c r="M18" s="150"/>
      <c r="N18" s="152">
        <f t="shared" si="14"/>
        <v>36000</v>
      </c>
      <c r="O18" s="153" t="str">
        <f t="shared" si="15"/>
        <v>O</v>
      </c>
      <c r="P18" s="141" t="s">
        <v>799</v>
      </c>
      <c r="Q18" s="141"/>
      <c r="R18" s="155"/>
      <c r="T18" s="153" t="s">
        <v>751</v>
      </c>
      <c r="V18" s="164" t="s">
        <v>752</v>
      </c>
      <c r="W18" s="163">
        <v>-36000</v>
      </c>
      <c r="X18" s="163">
        <v>0</v>
      </c>
      <c r="Y18" s="164" t="str">
        <f t="shared" si="16"/>
        <v>OK</v>
      </c>
      <c r="Z18" s="165"/>
      <c r="AA18" s="153"/>
      <c r="AB18" s="149" t="str">
        <f t="shared" si="17"/>
        <v>직접입력</v>
      </c>
      <c r="AC18" s="149" t="str">
        <f t="shared" si="18"/>
        <v>직접입력</v>
      </c>
      <c r="AD18" s="153" t="str">
        <f t="shared" si="19"/>
        <v>OK</v>
      </c>
      <c r="AE18" s="165"/>
      <c r="AF18" s="164" t="str">
        <f>IF(AH18="","",IF(V18="도비","세입없음",CONCATENATE(AH18,"-",COUNTIF($AH$15:AH18,AH18))))</f>
        <v>0227-4</v>
      </c>
      <c r="AG18" s="165"/>
      <c r="AH18" s="164" t="str">
        <f t="array" ref="AH18">IF(C18="","",INDEX(구분표!$I$2:$I$313, MATCH(1,(구분표!$E$2:$E$313='17년일입'!B18)*(구분표!$F$2:$F$313='17년일입'!C18)*(구분표!$G$2:$G$313='17년일입'!A18),0)))</f>
        <v>0227</v>
      </c>
      <c r="AJ18" s="153"/>
      <c r="AL18" s="149">
        <f>IF(AF18="",0,SUMIFS('17년일출'!$X$6:$X$92,'17년일출'!$AG$6:$AG$92,'17년일입'!$AF18))</f>
        <v>-36000</v>
      </c>
      <c r="AM18" s="149">
        <f>IF(AF18="","",COUNTIFS('17년일출'!$AG$6:$AG$92,'17년일입'!AF18))</f>
        <v>1</v>
      </c>
      <c r="AN18" s="153" t="str">
        <f t="shared" si="20"/>
        <v>OK</v>
      </c>
      <c r="AP18" s="149">
        <f>IF(AF18="",0,SUMIFS('17년일출'!$AC$6:$AC$92,'17년일출'!$AG$6:$AG$92,'17년일입'!$AF18))</f>
        <v>0</v>
      </c>
      <c r="AQ18" s="149">
        <f>IF(AF18="","",COUNTIFS('17년일출'!$AG$6:$AG$92,AF18))</f>
        <v>1</v>
      </c>
      <c r="AR18" s="153" t="str">
        <f t="shared" si="21"/>
        <v>@@</v>
      </c>
      <c r="AT18" s="138"/>
    </row>
    <row r="19" spans="1:46" s="156" customFormat="1" ht="48" customHeight="1">
      <c r="A19" s="127" t="str">
        <f>IFERROR(VLOOKUP($C19,구분표!$A$2:$C$313,2,FALSE),"")</f>
        <v>농정해양위원회</v>
      </c>
      <c r="B19" s="157" t="str">
        <f>IFERROR(VLOOKUP($C19,구분표!$A$2:$C$313,3,FALSE),"")</f>
        <v>축산산림국</v>
      </c>
      <c r="C19" s="158" t="s">
        <v>750</v>
      </c>
      <c r="D19" s="140" t="s">
        <v>748</v>
      </c>
      <c r="E19" s="140">
        <v>681</v>
      </c>
      <c r="F19" s="186"/>
      <c r="G19" s="159" t="s">
        <v>808</v>
      </c>
      <c r="H19" s="168">
        <v>669800</v>
      </c>
      <c r="I19" s="163">
        <v>-468800</v>
      </c>
      <c r="J19" s="139"/>
      <c r="K19" s="151">
        <f t="shared" si="13"/>
        <v>201000</v>
      </c>
      <c r="L19" s="149"/>
      <c r="M19" s="150"/>
      <c r="N19" s="152">
        <f t="shared" si="14"/>
        <v>669800</v>
      </c>
      <c r="O19" s="153" t="str">
        <f t="shared" si="15"/>
        <v>O</v>
      </c>
      <c r="P19" s="141" t="s">
        <v>799</v>
      </c>
      <c r="Q19" s="141"/>
      <c r="R19" s="155"/>
      <c r="T19" s="153" t="s">
        <v>751</v>
      </c>
      <c r="V19" s="164" t="s">
        <v>752</v>
      </c>
      <c r="W19" s="163">
        <v>-468800</v>
      </c>
      <c r="X19" s="163">
        <v>0</v>
      </c>
      <c r="Y19" s="164" t="str">
        <f t="shared" si="16"/>
        <v>OK</v>
      </c>
      <c r="Z19" s="165"/>
      <c r="AA19" s="153"/>
      <c r="AB19" s="149" t="str">
        <f t="shared" si="17"/>
        <v>직접입력</v>
      </c>
      <c r="AC19" s="149" t="str">
        <f t="shared" si="18"/>
        <v>직접입력</v>
      </c>
      <c r="AD19" s="153" t="str">
        <f t="shared" si="19"/>
        <v>OK</v>
      </c>
      <c r="AE19" s="165"/>
      <c r="AF19" s="164" t="str">
        <f>IF(AH19="","",IF(V19="도비","세입없음",CONCATENATE(AH19,"-",COUNTIF($AH$15:AH19,AH19))))</f>
        <v>0227-5</v>
      </c>
      <c r="AG19" s="165"/>
      <c r="AH19" s="164" t="str">
        <f t="array" ref="AH19">IF(C19="","",INDEX(구분표!$I$2:$I$313, MATCH(1,(구분표!$E$2:$E$313='17년일입'!B19)*(구분표!$F$2:$F$313='17년일입'!C19)*(구분표!$G$2:$G$313='17년일입'!A19),0)))</f>
        <v>0227</v>
      </c>
      <c r="AJ19" s="153"/>
      <c r="AL19" s="149">
        <f>IF(AF19="",0,SUMIFS('17년일출'!$X$6:$X$92,'17년일출'!$AG$6:$AG$92,'17년일입'!$AF19))</f>
        <v>-468800</v>
      </c>
      <c r="AM19" s="149">
        <f>IF(AF19="","",COUNTIFS('17년일출'!$AG$6:$AG$92,'17년일입'!AF19))</f>
        <v>1</v>
      </c>
      <c r="AN19" s="153" t="str">
        <f t="shared" si="20"/>
        <v>OK</v>
      </c>
      <c r="AP19" s="149">
        <f>IF(AF19="",0,SUMIFS('17년일출'!$AC$6:$AC$92,'17년일출'!$AG$6:$AG$92,'17년일입'!$AF19))</f>
        <v>0</v>
      </c>
      <c r="AQ19" s="149">
        <f>IF(AF19="","",COUNTIFS('17년일출'!$AG$6:$AG$92,AF19))</f>
        <v>1</v>
      </c>
      <c r="AR19" s="153" t="str">
        <f t="shared" si="21"/>
        <v>@@</v>
      </c>
      <c r="AT19" s="138"/>
    </row>
    <row r="20" spans="1:46" s="156" customFormat="1" ht="48" customHeight="1">
      <c r="A20" s="127" t="str">
        <f>IFERROR(VLOOKUP($C20,구분표!$A$2:$C$313,2,FALSE),"")</f>
        <v>농정해양위원회</v>
      </c>
      <c r="B20" s="157" t="str">
        <f>IFERROR(VLOOKUP($C20,구분표!$A$2:$C$313,3,FALSE),"")</f>
        <v>축산산림국</v>
      </c>
      <c r="C20" s="158" t="s">
        <v>750</v>
      </c>
      <c r="D20" s="140" t="s">
        <v>748</v>
      </c>
      <c r="E20" s="140">
        <v>681</v>
      </c>
      <c r="F20" s="186"/>
      <c r="G20" s="159" t="s">
        <v>809</v>
      </c>
      <c r="H20" s="168">
        <v>42000</v>
      </c>
      <c r="I20" s="163">
        <v>-15000</v>
      </c>
      <c r="J20" s="139"/>
      <c r="K20" s="151">
        <f t="shared" si="13"/>
        <v>27000</v>
      </c>
      <c r="L20" s="149"/>
      <c r="M20" s="150"/>
      <c r="N20" s="152">
        <f t="shared" si="14"/>
        <v>42000</v>
      </c>
      <c r="O20" s="153" t="str">
        <f t="shared" si="15"/>
        <v>O</v>
      </c>
      <c r="P20" s="141" t="s">
        <v>799</v>
      </c>
      <c r="Q20" s="141"/>
      <c r="R20" s="155"/>
      <c r="T20" s="153" t="s">
        <v>751</v>
      </c>
      <c r="V20" s="164" t="s">
        <v>752</v>
      </c>
      <c r="W20" s="163">
        <v>-15000</v>
      </c>
      <c r="X20" s="163">
        <v>0</v>
      </c>
      <c r="Y20" s="164" t="str">
        <f t="shared" si="16"/>
        <v>OK</v>
      </c>
      <c r="Z20" s="165"/>
      <c r="AA20" s="153"/>
      <c r="AB20" s="149" t="str">
        <f t="shared" si="17"/>
        <v>직접입력</v>
      </c>
      <c r="AC20" s="149" t="str">
        <f t="shared" si="18"/>
        <v>직접입력</v>
      </c>
      <c r="AD20" s="153" t="str">
        <f t="shared" si="19"/>
        <v>OK</v>
      </c>
      <c r="AE20" s="165"/>
      <c r="AF20" s="164" t="str">
        <f>IF(AH20="","",IF(V20="도비","세입없음",CONCATENATE(AH20,"-",COUNTIF($AH$15:AH20,AH20))))</f>
        <v>0227-6</v>
      </c>
      <c r="AG20" s="165"/>
      <c r="AH20" s="164" t="str">
        <f t="array" ref="AH20">IF(C20="","",INDEX(구분표!$I$2:$I$313, MATCH(1,(구분표!$E$2:$E$313='17년일입'!B20)*(구분표!$F$2:$F$313='17년일입'!C20)*(구분표!$G$2:$G$313='17년일입'!A20),0)))</f>
        <v>0227</v>
      </c>
      <c r="AJ20" s="153"/>
      <c r="AL20" s="149">
        <f>IF(AF20="",0,SUMIFS('17년일출'!$X$6:$X$92,'17년일출'!$AG$6:$AG$92,'17년일입'!$AF20))</f>
        <v>-15000</v>
      </c>
      <c r="AM20" s="149">
        <f>IF(AF20="","",COUNTIFS('17년일출'!$AG$6:$AG$92,'17년일입'!AF20))</f>
        <v>1</v>
      </c>
      <c r="AN20" s="153" t="str">
        <f t="shared" si="20"/>
        <v>OK</v>
      </c>
      <c r="AP20" s="149">
        <f>IF(AF20="",0,SUMIFS('17년일출'!$AC$6:$AC$92,'17년일출'!$AG$6:$AG$92,'17년일입'!$AF20))</f>
        <v>0</v>
      </c>
      <c r="AQ20" s="149">
        <f>IF(AF20="","",COUNTIFS('17년일출'!$AG$6:$AG$92,AF20))</f>
        <v>1</v>
      </c>
      <c r="AR20" s="153" t="str">
        <f t="shared" si="21"/>
        <v>@@</v>
      </c>
      <c r="AT20" s="138"/>
    </row>
    <row r="21" spans="1:46" s="156" customFormat="1" ht="48" customHeight="1">
      <c r="A21" s="127" t="str">
        <f>IFERROR(VLOOKUP($C21,구분표!$A$2:$C$313,2,FALSE),"")</f>
        <v>농정해양위원회</v>
      </c>
      <c r="B21" s="157" t="str">
        <f>IFERROR(VLOOKUP($C21,구분표!$A$2:$C$313,3,FALSE),"")</f>
        <v>축산산림국</v>
      </c>
      <c r="C21" s="158" t="s">
        <v>750</v>
      </c>
      <c r="D21" s="140" t="s">
        <v>749</v>
      </c>
      <c r="E21" s="140"/>
      <c r="F21" s="186"/>
      <c r="G21" s="159" t="s">
        <v>810</v>
      </c>
      <c r="H21" s="168"/>
      <c r="I21" s="163"/>
      <c r="J21" s="139">
        <v>65000</v>
      </c>
      <c r="K21" s="151">
        <f t="shared" si="13"/>
        <v>65000</v>
      </c>
      <c r="L21" s="149"/>
      <c r="M21" s="150"/>
      <c r="N21" s="152">
        <f t="shared" si="14"/>
        <v>0</v>
      </c>
      <c r="O21" s="153" t="str">
        <f t="shared" si="15"/>
        <v>X</v>
      </c>
      <c r="P21" s="141" t="s">
        <v>799</v>
      </c>
      <c r="Q21" s="141"/>
      <c r="R21" s="155"/>
      <c r="T21" s="153" t="s">
        <v>751</v>
      </c>
      <c r="V21" s="164" t="s">
        <v>752</v>
      </c>
      <c r="W21" s="163">
        <v>65000</v>
      </c>
      <c r="X21" s="163">
        <v>0</v>
      </c>
      <c r="Y21" s="164" t="str">
        <f t="shared" si="16"/>
        <v>OK</v>
      </c>
      <c r="Z21" s="165"/>
      <c r="AA21" s="153"/>
      <c r="AB21" s="149" t="str">
        <f t="shared" si="17"/>
        <v>직접입력</v>
      </c>
      <c r="AC21" s="149" t="str">
        <f t="shared" si="18"/>
        <v>직접입력</v>
      </c>
      <c r="AD21" s="153" t="str">
        <f t="shared" si="19"/>
        <v>OK</v>
      </c>
      <c r="AE21" s="165"/>
      <c r="AF21" s="164" t="str">
        <f>IF(AH21="","",IF(V21="도비","세입없음",CONCATENATE(AH21,"-",COUNTIF($AH$15:AH21,AH21))))</f>
        <v>0227-7</v>
      </c>
      <c r="AG21" s="165"/>
      <c r="AH21" s="164" t="str">
        <f t="array" ref="AH21">IF(C21="","",INDEX(구분표!$I$2:$I$313, MATCH(1,(구분표!$E$2:$E$313='17년일입'!B21)*(구분표!$F$2:$F$313='17년일입'!C21)*(구분표!$G$2:$G$313='17년일입'!A21),0)))</f>
        <v>0227</v>
      </c>
      <c r="AJ21" s="153"/>
      <c r="AL21" s="149">
        <f>IF(AF21="",0,SUMIFS('17년일출'!$X$6:$X$92,'17년일출'!$AG$6:$AG$92,'17년일입'!$AF21))</f>
        <v>65000</v>
      </c>
      <c r="AM21" s="149">
        <f>IF(AF21="","",COUNTIFS('17년일출'!$AG$6:$AG$92,'17년일입'!AF21))</f>
        <v>1</v>
      </c>
      <c r="AN21" s="153" t="str">
        <f t="shared" si="20"/>
        <v>OK</v>
      </c>
      <c r="AP21" s="149">
        <f>IF(AF21="",0,SUMIFS('17년일출'!$AC$6:$AC$92,'17년일출'!$AG$6:$AG$92,'17년일입'!$AF21))</f>
        <v>0</v>
      </c>
      <c r="AQ21" s="149">
        <f>IF(AF21="","",COUNTIFS('17년일출'!$AG$6:$AG$92,AF21))</f>
        <v>1</v>
      </c>
      <c r="AR21" s="153" t="str">
        <f t="shared" si="21"/>
        <v>@@</v>
      </c>
      <c r="AT21" s="138"/>
    </row>
    <row r="22" spans="1:46" s="156" customFormat="1" ht="48" customHeight="1">
      <c r="A22" s="127" t="str">
        <f>IFERROR(VLOOKUP($C22,구분표!$A$2:$C$313,2,FALSE),"")</f>
        <v>농정해양위원회</v>
      </c>
      <c r="B22" s="157" t="str">
        <f>IFERROR(VLOOKUP($C22,구분표!$A$2:$C$313,3,FALSE),"")</f>
        <v>축산산림국</v>
      </c>
      <c r="C22" s="158" t="s">
        <v>750</v>
      </c>
      <c r="D22" s="140" t="s">
        <v>748</v>
      </c>
      <c r="E22" s="140">
        <v>681</v>
      </c>
      <c r="F22" s="186"/>
      <c r="G22" s="159" t="s">
        <v>811</v>
      </c>
      <c r="H22" s="168">
        <v>66000</v>
      </c>
      <c r="I22" s="163">
        <v>-6000</v>
      </c>
      <c r="J22" s="139"/>
      <c r="K22" s="151">
        <f t="shared" si="13"/>
        <v>60000</v>
      </c>
      <c r="L22" s="149"/>
      <c r="M22" s="150"/>
      <c r="N22" s="152">
        <f t="shared" si="14"/>
        <v>66000</v>
      </c>
      <c r="O22" s="153" t="str">
        <f t="shared" si="15"/>
        <v>O</v>
      </c>
      <c r="P22" s="141" t="s">
        <v>800</v>
      </c>
      <c r="Q22" s="141"/>
      <c r="R22" s="155"/>
      <c r="T22" s="153" t="s">
        <v>751</v>
      </c>
      <c r="V22" s="164" t="s">
        <v>752</v>
      </c>
      <c r="W22" s="163">
        <v>-6000</v>
      </c>
      <c r="X22" s="163">
        <v>0</v>
      </c>
      <c r="Y22" s="164" t="str">
        <f t="shared" si="16"/>
        <v>OK</v>
      </c>
      <c r="Z22" s="165"/>
      <c r="AA22" s="153"/>
      <c r="AB22" s="149" t="str">
        <f t="shared" si="17"/>
        <v>직접입력</v>
      </c>
      <c r="AC22" s="149" t="str">
        <f t="shared" si="18"/>
        <v>직접입력</v>
      </c>
      <c r="AD22" s="153" t="str">
        <f t="shared" si="19"/>
        <v>OK</v>
      </c>
      <c r="AE22" s="165"/>
      <c r="AF22" s="164" t="str">
        <f>IF(AH22="","",IF(V22="도비","세입없음",CONCATENATE(AH22,"-",COUNTIF($AH$15:AH22,AH22))))</f>
        <v>0227-8</v>
      </c>
      <c r="AG22" s="165"/>
      <c r="AH22" s="164" t="str">
        <f t="array" ref="AH22">IF(C22="","",INDEX(구분표!$I$2:$I$313, MATCH(1,(구분표!$E$2:$E$313='17년일입'!B22)*(구분표!$F$2:$F$313='17년일입'!C22)*(구분표!$G$2:$G$313='17년일입'!A22),0)))</f>
        <v>0227</v>
      </c>
      <c r="AJ22" s="153"/>
      <c r="AL22" s="149">
        <f>IF(AF22="",0,SUMIFS('17년일출'!$X$6:$X$92,'17년일출'!$AG$6:$AG$92,'17년일입'!$AF22))</f>
        <v>-6000</v>
      </c>
      <c r="AM22" s="149">
        <f>IF(AF22="","",COUNTIFS('17년일출'!$AG$6:$AG$92,'17년일입'!AF22))</f>
        <v>1</v>
      </c>
      <c r="AN22" s="153" t="str">
        <f t="shared" si="20"/>
        <v>OK</v>
      </c>
      <c r="AP22" s="149">
        <f>IF(AF22="",0,SUMIFS('17년일출'!$AC$6:$AC$92,'17년일출'!$AG$6:$AG$92,'17년일입'!$AF22))</f>
        <v>0</v>
      </c>
      <c r="AQ22" s="149">
        <f>IF(AF22="","",COUNTIFS('17년일출'!$AG$6:$AG$92,AF22))</f>
        <v>1</v>
      </c>
      <c r="AR22" s="153" t="str">
        <f t="shared" si="21"/>
        <v>@@</v>
      </c>
      <c r="AT22" s="138"/>
    </row>
    <row r="23" spans="1:46" s="156" customFormat="1" ht="48" customHeight="1">
      <c r="A23" s="127" t="str">
        <f>IFERROR(VLOOKUP($C23,구분표!$A$2:$C$313,2,FALSE),"")</f>
        <v>농정해양위원회</v>
      </c>
      <c r="B23" s="157" t="str">
        <f>IFERROR(VLOOKUP($C23,구분표!$A$2:$C$313,3,FALSE),"")</f>
        <v>축산산림국</v>
      </c>
      <c r="C23" s="158" t="s">
        <v>750</v>
      </c>
      <c r="D23" s="140" t="s">
        <v>748</v>
      </c>
      <c r="E23" s="140">
        <v>681</v>
      </c>
      <c r="F23" s="186"/>
      <c r="G23" s="159" t="s">
        <v>812</v>
      </c>
      <c r="H23" s="168">
        <v>248500</v>
      </c>
      <c r="I23" s="163">
        <v>-98500</v>
      </c>
      <c r="J23" s="139"/>
      <c r="K23" s="151">
        <f t="shared" si="13"/>
        <v>150000</v>
      </c>
      <c r="L23" s="149"/>
      <c r="M23" s="150"/>
      <c r="N23" s="152">
        <f t="shared" si="14"/>
        <v>248500</v>
      </c>
      <c r="O23" s="153" t="str">
        <f t="shared" si="15"/>
        <v>O</v>
      </c>
      <c r="P23" s="141" t="s">
        <v>800</v>
      </c>
      <c r="Q23" s="141"/>
      <c r="R23" s="155"/>
      <c r="T23" s="153" t="s">
        <v>751</v>
      </c>
      <c r="V23" s="164" t="s">
        <v>752</v>
      </c>
      <c r="W23" s="163">
        <v>-98500</v>
      </c>
      <c r="X23" s="163">
        <v>0</v>
      </c>
      <c r="Y23" s="164" t="str">
        <f t="shared" si="16"/>
        <v>OK</v>
      </c>
      <c r="Z23" s="165"/>
      <c r="AA23" s="153"/>
      <c r="AB23" s="149" t="str">
        <f t="shared" si="17"/>
        <v>직접입력</v>
      </c>
      <c r="AC23" s="149" t="str">
        <f t="shared" si="18"/>
        <v>직접입력</v>
      </c>
      <c r="AD23" s="153" t="str">
        <f t="shared" si="19"/>
        <v>OK</v>
      </c>
      <c r="AE23" s="165"/>
      <c r="AF23" s="164" t="str">
        <f>IF(AH23="","",IF(V23="도비","세입없음",CONCATENATE(AH23,"-",COUNTIF($AH$15:AH23,AH23))))</f>
        <v>0227-9</v>
      </c>
      <c r="AG23" s="165"/>
      <c r="AH23" s="164" t="str">
        <f t="array" ref="AH23">IF(C23="","",INDEX(구분표!$I$2:$I$313, MATCH(1,(구분표!$E$2:$E$313='17년일입'!B23)*(구분표!$F$2:$F$313='17년일입'!C23)*(구분표!$G$2:$G$313='17년일입'!A23),0)))</f>
        <v>0227</v>
      </c>
      <c r="AJ23" s="153"/>
      <c r="AL23" s="149">
        <f>IF(AF23="",0,SUMIFS('17년일출'!$X$6:$X$92,'17년일출'!$AG$6:$AG$92,'17년일입'!$AF23))</f>
        <v>-98500</v>
      </c>
      <c r="AM23" s="149">
        <f>IF(AF23="","",COUNTIFS('17년일출'!$AG$6:$AG$92,'17년일입'!AF23))</f>
        <v>1</v>
      </c>
      <c r="AN23" s="153" t="str">
        <f t="shared" si="20"/>
        <v>OK</v>
      </c>
      <c r="AP23" s="149">
        <f>IF(AF23="",0,SUMIFS('17년일출'!$AC$6:$AC$92,'17년일출'!$AG$6:$AG$92,'17년일입'!$AF23))</f>
        <v>0</v>
      </c>
      <c r="AQ23" s="149">
        <f>IF(AF23="","",COUNTIFS('17년일출'!$AG$6:$AG$92,AF23))</f>
        <v>1</v>
      </c>
      <c r="AR23" s="153" t="str">
        <f t="shared" si="21"/>
        <v>@@</v>
      </c>
      <c r="AT23" s="138"/>
    </row>
    <row r="24" spans="1:46" s="156" customFormat="1" ht="48" customHeight="1">
      <c r="A24" s="127" t="str">
        <f>IFERROR(VLOOKUP($C24,구분표!$A$2:$C$313,2,FALSE),"")</f>
        <v>농정해양위원회</v>
      </c>
      <c r="B24" s="157" t="str">
        <f>IFERROR(VLOOKUP($C24,구분표!$A$2:$C$313,3,FALSE),"")</f>
        <v>축산산림국</v>
      </c>
      <c r="C24" s="158" t="s">
        <v>750</v>
      </c>
      <c r="D24" s="140" t="s">
        <v>748</v>
      </c>
      <c r="E24" s="140">
        <v>681</v>
      </c>
      <c r="F24" s="186"/>
      <c r="G24" s="159" t="s">
        <v>813</v>
      </c>
      <c r="H24" s="168">
        <v>22000</v>
      </c>
      <c r="I24" s="163"/>
      <c r="J24" s="139">
        <v>2000</v>
      </c>
      <c r="K24" s="151">
        <f t="shared" si="13"/>
        <v>24000</v>
      </c>
      <c r="L24" s="149"/>
      <c r="M24" s="150"/>
      <c r="N24" s="152">
        <f t="shared" si="14"/>
        <v>22000</v>
      </c>
      <c r="O24" s="153" t="str">
        <f t="shared" si="15"/>
        <v>X</v>
      </c>
      <c r="P24" s="141" t="s">
        <v>800</v>
      </c>
      <c r="Q24" s="141"/>
      <c r="R24" s="155"/>
      <c r="T24" s="153" t="s">
        <v>751</v>
      </c>
      <c r="V24" s="164" t="s">
        <v>752</v>
      </c>
      <c r="W24" s="163">
        <v>2000</v>
      </c>
      <c r="X24" s="163">
        <v>0</v>
      </c>
      <c r="Y24" s="164" t="str">
        <f t="shared" si="16"/>
        <v>OK</v>
      </c>
      <c r="Z24" s="165"/>
      <c r="AA24" s="153"/>
      <c r="AB24" s="149" t="str">
        <f t="shared" si="17"/>
        <v>직접입력</v>
      </c>
      <c r="AC24" s="149" t="str">
        <f t="shared" si="18"/>
        <v>직접입력</v>
      </c>
      <c r="AD24" s="153" t="str">
        <f t="shared" si="19"/>
        <v>OK</v>
      </c>
      <c r="AE24" s="165"/>
      <c r="AF24" s="164" t="str">
        <f>IF(AH24="","",IF(V24="도비","세입없음",CONCATENATE(AH24,"-",COUNTIF($AH$15:AH24,AH24))))</f>
        <v>0227-10</v>
      </c>
      <c r="AG24" s="165"/>
      <c r="AH24" s="164" t="str">
        <f t="array" ref="AH24">IF(C24="","",INDEX(구분표!$I$2:$I$313, MATCH(1,(구분표!$E$2:$E$313='17년일입'!B24)*(구분표!$F$2:$F$313='17년일입'!C24)*(구분표!$G$2:$G$313='17년일입'!A24),0)))</f>
        <v>0227</v>
      </c>
      <c r="AJ24" s="153"/>
      <c r="AL24" s="149">
        <f>IF(AF24="",0,SUMIFS('17년일출'!$X$6:$X$92,'17년일출'!$AG$6:$AG$92,'17년일입'!$AF24))</f>
        <v>2000</v>
      </c>
      <c r="AM24" s="149">
        <f>IF(AF24="","",COUNTIFS('17년일출'!$AG$6:$AG$92,'17년일입'!AF24))</f>
        <v>1</v>
      </c>
      <c r="AN24" s="153" t="str">
        <f t="shared" si="20"/>
        <v>OK</v>
      </c>
      <c r="AP24" s="149">
        <f>IF(AF24="",0,SUMIFS('17년일출'!$AC$6:$AC$92,'17년일출'!$AG$6:$AG$92,'17년일입'!$AF24))</f>
        <v>0</v>
      </c>
      <c r="AQ24" s="149">
        <f>IF(AF24="","",COUNTIFS('17년일출'!$AG$6:$AG$92,AF24))</f>
        <v>1</v>
      </c>
      <c r="AR24" s="153" t="str">
        <f t="shared" si="21"/>
        <v>@@</v>
      </c>
      <c r="AT24" s="138"/>
    </row>
    <row r="25" spans="1:46" s="156" customFormat="1" ht="48" customHeight="1">
      <c r="A25" s="127" t="str">
        <f>IFERROR(VLOOKUP($C25,구분표!$A$2:$C$313,2,FALSE),"")</f>
        <v>농정해양위원회</v>
      </c>
      <c r="B25" s="157" t="str">
        <f>IFERROR(VLOOKUP($C25,구분표!$A$2:$C$313,3,FALSE),"")</f>
        <v>축산산림국</v>
      </c>
      <c r="C25" s="158" t="s">
        <v>750</v>
      </c>
      <c r="D25" s="140" t="s">
        <v>748</v>
      </c>
      <c r="E25" s="140">
        <v>681</v>
      </c>
      <c r="F25" s="186"/>
      <c r="G25" s="159" t="s">
        <v>814</v>
      </c>
      <c r="H25" s="168">
        <v>120000</v>
      </c>
      <c r="I25" s="163"/>
      <c r="J25" s="139">
        <v>45000</v>
      </c>
      <c r="K25" s="151">
        <f t="shared" si="13"/>
        <v>165000</v>
      </c>
      <c r="L25" s="149"/>
      <c r="M25" s="150"/>
      <c r="N25" s="152">
        <f t="shared" si="14"/>
        <v>120000</v>
      </c>
      <c r="O25" s="153" t="str">
        <f t="shared" si="15"/>
        <v>X</v>
      </c>
      <c r="P25" s="141" t="s">
        <v>800</v>
      </c>
      <c r="Q25" s="141"/>
      <c r="R25" s="155"/>
      <c r="T25" s="153" t="s">
        <v>751</v>
      </c>
      <c r="V25" s="164" t="s">
        <v>752</v>
      </c>
      <c r="W25" s="163">
        <v>45000</v>
      </c>
      <c r="X25" s="163">
        <v>0</v>
      </c>
      <c r="Y25" s="164" t="str">
        <f t="shared" si="16"/>
        <v>OK</v>
      </c>
      <c r="Z25" s="165"/>
      <c r="AA25" s="153"/>
      <c r="AB25" s="149" t="str">
        <f t="shared" si="17"/>
        <v>직접입력</v>
      </c>
      <c r="AC25" s="149" t="str">
        <f t="shared" si="18"/>
        <v>직접입력</v>
      </c>
      <c r="AD25" s="153" t="str">
        <f t="shared" si="19"/>
        <v>OK</v>
      </c>
      <c r="AE25" s="165"/>
      <c r="AF25" s="164" t="str">
        <f>IF(AH25="","",IF(V25="도비","세입없음",CONCATENATE(AH25,"-",COUNTIF($AH$15:AH25,AH25))))</f>
        <v>0227-11</v>
      </c>
      <c r="AG25" s="165"/>
      <c r="AH25" s="164" t="str">
        <f t="array" ref="AH25">IF(C25="","",INDEX(구분표!$I$2:$I$313, MATCH(1,(구분표!$E$2:$E$313='17년일입'!B25)*(구분표!$F$2:$F$313='17년일입'!C25)*(구분표!$G$2:$G$313='17년일입'!A25),0)))</f>
        <v>0227</v>
      </c>
      <c r="AJ25" s="153"/>
      <c r="AL25" s="149">
        <f>IF(AF25="",0,SUMIFS('17년일출'!$X$6:$X$92,'17년일출'!$AG$6:$AG$92,'17년일입'!$AF25))</f>
        <v>45000</v>
      </c>
      <c r="AM25" s="149">
        <f>IF(AF25="","",COUNTIFS('17년일출'!$AG$6:$AG$92,'17년일입'!AF25))</f>
        <v>1</v>
      </c>
      <c r="AN25" s="153" t="str">
        <f t="shared" si="20"/>
        <v>OK</v>
      </c>
      <c r="AP25" s="149">
        <f>IF(AF25="",0,SUMIFS('17년일출'!$AC$6:$AC$92,'17년일출'!$AG$6:$AG$92,'17년일입'!$AF25))</f>
        <v>0</v>
      </c>
      <c r="AQ25" s="149">
        <f>IF(AF25="","",COUNTIFS('17년일출'!$AG$6:$AG$92,AF25))</f>
        <v>1</v>
      </c>
      <c r="AR25" s="153" t="str">
        <f t="shared" si="21"/>
        <v>@@</v>
      </c>
      <c r="AT25" s="138"/>
    </row>
    <row r="26" spans="1:46" s="156" customFormat="1" ht="48" customHeight="1">
      <c r="A26" s="127" t="str">
        <f>IFERROR(VLOOKUP($C26,구분표!$A$2:$C$313,2,FALSE),"")</f>
        <v>농정해양위원회</v>
      </c>
      <c r="B26" s="157" t="str">
        <f>IFERROR(VLOOKUP($C26,구분표!$A$2:$C$313,3,FALSE),"")</f>
        <v>축산산림국</v>
      </c>
      <c r="C26" s="158" t="s">
        <v>750</v>
      </c>
      <c r="D26" s="140" t="s">
        <v>748</v>
      </c>
      <c r="E26" s="140">
        <v>681</v>
      </c>
      <c r="F26" s="186"/>
      <c r="G26" s="159" t="s">
        <v>815</v>
      </c>
      <c r="H26" s="168">
        <v>2216208</v>
      </c>
      <c r="I26" s="163"/>
      <c r="J26" s="139">
        <v>283792</v>
      </c>
      <c r="K26" s="151">
        <f t="shared" si="13"/>
        <v>2500000</v>
      </c>
      <c r="L26" s="149"/>
      <c r="M26" s="150"/>
      <c r="N26" s="152">
        <f t="shared" si="14"/>
        <v>2216208</v>
      </c>
      <c r="O26" s="153" t="str">
        <f t="shared" si="15"/>
        <v>X</v>
      </c>
      <c r="P26" s="141" t="s">
        <v>800</v>
      </c>
      <c r="Q26" s="141"/>
      <c r="R26" s="155"/>
      <c r="T26" s="153" t="s">
        <v>751</v>
      </c>
      <c r="V26" s="164" t="s">
        <v>752</v>
      </c>
      <c r="W26" s="163">
        <v>283792</v>
      </c>
      <c r="X26" s="163">
        <v>0</v>
      </c>
      <c r="Y26" s="164" t="str">
        <f t="shared" si="16"/>
        <v>OK</v>
      </c>
      <c r="Z26" s="165"/>
      <c r="AA26" s="153"/>
      <c r="AB26" s="149" t="str">
        <f t="shared" si="17"/>
        <v>직접입력</v>
      </c>
      <c r="AC26" s="149" t="str">
        <f t="shared" si="18"/>
        <v>직접입력</v>
      </c>
      <c r="AD26" s="153" t="str">
        <f t="shared" si="19"/>
        <v>OK</v>
      </c>
      <c r="AE26" s="165"/>
      <c r="AF26" s="164" t="str">
        <f>IF(AH26="","",IF(V26="도비","세입없음",CONCATENATE(AH26,"-",COUNTIF($AH$15:AH26,AH26))))</f>
        <v>0227-12</v>
      </c>
      <c r="AG26" s="165"/>
      <c r="AH26" s="164" t="str">
        <f t="array" ref="AH26">IF(C26="","",INDEX(구분표!$I$2:$I$313, MATCH(1,(구분표!$E$2:$E$313='17년일입'!B26)*(구분표!$F$2:$F$313='17년일입'!C26)*(구분표!$G$2:$G$313='17년일입'!A26),0)))</f>
        <v>0227</v>
      </c>
      <c r="AJ26" s="153"/>
      <c r="AL26" s="149">
        <f>IF(AF26="",0,SUMIFS('17년일출'!$X$6:$X$92,'17년일출'!$AG$6:$AG$92,'17년일입'!$AF26))</f>
        <v>283792</v>
      </c>
      <c r="AM26" s="149">
        <f>IF(AF26="","",COUNTIFS('17년일출'!$AG$6:$AG$92,'17년일입'!AF26))</f>
        <v>1</v>
      </c>
      <c r="AN26" s="153" t="str">
        <f t="shared" si="20"/>
        <v>OK</v>
      </c>
      <c r="AP26" s="149">
        <f>IF(AF26="",0,SUMIFS('17년일출'!$AC$6:$AC$92,'17년일출'!$AG$6:$AG$92,'17년일입'!$AF26))</f>
        <v>0</v>
      </c>
      <c r="AQ26" s="149">
        <f>IF(AF26="","",COUNTIFS('17년일출'!$AG$6:$AG$92,AF26))</f>
        <v>1</v>
      </c>
      <c r="AR26" s="153" t="str">
        <f t="shared" si="21"/>
        <v>@@</v>
      </c>
      <c r="AT26" s="138"/>
    </row>
    <row r="27" spans="1:46" s="156" customFormat="1" ht="48" customHeight="1">
      <c r="A27" s="127" t="str">
        <f>IFERROR(VLOOKUP($C27,구분표!$A$2:$C$313,2,FALSE),"")</f>
        <v>농정해양위원회</v>
      </c>
      <c r="B27" s="157" t="str">
        <f>IFERROR(VLOOKUP($C27,구분표!$A$2:$C$313,3,FALSE),"")</f>
        <v>축산산림국</v>
      </c>
      <c r="C27" s="158" t="s">
        <v>750</v>
      </c>
      <c r="D27" s="140" t="s">
        <v>748</v>
      </c>
      <c r="E27" s="140">
        <v>681</v>
      </c>
      <c r="F27" s="186"/>
      <c r="G27" s="159" t="s">
        <v>816</v>
      </c>
      <c r="H27" s="168">
        <v>620900</v>
      </c>
      <c r="I27" s="163"/>
      <c r="J27" s="139">
        <v>39100</v>
      </c>
      <c r="K27" s="151">
        <f t="shared" si="13"/>
        <v>660000</v>
      </c>
      <c r="L27" s="149"/>
      <c r="M27" s="150"/>
      <c r="N27" s="152">
        <f t="shared" si="14"/>
        <v>620900</v>
      </c>
      <c r="O27" s="153" t="str">
        <f t="shared" si="15"/>
        <v>X</v>
      </c>
      <c r="P27" s="141" t="s">
        <v>800</v>
      </c>
      <c r="Q27" s="141"/>
      <c r="R27" s="155"/>
      <c r="T27" s="153" t="s">
        <v>751</v>
      </c>
      <c r="V27" s="164" t="s">
        <v>752</v>
      </c>
      <c r="W27" s="163">
        <v>39100</v>
      </c>
      <c r="X27" s="163">
        <v>0</v>
      </c>
      <c r="Y27" s="164" t="str">
        <f t="shared" si="16"/>
        <v>OK</v>
      </c>
      <c r="Z27" s="165"/>
      <c r="AA27" s="153"/>
      <c r="AB27" s="149" t="str">
        <f t="shared" si="17"/>
        <v>직접입력</v>
      </c>
      <c r="AC27" s="149" t="str">
        <f t="shared" si="18"/>
        <v>직접입력</v>
      </c>
      <c r="AD27" s="153" t="str">
        <f t="shared" si="19"/>
        <v>OK</v>
      </c>
      <c r="AE27" s="165"/>
      <c r="AF27" s="164" t="str">
        <f>IF(AH27="","",IF(V27="도비","세입없음",CONCATENATE(AH27,"-",COUNTIF($AH$15:AH27,AH27))))</f>
        <v>0227-13</v>
      </c>
      <c r="AG27" s="165"/>
      <c r="AH27" s="164" t="str">
        <f t="array" ref="AH27">IF(C27="","",INDEX(구분표!$I$2:$I$313, MATCH(1,(구분표!$E$2:$E$313='17년일입'!B27)*(구분표!$F$2:$F$313='17년일입'!C27)*(구분표!$G$2:$G$313='17년일입'!A27),0)))</f>
        <v>0227</v>
      </c>
      <c r="AJ27" s="153"/>
      <c r="AL27" s="149">
        <f>IF(AF27="",0,SUMIFS('17년일출'!$X$6:$X$92,'17년일출'!$AG$6:$AG$92,'17년일입'!$AF27))</f>
        <v>39100</v>
      </c>
      <c r="AM27" s="149">
        <f>IF(AF27="","",COUNTIFS('17년일출'!$AG$6:$AG$92,'17년일입'!AF27))</f>
        <v>1</v>
      </c>
      <c r="AN27" s="153" t="str">
        <f t="shared" si="20"/>
        <v>OK</v>
      </c>
      <c r="AP27" s="149">
        <f>IF(AF27="",0,SUMIFS('17년일출'!$AC$6:$AC$92,'17년일출'!$AG$6:$AG$92,'17년일입'!$AF27))</f>
        <v>0</v>
      </c>
      <c r="AQ27" s="149">
        <f>IF(AF27="","",COUNTIFS('17년일출'!$AG$6:$AG$92,AF27))</f>
        <v>1</v>
      </c>
      <c r="AR27" s="153" t="str">
        <f t="shared" si="21"/>
        <v>@@</v>
      </c>
      <c r="AT27" s="138"/>
    </row>
    <row r="28" spans="1:46" s="156" customFormat="1" ht="48" customHeight="1">
      <c r="A28" s="127" t="str">
        <f>IFERROR(VLOOKUP($C28,구분표!$A$2:$C$313,2,FALSE),"")</f>
        <v>농정해양위원회</v>
      </c>
      <c r="B28" s="157" t="str">
        <f>IFERROR(VLOOKUP($C28,구분표!$A$2:$C$313,3,FALSE),"")</f>
        <v>축산산림국</v>
      </c>
      <c r="C28" s="158" t="s">
        <v>750</v>
      </c>
      <c r="D28" s="140" t="s">
        <v>748</v>
      </c>
      <c r="E28" s="140">
        <v>681</v>
      </c>
      <c r="F28" s="186"/>
      <c r="G28" s="159" t="s">
        <v>817</v>
      </c>
      <c r="H28" s="168">
        <v>647100</v>
      </c>
      <c r="I28" s="163">
        <v>-647100</v>
      </c>
      <c r="J28" s="139"/>
      <c r="K28" s="151">
        <f t="shared" si="13"/>
        <v>0</v>
      </c>
      <c r="L28" s="149"/>
      <c r="M28" s="150"/>
      <c r="N28" s="152">
        <f t="shared" si="14"/>
        <v>647100</v>
      </c>
      <c r="O28" s="153" t="str">
        <f t="shared" si="15"/>
        <v>O</v>
      </c>
      <c r="P28" s="141" t="s">
        <v>800</v>
      </c>
      <c r="Q28" s="141"/>
      <c r="R28" s="155"/>
      <c r="T28" s="153" t="s">
        <v>751</v>
      </c>
      <c r="V28" s="164" t="s">
        <v>752</v>
      </c>
      <c r="W28" s="163">
        <v>-647100</v>
      </c>
      <c r="X28" s="163">
        <v>0</v>
      </c>
      <c r="Y28" s="164" t="str">
        <f t="shared" si="16"/>
        <v>OK</v>
      </c>
      <c r="Z28" s="165"/>
      <c r="AA28" s="153"/>
      <c r="AB28" s="149" t="str">
        <f t="shared" si="17"/>
        <v>직접입력</v>
      </c>
      <c r="AC28" s="149" t="str">
        <f t="shared" si="18"/>
        <v>직접입력</v>
      </c>
      <c r="AD28" s="153" t="str">
        <f t="shared" si="19"/>
        <v>OK</v>
      </c>
      <c r="AE28" s="165"/>
      <c r="AF28" s="164" t="str">
        <f>IF(AH28="","",IF(V28="도비","세입없음",CONCATENATE(AH28,"-",COUNTIF($AH$15:AH28,AH28))))</f>
        <v>0227-14</v>
      </c>
      <c r="AG28" s="165"/>
      <c r="AH28" s="164" t="str">
        <f t="array" ref="AH28">IF(C28="","",INDEX(구분표!$I$2:$I$313, MATCH(1,(구분표!$E$2:$E$313='17년일입'!B28)*(구분표!$F$2:$F$313='17년일입'!C28)*(구분표!$G$2:$G$313='17년일입'!A28),0)))</f>
        <v>0227</v>
      </c>
      <c r="AJ28" s="153"/>
      <c r="AL28" s="163">
        <f>IF(AF28="",0,SUMIFS('17년일출'!$X$6:$X$92,'17년일출'!$AG$6:$AG$92,'17년일입'!$AF28))</f>
        <v>-647100</v>
      </c>
      <c r="AM28" s="149">
        <f>IF(AF28="","",COUNTIFS('17년일출'!$AG$6:$AG$92,'17년일입'!AF28))</f>
        <v>1</v>
      </c>
      <c r="AN28" s="153" t="str">
        <f t="shared" si="20"/>
        <v>OK</v>
      </c>
      <c r="AP28" s="149">
        <f>IF(AF28="",0,SUMIFS('17년일출'!$AC$6:$AC$92,'17년일출'!$AG$6:$AG$92,'17년일입'!$AF28))</f>
        <v>0</v>
      </c>
      <c r="AQ28" s="149">
        <f>IF(AF28="","",COUNTIFS('17년일출'!$AG$6:$AG$92,AF28))</f>
        <v>1</v>
      </c>
      <c r="AR28" s="153" t="str">
        <f t="shared" si="21"/>
        <v>@@</v>
      </c>
      <c r="AT28" s="138"/>
    </row>
    <row r="29" spans="1:46" s="156" customFormat="1" ht="48" customHeight="1">
      <c r="A29" s="127" t="str">
        <f>IFERROR(VLOOKUP($C29,구분표!$A$2:$C$313,2,FALSE),"")</f>
        <v>농정해양위원회</v>
      </c>
      <c r="B29" s="157" t="str">
        <f>IFERROR(VLOOKUP($C29,구분표!$A$2:$C$313,3,FALSE),"")</f>
        <v>축산산림국</v>
      </c>
      <c r="C29" s="158" t="s">
        <v>750</v>
      </c>
      <c r="D29" s="140" t="s">
        <v>748</v>
      </c>
      <c r="E29" s="140">
        <v>681</v>
      </c>
      <c r="F29" s="186"/>
      <c r="G29" s="159" t="s">
        <v>818</v>
      </c>
      <c r="H29" s="168">
        <v>74000</v>
      </c>
      <c r="I29" s="163">
        <v>-11000</v>
      </c>
      <c r="J29" s="139"/>
      <c r="K29" s="151">
        <f t="shared" si="13"/>
        <v>63000</v>
      </c>
      <c r="L29" s="149"/>
      <c r="M29" s="150"/>
      <c r="N29" s="152">
        <f t="shared" si="14"/>
        <v>74000</v>
      </c>
      <c r="O29" s="153" t="str">
        <f t="shared" si="15"/>
        <v>O</v>
      </c>
      <c r="P29" s="141" t="s">
        <v>800</v>
      </c>
      <c r="Q29" s="141"/>
      <c r="R29" s="155"/>
      <c r="T29" s="153" t="s">
        <v>751</v>
      </c>
      <c r="V29" s="164" t="s">
        <v>752</v>
      </c>
      <c r="W29" s="163">
        <v>-11000</v>
      </c>
      <c r="X29" s="163">
        <v>0</v>
      </c>
      <c r="Y29" s="164" t="str">
        <f t="shared" si="16"/>
        <v>OK</v>
      </c>
      <c r="Z29" s="165"/>
      <c r="AA29" s="153"/>
      <c r="AB29" s="149" t="str">
        <f t="shared" si="17"/>
        <v>직접입력</v>
      </c>
      <c r="AC29" s="149" t="str">
        <f t="shared" si="18"/>
        <v>직접입력</v>
      </c>
      <c r="AD29" s="153" t="str">
        <f t="shared" si="19"/>
        <v>OK</v>
      </c>
      <c r="AE29" s="165"/>
      <c r="AF29" s="164" t="str">
        <f>IF(AH29="","",IF(V29="도비","세입없음",CONCATENATE(AH29,"-",COUNTIF($AH$15:AH29,AH29))))</f>
        <v>0227-15</v>
      </c>
      <c r="AG29" s="165"/>
      <c r="AH29" s="164" t="str">
        <f t="array" ref="AH29">IF(C29="","",INDEX(구분표!$I$2:$I$313, MATCH(1,(구분표!$E$2:$E$313='17년일입'!B29)*(구분표!$F$2:$F$313='17년일입'!C29)*(구분표!$G$2:$G$313='17년일입'!A29),0)))</f>
        <v>0227</v>
      </c>
      <c r="AJ29" s="153"/>
      <c r="AL29" s="163">
        <f>IF(AF29="",0,SUMIFS('17년일출'!$X$6:$X$92,'17년일출'!$AG$6:$AG$92,'17년일입'!$AF29))</f>
        <v>-11000</v>
      </c>
      <c r="AM29" s="149">
        <f>IF(AF29="","",COUNTIFS('17년일출'!$AG$6:$AG$92,'17년일입'!AF29))</f>
        <v>1</v>
      </c>
      <c r="AN29" s="153" t="str">
        <f t="shared" si="20"/>
        <v>OK</v>
      </c>
      <c r="AP29" s="149">
        <f>IF(AF29="",0,SUMIFS('17년일출'!$AC$6:$AC$92,'17년일출'!$AG$6:$AG$92,'17년일입'!$AF29))</f>
        <v>0</v>
      </c>
      <c r="AQ29" s="149">
        <f>IF(AF29="","",COUNTIFS('17년일출'!$AG$6:$AG$92,AF29))</f>
        <v>1</v>
      </c>
      <c r="AR29" s="153" t="str">
        <f t="shared" si="21"/>
        <v>@@</v>
      </c>
      <c r="AT29" s="138"/>
    </row>
    <row r="30" spans="1:46" s="156" customFormat="1" ht="48" customHeight="1">
      <c r="A30" s="127" t="str">
        <f>IFERROR(VLOOKUP($C30,구분표!$A$2:$C$313,2,FALSE),"")</f>
        <v>농정해양위원회</v>
      </c>
      <c r="B30" s="157" t="str">
        <f>IFERROR(VLOOKUP($C30,구분표!$A$2:$C$313,3,FALSE),"")</f>
        <v>축산산림국</v>
      </c>
      <c r="C30" s="158" t="s">
        <v>750</v>
      </c>
      <c r="D30" s="140" t="s">
        <v>748</v>
      </c>
      <c r="E30" s="140">
        <v>681</v>
      </c>
      <c r="F30" s="186"/>
      <c r="G30" s="159" t="s">
        <v>819</v>
      </c>
      <c r="H30" s="168">
        <v>91900</v>
      </c>
      <c r="I30" s="163">
        <v>-62640</v>
      </c>
      <c r="J30" s="139"/>
      <c r="K30" s="151">
        <f t="shared" si="13"/>
        <v>29260</v>
      </c>
      <c r="L30" s="149"/>
      <c r="M30" s="150"/>
      <c r="N30" s="152">
        <f t="shared" si="14"/>
        <v>91900</v>
      </c>
      <c r="O30" s="153" t="str">
        <f t="shared" si="15"/>
        <v>O</v>
      </c>
      <c r="P30" s="141" t="s">
        <v>800</v>
      </c>
      <c r="Q30" s="141"/>
      <c r="R30" s="155"/>
      <c r="T30" s="153" t="s">
        <v>751</v>
      </c>
      <c r="V30" s="164" t="s">
        <v>752</v>
      </c>
      <c r="W30" s="163">
        <v>-62640</v>
      </c>
      <c r="X30" s="163">
        <v>0</v>
      </c>
      <c r="Y30" s="164" t="str">
        <f t="shared" si="16"/>
        <v>OK</v>
      </c>
      <c r="Z30" s="165"/>
      <c r="AA30" s="153"/>
      <c r="AB30" s="149" t="str">
        <f t="shared" si="17"/>
        <v>직접입력</v>
      </c>
      <c r="AC30" s="149" t="str">
        <f t="shared" si="18"/>
        <v>직접입력</v>
      </c>
      <c r="AD30" s="153" t="str">
        <f t="shared" si="19"/>
        <v>OK</v>
      </c>
      <c r="AE30" s="165"/>
      <c r="AF30" s="164" t="str">
        <f>IF(AH30="","",IF(V30="도비","세입없음",CONCATENATE(AH30,"-",COUNTIF($AH$15:AH30,AH30))))</f>
        <v>0227-16</v>
      </c>
      <c r="AG30" s="165"/>
      <c r="AH30" s="164" t="str">
        <f t="array" ref="AH30">IF(C30="","",INDEX(구분표!$I$2:$I$313, MATCH(1,(구분표!$E$2:$E$313='17년일입'!B30)*(구분표!$F$2:$F$313='17년일입'!C30)*(구분표!$G$2:$G$313='17년일입'!A30),0)))</f>
        <v>0227</v>
      </c>
      <c r="AJ30" s="153"/>
      <c r="AL30" s="163">
        <f>IF(AF30="",0,SUMIFS('17년일출'!$X$6:$X$92,'17년일출'!$AG$6:$AG$92,'17년일입'!$AF30))</f>
        <v>-62640</v>
      </c>
      <c r="AM30" s="149">
        <f>IF(AF30="","",COUNTIFS('17년일출'!$AG$6:$AG$92,'17년일입'!AF30))</f>
        <v>1</v>
      </c>
      <c r="AN30" s="153" t="str">
        <f t="shared" si="20"/>
        <v>OK</v>
      </c>
      <c r="AP30" s="149">
        <f>IF(AF30="",0,SUMIFS('17년일출'!$AC$6:$AC$92,'17년일출'!$AG$6:$AG$92,'17년일입'!$AF30))</f>
        <v>0</v>
      </c>
      <c r="AQ30" s="149">
        <f>IF(AF30="","",COUNTIFS('17년일출'!$AG$6:$AG$92,AF30))</f>
        <v>1</v>
      </c>
      <c r="AR30" s="153" t="str">
        <f t="shared" si="21"/>
        <v>@@</v>
      </c>
      <c r="AT30" s="138"/>
    </row>
    <row r="31" spans="1:46" s="156" customFormat="1" ht="48" customHeight="1">
      <c r="A31" s="127" t="str">
        <f>IFERROR(VLOOKUP($C31,[3]구분표!$A$2:$C$313,2,FALSE),"")</f>
        <v>농정해양위원회</v>
      </c>
      <c r="B31" s="157" t="str">
        <f>IFERROR(VLOOKUP($C31,[3]구분표!$A$2:$C$313,3,FALSE),"")</f>
        <v>축산산림국</v>
      </c>
      <c r="C31" s="158" t="s">
        <v>827</v>
      </c>
      <c r="D31" s="140" t="s">
        <v>748</v>
      </c>
      <c r="E31" s="140">
        <v>682</v>
      </c>
      <c r="F31" s="186"/>
      <c r="G31" s="159" t="s">
        <v>927</v>
      </c>
      <c r="H31" s="168">
        <v>328000</v>
      </c>
      <c r="I31" s="163"/>
      <c r="J31" s="139">
        <v>40000</v>
      </c>
      <c r="K31" s="151">
        <f>SUM(H31:J31)</f>
        <v>368000</v>
      </c>
      <c r="L31" s="149"/>
      <c r="M31" s="150"/>
      <c r="N31" s="152">
        <f>SUM(H31,L31,M31)</f>
        <v>328000</v>
      </c>
      <c r="O31" s="153" t="str">
        <f>IF(AND((K31=0),(N31&gt;0)),"O",IF(AND((I31&lt;0),(K31-N31&lt;0)),"O","X"))</f>
        <v>X</v>
      </c>
      <c r="P31" s="141" t="s">
        <v>769</v>
      </c>
      <c r="Q31" s="141"/>
      <c r="R31" s="155"/>
      <c r="T31" s="153" t="s">
        <v>751</v>
      </c>
      <c r="V31" s="164" t="s">
        <v>752</v>
      </c>
      <c r="W31" s="163">
        <v>40000</v>
      </c>
      <c r="X31" s="163"/>
      <c r="Y31" s="164" t="str">
        <f>IF(SUM($I31:$J31)=SUM($W31:$X31),"OK","검토")</f>
        <v>OK</v>
      </c>
      <c r="Z31" s="165"/>
      <c r="AA31" s="153"/>
      <c r="AB31" s="149" t="str">
        <f>IF($V31&lt;&gt;"도비",IF($T31="국도비","직접입력",SUM($L31:$M31)),)</f>
        <v>직접입력</v>
      </c>
      <c r="AC31" s="149" t="str">
        <f>IF($V31="도비",SUM(L31:M31),IF($T31="국도비","직접입력",SUM(L31:M31)-AB31))</f>
        <v>직접입력</v>
      </c>
      <c r="AD31" s="153" t="str">
        <f>IF(SUM(L31:M31)=SUM(AB31:AC31),"OK","검토")</f>
        <v>OK</v>
      </c>
      <c r="AE31" s="165"/>
      <c r="AF31" s="164" t="str">
        <f>IF(AH31="","",IF(V31="도비","세입없음",CONCATENATE(AH31,"-",COUNTIF($AH$15:AH31,AH31))))</f>
        <v>228-1</v>
      </c>
      <c r="AG31" s="165"/>
      <c r="AH31" s="164">
        <v>228</v>
      </c>
      <c r="AJ31" s="153"/>
      <c r="AL31" s="163">
        <v>40000</v>
      </c>
      <c r="AM31" s="149">
        <f>IF(AF31="","",COUNTIFS('17년일출'!$AG$6:$AG$92,'17년일입'!AF31))</f>
        <v>0</v>
      </c>
      <c r="AN31" s="153" t="str">
        <f t="shared" ref="AN31:AN37" si="22">IF(W31=AL31,"OK","@@")</f>
        <v>OK</v>
      </c>
      <c r="AP31" s="149">
        <f>IF(AF31="",0,SUMIFS('17년일출'!$AC$6:$AC$92,'17년일출'!$AG$6:$AG$92,'17년일입'!$AF31))</f>
        <v>0</v>
      </c>
      <c r="AQ31" s="149">
        <f>IF(AF31="","",COUNTIFS('17년일출'!$AG$6:$AG$92,AF31))</f>
        <v>0</v>
      </c>
      <c r="AR31" s="153" t="str">
        <f t="shared" si="21"/>
        <v>@@</v>
      </c>
      <c r="AT31" s="138"/>
    </row>
    <row r="32" spans="1:46" s="156" customFormat="1" ht="48" customHeight="1">
      <c r="A32" s="127" t="s">
        <v>778</v>
      </c>
      <c r="B32" s="157" t="s">
        <v>794</v>
      </c>
      <c r="C32" s="158" t="s">
        <v>826</v>
      </c>
      <c r="D32" s="140" t="s">
        <v>796</v>
      </c>
      <c r="E32" s="140"/>
      <c r="F32" s="186"/>
      <c r="G32" s="159" t="s">
        <v>792</v>
      </c>
      <c r="H32" s="168"/>
      <c r="I32" s="163"/>
      <c r="J32" s="139">
        <v>466624</v>
      </c>
      <c r="K32" s="151">
        <f t="shared" si="13"/>
        <v>466624</v>
      </c>
      <c r="L32" s="149"/>
      <c r="M32" s="150"/>
      <c r="N32" s="152">
        <f>SUM(H32,L32,M32)</f>
        <v>0</v>
      </c>
      <c r="O32" s="153"/>
      <c r="P32" s="141" t="s">
        <v>797</v>
      </c>
      <c r="Q32" s="141"/>
      <c r="R32" s="155"/>
      <c r="T32" s="153" t="s">
        <v>751</v>
      </c>
      <c r="V32" s="164" t="s">
        <v>775</v>
      </c>
      <c r="W32" s="163">
        <v>466624</v>
      </c>
      <c r="X32" s="163">
        <v>0</v>
      </c>
      <c r="Y32" s="164" t="str">
        <f t="shared" si="16"/>
        <v>OK</v>
      </c>
      <c r="Z32" s="165"/>
      <c r="AA32" s="153"/>
      <c r="AB32" s="149" t="str">
        <f>IF($V32&lt;&gt;"도비",IF($T32="국도비","직접입력",SUM($L32:$M32)),)</f>
        <v>직접입력</v>
      </c>
      <c r="AC32" s="149" t="str">
        <f>IF($V32="도비",SUM(L32:M32),IF($T32="국도비","직접입력",SUM(L32:M32)-AB32))</f>
        <v>직접입력</v>
      </c>
      <c r="AD32" s="153" t="str">
        <f>IF(SUM(L32:M32)=SUM(AB32:AC32),"OK","검토")</f>
        <v>OK</v>
      </c>
      <c r="AE32" s="165"/>
      <c r="AF32" s="164" t="str">
        <f>IF(AH32="","",IF(V32="도비","세입없음",CONCATENATE(AH32,"-",COUNTIF($AH$15:AH32,AH32))))</f>
        <v>0229-1</v>
      </c>
      <c r="AG32" s="165"/>
      <c r="AH32" s="164" t="str">
        <f t="array" ref="AH32">IF(C32="","",INDEX(구분표!$I$2:$I$313, MATCH(1,(구분표!$E$2:$E$313='17년일입'!B32)*(구분표!$F$2:$F$313='17년일입'!C32)*(구분표!$G$2:$G$313='17년일입'!A32),0)))</f>
        <v>0229</v>
      </c>
      <c r="AJ32" s="153"/>
      <c r="AL32" s="163">
        <f>IF(AF32="",0,SUMIFS('17년일출'!$X$6:$X$92,'17년일출'!$AG$6:$AG$92,'17년일입'!$AF32))</f>
        <v>466624</v>
      </c>
      <c r="AM32" s="149">
        <f>IF(AF32="","",COUNTIFS('17년일출'!$AG$6:$AG$92,'17년일입'!AF32))</f>
        <v>1</v>
      </c>
      <c r="AN32" s="153" t="str">
        <f t="shared" si="22"/>
        <v>OK</v>
      </c>
      <c r="AP32" s="149">
        <f>IF(AF32="",0,SUMIFS('17년일출'!$AC$6:$AC$92,'17년일출'!$AG$6:$AG$92,'17년일입'!$AF32))</f>
        <v>0</v>
      </c>
      <c r="AQ32" s="149">
        <f>IF(AF32="","",COUNTIFS('17년일출'!$AG$6:$AG$92,AF32))</f>
        <v>1</v>
      </c>
      <c r="AR32" s="153" t="str">
        <f t="shared" si="21"/>
        <v>@@</v>
      </c>
      <c r="AT32" s="138"/>
    </row>
    <row r="33" spans="1:46" s="156" customFormat="1" ht="48" customHeight="1">
      <c r="A33" s="127" t="s">
        <v>778</v>
      </c>
      <c r="B33" s="157" t="s">
        <v>794</v>
      </c>
      <c r="C33" s="158" t="s">
        <v>795</v>
      </c>
      <c r="D33" s="140" t="s">
        <v>796</v>
      </c>
      <c r="E33" s="140"/>
      <c r="F33" s="186"/>
      <c r="G33" s="159" t="s">
        <v>793</v>
      </c>
      <c r="H33" s="168"/>
      <c r="I33" s="163"/>
      <c r="J33" s="139">
        <v>572580</v>
      </c>
      <c r="K33" s="151">
        <f>SUM(H33:J33)</f>
        <v>572580</v>
      </c>
      <c r="L33" s="149"/>
      <c r="M33" s="150"/>
      <c r="N33" s="152">
        <f t="shared" si="14"/>
        <v>0</v>
      </c>
      <c r="O33" s="153" t="str">
        <f t="shared" si="15"/>
        <v>X</v>
      </c>
      <c r="P33" s="141" t="s">
        <v>797</v>
      </c>
      <c r="Q33" s="141"/>
      <c r="R33" s="155"/>
      <c r="T33" s="153" t="s">
        <v>751</v>
      </c>
      <c r="V33" s="164" t="s">
        <v>775</v>
      </c>
      <c r="W33" s="163">
        <v>572580</v>
      </c>
      <c r="X33" s="163">
        <v>0</v>
      </c>
      <c r="Y33" s="164" t="str">
        <f t="shared" si="16"/>
        <v>OK</v>
      </c>
      <c r="Z33" s="165"/>
      <c r="AA33" s="153"/>
      <c r="AB33" s="149" t="str">
        <f t="shared" si="17"/>
        <v>직접입력</v>
      </c>
      <c r="AC33" s="149" t="str">
        <f t="shared" si="18"/>
        <v>직접입력</v>
      </c>
      <c r="AD33" s="153" t="str">
        <f t="shared" si="19"/>
        <v>OK</v>
      </c>
      <c r="AE33" s="165"/>
      <c r="AF33" s="164" t="str">
        <f>IF(AH33="","",IF(V33="도비","세입없음",CONCATENATE(AH33,"-",COUNTIF($AH$15:AH33,AH33))))</f>
        <v>0229-2</v>
      </c>
      <c r="AG33" s="165"/>
      <c r="AH33" s="164" t="str">
        <f t="array" ref="AH33">IF(C33="","",INDEX(구분표!$I$2:$I$313, MATCH(1,(구분표!$E$2:$E$313='17년일입'!B33)*(구분표!$F$2:$F$313='17년일입'!C33)*(구분표!$G$2:$G$313='17년일입'!A33),0)))</f>
        <v>0229</v>
      </c>
      <c r="AJ33" s="153"/>
      <c r="AL33" s="163">
        <f>IF(AF33="",0,SUMIFS('17년일출'!$X$6:$X$92,'17년일출'!$AG$6:$AG$92,'17년일입'!$AF33))</f>
        <v>572580</v>
      </c>
      <c r="AM33" s="163">
        <f>IF(AF33="","",COUNTIFS('17년일출'!$AG$6:$AG$92,'17년일입'!AF33))</f>
        <v>1</v>
      </c>
      <c r="AN33" s="153" t="str">
        <f t="shared" si="22"/>
        <v>OK</v>
      </c>
      <c r="AP33" s="149">
        <f>IF(AF33="",0,SUMIFS('17년일출'!$AC$6:$AC$92,'17년일출'!$AG$6:$AG$92,'17년일입'!$AF33))</f>
        <v>0</v>
      </c>
      <c r="AQ33" s="149">
        <f>IF(AF33="","",COUNTIFS('17년일출'!$AG$6:$AG$92,AF33))</f>
        <v>1</v>
      </c>
      <c r="AR33" s="153" t="str">
        <f t="shared" si="21"/>
        <v>@@</v>
      </c>
      <c r="AT33" s="138"/>
    </row>
    <row r="34" spans="1:46" s="156" customFormat="1" ht="48" customHeight="1">
      <c r="A34" s="127" t="s">
        <v>781</v>
      </c>
      <c r="B34" s="157" t="s">
        <v>782</v>
      </c>
      <c r="C34" s="158" t="s">
        <v>784</v>
      </c>
      <c r="D34" s="140" t="s">
        <v>748</v>
      </c>
      <c r="E34" s="140">
        <v>688</v>
      </c>
      <c r="F34" s="186"/>
      <c r="G34" s="159" t="s">
        <v>786</v>
      </c>
      <c r="H34" s="168">
        <v>158889</v>
      </c>
      <c r="I34" s="163"/>
      <c r="J34" s="139">
        <v>111</v>
      </c>
      <c r="K34" s="151">
        <f t="shared" si="13"/>
        <v>159000</v>
      </c>
      <c r="L34" s="149"/>
      <c r="M34" s="150"/>
      <c r="N34" s="152">
        <f t="shared" si="14"/>
        <v>158889</v>
      </c>
      <c r="O34" s="153" t="str">
        <f t="shared" si="15"/>
        <v>X</v>
      </c>
      <c r="P34" s="141" t="s">
        <v>787</v>
      </c>
      <c r="Q34" s="141"/>
      <c r="R34" s="155"/>
      <c r="T34" s="153" t="s">
        <v>751</v>
      </c>
      <c r="V34" s="164" t="s">
        <v>752</v>
      </c>
      <c r="W34" s="163">
        <v>111</v>
      </c>
      <c r="X34" s="163">
        <v>0</v>
      </c>
      <c r="Y34" s="164" t="str">
        <f t="shared" si="16"/>
        <v>OK</v>
      </c>
      <c r="Z34" s="165"/>
      <c r="AA34" s="153"/>
      <c r="AB34" s="149" t="str">
        <f t="shared" si="17"/>
        <v>직접입력</v>
      </c>
      <c r="AC34" s="149" t="str">
        <f t="shared" si="18"/>
        <v>직접입력</v>
      </c>
      <c r="AD34" s="153" t="str">
        <f t="shared" si="19"/>
        <v>OK</v>
      </c>
      <c r="AE34" s="165"/>
      <c r="AF34" s="164" t="str">
        <f>IF(AH34="","",IF(V34="도비","세입없음",CONCATENATE(AH34,"-",COUNTIF($AH$15:AH34,AH34))))</f>
        <v>0233-1</v>
      </c>
      <c r="AG34" s="165"/>
      <c r="AH34" s="164" t="str">
        <f t="array" ref="AH34">IF(C34="","",INDEX(구분표!$I$2:$I$313, MATCH(1,(구분표!$E$2:$E$313='17년일입'!B34)*(구분표!$F$2:$F$313='17년일입'!C34)*(구분표!$G$2:$G$313='17년일입'!A34),0)))</f>
        <v>0233</v>
      </c>
      <c r="AJ34" s="153"/>
      <c r="AL34" s="163">
        <f>IF(AF34="",0,SUMIFS('17년일출'!$X$6:$X$92,'17년일출'!$AG$6:$AG$92,'17년일입'!$AF34))</f>
        <v>111</v>
      </c>
      <c r="AM34" s="163">
        <f>IF(AF34="","",COUNTIFS('17년일출'!$AG$6:$AG$92,'17년일입'!AF34))</f>
        <v>3</v>
      </c>
      <c r="AN34" s="153" t="str">
        <f t="shared" si="22"/>
        <v>OK</v>
      </c>
      <c r="AP34" s="149">
        <f>IF(AF34="",0,SUMIFS('17년일출'!$AC$6:$AC$92,'17년일출'!$AG$6:$AG$92,'17년일입'!$AF34))</f>
        <v>0</v>
      </c>
      <c r="AQ34" s="149">
        <f>IF(AF34="","",COUNTIFS('17년일출'!$AG$6:$AG$92,AF34))</f>
        <v>3</v>
      </c>
      <c r="AR34" s="153" t="str">
        <f t="shared" si="21"/>
        <v>@@</v>
      </c>
      <c r="AT34" s="138"/>
    </row>
    <row r="35" spans="1:46" s="156" customFormat="1" ht="50.1" customHeight="1">
      <c r="A35" s="127" t="s">
        <v>292</v>
      </c>
      <c r="B35" s="157" t="s">
        <v>318</v>
      </c>
      <c r="C35" s="158" t="s">
        <v>832</v>
      </c>
      <c r="D35" s="140" t="s">
        <v>749</v>
      </c>
      <c r="E35" s="140"/>
      <c r="F35" s="186"/>
      <c r="G35" s="181" t="s">
        <v>833</v>
      </c>
      <c r="H35" s="148"/>
      <c r="I35" s="149"/>
      <c r="J35" s="150">
        <v>75000</v>
      </c>
      <c r="K35" s="151">
        <v>75000</v>
      </c>
      <c r="L35" s="161" t="s">
        <v>836</v>
      </c>
      <c r="M35" s="161"/>
      <c r="N35" s="152">
        <f>SUM(H35,L35,M35)</f>
        <v>0</v>
      </c>
      <c r="O35" s="153" t="str">
        <f>IF(AND((K35=0),(N35&gt;0)),"O",IF(AND((I35&lt;0),(K35-N35&lt;0)),"O","X"))</f>
        <v>X</v>
      </c>
      <c r="P35" s="161" t="s">
        <v>824</v>
      </c>
      <c r="Q35" s="161"/>
      <c r="R35" s="155"/>
      <c r="T35" s="153" t="s">
        <v>751</v>
      </c>
      <c r="V35" s="153" t="s">
        <v>775</v>
      </c>
      <c r="W35" s="149">
        <v>75000</v>
      </c>
      <c r="X35" s="149">
        <v>0</v>
      </c>
      <c r="Y35" s="153" t="str">
        <f>IF(SUM($I35:$J35)=SUM($W35:$X35),"OK","검토")</f>
        <v>OK</v>
      </c>
      <c r="AA35" s="153"/>
      <c r="AB35" s="149" t="str">
        <f t="shared" si="17"/>
        <v>직접입력</v>
      </c>
      <c r="AC35" s="149" t="str">
        <f t="shared" si="18"/>
        <v>직접입력</v>
      </c>
      <c r="AD35" s="153" t="str">
        <f t="shared" si="19"/>
        <v>OK</v>
      </c>
      <c r="AF35" s="153" t="str">
        <f>IF(AH35="","",IF(V35="도비","세입없음",CONCATENATE(AH35,"-",COUNTIF($AH$15:AH35,AH35))))</f>
        <v>0234-1</v>
      </c>
      <c r="AH35" s="153" t="str">
        <f t="array" ref="AH35">IF(C35="","",INDEX(구분표!$I$2:$I$313, MATCH(1,(구분표!$E$2:$E$313='17년일입'!B35)*(구분표!$F$2:$F$313='17년일입'!C35)*(구분표!$G$2:$G$313='17년일입'!A35),0)))</f>
        <v>0234</v>
      </c>
      <c r="AJ35" s="153"/>
      <c r="AL35" s="163">
        <v>75000</v>
      </c>
      <c r="AM35" s="163">
        <f>IF(AF35="","",COUNTIFS('17년일출'!$AG$6:$AG$92,'17년일입'!AF35))</f>
        <v>2</v>
      </c>
      <c r="AN35" s="153" t="str">
        <f t="shared" si="22"/>
        <v>OK</v>
      </c>
      <c r="AP35" s="149">
        <f>IF(AF35="",0,SUMIFS('17년일출'!$AC$6:$AC$92,'17년일출'!$AG$6:$AG$92,'17년일입'!$AF35))</f>
        <v>0</v>
      </c>
      <c r="AQ35" s="149">
        <f>IF(AF35="","",COUNTIFS('17년일출'!$AG$6:$AG$92,AF35))</f>
        <v>2</v>
      </c>
      <c r="AR35" s="153" t="str">
        <f t="shared" si="21"/>
        <v>@@</v>
      </c>
      <c r="AT35" s="138"/>
    </row>
    <row r="36" spans="1:46" s="156" customFormat="1" ht="50.1" customHeight="1">
      <c r="A36" s="127" t="s">
        <v>292</v>
      </c>
      <c r="B36" s="157" t="s">
        <v>318</v>
      </c>
      <c r="C36" s="158" t="s">
        <v>832</v>
      </c>
      <c r="D36" s="140" t="s">
        <v>748</v>
      </c>
      <c r="E36" s="140">
        <v>787</v>
      </c>
      <c r="F36" s="186">
        <v>14</v>
      </c>
      <c r="G36" s="181" t="s">
        <v>834</v>
      </c>
      <c r="H36" s="148">
        <v>683700</v>
      </c>
      <c r="I36" s="149">
        <v>-33700</v>
      </c>
      <c r="J36" s="150">
        <v>0</v>
      </c>
      <c r="K36" s="151">
        <v>650000</v>
      </c>
      <c r="L36" s="161" t="s">
        <v>837</v>
      </c>
      <c r="M36" s="161"/>
      <c r="N36" s="152">
        <f t="shared" ref="N36:N37" si="23">SUM(H36,L36,M36)</f>
        <v>683700</v>
      </c>
      <c r="O36" s="153" t="str">
        <f t="shared" ref="O36:O37" si="24">IF(AND((K36=0),(N36&gt;0)),"O",IF(AND((I36&lt;0),(K36-N36&lt;0)),"O","X"))</f>
        <v>O</v>
      </c>
      <c r="P36" s="161" t="s">
        <v>825</v>
      </c>
      <c r="Q36" s="161"/>
      <c r="R36" s="155"/>
      <c r="T36" s="153" t="s">
        <v>751</v>
      </c>
      <c r="V36" s="153" t="s">
        <v>775</v>
      </c>
      <c r="W36" s="149">
        <v>-33700</v>
      </c>
      <c r="X36" s="149">
        <v>0</v>
      </c>
      <c r="Y36" s="153" t="str">
        <f>IF(SUM($I36:$J36)=SUM($W36:$X36),"OK","검토")</f>
        <v>OK</v>
      </c>
      <c r="AA36" s="153"/>
      <c r="AB36" s="149" t="str">
        <f t="shared" si="17"/>
        <v>직접입력</v>
      </c>
      <c r="AC36" s="149" t="str">
        <f t="shared" si="18"/>
        <v>직접입력</v>
      </c>
      <c r="AD36" s="153" t="str">
        <f t="shared" si="19"/>
        <v>OK</v>
      </c>
      <c r="AF36" s="153" t="str">
        <f>IF(AH36="","",IF(V36="도비","세입없음",CONCATENATE(AH36,"-",COUNTIF($AH$15:AH36,AH36))))</f>
        <v>0234-2</v>
      </c>
      <c r="AH36" s="153" t="str">
        <f t="array" ref="AH36">IF(C36="","",INDEX(구분표!$I$2:$I$313, MATCH(1,(구분표!$E$2:$E$313='17년일입'!B36)*(구분표!$F$2:$F$313='17년일입'!C36)*(구분표!$G$2:$G$313='17년일입'!A36),0)))</f>
        <v>0234</v>
      </c>
      <c r="AJ36" s="153"/>
      <c r="AL36" s="163">
        <v>-33700</v>
      </c>
      <c r="AM36" s="163">
        <f>IF(AF36="","",COUNTIFS('17년일출'!$AG$6:$AG$92,'17년일입'!AF36))</f>
        <v>0</v>
      </c>
      <c r="AN36" s="153" t="str">
        <f t="shared" si="22"/>
        <v>OK</v>
      </c>
      <c r="AP36" s="149">
        <f>IF(AF36="",0,SUMIFS('17년일출'!$AC$6:$AC$92,'17년일출'!$AG$6:$AG$92,'17년일입'!$AF36))</f>
        <v>0</v>
      </c>
      <c r="AQ36" s="149">
        <f>IF(AF36="","",COUNTIFS('17년일출'!$AG$6:$AG$92,AF36))</f>
        <v>0</v>
      </c>
      <c r="AR36" s="153" t="str">
        <f t="shared" si="21"/>
        <v>@@</v>
      </c>
      <c r="AT36" s="138"/>
    </row>
    <row r="37" spans="1:46" s="156" customFormat="1" ht="50.1" customHeight="1">
      <c r="A37" s="127" t="s">
        <v>292</v>
      </c>
      <c r="B37" s="157" t="s">
        <v>318</v>
      </c>
      <c r="C37" s="158" t="s">
        <v>832</v>
      </c>
      <c r="D37" s="140" t="s">
        <v>748</v>
      </c>
      <c r="E37" s="140">
        <v>787</v>
      </c>
      <c r="F37" s="186">
        <v>14</v>
      </c>
      <c r="G37" s="181" t="s">
        <v>835</v>
      </c>
      <c r="H37" s="148">
        <v>656800</v>
      </c>
      <c r="I37" s="149"/>
      <c r="J37" s="150">
        <v>28200</v>
      </c>
      <c r="K37" s="151">
        <v>685000</v>
      </c>
      <c r="L37" s="161" t="s">
        <v>837</v>
      </c>
      <c r="M37" s="161"/>
      <c r="N37" s="152">
        <f t="shared" si="23"/>
        <v>656800</v>
      </c>
      <c r="O37" s="153" t="str">
        <f t="shared" si="24"/>
        <v>X</v>
      </c>
      <c r="P37" s="161" t="s">
        <v>825</v>
      </c>
      <c r="Q37" s="161"/>
      <c r="R37" s="155"/>
      <c r="T37" s="153" t="s">
        <v>751</v>
      </c>
      <c r="V37" s="153" t="s">
        <v>775</v>
      </c>
      <c r="W37" s="149">
        <v>28200</v>
      </c>
      <c r="X37" s="149">
        <v>0</v>
      </c>
      <c r="Y37" s="153" t="str">
        <f t="shared" ref="Y37" si="25">IF(SUM($I37:$J37)=SUM($W37:$X37),"OK","검토")</f>
        <v>OK</v>
      </c>
      <c r="AA37" s="153"/>
      <c r="AB37" s="149" t="str">
        <f t="shared" si="17"/>
        <v>직접입력</v>
      </c>
      <c r="AC37" s="149" t="str">
        <f t="shared" si="18"/>
        <v>직접입력</v>
      </c>
      <c r="AD37" s="153" t="str">
        <f t="shared" si="19"/>
        <v>OK</v>
      </c>
      <c r="AF37" s="153" t="str">
        <f>IF(AH37="","",IF(V37="도비","세입없음",CONCATENATE(AH37,"-",COUNTIF($AH$15:AH37,AH37))))</f>
        <v>0234-3</v>
      </c>
      <c r="AH37" s="153" t="str">
        <f t="array" ref="AH37">IF(C37="","",INDEX(구분표!$I$2:$I$313, MATCH(1,(구분표!$E$2:$E$313='17년일입'!B37)*(구분표!$F$2:$F$313='17년일입'!C37)*(구분표!$G$2:$G$313='17년일입'!A37),0)))</f>
        <v>0234</v>
      </c>
      <c r="AJ37" s="153"/>
      <c r="AL37" s="163">
        <v>28200</v>
      </c>
      <c r="AM37" s="163">
        <f>IF(AF37="","",COUNTIFS('17년일출'!$AG$6:$AG$92,'17년일입'!AF37))</f>
        <v>0</v>
      </c>
      <c r="AN37" s="153" t="str">
        <f t="shared" si="22"/>
        <v>OK</v>
      </c>
      <c r="AP37" s="149">
        <f>IF(AF37="",0,SUMIFS('17년일출'!$AC$6:$AC$92,'17년일출'!$AG$6:$AG$92,'17년일입'!$AF37))</f>
        <v>0</v>
      </c>
      <c r="AQ37" s="149">
        <f>IF(AF37="","",COUNTIFS('17년일출'!$AG$6:$AG$92,AF37))</f>
        <v>0</v>
      </c>
      <c r="AR37" s="153" t="str">
        <f t="shared" si="21"/>
        <v>@@</v>
      </c>
      <c r="AT37" s="138"/>
    </row>
    <row r="38" spans="1:46" s="156" customFormat="1" ht="50.1" customHeight="1">
      <c r="D38" s="171"/>
      <c r="E38" s="171"/>
      <c r="F38" s="171"/>
      <c r="I38" s="137"/>
      <c r="J38" s="137"/>
      <c r="K38" s="137"/>
      <c r="AT38" s="138"/>
    </row>
  </sheetData>
  <autoFilter ref="A6:AR37"/>
  <mergeCells count="27">
    <mergeCell ref="I4:J4"/>
    <mergeCell ref="K4:K5"/>
    <mergeCell ref="L4:M4"/>
    <mergeCell ref="A4:A5"/>
    <mergeCell ref="H4:H5"/>
    <mergeCell ref="G4:G5"/>
    <mergeCell ref="D4:D5"/>
    <mergeCell ref="C4:C5"/>
    <mergeCell ref="B4:B5"/>
    <mergeCell ref="E4:E5"/>
    <mergeCell ref="F4:F5"/>
    <mergeCell ref="A1:Q1"/>
    <mergeCell ref="AP4:AR4"/>
    <mergeCell ref="R4:R5"/>
    <mergeCell ref="O4:O5"/>
    <mergeCell ref="T4:T5"/>
    <mergeCell ref="W4:Y4"/>
    <mergeCell ref="V4:V5"/>
    <mergeCell ref="AA4:AA5"/>
    <mergeCell ref="AB4:AD4"/>
    <mergeCell ref="AF4:AF5"/>
    <mergeCell ref="AH4:AH5"/>
    <mergeCell ref="AJ4:AJ5"/>
    <mergeCell ref="AL4:AN4"/>
    <mergeCell ref="P4:P5"/>
    <mergeCell ref="Q4:Q5"/>
    <mergeCell ref="N4:N5"/>
  </mergeCells>
  <phoneticPr fontId="1" type="noConversion"/>
  <dataValidations disablePrompts="1" count="3">
    <dataValidation type="list" allowBlank="1" showInputMessage="1" showErrorMessage="1" sqref="D7:D37">
      <formula1>"본예산,1회추경,2회추경,3회추경,신규"</formula1>
    </dataValidation>
    <dataValidation type="list" allowBlank="1" showInputMessage="1" showErrorMessage="1" sqref="T7:T37">
      <formula1>"도비,국도비"</formula1>
    </dataValidation>
    <dataValidation type="list" allowBlank="1" showInputMessage="1" showErrorMessage="1" sqref="AA7:AA37 V7:V37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111"/>
  <sheetViews>
    <sheetView view="pageBreakPreview" zoomScale="60" zoomScaleNormal="70" workbookViewId="0">
      <pane xSplit="4" ySplit="5" topLeftCell="H6" activePane="bottomRight" state="frozen"/>
      <selection pane="topRight" activeCell="E1" sqref="E1"/>
      <selection pane="bottomLeft" activeCell="A7" sqref="A7"/>
      <selection pane="bottomRight" activeCell="J69" sqref="J69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5" width="7.125" style="116" customWidth="1"/>
    <col min="6" max="6" width="7.125" style="179" customWidth="1"/>
    <col min="7" max="7" width="7.125" style="116" customWidth="1"/>
    <col min="8" max="8" width="44.5" style="1" customWidth="1"/>
    <col min="9" max="12" width="11.625" style="1" customWidth="1"/>
    <col min="13" max="15" width="11.625" style="1" hidden="1" customWidth="1"/>
    <col min="16" max="16" width="7.625" style="1" hidden="1" customWidth="1"/>
    <col min="17" max="17" width="15.875" style="133" bestFit="1" customWidth="1"/>
    <col min="18" max="18" width="17.5" style="133" bestFit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>
      <c r="A1" s="241" t="s">
        <v>740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12"/>
      <c r="T1" s="12"/>
    </row>
    <row r="2" spans="1:40" ht="20.25" customHeight="1">
      <c r="A2" s="14" t="s">
        <v>500</v>
      </c>
      <c r="X2" s="25" t="s">
        <v>502</v>
      </c>
      <c r="AC2" s="25" t="s">
        <v>502</v>
      </c>
    </row>
    <row r="3" spans="1:40" ht="20.25" customHeight="1">
      <c r="J3" s="24"/>
      <c r="K3" s="24"/>
      <c r="M3" s="24">
        <f>COUNTA(M6:M92)-10</f>
        <v>-9</v>
      </c>
      <c r="N3" s="24">
        <f>COUNTA(N6:N92)-10</f>
        <v>-9</v>
      </c>
      <c r="Q3" s="132"/>
      <c r="S3" s="15" t="s">
        <v>484</v>
      </c>
      <c r="X3" s="32" t="e">
        <f>IF(#REF!='17년일입'!W6,"OK","@@")</f>
        <v>#REF!</v>
      </c>
      <c r="Y3" s="33"/>
      <c r="Z3" s="32" t="str">
        <f>IF(COUNTIF(Z6:Z92,"검토")&gt;0,"@@","OK")</f>
        <v>OK</v>
      </c>
      <c r="AC3" s="32" t="e">
        <f>IF(#REF!='17년일입'!AB6,"OK","@@")</f>
        <v>#REF!</v>
      </c>
      <c r="AE3" s="32" t="str">
        <f>IF(COUNTIF(AE6:AE92,"검토")&gt;0,"@@","OK")</f>
        <v>OK</v>
      </c>
    </row>
    <row r="4" spans="1:40" s="13" customFormat="1" ht="30" customHeight="1">
      <c r="A4" s="260" t="s">
        <v>474</v>
      </c>
      <c r="B4" s="266" t="s">
        <v>475</v>
      </c>
      <c r="C4" s="265" t="s">
        <v>476</v>
      </c>
      <c r="D4" s="273" t="s">
        <v>483</v>
      </c>
      <c r="E4" s="275" t="s">
        <v>980</v>
      </c>
      <c r="F4" s="277" t="s">
        <v>477</v>
      </c>
      <c r="G4" s="278" t="s">
        <v>1068</v>
      </c>
      <c r="H4" s="263" t="s">
        <v>478</v>
      </c>
      <c r="I4" s="261" t="s">
        <v>741</v>
      </c>
      <c r="J4" s="254" t="s">
        <v>742</v>
      </c>
      <c r="K4" s="255"/>
      <c r="L4" s="256" t="s">
        <v>743</v>
      </c>
      <c r="M4" s="258" t="s">
        <v>744</v>
      </c>
      <c r="N4" s="259"/>
      <c r="O4" s="252" t="s">
        <v>745</v>
      </c>
      <c r="P4" s="244" t="s">
        <v>482</v>
      </c>
      <c r="Q4" s="250" t="s">
        <v>746</v>
      </c>
      <c r="R4" s="250" t="s">
        <v>747</v>
      </c>
      <c r="S4" s="243" t="s">
        <v>481</v>
      </c>
      <c r="U4" s="245" t="s">
        <v>485</v>
      </c>
      <c r="W4" s="246" t="s">
        <v>486</v>
      </c>
      <c r="X4" s="246" t="s">
        <v>487</v>
      </c>
      <c r="Y4" s="246"/>
      <c r="Z4" s="246"/>
      <c r="AB4" s="247" t="s">
        <v>486</v>
      </c>
      <c r="AC4" s="242" t="s">
        <v>491</v>
      </c>
      <c r="AD4" s="242"/>
      <c r="AE4" s="242"/>
      <c r="AG4" s="246" t="s">
        <v>492</v>
      </c>
      <c r="AI4" s="269" t="s">
        <v>503</v>
      </c>
      <c r="AJ4" s="271" t="s">
        <v>504</v>
      </c>
      <c r="AL4" s="248" t="s">
        <v>493</v>
      </c>
      <c r="AN4" s="248" t="s">
        <v>494</v>
      </c>
    </row>
    <row r="5" spans="1:40" s="13" customFormat="1" ht="18" customHeight="1">
      <c r="A5" s="260"/>
      <c r="B5" s="266"/>
      <c r="C5" s="265"/>
      <c r="D5" s="274"/>
      <c r="E5" s="276"/>
      <c r="F5" s="277"/>
      <c r="G5" s="279"/>
      <c r="H5" s="263"/>
      <c r="I5" s="262"/>
      <c r="J5" s="51" t="s">
        <v>479</v>
      </c>
      <c r="K5" s="51" t="s">
        <v>480</v>
      </c>
      <c r="L5" s="257"/>
      <c r="M5" s="52" t="s">
        <v>479</v>
      </c>
      <c r="N5" s="52" t="s">
        <v>480</v>
      </c>
      <c r="O5" s="253"/>
      <c r="P5" s="244"/>
      <c r="Q5" s="251"/>
      <c r="R5" s="251"/>
      <c r="S5" s="243"/>
      <c r="U5" s="246"/>
      <c r="W5" s="246"/>
      <c r="X5" s="53" t="s">
        <v>488</v>
      </c>
      <c r="Y5" s="53" t="s">
        <v>489</v>
      </c>
      <c r="Z5" s="35" t="s">
        <v>490</v>
      </c>
      <c r="AB5" s="247"/>
      <c r="AC5" s="35" t="s">
        <v>488</v>
      </c>
      <c r="AD5" s="35" t="s">
        <v>489</v>
      </c>
      <c r="AE5" s="35" t="s">
        <v>490</v>
      </c>
      <c r="AG5" s="246"/>
      <c r="AI5" s="270"/>
      <c r="AJ5" s="272"/>
      <c r="AL5" s="247"/>
      <c r="AN5" s="247"/>
    </row>
    <row r="6" spans="1:40" ht="50.1" customHeight="1">
      <c r="A6" s="26" t="s">
        <v>501</v>
      </c>
      <c r="B6" s="27"/>
      <c r="C6" s="28"/>
      <c r="D6" s="125"/>
      <c r="E6" s="113"/>
      <c r="F6" s="114"/>
      <c r="G6" s="114"/>
      <c r="H6" s="27"/>
      <c r="I6" s="29">
        <f>SUM(I7:I102)</f>
        <v>32882791</v>
      </c>
      <c r="J6" s="29">
        <f>SUM(J7:J102)</f>
        <v>-10094202</v>
      </c>
      <c r="K6" s="29">
        <f>SUM(K7:K102)</f>
        <v>18734755</v>
      </c>
      <c r="L6" s="146">
        <f>SUM(L7:L102)</f>
        <v>41523344</v>
      </c>
      <c r="M6" s="29">
        <f t="shared" ref="M6:O6" si="0">SUM(M67:M83)</f>
        <v>0</v>
      </c>
      <c r="N6" s="29">
        <f t="shared" si="0"/>
        <v>0</v>
      </c>
      <c r="O6" s="29">
        <f t="shared" si="0"/>
        <v>2204908</v>
      </c>
      <c r="P6" s="30"/>
      <c r="Q6" s="131"/>
      <c r="R6" s="130"/>
      <c r="S6" s="31"/>
      <c r="U6" s="19"/>
      <c r="W6" s="19"/>
      <c r="X6" s="22"/>
      <c r="Y6" s="22"/>
      <c r="Z6" s="19"/>
      <c r="AB6" s="19"/>
      <c r="AC6" s="22"/>
      <c r="AD6" s="22"/>
      <c r="AE6" s="19"/>
      <c r="AG6" s="19" t="str">
        <f t="shared" ref="AG6" si="1">IF(W6="","",IF(W6="도비","세입없음","직접입력"))</f>
        <v/>
      </c>
      <c r="AI6" s="17"/>
      <c r="AJ6" s="34"/>
      <c r="AL6" s="19"/>
      <c r="AN6" s="19"/>
    </row>
    <row r="7" spans="1:40" s="156" customFormat="1" ht="50.1" customHeight="1">
      <c r="A7" s="127" t="str">
        <f>IFERROR(VLOOKUP($C7,[4]구분표!$A$2:$C$313,2,FALSE),"")</f>
        <v>농정해양위원회</v>
      </c>
      <c r="B7" s="143" t="str">
        <f>IFERROR(VLOOKUP($C7,[4]구분표!$A$2:$C$313,3,FALSE),"")</f>
        <v>농정해양국</v>
      </c>
      <c r="C7" s="142" t="s">
        <v>987</v>
      </c>
      <c r="D7" s="162" t="s">
        <v>749</v>
      </c>
      <c r="E7" s="140" t="s">
        <v>981</v>
      </c>
      <c r="F7" s="184">
        <v>618</v>
      </c>
      <c r="G7" s="183"/>
      <c r="H7" s="181" t="s">
        <v>991</v>
      </c>
      <c r="I7" s="149"/>
      <c r="J7" s="149"/>
      <c r="K7" s="149">
        <v>50000</v>
      </c>
      <c r="L7" s="170">
        <f t="shared" ref="L7:L38" si="2">I7+J7+K7</f>
        <v>50000</v>
      </c>
      <c r="M7" s="149"/>
      <c r="N7" s="149"/>
      <c r="O7" s="170">
        <f>I7+M7+N7</f>
        <v>0</v>
      </c>
      <c r="P7" s="153" t="str">
        <f>IF(AND((L7=0),(O7&gt;0)),"O",IF(AND((J7&lt;0),(L7-O7&lt;0)),"O","X"))</f>
        <v>X</v>
      </c>
      <c r="Q7" s="141" t="s">
        <v>1003</v>
      </c>
      <c r="R7" s="141"/>
      <c r="S7" s="155"/>
      <c r="U7" s="164" t="s">
        <v>985</v>
      </c>
      <c r="V7" s="165"/>
      <c r="W7" s="164" t="s">
        <v>985</v>
      </c>
      <c r="X7" s="163"/>
      <c r="Y7" s="163">
        <v>50000</v>
      </c>
      <c r="Z7" s="164" t="str">
        <f t="shared" ref="Z7:Z38" si="3">IF(SUM($J7:$K7)=SUM($X7:$Y7),"OK","검토")</f>
        <v>OK</v>
      </c>
      <c r="AA7" s="165"/>
      <c r="AB7" s="164"/>
      <c r="AC7" s="163">
        <f t="shared" ref="AC7:AC38" si="4">IF($W7&lt;&gt;"도비",IF($U7="국도비","직접입력",SUM($M7:$N7)),)</f>
        <v>0</v>
      </c>
      <c r="AD7" s="163">
        <f t="shared" ref="AD7:AD38" si="5">IF($W7="도비",SUM(M7:N7),IF($U7="국도비","직접입력",SUM(M7:N7)-AC7))</f>
        <v>0</v>
      </c>
      <c r="AE7" s="164" t="str">
        <f t="shared" ref="AE7:AE38" si="6">IF(SUM(M7:N7)=SUM(AC7:AD7),"OK","검토")</f>
        <v>OK</v>
      </c>
      <c r="AF7" s="165"/>
      <c r="AG7" s="164" t="str">
        <f t="shared" ref="AG7:AG38" si="7">IF(W7="","",IF(W7="도비","세입없음","직접입력"))</f>
        <v>세입없음</v>
      </c>
      <c r="AH7" s="165"/>
      <c r="AI7" s="166">
        <f t="shared" ref="AI7:AI38" si="8">IF(AG7="","",COUNTIF($AG$6:$AG$166,AG7))</f>
        <v>56</v>
      </c>
      <c r="AJ7" s="167" t="str">
        <f>IF(W7="","",IF(AND(W7="도비",AG7="세입없음"),"OK",IF(AND(W7&lt;&gt;"도비",AG7&lt;&gt;""),"OK","@@")))</f>
        <v>OK</v>
      </c>
      <c r="AK7" s="165"/>
      <c r="AL7" s="164" t="str">
        <f t="array" ref="AL7">IF(C7="","",INDEX(구분표!$I$2:$I$313, MATCH(1,(구분표!$E$2:$E$313='17년일출'!B7)*(구분표!$F$2:$F$313='17년일출'!C7)*(구분표!$G$2:$G$313='17년일출'!A7),0)))</f>
        <v>0220</v>
      </c>
      <c r="AM7" s="165"/>
      <c r="AN7" s="153"/>
    </row>
    <row r="8" spans="1:40" s="156" customFormat="1" ht="50.1" customHeight="1">
      <c r="A8" s="127" t="str">
        <f>IFERROR(VLOOKUP($C8,[4]구분표!$A$2:$C$313,2,FALSE),"")</f>
        <v>농정해양위원회</v>
      </c>
      <c r="B8" s="143" t="str">
        <f>IFERROR(VLOOKUP($C8,[4]구분표!$A$2:$C$313,3,FALSE),"")</f>
        <v>농정해양국</v>
      </c>
      <c r="C8" s="142" t="s">
        <v>987</v>
      </c>
      <c r="D8" s="162" t="s">
        <v>928</v>
      </c>
      <c r="E8" s="140" t="s">
        <v>983</v>
      </c>
      <c r="F8" s="184">
        <v>619</v>
      </c>
      <c r="G8" s="183">
        <v>70</v>
      </c>
      <c r="H8" s="181" t="s">
        <v>961</v>
      </c>
      <c r="I8" s="148">
        <v>100000</v>
      </c>
      <c r="J8" s="149"/>
      <c r="K8" s="150">
        <v>100000</v>
      </c>
      <c r="L8" s="170">
        <f t="shared" si="2"/>
        <v>200000</v>
      </c>
      <c r="M8" s="149"/>
      <c r="N8" s="150"/>
      <c r="O8" s="152"/>
      <c r="P8" s="153"/>
      <c r="Q8" s="141"/>
      <c r="R8" s="141"/>
      <c r="S8" s="155"/>
      <c r="U8" s="164" t="s">
        <v>985</v>
      </c>
      <c r="V8" s="165"/>
      <c r="W8" s="164" t="s">
        <v>985</v>
      </c>
      <c r="X8" s="163"/>
      <c r="Y8" s="163">
        <v>100000</v>
      </c>
      <c r="Z8" s="164" t="str">
        <f t="shared" si="3"/>
        <v>OK</v>
      </c>
      <c r="AA8" s="165"/>
      <c r="AB8" s="164"/>
      <c r="AC8" s="163">
        <f t="shared" si="4"/>
        <v>0</v>
      </c>
      <c r="AD8" s="163">
        <f t="shared" si="5"/>
        <v>0</v>
      </c>
      <c r="AE8" s="164" t="str">
        <f t="shared" si="6"/>
        <v>OK</v>
      </c>
      <c r="AF8" s="165"/>
      <c r="AG8" s="164" t="str">
        <f t="shared" si="7"/>
        <v>세입없음</v>
      </c>
      <c r="AH8" s="165"/>
      <c r="AI8" s="166">
        <f t="shared" si="8"/>
        <v>56</v>
      </c>
      <c r="AJ8" s="167" t="str">
        <f t="shared" ref="AJ8:AJ55" si="9">IF(W8="","",IF(AND(W8="도비",AG8="세입없음"),"OK",IF(AND(W8&lt;&gt;"도비",AG8&lt;&gt;""),"OK","@@")))</f>
        <v>OK</v>
      </c>
      <c r="AK8" s="165"/>
      <c r="AL8" s="164" t="str">
        <f t="array" ref="AL8">IF(C8="","",INDEX(구분표!$I$2:$I$313, MATCH(1,(구분표!$E$2:$E$313='17년일출'!B8)*(구분표!$F$2:$F$313='17년일출'!C8)*(구분표!$G$2:$G$313='17년일출'!A8),0)))</f>
        <v>0220</v>
      </c>
      <c r="AM8" s="165"/>
      <c r="AN8" s="153"/>
    </row>
    <row r="9" spans="1:40" s="156" customFormat="1" ht="50.1" customHeight="1">
      <c r="A9" s="127" t="str">
        <f>IFERROR(VLOOKUP($C9,[4]구분표!$A$2:$C$313,2,FALSE),"")</f>
        <v>농정해양위원회</v>
      </c>
      <c r="B9" s="143" t="str">
        <f>IFERROR(VLOOKUP($C9,[4]구분표!$A$2:$C$313,3,FALSE),"")</f>
        <v>농정해양국</v>
      </c>
      <c r="C9" s="142" t="s">
        <v>987</v>
      </c>
      <c r="D9" s="162" t="s">
        <v>928</v>
      </c>
      <c r="E9" s="140" t="s">
        <v>983</v>
      </c>
      <c r="F9" s="184">
        <v>620</v>
      </c>
      <c r="G9" s="183">
        <v>79</v>
      </c>
      <c r="H9" s="181" t="s">
        <v>1004</v>
      </c>
      <c r="I9" s="148">
        <v>284425</v>
      </c>
      <c r="J9" s="149"/>
      <c r="K9" s="150">
        <v>15581</v>
      </c>
      <c r="L9" s="170">
        <f t="shared" si="2"/>
        <v>300006</v>
      </c>
      <c r="M9" s="149"/>
      <c r="N9" s="150"/>
      <c r="O9" s="152"/>
      <c r="P9" s="153"/>
      <c r="Q9" s="141" t="s">
        <v>1005</v>
      </c>
      <c r="R9" s="141"/>
      <c r="S9" s="155"/>
      <c r="U9" s="164" t="s">
        <v>985</v>
      </c>
      <c r="V9" s="165"/>
      <c r="W9" s="164" t="s">
        <v>985</v>
      </c>
      <c r="X9" s="163"/>
      <c r="Y9" s="163">
        <v>15581</v>
      </c>
      <c r="Z9" s="164" t="str">
        <f t="shared" si="3"/>
        <v>OK</v>
      </c>
      <c r="AA9" s="165"/>
      <c r="AB9" s="164"/>
      <c r="AC9" s="163">
        <f t="shared" si="4"/>
        <v>0</v>
      </c>
      <c r="AD9" s="163">
        <f t="shared" si="5"/>
        <v>0</v>
      </c>
      <c r="AE9" s="164" t="str">
        <f t="shared" si="6"/>
        <v>OK</v>
      </c>
      <c r="AF9" s="165"/>
      <c r="AG9" s="164" t="str">
        <f t="shared" si="7"/>
        <v>세입없음</v>
      </c>
      <c r="AH9" s="165"/>
      <c r="AI9" s="166">
        <f t="shared" si="8"/>
        <v>56</v>
      </c>
      <c r="AJ9" s="167" t="str">
        <f t="shared" si="9"/>
        <v>OK</v>
      </c>
      <c r="AK9" s="165"/>
      <c r="AL9" s="164" t="str">
        <f t="array" ref="AL9">IF(C9="","",INDEX(구분표!$I$2:$I$313, MATCH(1,(구분표!$E$2:$E$313='17년일출'!B9)*(구분표!$F$2:$F$313='17년일출'!C9)*(구분표!$G$2:$G$313='17년일출'!A9),0)))</f>
        <v>0220</v>
      </c>
      <c r="AM9" s="165"/>
      <c r="AN9" s="153"/>
    </row>
    <row r="10" spans="1:40" s="156" customFormat="1" ht="50.1" customHeight="1">
      <c r="A10" s="127" t="str">
        <f>IFERROR(VLOOKUP($C10,[4]구분표!$A$2:$C$313,2,FALSE),"")</f>
        <v>농정해양위원회</v>
      </c>
      <c r="B10" s="143" t="str">
        <f>IFERROR(VLOOKUP($C10,[4]구분표!$A$2:$C$313,3,FALSE),"")</f>
        <v>농정해양국</v>
      </c>
      <c r="C10" s="142" t="s">
        <v>987</v>
      </c>
      <c r="D10" s="162" t="s">
        <v>928</v>
      </c>
      <c r="E10" s="140" t="s">
        <v>982</v>
      </c>
      <c r="F10" s="184">
        <v>626</v>
      </c>
      <c r="G10" s="183">
        <v>185</v>
      </c>
      <c r="H10" s="181" t="s">
        <v>929</v>
      </c>
      <c r="I10" s="148">
        <v>5000000</v>
      </c>
      <c r="J10" s="149">
        <v>-2000000</v>
      </c>
      <c r="K10" s="150"/>
      <c r="L10" s="170">
        <f t="shared" si="2"/>
        <v>3000000</v>
      </c>
      <c r="M10" s="149"/>
      <c r="N10" s="150"/>
      <c r="O10" s="152">
        <f>I10+M10+N10</f>
        <v>5000000</v>
      </c>
      <c r="P10" s="153"/>
      <c r="Q10" s="141" t="s">
        <v>984</v>
      </c>
      <c r="R10" s="141"/>
      <c r="S10" s="155"/>
      <c r="U10" s="164" t="s">
        <v>985</v>
      </c>
      <c r="V10" s="165"/>
      <c r="W10" s="164" t="s">
        <v>985</v>
      </c>
      <c r="X10" s="163"/>
      <c r="Y10" s="163">
        <v>-2000000</v>
      </c>
      <c r="Z10" s="164" t="str">
        <f t="shared" si="3"/>
        <v>OK</v>
      </c>
      <c r="AA10" s="165"/>
      <c r="AB10" s="164"/>
      <c r="AC10" s="163">
        <f t="shared" si="4"/>
        <v>0</v>
      </c>
      <c r="AD10" s="163">
        <f t="shared" si="5"/>
        <v>0</v>
      </c>
      <c r="AE10" s="164" t="str">
        <f t="shared" si="6"/>
        <v>OK</v>
      </c>
      <c r="AF10" s="165"/>
      <c r="AG10" s="164" t="str">
        <f t="shared" si="7"/>
        <v>세입없음</v>
      </c>
      <c r="AH10" s="165"/>
      <c r="AI10" s="166">
        <f t="shared" si="8"/>
        <v>56</v>
      </c>
      <c r="AJ10" s="167" t="str">
        <f t="shared" si="9"/>
        <v>OK</v>
      </c>
      <c r="AK10" s="165"/>
      <c r="AL10" s="164" t="str">
        <f t="array" ref="AL10">IF(C10="","",INDEX(구분표!$I$2:$I$313, MATCH(1,(구분표!$E$2:$E$313='17년일출'!B10)*(구분표!$F$2:$F$313='17년일출'!C10)*(구분표!$G$2:$G$313='17년일출'!A10),0)))</f>
        <v>0220</v>
      </c>
      <c r="AM10" s="165"/>
      <c r="AN10" s="153"/>
    </row>
    <row r="11" spans="1:40" s="156" customFormat="1" ht="50.1" customHeight="1">
      <c r="A11" s="127" t="str">
        <f>IFERROR(VLOOKUP($C11,[4]구분표!$A$2:$C$313,2,FALSE),"")</f>
        <v>농정해양위원회</v>
      </c>
      <c r="B11" s="143" t="str">
        <f>IFERROR(VLOOKUP($C11,[4]구분표!$A$2:$C$313,3,FALSE),"")</f>
        <v>농정해양국</v>
      </c>
      <c r="C11" s="142" t="s">
        <v>988</v>
      </c>
      <c r="D11" s="162" t="s">
        <v>928</v>
      </c>
      <c r="E11" s="140" t="s">
        <v>983</v>
      </c>
      <c r="F11" s="184">
        <v>627</v>
      </c>
      <c r="G11" s="183">
        <v>204</v>
      </c>
      <c r="H11" s="181" t="s">
        <v>962</v>
      </c>
      <c r="I11" s="148">
        <v>300000</v>
      </c>
      <c r="J11" s="149"/>
      <c r="K11" s="150">
        <v>100000</v>
      </c>
      <c r="L11" s="170">
        <f t="shared" si="2"/>
        <v>400000</v>
      </c>
      <c r="M11" s="149"/>
      <c r="N11" s="150"/>
      <c r="O11" s="152"/>
      <c r="P11" s="153"/>
      <c r="Q11" s="141"/>
      <c r="R11" s="141"/>
      <c r="S11" s="155"/>
      <c r="U11" s="164" t="s">
        <v>985</v>
      </c>
      <c r="V11" s="165"/>
      <c r="W11" s="164" t="s">
        <v>985</v>
      </c>
      <c r="X11" s="163"/>
      <c r="Y11" s="163">
        <v>100000</v>
      </c>
      <c r="Z11" s="164" t="str">
        <f t="shared" si="3"/>
        <v>OK</v>
      </c>
      <c r="AA11" s="165"/>
      <c r="AB11" s="164"/>
      <c r="AC11" s="163">
        <f t="shared" si="4"/>
        <v>0</v>
      </c>
      <c r="AD11" s="163">
        <f t="shared" si="5"/>
        <v>0</v>
      </c>
      <c r="AE11" s="164" t="str">
        <f t="shared" si="6"/>
        <v>OK</v>
      </c>
      <c r="AF11" s="165"/>
      <c r="AG11" s="164" t="str">
        <f t="shared" si="7"/>
        <v>세입없음</v>
      </c>
      <c r="AH11" s="165"/>
      <c r="AI11" s="166">
        <f t="shared" si="8"/>
        <v>56</v>
      </c>
      <c r="AJ11" s="167" t="str">
        <f t="shared" si="9"/>
        <v>OK</v>
      </c>
      <c r="AK11" s="165"/>
      <c r="AL11" s="164" t="str">
        <f t="array" ref="AL11">IF(C11="","",INDEX(구분표!$I$2:$I$313, MATCH(1,(구분표!$E$2:$E$313='17년일출'!B11)*(구분표!$F$2:$F$313='17년일출'!C11)*(구분표!$G$2:$G$313='17년일출'!A11),0)))</f>
        <v>0221</v>
      </c>
      <c r="AM11" s="165"/>
      <c r="AN11" s="153"/>
    </row>
    <row r="12" spans="1:40" s="156" customFormat="1" ht="50.1" customHeight="1">
      <c r="A12" s="127" t="str">
        <f>IFERROR(VLOOKUP($C12,[4]구분표!$A$2:$C$313,2,FALSE),"")</f>
        <v>농정해양위원회</v>
      </c>
      <c r="B12" s="143" t="str">
        <f>IFERROR(VLOOKUP($C12,[4]구분표!$A$2:$C$313,3,FALSE),"")</f>
        <v>농정해양국</v>
      </c>
      <c r="C12" s="158" t="s">
        <v>930</v>
      </c>
      <c r="D12" s="162" t="s">
        <v>748</v>
      </c>
      <c r="E12" s="140" t="s">
        <v>983</v>
      </c>
      <c r="F12" s="184">
        <v>631</v>
      </c>
      <c r="G12" s="183">
        <v>250</v>
      </c>
      <c r="H12" s="181" t="s">
        <v>931</v>
      </c>
      <c r="I12" s="148">
        <v>50000</v>
      </c>
      <c r="J12" s="149"/>
      <c r="K12" s="150">
        <v>50000</v>
      </c>
      <c r="L12" s="170">
        <f t="shared" si="2"/>
        <v>100000</v>
      </c>
      <c r="M12" s="149"/>
      <c r="N12" s="150"/>
      <c r="O12" s="152">
        <f t="shared" ref="O12:O25" si="10">I12+M12+N12</f>
        <v>50000</v>
      </c>
      <c r="P12" s="153" t="str">
        <f>IF(AND((L12=0),(O12&gt;0)),"O",IF(AND((J12&lt;0),(L12-O12&lt;0)),"O","X"))</f>
        <v>X</v>
      </c>
      <c r="Q12" s="141" t="s">
        <v>1006</v>
      </c>
      <c r="R12" s="141"/>
      <c r="S12" s="155"/>
      <c r="U12" s="164" t="s">
        <v>985</v>
      </c>
      <c r="V12" s="165"/>
      <c r="W12" s="164" t="s">
        <v>985</v>
      </c>
      <c r="X12" s="163"/>
      <c r="Y12" s="163">
        <v>50000</v>
      </c>
      <c r="Z12" s="164" t="str">
        <f t="shared" si="3"/>
        <v>OK</v>
      </c>
      <c r="AA12" s="165"/>
      <c r="AB12" s="164"/>
      <c r="AC12" s="163">
        <f t="shared" si="4"/>
        <v>0</v>
      </c>
      <c r="AD12" s="163">
        <f t="shared" si="5"/>
        <v>0</v>
      </c>
      <c r="AE12" s="164" t="str">
        <f t="shared" si="6"/>
        <v>OK</v>
      </c>
      <c r="AF12" s="165"/>
      <c r="AG12" s="164" t="str">
        <f t="shared" si="7"/>
        <v>세입없음</v>
      </c>
      <c r="AH12" s="165"/>
      <c r="AI12" s="166">
        <f t="shared" si="8"/>
        <v>56</v>
      </c>
      <c r="AJ12" s="167" t="str">
        <f t="shared" si="9"/>
        <v>OK</v>
      </c>
      <c r="AK12" s="165"/>
      <c r="AL12" s="164" t="str">
        <f t="array" ref="AL12">IF(C12="","",INDEX(구분표!$I$2:$I$313, MATCH(1,(구분표!$E$2:$E$313='17년일출'!B12)*(구분표!$F$2:$F$313='17년일출'!C12)*(구분표!$G$2:$G$313='17년일출'!A12),0)))</f>
        <v>0222</v>
      </c>
      <c r="AM12" s="165"/>
      <c r="AN12" s="153"/>
    </row>
    <row r="13" spans="1:40" s="156" customFormat="1" ht="50.1" customHeight="1">
      <c r="A13" s="127" t="str">
        <f>IFERROR(VLOOKUP($C13,[4]구분표!$A$2:$C$313,2,FALSE),"")</f>
        <v>농정해양위원회</v>
      </c>
      <c r="B13" s="143" t="str">
        <f>IFERROR(VLOOKUP($C13,[4]구분표!$A$2:$C$313,3,FALSE),"")</f>
        <v>농정해양국</v>
      </c>
      <c r="C13" s="158" t="s">
        <v>930</v>
      </c>
      <c r="D13" s="162" t="s">
        <v>928</v>
      </c>
      <c r="E13" s="140" t="s">
        <v>983</v>
      </c>
      <c r="F13" s="184">
        <v>631</v>
      </c>
      <c r="G13" s="183">
        <v>247</v>
      </c>
      <c r="H13" s="181" t="s">
        <v>932</v>
      </c>
      <c r="I13" s="148">
        <v>200000</v>
      </c>
      <c r="J13" s="149">
        <v>-70000</v>
      </c>
      <c r="K13" s="150"/>
      <c r="L13" s="170">
        <f t="shared" si="2"/>
        <v>130000</v>
      </c>
      <c r="M13" s="149"/>
      <c r="N13" s="150"/>
      <c r="O13" s="152">
        <f t="shared" si="10"/>
        <v>200000</v>
      </c>
      <c r="P13" s="153"/>
      <c r="Q13" s="141" t="s">
        <v>1007</v>
      </c>
      <c r="R13" s="141"/>
      <c r="S13" s="155"/>
      <c r="U13" s="164" t="s">
        <v>985</v>
      </c>
      <c r="V13" s="165"/>
      <c r="W13" s="164" t="s">
        <v>985</v>
      </c>
      <c r="X13" s="163"/>
      <c r="Y13" s="163">
        <v>-70000</v>
      </c>
      <c r="Z13" s="164" t="str">
        <f t="shared" si="3"/>
        <v>OK</v>
      </c>
      <c r="AA13" s="165"/>
      <c r="AB13" s="164"/>
      <c r="AC13" s="163">
        <f t="shared" si="4"/>
        <v>0</v>
      </c>
      <c r="AD13" s="163">
        <f t="shared" si="5"/>
        <v>0</v>
      </c>
      <c r="AE13" s="164" t="str">
        <f t="shared" si="6"/>
        <v>OK</v>
      </c>
      <c r="AF13" s="165"/>
      <c r="AG13" s="164" t="str">
        <f t="shared" si="7"/>
        <v>세입없음</v>
      </c>
      <c r="AH13" s="165"/>
      <c r="AI13" s="166">
        <f t="shared" si="8"/>
        <v>56</v>
      </c>
      <c r="AJ13" s="167" t="str">
        <f t="shared" si="9"/>
        <v>OK</v>
      </c>
      <c r="AK13" s="165"/>
      <c r="AL13" s="164" t="str">
        <f t="array" ref="AL13">IF(C13="","",INDEX(구분표!$I$2:$I$313, MATCH(1,(구분표!$E$2:$E$313='17년일출'!B13)*(구분표!$F$2:$F$313='17년일출'!C13)*(구분표!$G$2:$G$313='17년일출'!A13),0)))</f>
        <v>0222</v>
      </c>
      <c r="AM13" s="165"/>
      <c r="AN13" s="153"/>
    </row>
    <row r="14" spans="1:40" s="156" customFormat="1" ht="50.1" customHeight="1">
      <c r="A14" s="127" t="str">
        <f>IFERROR(VLOOKUP($C14,[4]구분표!$A$2:$C$313,2,FALSE),"")</f>
        <v>농정해양위원회</v>
      </c>
      <c r="B14" s="143" t="str">
        <f>IFERROR(VLOOKUP($C14,[4]구분표!$A$2:$C$313,3,FALSE),"")</f>
        <v>농정해양국</v>
      </c>
      <c r="C14" s="158" t="s">
        <v>930</v>
      </c>
      <c r="D14" s="162" t="s">
        <v>928</v>
      </c>
      <c r="E14" s="140" t="s">
        <v>983</v>
      </c>
      <c r="F14" s="184">
        <v>633</v>
      </c>
      <c r="G14" s="183">
        <v>287</v>
      </c>
      <c r="H14" s="181" t="s">
        <v>933</v>
      </c>
      <c r="I14" s="148">
        <v>4507000</v>
      </c>
      <c r="J14" s="149"/>
      <c r="K14" s="150">
        <v>1420000</v>
      </c>
      <c r="L14" s="170">
        <f t="shared" si="2"/>
        <v>5927000</v>
      </c>
      <c r="M14" s="149"/>
      <c r="N14" s="150"/>
      <c r="O14" s="152">
        <f t="shared" si="10"/>
        <v>4507000</v>
      </c>
      <c r="P14" s="153"/>
      <c r="Q14" s="141" t="s">
        <v>1008</v>
      </c>
      <c r="R14" s="141"/>
      <c r="S14" s="155"/>
      <c r="U14" s="164" t="s">
        <v>986</v>
      </c>
      <c r="V14" s="165"/>
      <c r="W14" s="164" t="s">
        <v>985</v>
      </c>
      <c r="X14" s="163"/>
      <c r="Y14" s="163">
        <v>1420000</v>
      </c>
      <c r="Z14" s="164" t="str">
        <f t="shared" si="3"/>
        <v>OK</v>
      </c>
      <c r="AA14" s="165"/>
      <c r="AB14" s="164"/>
      <c r="AC14" s="163">
        <f t="shared" si="4"/>
        <v>0</v>
      </c>
      <c r="AD14" s="163">
        <f t="shared" si="5"/>
        <v>0</v>
      </c>
      <c r="AE14" s="164" t="str">
        <f t="shared" si="6"/>
        <v>OK</v>
      </c>
      <c r="AF14" s="165"/>
      <c r="AG14" s="164" t="str">
        <f t="shared" si="7"/>
        <v>세입없음</v>
      </c>
      <c r="AH14" s="165"/>
      <c r="AI14" s="166">
        <f t="shared" si="8"/>
        <v>56</v>
      </c>
      <c r="AJ14" s="167" t="str">
        <f t="shared" si="9"/>
        <v>OK</v>
      </c>
      <c r="AK14" s="165"/>
      <c r="AL14" s="164" t="str">
        <f t="array" ref="AL14">IF(C14="","",INDEX(구분표!$I$2:$I$313, MATCH(1,(구분표!$E$2:$E$313='17년일출'!B14)*(구분표!$F$2:$F$313='17년일출'!C14)*(구분표!$G$2:$G$313='17년일출'!A14),0)))</f>
        <v>0222</v>
      </c>
      <c r="AM14" s="165"/>
      <c r="AN14" s="153"/>
    </row>
    <row r="15" spans="1:40" s="156" customFormat="1" ht="50.1" customHeight="1">
      <c r="A15" s="127" t="str">
        <f>IFERROR(VLOOKUP($C15,[4]구분표!$A$2:$C$313,2,FALSE),"")</f>
        <v>농정해양위원회</v>
      </c>
      <c r="B15" s="143" t="str">
        <f>IFERROR(VLOOKUP($C15,[4]구분표!$A$2:$C$313,3,FALSE),"")</f>
        <v>농정해양국</v>
      </c>
      <c r="C15" s="158" t="s">
        <v>930</v>
      </c>
      <c r="D15" s="162" t="s">
        <v>928</v>
      </c>
      <c r="E15" s="140" t="s">
        <v>982</v>
      </c>
      <c r="F15" s="184">
        <v>634</v>
      </c>
      <c r="G15" s="183">
        <v>305</v>
      </c>
      <c r="H15" s="181" t="s">
        <v>1001</v>
      </c>
      <c r="I15" s="148">
        <v>1850000</v>
      </c>
      <c r="J15" s="149"/>
      <c r="K15" s="150">
        <v>50000</v>
      </c>
      <c r="L15" s="170">
        <f t="shared" si="2"/>
        <v>1900000</v>
      </c>
      <c r="M15" s="149"/>
      <c r="N15" s="150"/>
      <c r="O15" s="152">
        <f t="shared" si="10"/>
        <v>1850000</v>
      </c>
      <c r="P15" s="153"/>
      <c r="Q15" s="141"/>
      <c r="R15" s="141"/>
      <c r="S15" s="155"/>
      <c r="U15" s="164" t="s">
        <v>985</v>
      </c>
      <c r="V15" s="165"/>
      <c r="W15" s="164" t="s">
        <v>985</v>
      </c>
      <c r="X15" s="163"/>
      <c r="Y15" s="163">
        <v>50000</v>
      </c>
      <c r="Z15" s="164" t="str">
        <f t="shared" si="3"/>
        <v>OK</v>
      </c>
      <c r="AA15" s="165"/>
      <c r="AB15" s="164"/>
      <c r="AC15" s="163">
        <f t="shared" si="4"/>
        <v>0</v>
      </c>
      <c r="AD15" s="163">
        <f t="shared" si="5"/>
        <v>0</v>
      </c>
      <c r="AE15" s="164" t="str">
        <f t="shared" si="6"/>
        <v>OK</v>
      </c>
      <c r="AF15" s="165"/>
      <c r="AG15" s="164" t="str">
        <f t="shared" si="7"/>
        <v>세입없음</v>
      </c>
      <c r="AH15" s="165"/>
      <c r="AI15" s="166">
        <f t="shared" si="8"/>
        <v>56</v>
      </c>
      <c r="AJ15" s="167" t="str">
        <f t="shared" si="9"/>
        <v>OK</v>
      </c>
      <c r="AK15" s="165"/>
      <c r="AL15" s="164" t="str">
        <f t="array" ref="AL15">IF(C15="","",INDEX(구분표!$I$2:$I$313, MATCH(1,(구분표!$E$2:$E$313='17년일출'!B15)*(구분표!$F$2:$F$313='17년일출'!C15)*(구분표!$G$2:$G$313='17년일출'!A15),0)))</f>
        <v>0222</v>
      </c>
      <c r="AM15" s="165"/>
      <c r="AN15" s="153"/>
    </row>
    <row r="16" spans="1:40" s="156" customFormat="1" ht="50.1" customHeight="1">
      <c r="A16" s="127" t="str">
        <f>IFERROR(VLOOKUP($C16,[4]구분표!$A$2:$C$313,2,FALSE),"")</f>
        <v>농정해양위원회</v>
      </c>
      <c r="B16" s="143" t="str">
        <f>IFERROR(VLOOKUP($C16,[4]구분표!$A$2:$C$313,3,FALSE),"")</f>
        <v>농정해양국</v>
      </c>
      <c r="C16" s="158" t="s">
        <v>934</v>
      </c>
      <c r="D16" s="162" t="s">
        <v>928</v>
      </c>
      <c r="E16" s="140" t="s">
        <v>983</v>
      </c>
      <c r="F16" s="184">
        <v>638</v>
      </c>
      <c r="G16" s="183">
        <v>364</v>
      </c>
      <c r="H16" s="181" t="s">
        <v>935</v>
      </c>
      <c r="I16" s="148">
        <v>140000</v>
      </c>
      <c r="J16" s="149"/>
      <c r="K16" s="150">
        <v>580000</v>
      </c>
      <c r="L16" s="170">
        <f t="shared" si="2"/>
        <v>720000</v>
      </c>
      <c r="M16" s="149"/>
      <c r="N16" s="150"/>
      <c r="O16" s="152">
        <f t="shared" si="10"/>
        <v>140000</v>
      </c>
      <c r="P16" s="153" t="str">
        <f>IF(AND((L16=0),(O16&gt;0)),"O",IF(AND((J16&lt;0),(L16-O16&lt;0)),"O","X"))</f>
        <v>X</v>
      </c>
      <c r="Q16" s="141" t="s">
        <v>1009</v>
      </c>
      <c r="R16" s="141"/>
      <c r="S16" s="155"/>
      <c r="U16" s="164" t="s">
        <v>985</v>
      </c>
      <c r="V16" s="165"/>
      <c r="W16" s="164" t="s">
        <v>985</v>
      </c>
      <c r="X16" s="163"/>
      <c r="Y16" s="163">
        <v>580000</v>
      </c>
      <c r="Z16" s="164" t="str">
        <f t="shared" si="3"/>
        <v>OK</v>
      </c>
      <c r="AA16" s="165"/>
      <c r="AB16" s="164"/>
      <c r="AC16" s="163">
        <f t="shared" si="4"/>
        <v>0</v>
      </c>
      <c r="AD16" s="163">
        <f t="shared" si="5"/>
        <v>0</v>
      </c>
      <c r="AE16" s="164" t="str">
        <f t="shared" si="6"/>
        <v>OK</v>
      </c>
      <c r="AF16" s="165"/>
      <c r="AG16" s="164" t="str">
        <f t="shared" si="7"/>
        <v>세입없음</v>
      </c>
      <c r="AH16" s="165"/>
      <c r="AI16" s="166">
        <f t="shared" si="8"/>
        <v>56</v>
      </c>
      <c r="AJ16" s="167" t="str">
        <f t="shared" si="9"/>
        <v>OK</v>
      </c>
      <c r="AK16" s="165"/>
      <c r="AL16" s="164" t="str">
        <f t="array" ref="AL16">IF(C16="","",INDEX(구분표!$I$2:$I$313, MATCH(1,(구분표!$E$2:$E$313='17년일출'!B16)*(구분표!$F$2:$F$313='17년일출'!C16)*(구분표!$G$2:$G$313='17년일출'!A16),0)))</f>
        <v>0223</v>
      </c>
      <c r="AM16" s="165"/>
      <c r="AN16" s="153"/>
    </row>
    <row r="17" spans="1:40" s="156" customFormat="1" ht="50.1" customHeight="1">
      <c r="A17" s="127" t="str">
        <f>IFERROR(VLOOKUP($C17,[4]구분표!$A$2:$C$313,2,FALSE),"")</f>
        <v>농정해양위원회</v>
      </c>
      <c r="B17" s="143" t="str">
        <f>IFERROR(VLOOKUP($C17,[4]구분표!$A$2:$C$313,3,FALSE),"")</f>
        <v>농정해양국</v>
      </c>
      <c r="C17" s="158" t="s">
        <v>934</v>
      </c>
      <c r="D17" s="162" t="s">
        <v>748</v>
      </c>
      <c r="E17" s="140" t="s">
        <v>982</v>
      </c>
      <c r="F17" s="184">
        <v>641</v>
      </c>
      <c r="G17" s="183">
        <v>415</v>
      </c>
      <c r="H17" s="181" t="s">
        <v>936</v>
      </c>
      <c r="I17" s="148">
        <v>1200000</v>
      </c>
      <c r="J17" s="149"/>
      <c r="K17" s="150">
        <v>300000</v>
      </c>
      <c r="L17" s="170">
        <f t="shared" si="2"/>
        <v>1500000</v>
      </c>
      <c r="M17" s="149"/>
      <c r="N17" s="150"/>
      <c r="O17" s="152">
        <f t="shared" si="10"/>
        <v>1200000</v>
      </c>
      <c r="P17" s="153" t="str">
        <f>IF(AND((L17=0),(O17&gt;0)),"O",IF(AND((J17&lt;0),(L17-O17&lt;0)),"O","X"))</f>
        <v>X</v>
      </c>
      <c r="Q17" s="141" t="s">
        <v>1009</v>
      </c>
      <c r="R17" s="141"/>
      <c r="S17" s="155"/>
      <c r="U17" s="164" t="s">
        <v>985</v>
      </c>
      <c r="V17" s="165"/>
      <c r="W17" s="164" t="s">
        <v>985</v>
      </c>
      <c r="X17" s="163"/>
      <c r="Y17" s="163">
        <v>300000</v>
      </c>
      <c r="Z17" s="164" t="str">
        <f t="shared" si="3"/>
        <v>OK</v>
      </c>
      <c r="AA17" s="165"/>
      <c r="AB17" s="164"/>
      <c r="AC17" s="163">
        <f t="shared" si="4"/>
        <v>0</v>
      </c>
      <c r="AD17" s="163">
        <f t="shared" si="5"/>
        <v>0</v>
      </c>
      <c r="AE17" s="164" t="str">
        <f t="shared" si="6"/>
        <v>OK</v>
      </c>
      <c r="AF17" s="165"/>
      <c r="AG17" s="164" t="str">
        <f t="shared" si="7"/>
        <v>세입없음</v>
      </c>
      <c r="AH17" s="165"/>
      <c r="AI17" s="166">
        <f t="shared" si="8"/>
        <v>56</v>
      </c>
      <c r="AJ17" s="167" t="str">
        <f t="shared" si="9"/>
        <v>OK</v>
      </c>
      <c r="AK17" s="165"/>
      <c r="AL17" s="164" t="str">
        <f t="array" ref="AL17">IF(C17="","",INDEX(구분표!$I$2:$I$313, MATCH(1,(구분표!$E$2:$E$313='17년일출'!B17)*(구분표!$F$2:$F$313='17년일출'!C17)*(구분표!$G$2:$G$313='17년일출'!A17),0)))</f>
        <v>0223</v>
      </c>
      <c r="AM17" s="165"/>
      <c r="AN17" s="153"/>
    </row>
    <row r="18" spans="1:40" s="156" customFormat="1" ht="50.1" customHeight="1">
      <c r="A18" s="127" t="str">
        <f>IFERROR(VLOOKUP($C18,[4]구분표!$A$2:$C$313,2,FALSE),"")</f>
        <v>농정해양위원회</v>
      </c>
      <c r="B18" s="143" t="str">
        <f>IFERROR(VLOOKUP($C18,[4]구분표!$A$2:$C$313,3,FALSE),"")</f>
        <v>농정해양국</v>
      </c>
      <c r="C18" s="158" t="s">
        <v>934</v>
      </c>
      <c r="D18" s="162" t="s">
        <v>928</v>
      </c>
      <c r="E18" s="140" t="s">
        <v>983</v>
      </c>
      <c r="F18" s="184">
        <v>642</v>
      </c>
      <c r="G18" s="183">
        <v>427</v>
      </c>
      <c r="H18" s="181" t="s">
        <v>937</v>
      </c>
      <c r="I18" s="148">
        <v>180000</v>
      </c>
      <c r="J18" s="149"/>
      <c r="K18" s="150">
        <v>200000</v>
      </c>
      <c r="L18" s="170">
        <f t="shared" si="2"/>
        <v>380000</v>
      </c>
      <c r="M18" s="149"/>
      <c r="N18" s="150"/>
      <c r="O18" s="152">
        <f t="shared" si="10"/>
        <v>180000</v>
      </c>
      <c r="P18" s="153" t="str">
        <f>IF(AND((L18=0),(O18&gt;0)),"O",IF(AND((J18&lt;0),(L18-O18&lt;0)),"O","X"))</f>
        <v>X</v>
      </c>
      <c r="Q18" s="141" t="s">
        <v>1019</v>
      </c>
      <c r="R18" s="141"/>
      <c r="S18" s="155"/>
      <c r="U18" s="164" t="s">
        <v>985</v>
      </c>
      <c r="V18" s="165"/>
      <c r="W18" s="164" t="s">
        <v>985</v>
      </c>
      <c r="X18" s="163"/>
      <c r="Y18" s="163">
        <v>200000</v>
      </c>
      <c r="Z18" s="164" t="str">
        <f t="shared" si="3"/>
        <v>OK</v>
      </c>
      <c r="AA18" s="165"/>
      <c r="AB18" s="164"/>
      <c r="AC18" s="163">
        <f t="shared" si="4"/>
        <v>0</v>
      </c>
      <c r="AD18" s="163">
        <f t="shared" si="5"/>
        <v>0</v>
      </c>
      <c r="AE18" s="164" t="str">
        <f t="shared" si="6"/>
        <v>OK</v>
      </c>
      <c r="AF18" s="165"/>
      <c r="AG18" s="164" t="str">
        <f t="shared" si="7"/>
        <v>세입없음</v>
      </c>
      <c r="AH18" s="165"/>
      <c r="AI18" s="166">
        <f t="shared" si="8"/>
        <v>56</v>
      </c>
      <c r="AJ18" s="167" t="str">
        <f t="shared" si="9"/>
        <v>OK</v>
      </c>
      <c r="AK18" s="165"/>
      <c r="AL18" s="164" t="str">
        <f t="array" ref="AL18">IF(C18="","",INDEX(구분표!$I$2:$I$313, MATCH(1,(구분표!$E$2:$E$313='17년일출'!B18)*(구분표!$F$2:$F$313='17년일출'!C18)*(구분표!$G$2:$G$313='17년일출'!A18),0)))</f>
        <v>0223</v>
      </c>
      <c r="AM18" s="165"/>
      <c r="AN18" s="153"/>
    </row>
    <row r="19" spans="1:40" s="156" customFormat="1" ht="50.1" customHeight="1">
      <c r="A19" s="127" t="str">
        <f>IFERROR(VLOOKUP($C19,[4]구분표!$A$2:$C$313,2,FALSE),"")</f>
        <v>농정해양위원회</v>
      </c>
      <c r="B19" s="143" t="str">
        <f>IFERROR(VLOOKUP($C19,[4]구분표!$A$2:$C$313,3,FALSE),"")</f>
        <v>농정해양국</v>
      </c>
      <c r="C19" s="158" t="s">
        <v>934</v>
      </c>
      <c r="D19" s="162" t="s">
        <v>928</v>
      </c>
      <c r="E19" s="140" t="s">
        <v>983</v>
      </c>
      <c r="F19" s="184">
        <v>649</v>
      </c>
      <c r="G19" s="183">
        <v>556</v>
      </c>
      <c r="H19" s="181" t="s">
        <v>1000</v>
      </c>
      <c r="I19" s="148">
        <v>950000</v>
      </c>
      <c r="J19" s="149"/>
      <c r="K19" s="150">
        <v>3050000</v>
      </c>
      <c r="L19" s="170">
        <f t="shared" si="2"/>
        <v>4000000</v>
      </c>
      <c r="M19" s="149"/>
      <c r="N19" s="150"/>
      <c r="O19" s="152">
        <f t="shared" si="10"/>
        <v>950000</v>
      </c>
      <c r="P19" s="153" t="str">
        <f>IF(AND((L19=0),(O19&gt;0)),"O",IF(AND((J19&lt;0),(L19-O19&lt;0)),"O","X"))</f>
        <v>X</v>
      </c>
      <c r="Q19" s="141" t="s">
        <v>1010</v>
      </c>
      <c r="R19" s="141"/>
      <c r="S19" s="155"/>
      <c r="U19" s="164" t="s">
        <v>985</v>
      </c>
      <c r="V19" s="165"/>
      <c r="W19" s="164" t="s">
        <v>985</v>
      </c>
      <c r="X19" s="163"/>
      <c r="Y19" s="163">
        <v>3050000</v>
      </c>
      <c r="Z19" s="164" t="str">
        <f t="shared" si="3"/>
        <v>OK</v>
      </c>
      <c r="AA19" s="165"/>
      <c r="AB19" s="164"/>
      <c r="AC19" s="163">
        <f t="shared" si="4"/>
        <v>0</v>
      </c>
      <c r="AD19" s="163">
        <f t="shared" si="5"/>
        <v>0</v>
      </c>
      <c r="AE19" s="164" t="str">
        <f t="shared" si="6"/>
        <v>OK</v>
      </c>
      <c r="AF19" s="165"/>
      <c r="AG19" s="164" t="str">
        <f t="shared" si="7"/>
        <v>세입없음</v>
      </c>
      <c r="AH19" s="165"/>
      <c r="AI19" s="166">
        <f t="shared" si="8"/>
        <v>56</v>
      </c>
      <c r="AJ19" s="167" t="str">
        <f t="shared" si="9"/>
        <v>OK</v>
      </c>
      <c r="AK19" s="165"/>
      <c r="AL19" s="164" t="str">
        <f t="array" ref="AL19">IF(C19="","",INDEX(구분표!$I$2:$I$313, MATCH(1,(구분표!$E$2:$E$313='17년일출'!B19)*(구분표!$F$2:$F$313='17년일출'!C19)*(구분표!$G$2:$G$313='17년일출'!A19),0)))</f>
        <v>0223</v>
      </c>
      <c r="AM19" s="165"/>
      <c r="AN19" s="153"/>
    </row>
    <row r="20" spans="1:40" s="156" customFormat="1" ht="50.1" customHeight="1">
      <c r="A20" s="127" t="str">
        <f>IFERROR(VLOOKUP($C20,[4]구분표!$A$2:$C$313,2,FALSE),"")</f>
        <v>농정해양위원회</v>
      </c>
      <c r="B20" s="143" t="str">
        <f>IFERROR(VLOOKUP($C20,[4]구분표!$A$2:$C$313,3,FALSE),"")</f>
        <v>농정해양국</v>
      </c>
      <c r="C20" s="158" t="s">
        <v>938</v>
      </c>
      <c r="D20" s="162" t="s">
        <v>928</v>
      </c>
      <c r="E20" s="140" t="s">
        <v>983</v>
      </c>
      <c r="F20" s="184">
        <v>660</v>
      </c>
      <c r="G20" s="183">
        <v>694</v>
      </c>
      <c r="H20" s="181" t="s">
        <v>963</v>
      </c>
      <c r="I20" s="148">
        <v>25000</v>
      </c>
      <c r="J20" s="149"/>
      <c r="K20" s="150">
        <v>20000</v>
      </c>
      <c r="L20" s="170">
        <f t="shared" si="2"/>
        <v>45000</v>
      </c>
      <c r="M20" s="149"/>
      <c r="N20" s="150"/>
      <c r="O20" s="152">
        <f t="shared" si="10"/>
        <v>25000</v>
      </c>
      <c r="P20" s="153" t="str">
        <f>IF(AND((L20=0),(O20&gt;0)),"O",IF(AND((J20&lt;0),(L20-O20&lt;0)),"O","X"))</f>
        <v>X</v>
      </c>
      <c r="Q20" s="141" t="s">
        <v>1011</v>
      </c>
      <c r="R20" s="141"/>
      <c r="S20" s="155"/>
      <c r="U20" s="164" t="s">
        <v>985</v>
      </c>
      <c r="V20" s="165"/>
      <c r="W20" s="164" t="s">
        <v>985</v>
      </c>
      <c r="X20" s="163"/>
      <c r="Y20" s="163">
        <v>20000</v>
      </c>
      <c r="Z20" s="164" t="str">
        <f t="shared" si="3"/>
        <v>OK</v>
      </c>
      <c r="AA20" s="165"/>
      <c r="AB20" s="164"/>
      <c r="AC20" s="163">
        <f t="shared" si="4"/>
        <v>0</v>
      </c>
      <c r="AD20" s="163">
        <f t="shared" si="5"/>
        <v>0</v>
      </c>
      <c r="AE20" s="164" t="str">
        <f t="shared" si="6"/>
        <v>OK</v>
      </c>
      <c r="AF20" s="165"/>
      <c r="AG20" s="164" t="str">
        <f t="shared" si="7"/>
        <v>세입없음</v>
      </c>
      <c r="AH20" s="165"/>
      <c r="AI20" s="166">
        <f t="shared" si="8"/>
        <v>56</v>
      </c>
      <c r="AJ20" s="167" t="str">
        <f t="shared" si="9"/>
        <v>OK</v>
      </c>
      <c r="AK20" s="165"/>
      <c r="AL20" s="164" t="str">
        <f t="array" ref="AL20">IF(C20="","",INDEX(구분표!$I$2:$I$313, MATCH(1,(구분표!$E$2:$E$313='17년일출'!B20)*(구분표!$F$2:$F$313='17년일출'!C20)*(구분표!$G$2:$G$313='17년일출'!A20),0)))</f>
        <v>0225</v>
      </c>
      <c r="AM20" s="165"/>
      <c r="AN20" s="153"/>
    </row>
    <row r="21" spans="1:40" s="156" customFormat="1" ht="50.1" customHeight="1">
      <c r="A21" s="127" t="str">
        <f>IFERROR(VLOOKUP($C21,[4]구분표!$A$2:$C$313,2,FALSE),"")</f>
        <v>농정해양위원회</v>
      </c>
      <c r="B21" s="143" t="str">
        <f>IFERROR(VLOOKUP($C21,[4]구분표!$A$2:$C$313,3,FALSE),"")</f>
        <v>농정해양국</v>
      </c>
      <c r="C21" s="158" t="s">
        <v>938</v>
      </c>
      <c r="D21" s="162" t="s">
        <v>928</v>
      </c>
      <c r="E21" s="140" t="s">
        <v>983</v>
      </c>
      <c r="F21" s="184">
        <v>660</v>
      </c>
      <c r="G21" s="183">
        <v>694</v>
      </c>
      <c r="H21" s="181" t="s">
        <v>964</v>
      </c>
      <c r="I21" s="148">
        <v>25000</v>
      </c>
      <c r="J21" s="149"/>
      <c r="K21" s="150">
        <v>21725</v>
      </c>
      <c r="L21" s="170">
        <f t="shared" si="2"/>
        <v>46725</v>
      </c>
      <c r="M21" s="149"/>
      <c r="N21" s="150"/>
      <c r="O21" s="152">
        <f t="shared" si="10"/>
        <v>25000</v>
      </c>
      <c r="P21" s="153"/>
      <c r="Q21" s="141" t="s">
        <v>1011</v>
      </c>
      <c r="R21" s="141"/>
      <c r="S21" s="155"/>
      <c r="U21" s="164" t="s">
        <v>985</v>
      </c>
      <c r="V21" s="165"/>
      <c r="W21" s="164" t="s">
        <v>985</v>
      </c>
      <c r="X21" s="163"/>
      <c r="Y21" s="163">
        <v>21725</v>
      </c>
      <c r="Z21" s="164" t="str">
        <f t="shared" si="3"/>
        <v>OK</v>
      </c>
      <c r="AA21" s="165"/>
      <c r="AB21" s="164"/>
      <c r="AC21" s="163">
        <f t="shared" si="4"/>
        <v>0</v>
      </c>
      <c r="AD21" s="163">
        <f t="shared" si="5"/>
        <v>0</v>
      </c>
      <c r="AE21" s="164" t="str">
        <f t="shared" si="6"/>
        <v>OK</v>
      </c>
      <c r="AF21" s="165"/>
      <c r="AG21" s="164" t="str">
        <f t="shared" si="7"/>
        <v>세입없음</v>
      </c>
      <c r="AH21" s="165"/>
      <c r="AI21" s="166">
        <f t="shared" si="8"/>
        <v>56</v>
      </c>
      <c r="AJ21" s="167" t="str">
        <f t="shared" si="9"/>
        <v>OK</v>
      </c>
      <c r="AK21" s="165"/>
      <c r="AL21" s="164" t="str">
        <f t="array" ref="AL21">IF(C21="","",INDEX(구분표!$I$2:$I$313, MATCH(1,(구분표!$E$2:$E$313='17년일출'!B21)*(구분표!$F$2:$F$313='17년일출'!C21)*(구분표!$G$2:$G$313='17년일출'!A21),0)))</f>
        <v>0225</v>
      </c>
      <c r="AM21" s="165"/>
      <c r="AN21" s="153"/>
    </row>
    <row r="22" spans="1:40" s="156" customFormat="1" ht="50.1" customHeight="1">
      <c r="A22" s="127" t="str">
        <f>IFERROR(VLOOKUP($C22,[4]구분표!$A$2:$C$313,2,FALSE),"")</f>
        <v>농정해양위원회</v>
      </c>
      <c r="B22" s="143" t="str">
        <f>IFERROR(VLOOKUP($C22,[4]구분표!$A$2:$C$313,3,FALSE),"")</f>
        <v>농정해양국</v>
      </c>
      <c r="C22" s="158" t="s">
        <v>938</v>
      </c>
      <c r="D22" s="162" t="s">
        <v>928</v>
      </c>
      <c r="E22" s="140" t="s">
        <v>983</v>
      </c>
      <c r="F22" s="184">
        <v>660</v>
      </c>
      <c r="G22" s="183">
        <v>694</v>
      </c>
      <c r="H22" s="181" t="s">
        <v>965</v>
      </c>
      <c r="I22" s="148">
        <v>55000</v>
      </c>
      <c r="J22" s="149"/>
      <c r="K22" s="150">
        <v>20000</v>
      </c>
      <c r="L22" s="170">
        <f t="shared" si="2"/>
        <v>75000</v>
      </c>
      <c r="M22" s="149"/>
      <c r="N22" s="150"/>
      <c r="O22" s="152">
        <f t="shared" si="10"/>
        <v>55000</v>
      </c>
      <c r="P22" s="153"/>
      <c r="Q22" s="141" t="s">
        <v>1011</v>
      </c>
      <c r="R22" s="141"/>
      <c r="S22" s="155"/>
      <c r="U22" s="164" t="s">
        <v>985</v>
      </c>
      <c r="V22" s="165"/>
      <c r="W22" s="164" t="s">
        <v>985</v>
      </c>
      <c r="X22" s="163"/>
      <c r="Y22" s="163">
        <v>20000</v>
      </c>
      <c r="Z22" s="164" t="str">
        <f t="shared" si="3"/>
        <v>OK</v>
      </c>
      <c r="AA22" s="165"/>
      <c r="AB22" s="164"/>
      <c r="AC22" s="163">
        <f t="shared" si="4"/>
        <v>0</v>
      </c>
      <c r="AD22" s="163">
        <f t="shared" si="5"/>
        <v>0</v>
      </c>
      <c r="AE22" s="164" t="str">
        <f t="shared" si="6"/>
        <v>OK</v>
      </c>
      <c r="AF22" s="165"/>
      <c r="AG22" s="164" t="str">
        <f t="shared" si="7"/>
        <v>세입없음</v>
      </c>
      <c r="AH22" s="165"/>
      <c r="AI22" s="166">
        <f t="shared" si="8"/>
        <v>56</v>
      </c>
      <c r="AJ22" s="167" t="str">
        <f t="shared" si="9"/>
        <v>OK</v>
      </c>
      <c r="AK22" s="165"/>
      <c r="AL22" s="164" t="str">
        <f t="array" ref="AL22">IF(C22="","",INDEX(구분표!$I$2:$I$313, MATCH(1,(구분표!$E$2:$E$313='17년일출'!B22)*(구분표!$F$2:$F$313='17년일출'!C22)*(구분표!$G$2:$G$313='17년일출'!A22),0)))</f>
        <v>0225</v>
      </c>
      <c r="AM22" s="165"/>
      <c r="AN22" s="153"/>
    </row>
    <row r="23" spans="1:40" s="156" customFormat="1" ht="50.1" customHeight="1">
      <c r="A23" s="127" t="str">
        <f>IFERROR(VLOOKUP($C23,[4]구분표!$A$2:$C$313,2,FALSE),"")</f>
        <v>농정해양위원회</v>
      </c>
      <c r="B23" s="143" t="str">
        <f>IFERROR(VLOOKUP($C23,[4]구분표!$A$2:$C$313,3,FALSE),"")</f>
        <v>농정해양국</v>
      </c>
      <c r="C23" s="158" t="s">
        <v>938</v>
      </c>
      <c r="D23" s="162" t="s">
        <v>939</v>
      </c>
      <c r="E23" s="140" t="s">
        <v>983</v>
      </c>
      <c r="F23" s="184">
        <v>660</v>
      </c>
      <c r="G23" s="183">
        <v>694</v>
      </c>
      <c r="H23" s="181" t="s">
        <v>940</v>
      </c>
      <c r="I23" s="148"/>
      <c r="J23" s="149"/>
      <c r="K23" s="150">
        <v>315000</v>
      </c>
      <c r="L23" s="170">
        <f t="shared" si="2"/>
        <v>315000</v>
      </c>
      <c r="M23" s="149"/>
      <c r="N23" s="150"/>
      <c r="O23" s="152">
        <f t="shared" si="10"/>
        <v>0</v>
      </c>
      <c r="P23" s="153"/>
      <c r="Q23" s="141" t="s">
        <v>1011</v>
      </c>
      <c r="R23" s="141"/>
      <c r="S23" s="155"/>
      <c r="U23" s="164" t="s">
        <v>985</v>
      </c>
      <c r="V23" s="165"/>
      <c r="W23" s="164" t="s">
        <v>985</v>
      </c>
      <c r="X23" s="163"/>
      <c r="Y23" s="163">
        <v>315000</v>
      </c>
      <c r="Z23" s="164" t="str">
        <f t="shared" si="3"/>
        <v>OK</v>
      </c>
      <c r="AA23" s="165"/>
      <c r="AB23" s="164"/>
      <c r="AC23" s="163">
        <f t="shared" si="4"/>
        <v>0</v>
      </c>
      <c r="AD23" s="163">
        <f t="shared" si="5"/>
        <v>0</v>
      </c>
      <c r="AE23" s="164" t="str">
        <f t="shared" si="6"/>
        <v>OK</v>
      </c>
      <c r="AF23" s="165"/>
      <c r="AG23" s="164" t="str">
        <f t="shared" si="7"/>
        <v>세입없음</v>
      </c>
      <c r="AH23" s="165"/>
      <c r="AI23" s="166">
        <f t="shared" si="8"/>
        <v>56</v>
      </c>
      <c r="AJ23" s="167" t="str">
        <f t="shared" si="9"/>
        <v>OK</v>
      </c>
      <c r="AK23" s="165"/>
      <c r="AL23" s="164" t="str">
        <f t="array" ref="AL23">IF(C23="","",INDEX(구분표!$I$2:$I$313, MATCH(1,(구분표!$E$2:$E$313='17년일출'!B23)*(구분표!$F$2:$F$313='17년일출'!C23)*(구분표!$G$2:$G$313='17년일출'!A23),0)))</f>
        <v>0225</v>
      </c>
      <c r="AM23" s="165"/>
      <c r="AN23" s="153"/>
    </row>
    <row r="24" spans="1:40" s="156" customFormat="1" ht="50.1" customHeight="1">
      <c r="A24" s="127" t="str">
        <f>IFERROR(VLOOKUP($C24,[4]구분표!$A$2:$C$313,2,FALSE),"")</f>
        <v>농정해양위원회</v>
      </c>
      <c r="B24" s="143" t="str">
        <f>IFERROR(VLOOKUP($C24,[4]구분표!$A$2:$C$313,3,FALSE),"")</f>
        <v>농정해양국</v>
      </c>
      <c r="C24" s="158" t="s">
        <v>938</v>
      </c>
      <c r="D24" s="162" t="s">
        <v>939</v>
      </c>
      <c r="E24" s="140" t="s">
        <v>983</v>
      </c>
      <c r="F24" s="184">
        <v>660</v>
      </c>
      <c r="G24" s="183">
        <v>694</v>
      </c>
      <c r="H24" s="181" t="s">
        <v>941</v>
      </c>
      <c r="I24" s="148"/>
      <c r="J24" s="149"/>
      <c r="K24" s="150">
        <v>23275</v>
      </c>
      <c r="L24" s="170">
        <f t="shared" si="2"/>
        <v>23275</v>
      </c>
      <c r="M24" s="149"/>
      <c r="N24" s="150"/>
      <c r="O24" s="152">
        <f t="shared" si="10"/>
        <v>0</v>
      </c>
      <c r="P24" s="153"/>
      <c r="Q24" s="141" t="s">
        <v>1011</v>
      </c>
      <c r="R24" s="141"/>
      <c r="S24" s="155"/>
      <c r="U24" s="164" t="s">
        <v>985</v>
      </c>
      <c r="V24" s="165"/>
      <c r="W24" s="164" t="s">
        <v>985</v>
      </c>
      <c r="X24" s="163"/>
      <c r="Y24" s="163">
        <v>23275</v>
      </c>
      <c r="Z24" s="164" t="str">
        <f t="shared" si="3"/>
        <v>OK</v>
      </c>
      <c r="AA24" s="165"/>
      <c r="AB24" s="164"/>
      <c r="AC24" s="163">
        <f t="shared" si="4"/>
        <v>0</v>
      </c>
      <c r="AD24" s="163">
        <f t="shared" si="5"/>
        <v>0</v>
      </c>
      <c r="AE24" s="164" t="str">
        <f t="shared" si="6"/>
        <v>OK</v>
      </c>
      <c r="AF24" s="165"/>
      <c r="AG24" s="164" t="str">
        <f t="shared" si="7"/>
        <v>세입없음</v>
      </c>
      <c r="AH24" s="165"/>
      <c r="AI24" s="166">
        <f t="shared" si="8"/>
        <v>56</v>
      </c>
      <c r="AJ24" s="167" t="str">
        <f t="shared" si="9"/>
        <v>OK</v>
      </c>
      <c r="AK24" s="165"/>
      <c r="AL24" s="164" t="str">
        <f t="array" ref="AL24">IF(C24="","",INDEX(구분표!$I$2:$I$313, MATCH(1,(구분표!$E$2:$E$313='17년일출'!B24)*(구분표!$F$2:$F$313='17년일출'!C24)*(구분표!$G$2:$G$313='17년일출'!A24),0)))</f>
        <v>0225</v>
      </c>
      <c r="AM24" s="165"/>
      <c r="AN24" s="153"/>
    </row>
    <row r="25" spans="1:40" s="156" customFormat="1" ht="50.1" customHeight="1">
      <c r="A25" s="127" t="str">
        <f>IFERROR(VLOOKUP($C25,[4]구분표!$A$2:$C$313,2,FALSE),"")</f>
        <v>농정해양위원회</v>
      </c>
      <c r="B25" s="143" t="str">
        <f>IFERROR(VLOOKUP($C25,[4]구분표!$A$2:$C$313,3,FALSE),"")</f>
        <v>농정해양국</v>
      </c>
      <c r="C25" s="158" t="s">
        <v>942</v>
      </c>
      <c r="D25" s="162" t="s">
        <v>939</v>
      </c>
      <c r="E25" s="140" t="s">
        <v>983</v>
      </c>
      <c r="F25" s="184"/>
      <c r="G25" s="183"/>
      <c r="H25" s="181" t="s">
        <v>1056</v>
      </c>
      <c r="I25" s="148"/>
      <c r="J25" s="149"/>
      <c r="K25" s="150">
        <v>80000</v>
      </c>
      <c r="L25" s="170">
        <f t="shared" si="2"/>
        <v>80000</v>
      </c>
      <c r="M25" s="149"/>
      <c r="N25" s="150"/>
      <c r="O25" s="152">
        <f t="shared" si="10"/>
        <v>0</v>
      </c>
      <c r="P25" s="153"/>
      <c r="Q25" s="141"/>
      <c r="R25" s="141"/>
      <c r="S25" s="155"/>
      <c r="U25" s="164" t="s">
        <v>985</v>
      </c>
      <c r="V25" s="165"/>
      <c r="W25" s="164" t="s">
        <v>985</v>
      </c>
      <c r="X25" s="163"/>
      <c r="Y25" s="163">
        <v>80000</v>
      </c>
      <c r="Z25" s="164" t="str">
        <f t="shared" si="3"/>
        <v>OK</v>
      </c>
      <c r="AA25" s="165"/>
      <c r="AB25" s="164"/>
      <c r="AC25" s="163">
        <f t="shared" si="4"/>
        <v>0</v>
      </c>
      <c r="AD25" s="163">
        <f t="shared" si="5"/>
        <v>0</v>
      </c>
      <c r="AE25" s="164" t="str">
        <f t="shared" si="6"/>
        <v>OK</v>
      </c>
      <c r="AF25" s="165"/>
      <c r="AG25" s="164" t="str">
        <f t="shared" si="7"/>
        <v>세입없음</v>
      </c>
      <c r="AH25" s="165"/>
      <c r="AI25" s="166">
        <f t="shared" si="8"/>
        <v>56</v>
      </c>
      <c r="AJ25" s="167" t="str">
        <f t="shared" si="9"/>
        <v>OK</v>
      </c>
      <c r="AK25" s="165"/>
      <c r="AL25" s="164" t="str">
        <f t="array" ref="AL25">IF(C25="","",INDEX(구분표!$I$2:$I$313, MATCH(1,(구분표!$E$2:$E$313='17년일출'!B25)*(구분표!$F$2:$F$313='17년일출'!C25)*(구분표!$G$2:$G$313='17년일출'!A25),0)))</f>
        <v>0224</v>
      </c>
      <c r="AM25" s="165"/>
      <c r="AN25" s="153"/>
    </row>
    <row r="26" spans="1:40" s="156" customFormat="1" ht="50.1" customHeight="1">
      <c r="A26" s="127" t="str">
        <f>IFERROR(VLOOKUP($C26,[4]구분표!$A$2:$C$313,2,FALSE),"")</f>
        <v>농정해양위원회</v>
      </c>
      <c r="B26" s="143" t="str">
        <f>IFERROR(VLOOKUP($C26,[4]구분표!$A$2:$C$313,3,FALSE),"")</f>
        <v>농정해양국</v>
      </c>
      <c r="C26" s="158" t="s">
        <v>930</v>
      </c>
      <c r="D26" s="162" t="s">
        <v>939</v>
      </c>
      <c r="E26" s="140" t="s">
        <v>983</v>
      </c>
      <c r="F26" s="184"/>
      <c r="G26" s="183"/>
      <c r="H26" s="181" t="s">
        <v>1057</v>
      </c>
      <c r="I26" s="148"/>
      <c r="J26" s="149"/>
      <c r="K26" s="150">
        <v>100000</v>
      </c>
      <c r="L26" s="170">
        <f t="shared" si="2"/>
        <v>100000</v>
      </c>
      <c r="M26" s="149"/>
      <c r="N26" s="150"/>
      <c r="O26" s="152"/>
      <c r="P26" s="153"/>
      <c r="Q26" s="141"/>
      <c r="R26" s="141"/>
      <c r="S26" s="155"/>
      <c r="U26" s="164" t="s">
        <v>985</v>
      </c>
      <c r="V26" s="165"/>
      <c r="W26" s="164" t="s">
        <v>985</v>
      </c>
      <c r="X26" s="163"/>
      <c r="Y26" s="163">
        <v>100000</v>
      </c>
      <c r="Z26" s="164" t="str">
        <f t="shared" si="3"/>
        <v>OK</v>
      </c>
      <c r="AA26" s="165"/>
      <c r="AB26" s="164"/>
      <c r="AC26" s="163">
        <f t="shared" si="4"/>
        <v>0</v>
      </c>
      <c r="AD26" s="163">
        <f t="shared" si="5"/>
        <v>0</v>
      </c>
      <c r="AE26" s="164" t="str">
        <f t="shared" si="6"/>
        <v>OK</v>
      </c>
      <c r="AF26" s="165"/>
      <c r="AG26" s="164" t="str">
        <f t="shared" si="7"/>
        <v>세입없음</v>
      </c>
      <c r="AH26" s="165"/>
      <c r="AI26" s="166">
        <f t="shared" si="8"/>
        <v>56</v>
      </c>
      <c r="AJ26" s="167" t="str">
        <f t="shared" si="9"/>
        <v>OK</v>
      </c>
      <c r="AK26" s="165"/>
      <c r="AL26" s="164" t="str">
        <f t="array" ref="AL26">IF(C26="","",INDEX(구분표!$I$2:$I$313, MATCH(1,(구분표!$E$2:$E$313='17년일출'!B26)*(구분표!$F$2:$F$313='17년일출'!C26)*(구분표!$G$2:$G$313='17년일출'!A26),0)))</f>
        <v>0222</v>
      </c>
      <c r="AM26" s="165"/>
      <c r="AN26" s="153"/>
    </row>
    <row r="27" spans="1:40" s="156" customFormat="1" ht="50.1" customHeight="1">
      <c r="A27" s="127" t="str">
        <f>IFERROR(VLOOKUP($C27,[4]구분표!$A$2:$C$313,2,FALSE),"")</f>
        <v>농정해양위원회</v>
      </c>
      <c r="B27" s="143" t="str">
        <f>IFERROR(VLOOKUP($C27,[4]구분표!$A$2:$C$313,3,FALSE),"")</f>
        <v>농정해양국</v>
      </c>
      <c r="C27" s="158" t="s">
        <v>942</v>
      </c>
      <c r="D27" s="162" t="s">
        <v>928</v>
      </c>
      <c r="E27" s="140" t="s">
        <v>983</v>
      </c>
      <c r="F27" s="184">
        <v>656</v>
      </c>
      <c r="G27" s="183">
        <v>637</v>
      </c>
      <c r="H27" s="181" t="s">
        <v>1055</v>
      </c>
      <c r="I27" s="148">
        <v>218000</v>
      </c>
      <c r="J27" s="149"/>
      <c r="K27" s="150">
        <v>200000</v>
      </c>
      <c r="L27" s="170">
        <f t="shared" si="2"/>
        <v>418000</v>
      </c>
      <c r="M27" s="149"/>
      <c r="N27" s="150"/>
      <c r="O27" s="152"/>
      <c r="P27" s="153"/>
      <c r="Q27" s="141" t="s">
        <v>1012</v>
      </c>
      <c r="R27" s="141"/>
      <c r="S27" s="155"/>
      <c r="U27" s="164" t="s">
        <v>985</v>
      </c>
      <c r="V27" s="165"/>
      <c r="W27" s="164" t="s">
        <v>985</v>
      </c>
      <c r="X27" s="163"/>
      <c r="Y27" s="163">
        <v>200000</v>
      </c>
      <c r="Z27" s="164" t="str">
        <f t="shared" si="3"/>
        <v>OK</v>
      </c>
      <c r="AA27" s="165"/>
      <c r="AB27" s="164"/>
      <c r="AC27" s="163">
        <f t="shared" si="4"/>
        <v>0</v>
      </c>
      <c r="AD27" s="163">
        <f t="shared" si="5"/>
        <v>0</v>
      </c>
      <c r="AE27" s="164" t="str">
        <f t="shared" si="6"/>
        <v>OK</v>
      </c>
      <c r="AF27" s="165"/>
      <c r="AG27" s="164" t="str">
        <f t="shared" si="7"/>
        <v>세입없음</v>
      </c>
      <c r="AH27" s="165"/>
      <c r="AI27" s="166">
        <f t="shared" si="8"/>
        <v>56</v>
      </c>
      <c r="AJ27" s="167" t="str">
        <f t="shared" si="9"/>
        <v>OK</v>
      </c>
      <c r="AK27" s="165"/>
      <c r="AL27" s="164" t="str">
        <f t="array" ref="AL27">IF(C27="","",INDEX(구분표!$I$2:$I$313, MATCH(1,(구분표!$E$2:$E$313='17년일출'!B27)*(구분표!$F$2:$F$313='17년일출'!C27)*(구분표!$G$2:$G$313='17년일출'!A27),0)))</f>
        <v>0224</v>
      </c>
      <c r="AM27" s="165"/>
      <c r="AN27" s="153"/>
    </row>
    <row r="28" spans="1:40" s="156" customFormat="1" ht="50.1" customHeight="1">
      <c r="A28" s="127" t="str">
        <f>IFERROR(VLOOKUP($C28,[4]구분표!$A$2:$C$313,2,FALSE),"")</f>
        <v>농정해양위원회</v>
      </c>
      <c r="B28" s="143" t="str">
        <f>IFERROR(VLOOKUP($C28,[4]구분표!$A$2:$C$313,3,FALSE),"")</f>
        <v>농정해양국</v>
      </c>
      <c r="C28" s="190" t="s">
        <v>930</v>
      </c>
      <c r="D28" s="162" t="s">
        <v>939</v>
      </c>
      <c r="E28" s="140" t="s">
        <v>983</v>
      </c>
      <c r="F28" s="184"/>
      <c r="G28" s="183"/>
      <c r="H28" s="181" t="s">
        <v>1084</v>
      </c>
      <c r="I28" s="148"/>
      <c r="J28" s="149"/>
      <c r="K28" s="150">
        <v>100000</v>
      </c>
      <c r="L28" s="170">
        <f t="shared" si="2"/>
        <v>100000</v>
      </c>
      <c r="M28" s="149"/>
      <c r="N28" s="150"/>
      <c r="O28" s="152"/>
      <c r="P28" s="153"/>
      <c r="Q28" s="141"/>
      <c r="R28" s="141"/>
      <c r="S28" s="155"/>
      <c r="U28" s="164" t="s">
        <v>985</v>
      </c>
      <c r="V28" s="165"/>
      <c r="W28" s="164" t="s">
        <v>985</v>
      </c>
      <c r="X28" s="163"/>
      <c r="Y28" s="163">
        <v>100000</v>
      </c>
      <c r="Z28" s="164" t="str">
        <f t="shared" si="3"/>
        <v>OK</v>
      </c>
      <c r="AA28" s="165"/>
      <c r="AB28" s="164"/>
      <c r="AC28" s="163">
        <f t="shared" si="4"/>
        <v>0</v>
      </c>
      <c r="AD28" s="163">
        <f t="shared" si="5"/>
        <v>0</v>
      </c>
      <c r="AE28" s="164" t="str">
        <f t="shared" si="6"/>
        <v>OK</v>
      </c>
      <c r="AF28" s="165"/>
      <c r="AG28" s="164" t="str">
        <f t="shared" si="7"/>
        <v>세입없음</v>
      </c>
      <c r="AH28" s="165"/>
      <c r="AI28" s="166">
        <f t="shared" si="8"/>
        <v>56</v>
      </c>
      <c r="AJ28" s="167" t="str">
        <f t="shared" si="9"/>
        <v>OK</v>
      </c>
      <c r="AK28" s="165"/>
      <c r="AL28" s="164" t="str">
        <f t="array" ref="AL28">IF(C28="","",INDEX(구분표!$I$2:$I$313, MATCH(1,(구분표!$E$2:$E$313='17년일출'!B28)*(구분표!$F$2:$F$313='17년일출'!C28)*(구분표!$G$2:$G$313='17년일출'!A28),0)))</f>
        <v>0222</v>
      </c>
      <c r="AM28" s="165"/>
      <c r="AN28" s="153"/>
    </row>
    <row r="29" spans="1:40" s="156" customFormat="1" ht="50.1" customHeight="1">
      <c r="A29" s="127" t="str">
        <f>IFERROR(VLOOKUP($C29,[4]구분표!$A$2:$C$313,2,FALSE),"")</f>
        <v>농정해양위원회</v>
      </c>
      <c r="B29" s="143" t="str">
        <f>IFERROR(VLOOKUP($C29,[4]구분표!$A$2:$C$313,3,FALSE),"")</f>
        <v>농정해양국</v>
      </c>
      <c r="C29" s="190" t="s">
        <v>1074</v>
      </c>
      <c r="D29" s="162" t="s">
        <v>939</v>
      </c>
      <c r="E29" s="140" t="s">
        <v>983</v>
      </c>
      <c r="F29" s="184"/>
      <c r="G29" s="183"/>
      <c r="H29" s="181" t="s">
        <v>1082</v>
      </c>
      <c r="I29" s="148"/>
      <c r="J29" s="149"/>
      <c r="K29" s="150">
        <v>1000000</v>
      </c>
      <c r="L29" s="170">
        <f t="shared" si="2"/>
        <v>1000000</v>
      </c>
      <c r="M29" s="149"/>
      <c r="N29" s="150"/>
      <c r="O29" s="152"/>
      <c r="P29" s="153"/>
      <c r="Q29" s="141" t="s">
        <v>1083</v>
      </c>
      <c r="R29" s="141"/>
      <c r="S29" s="155"/>
      <c r="U29" s="164" t="s">
        <v>985</v>
      </c>
      <c r="V29" s="165"/>
      <c r="W29" s="164" t="s">
        <v>985</v>
      </c>
      <c r="X29" s="163"/>
      <c r="Y29" s="163">
        <v>1000000</v>
      </c>
      <c r="Z29" s="164" t="str">
        <f t="shared" si="3"/>
        <v>OK</v>
      </c>
      <c r="AA29" s="165"/>
      <c r="AB29" s="164"/>
      <c r="AC29" s="163">
        <f t="shared" si="4"/>
        <v>0</v>
      </c>
      <c r="AD29" s="163">
        <f t="shared" si="5"/>
        <v>0</v>
      </c>
      <c r="AE29" s="164" t="str">
        <f t="shared" si="6"/>
        <v>OK</v>
      </c>
      <c r="AF29" s="165"/>
      <c r="AG29" s="164" t="str">
        <f t="shared" si="7"/>
        <v>세입없음</v>
      </c>
      <c r="AH29" s="165"/>
      <c r="AI29" s="166">
        <f t="shared" si="8"/>
        <v>56</v>
      </c>
      <c r="AJ29" s="167" t="str">
        <f t="shared" si="9"/>
        <v>OK</v>
      </c>
      <c r="AK29" s="165"/>
      <c r="AL29" s="164" t="str">
        <f t="array" ref="AL29">IF(C29="","",INDEX(구분표!$I$2:$I$313, MATCH(1,(구분표!$E$2:$E$313='17년일출'!B29)*(구분표!$F$2:$F$313='17년일출'!C29)*(구분표!$G$2:$G$313='17년일출'!A29),0)))</f>
        <v>0223</v>
      </c>
      <c r="AM29" s="165"/>
      <c r="AN29" s="153"/>
    </row>
    <row r="30" spans="1:40" s="156" customFormat="1" ht="50.1" customHeight="1">
      <c r="A30" s="127" t="str">
        <f>IFERROR(VLOOKUP($C30,[4]구분표!$A$2:$C$313,2,FALSE),"")</f>
        <v>농정해양위원회</v>
      </c>
      <c r="B30" s="143" t="str">
        <f>IFERROR(VLOOKUP($C30,[4]구분표!$A$2:$C$313,3,FALSE),"")</f>
        <v>축산산림국</v>
      </c>
      <c r="C30" s="190" t="s">
        <v>943</v>
      </c>
      <c r="D30" s="162" t="s">
        <v>928</v>
      </c>
      <c r="E30" s="140" t="s">
        <v>983</v>
      </c>
      <c r="F30" s="184">
        <v>693</v>
      </c>
      <c r="G30" s="183">
        <v>59</v>
      </c>
      <c r="H30" s="181" t="s">
        <v>966</v>
      </c>
      <c r="I30" s="148">
        <v>600000</v>
      </c>
      <c r="J30" s="149"/>
      <c r="K30" s="150">
        <v>1400000</v>
      </c>
      <c r="L30" s="170">
        <f t="shared" si="2"/>
        <v>2000000</v>
      </c>
      <c r="M30" s="149"/>
      <c r="N30" s="150"/>
      <c r="O30" s="152">
        <f t="shared" ref="O30:O38" si="11">I30+M30+N30</f>
        <v>600000</v>
      </c>
      <c r="P30" s="153" t="str">
        <f>IF(AND((L30=0),(O30&gt;0)),"O",IF(AND((J30&lt;0),(L30-O30&lt;0)),"O","X"))</f>
        <v>X</v>
      </c>
      <c r="Q30" s="141" t="s">
        <v>1070</v>
      </c>
      <c r="R30" s="141"/>
      <c r="S30" s="155"/>
      <c r="U30" s="164" t="s">
        <v>985</v>
      </c>
      <c r="V30" s="165"/>
      <c r="W30" s="164" t="s">
        <v>985</v>
      </c>
      <c r="X30" s="163"/>
      <c r="Y30" s="163">
        <v>1400000</v>
      </c>
      <c r="Z30" s="164" t="str">
        <f t="shared" si="3"/>
        <v>OK</v>
      </c>
      <c r="AA30" s="165"/>
      <c r="AB30" s="164"/>
      <c r="AC30" s="163">
        <f t="shared" si="4"/>
        <v>0</v>
      </c>
      <c r="AD30" s="163">
        <f t="shared" si="5"/>
        <v>0</v>
      </c>
      <c r="AE30" s="164" t="str">
        <f t="shared" si="6"/>
        <v>OK</v>
      </c>
      <c r="AF30" s="165"/>
      <c r="AG30" s="164" t="str">
        <f t="shared" si="7"/>
        <v>세입없음</v>
      </c>
      <c r="AH30" s="165"/>
      <c r="AI30" s="166">
        <f t="shared" si="8"/>
        <v>56</v>
      </c>
      <c r="AJ30" s="167" t="str">
        <f t="shared" si="9"/>
        <v>OK</v>
      </c>
      <c r="AK30" s="165"/>
      <c r="AL30" s="164" t="str">
        <f t="array" ref="AL30">IF(C30="","",INDEX(구분표!$I$2:$I$313, MATCH(1,(구분표!$E$2:$E$313='17년일출'!B30)*(구분표!$F$2:$F$313='17년일출'!C30)*(구분표!$G$2:$G$313='17년일출'!A30),0)))</f>
        <v>0227</v>
      </c>
      <c r="AM30" s="165"/>
      <c r="AN30" s="153"/>
    </row>
    <row r="31" spans="1:40" s="156" customFormat="1" ht="50.1" customHeight="1">
      <c r="A31" s="127" t="str">
        <f>IFERROR(VLOOKUP($C31,[4]구분표!$A$2:$C$313,2,FALSE),"")</f>
        <v>농정해양위원회</v>
      </c>
      <c r="B31" s="143" t="str">
        <f>IFERROR(VLOOKUP($C31,[4]구분표!$A$2:$C$313,3,FALSE),"")</f>
        <v>축산산림국</v>
      </c>
      <c r="C31" s="190" t="s">
        <v>943</v>
      </c>
      <c r="D31" s="162" t="s">
        <v>928</v>
      </c>
      <c r="E31" s="140" t="s">
        <v>983</v>
      </c>
      <c r="F31" s="184">
        <v>694</v>
      </c>
      <c r="G31" s="183">
        <v>88</v>
      </c>
      <c r="H31" s="181" t="s">
        <v>944</v>
      </c>
      <c r="I31" s="148">
        <v>200000</v>
      </c>
      <c r="J31" s="149"/>
      <c r="K31" s="150">
        <v>100000</v>
      </c>
      <c r="L31" s="170">
        <f t="shared" si="2"/>
        <v>300000</v>
      </c>
      <c r="M31" s="149"/>
      <c r="N31" s="150"/>
      <c r="O31" s="152">
        <f t="shared" si="11"/>
        <v>200000</v>
      </c>
      <c r="P31" s="153" t="str">
        <f>IF(AND((L31=0),(O31&gt;0)),"O",IF(AND((J31&lt;0),(L31-O31&lt;0)),"O","X"))</f>
        <v>X</v>
      </c>
      <c r="Q31" s="141" t="s">
        <v>1062</v>
      </c>
      <c r="R31" s="141"/>
      <c r="S31" s="155"/>
      <c r="U31" s="164" t="s">
        <v>985</v>
      </c>
      <c r="V31" s="165"/>
      <c r="W31" s="164" t="s">
        <v>985</v>
      </c>
      <c r="X31" s="163"/>
      <c r="Y31" s="163">
        <v>100000</v>
      </c>
      <c r="Z31" s="164" t="str">
        <f t="shared" si="3"/>
        <v>OK</v>
      </c>
      <c r="AA31" s="165"/>
      <c r="AB31" s="164"/>
      <c r="AC31" s="163">
        <f t="shared" si="4"/>
        <v>0</v>
      </c>
      <c r="AD31" s="163">
        <f t="shared" si="5"/>
        <v>0</v>
      </c>
      <c r="AE31" s="164" t="str">
        <f t="shared" si="6"/>
        <v>OK</v>
      </c>
      <c r="AF31" s="165"/>
      <c r="AG31" s="164" t="str">
        <f t="shared" si="7"/>
        <v>세입없음</v>
      </c>
      <c r="AH31" s="165"/>
      <c r="AI31" s="166">
        <f t="shared" si="8"/>
        <v>56</v>
      </c>
      <c r="AJ31" s="167" t="str">
        <f t="shared" si="9"/>
        <v>OK</v>
      </c>
      <c r="AK31" s="165"/>
      <c r="AL31" s="164" t="str">
        <f t="array" ref="AL31">IF(C31="","",INDEX(구분표!$I$2:$I$313, MATCH(1,(구분표!$E$2:$E$313='17년일출'!B31)*(구분표!$F$2:$F$313='17년일출'!C31)*(구분표!$G$2:$G$313='17년일출'!A31),0)))</f>
        <v>0227</v>
      </c>
      <c r="AM31" s="165"/>
      <c r="AN31" s="153"/>
    </row>
    <row r="32" spans="1:40" s="156" customFormat="1" ht="50.1" customHeight="1">
      <c r="A32" s="127" t="str">
        <f>IFERROR(VLOOKUP($C32,[4]구분표!$A$2:$C$313,2,FALSE),"")</f>
        <v>농정해양위원회</v>
      </c>
      <c r="B32" s="143" t="str">
        <f>IFERROR(VLOOKUP($C32,[4]구분표!$A$2:$C$313,3,FALSE),"")</f>
        <v>축산산림국</v>
      </c>
      <c r="C32" s="190" t="s">
        <v>943</v>
      </c>
      <c r="D32" s="162" t="s">
        <v>928</v>
      </c>
      <c r="E32" s="140" t="s">
        <v>983</v>
      </c>
      <c r="F32" s="184">
        <v>694</v>
      </c>
      <c r="G32" s="183">
        <v>76</v>
      </c>
      <c r="H32" s="181" t="s">
        <v>945</v>
      </c>
      <c r="I32" s="148">
        <v>825000</v>
      </c>
      <c r="J32" s="149"/>
      <c r="K32" s="150">
        <v>200000</v>
      </c>
      <c r="L32" s="170">
        <f t="shared" si="2"/>
        <v>1025000</v>
      </c>
      <c r="M32" s="149"/>
      <c r="N32" s="150"/>
      <c r="O32" s="152">
        <f t="shared" si="11"/>
        <v>825000</v>
      </c>
      <c r="P32" s="153"/>
      <c r="Q32" s="141" t="s">
        <v>1069</v>
      </c>
      <c r="R32" s="141"/>
      <c r="S32" s="155"/>
      <c r="U32" s="164" t="s">
        <v>985</v>
      </c>
      <c r="V32" s="165"/>
      <c r="W32" s="164" t="s">
        <v>985</v>
      </c>
      <c r="X32" s="163"/>
      <c r="Y32" s="163">
        <v>200000</v>
      </c>
      <c r="Z32" s="164" t="str">
        <f t="shared" si="3"/>
        <v>OK</v>
      </c>
      <c r="AA32" s="165"/>
      <c r="AB32" s="164"/>
      <c r="AC32" s="163">
        <f t="shared" si="4"/>
        <v>0</v>
      </c>
      <c r="AD32" s="163">
        <f t="shared" si="5"/>
        <v>0</v>
      </c>
      <c r="AE32" s="164" t="str">
        <f t="shared" si="6"/>
        <v>OK</v>
      </c>
      <c r="AF32" s="165"/>
      <c r="AG32" s="164" t="str">
        <f t="shared" si="7"/>
        <v>세입없음</v>
      </c>
      <c r="AH32" s="165"/>
      <c r="AI32" s="166">
        <f t="shared" si="8"/>
        <v>56</v>
      </c>
      <c r="AJ32" s="167" t="str">
        <f t="shared" si="9"/>
        <v>OK</v>
      </c>
      <c r="AK32" s="165"/>
      <c r="AL32" s="164" t="str">
        <f t="array" ref="AL32">IF(C32="","",INDEX(구분표!$I$2:$I$313, MATCH(1,(구분표!$E$2:$E$313='17년일출'!B32)*(구분표!$F$2:$F$313='17년일출'!C32)*(구분표!$G$2:$G$313='17년일출'!A32),0)))</f>
        <v>0227</v>
      </c>
      <c r="AM32" s="165"/>
      <c r="AN32" s="153"/>
    </row>
    <row r="33" spans="1:40" s="156" customFormat="1" ht="50.1" customHeight="1">
      <c r="A33" s="127" t="str">
        <f>IFERROR(VLOOKUP($C33,[4]구분표!$A$2:$C$313,2,FALSE),"")</f>
        <v>농정해양위원회</v>
      </c>
      <c r="B33" s="143" t="str">
        <f>IFERROR(VLOOKUP($C33,[4]구분표!$A$2:$C$313,3,FALSE),"")</f>
        <v>축산산림국</v>
      </c>
      <c r="C33" s="158" t="s">
        <v>946</v>
      </c>
      <c r="D33" s="162" t="s">
        <v>928</v>
      </c>
      <c r="E33" s="140" t="s">
        <v>983</v>
      </c>
      <c r="F33" s="184">
        <v>700</v>
      </c>
      <c r="G33" s="183">
        <v>152</v>
      </c>
      <c r="H33" s="181" t="s">
        <v>1060</v>
      </c>
      <c r="I33" s="148">
        <v>237600</v>
      </c>
      <c r="J33" s="149"/>
      <c r="K33" s="150">
        <v>15000</v>
      </c>
      <c r="L33" s="170">
        <f t="shared" si="2"/>
        <v>252600</v>
      </c>
      <c r="M33" s="149"/>
      <c r="N33" s="150"/>
      <c r="O33" s="152">
        <f t="shared" si="11"/>
        <v>237600</v>
      </c>
      <c r="P33" s="153"/>
      <c r="Q33" s="141" t="s">
        <v>1061</v>
      </c>
      <c r="R33" s="141"/>
      <c r="S33" s="155"/>
      <c r="U33" s="164" t="s">
        <v>985</v>
      </c>
      <c r="V33" s="165"/>
      <c r="W33" s="164" t="s">
        <v>985</v>
      </c>
      <c r="X33" s="163"/>
      <c r="Y33" s="163">
        <v>15000</v>
      </c>
      <c r="Z33" s="164" t="str">
        <f t="shared" si="3"/>
        <v>OK</v>
      </c>
      <c r="AA33" s="165"/>
      <c r="AB33" s="164"/>
      <c r="AC33" s="163">
        <f t="shared" si="4"/>
        <v>0</v>
      </c>
      <c r="AD33" s="163">
        <f t="shared" si="5"/>
        <v>0</v>
      </c>
      <c r="AE33" s="164" t="str">
        <f t="shared" si="6"/>
        <v>OK</v>
      </c>
      <c r="AF33" s="165"/>
      <c r="AG33" s="164" t="str">
        <f t="shared" si="7"/>
        <v>세입없음</v>
      </c>
      <c r="AH33" s="165"/>
      <c r="AI33" s="166">
        <f t="shared" si="8"/>
        <v>56</v>
      </c>
      <c r="AJ33" s="167" t="str">
        <f t="shared" si="9"/>
        <v>OK</v>
      </c>
      <c r="AK33" s="165"/>
      <c r="AL33" s="164" t="str">
        <f t="array" ref="AL33">IF(C33="","",INDEX(구분표!$I$2:$I$313, MATCH(1,(구분표!$E$2:$E$313='17년일출'!B33)*(구분표!$F$2:$F$313='17년일출'!C33)*(구분표!$G$2:$G$313='17년일출'!A33),0)))</f>
        <v>0228</v>
      </c>
      <c r="AM33" s="165"/>
      <c r="AN33" s="153"/>
    </row>
    <row r="34" spans="1:40" s="156" customFormat="1" ht="50.1" customHeight="1">
      <c r="A34" s="127" t="str">
        <f>IFERROR(VLOOKUP($C34,[4]구분표!$A$2:$C$313,2,FALSE),"")</f>
        <v>농정해양위원회</v>
      </c>
      <c r="B34" s="143" t="str">
        <f>IFERROR(VLOOKUP($C34,[4]구분표!$A$2:$C$313,3,FALSE),"")</f>
        <v>축산산림국</v>
      </c>
      <c r="C34" s="158" t="s">
        <v>946</v>
      </c>
      <c r="D34" s="162" t="s">
        <v>928</v>
      </c>
      <c r="E34" s="140" t="s">
        <v>982</v>
      </c>
      <c r="F34" s="184">
        <v>705</v>
      </c>
      <c r="G34" s="183">
        <v>198</v>
      </c>
      <c r="H34" s="181" t="s">
        <v>947</v>
      </c>
      <c r="I34" s="148">
        <v>5800000</v>
      </c>
      <c r="J34" s="149">
        <v>-5800000</v>
      </c>
      <c r="K34" s="150"/>
      <c r="L34" s="170">
        <f t="shared" si="2"/>
        <v>0</v>
      </c>
      <c r="M34" s="149"/>
      <c r="N34" s="150"/>
      <c r="O34" s="152">
        <f t="shared" si="11"/>
        <v>5800000</v>
      </c>
      <c r="P34" s="153" t="str">
        <f>IF(AND((L34=0),(O34&gt;0)),"O",IF(AND((J34&lt;0),(L34-O34&lt;0)),"O","X"))</f>
        <v>O</v>
      </c>
      <c r="Q34" s="141" t="s">
        <v>992</v>
      </c>
      <c r="R34" s="141"/>
      <c r="S34" s="155"/>
      <c r="U34" s="164" t="s">
        <v>985</v>
      </c>
      <c r="V34" s="165"/>
      <c r="W34" s="164" t="s">
        <v>985</v>
      </c>
      <c r="X34" s="163"/>
      <c r="Y34" s="163">
        <v>-5800000</v>
      </c>
      <c r="Z34" s="164" t="str">
        <f t="shared" si="3"/>
        <v>OK</v>
      </c>
      <c r="AA34" s="165"/>
      <c r="AB34" s="164"/>
      <c r="AC34" s="163">
        <f t="shared" si="4"/>
        <v>0</v>
      </c>
      <c r="AD34" s="163">
        <f t="shared" si="5"/>
        <v>0</v>
      </c>
      <c r="AE34" s="164" t="str">
        <f t="shared" si="6"/>
        <v>OK</v>
      </c>
      <c r="AF34" s="165"/>
      <c r="AG34" s="164" t="str">
        <f t="shared" si="7"/>
        <v>세입없음</v>
      </c>
      <c r="AH34" s="165"/>
      <c r="AI34" s="166">
        <f t="shared" si="8"/>
        <v>56</v>
      </c>
      <c r="AJ34" s="167" t="str">
        <f t="shared" si="9"/>
        <v>OK</v>
      </c>
      <c r="AK34" s="165"/>
      <c r="AL34" s="164" t="str">
        <f t="array" ref="AL34">IF(C34="","",INDEX(구분표!$I$2:$I$313, MATCH(1,(구분표!$E$2:$E$313='17년일출'!B34)*(구분표!$F$2:$F$313='17년일출'!C34)*(구분표!$G$2:$G$313='17년일출'!A34),0)))</f>
        <v>0228</v>
      </c>
      <c r="AM34" s="165"/>
      <c r="AN34" s="153"/>
    </row>
    <row r="35" spans="1:40" s="156" customFormat="1" ht="50.1" customHeight="1">
      <c r="A35" s="127" t="str">
        <f>IFERROR(VLOOKUP($C35,[4]구분표!$A$2:$C$313,2,FALSE),"")</f>
        <v>농정해양위원회</v>
      </c>
      <c r="B35" s="143" t="str">
        <f>IFERROR(VLOOKUP($C35,[4]구분표!$A$2:$C$313,3,FALSE),"")</f>
        <v>축산산림국</v>
      </c>
      <c r="C35" s="158" t="s">
        <v>948</v>
      </c>
      <c r="D35" s="162" t="s">
        <v>928</v>
      </c>
      <c r="E35" s="140" t="s">
        <v>983</v>
      </c>
      <c r="F35" s="184">
        <v>742</v>
      </c>
      <c r="G35" s="183">
        <v>463</v>
      </c>
      <c r="H35" s="181" t="s">
        <v>1002</v>
      </c>
      <c r="I35" s="148">
        <v>13000</v>
      </c>
      <c r="J35" s="149"/>
      <c r="K35" s="150">
        <v>50000</v>
      </c>
      <c r="L35" s="170">
        <f t="shared" si="2"/>
        <v>63000</v>
      </c>
      <c r="M35" s="149"/>
      <c r="N35" s="150"/>
      <c r="O35" s="152">
        <f t="shared" si="11"/>
        <v>13000</v>
      </c>
      <c r="P35" s="153"/>
      <c r="Q35" s="141" t="s">
        <v>1063</v>
      </c>
      <c r="R35" s="141"/>
      <c r="S35" s="155"/>
      <c r="U35" s="164" t="s">
        <v>985</v>
      </c>
      <c r="V35" s="165"/>
      <c r="W35" s="164" t="s">
        <v>985</v>
      </c>
      <c r="X35" s="163"/>
      <c r="Y35" s="163">
        <v>50000</v>
      </c>
      <c r="Z35" s="164" t="str">
        <f t="shared" si="3"/>
        <v>OK</v>
      </c>
      <c r="AA35" s="165"/>
      <c r="AB35" s="164"/>
      <c r="AC35" s="163">
        <f t="shared" si="4"/>
        <v>0</v>
      </c>
      <c r="AD35" s="163">
        <f t="shared" si="5"/>
        <v>0</v>
      </c>
      <c r="AE35" s="164" t="str">
        <f t="shared" si="6"/>
        <v>OK</v>
      </c>
      <c r="AF35" s="165"/>
      <c r="AG35" s="164" t="str">
        <f t="shared" si="7"/>
        <v>세입없음</v>
      </c>
      <c r="AH35" s="165"/>
      <c r="AI35" s="166">
        <f t="shared" si="8"/>
        <v>56</v>
      </c>
      <c r="AJ35" s="167" t="str">
        <f t="shared" si="9"/>
        <v>OK</v>
      </c>
      <c r="AK35" s="165"/>
      <c r="AL35" s="164" t="str">
        <f t="array" ref="AL35">IF(C35="","",INDEX(구분표!$I$2:$I$313, MATCH(1,(구분표!$E$2:$E$313='17년일출'!B35)*(구분표!$F$2:$F$313='17년일출'!C35)*(구분표!$G$2:$G$313='17년일출'!A35),0)))</f>
        <v>0231</v>
      </c>
      <c r="AM35" s="165"/>
      <c r="AN35" s="153"/>
    </row>
    <row r="36" spans="1:40" s="156" customFormat="1" ht="50.1" customHeight="1">
      <c r="A36" s="127" t="str">
        <f>IFERROR(VLOOKUP($C36,[4]구분표!$A$2:$C$313,2,FALSE),"")</f>
        <v>농정해양위원회</v>
      </c>
      <c r="B36" s="143" t="str">
        <f>IFERROR(VLOOKUP($C36,[4]구분표!$A$2:$C$313,3,FALSE),"")</f>
        <v>축산산림국</v>
      </c>
      <c r="C36" s="158" t="s">
        <v>949</v>
      </c>
      <c r="D36" s="162" t="s">
        <v>939</v>
      </c>
      <c r="E36" s="140" t="s">
        <v>983</v>
      </c>
      <c r="F36" s="184"/>
      <c r="G36" s="183"/>
      <c r="H36" s="181" t="s">
        <v>999</v>
      </c>
      <c r="I36" s="148"/>
      <c r="J36" s="149"/>
      <c r="K36" s="150">
        <v>90000</v>
      </c>
      <c r="L36" s="170">
        <f t="shared" si="2"/>
        <v>90000</v>
      </c>
      <c r="M36" s="149"/>
      <c r="N36" s="150"/>
      <c r="O36" s="152">
        <f t="shared" si="11"/>
        <v>0</v>
      </c>
      <c r="P36" s="153" t="str">
        <f>IF(AND((L36=0),(O36&gt;0)),"O",IF(AND((J36&lt;0),(L36-O36&lt;0)),"O","X"))</f>
        <v>X</v>
      </c>
      <c r="Q36" s="141" t="s">
        <v>1013</v>
      </c>
      <c r="R36" s="141"/>
      <c r="S36" s="155"/>
      <c r="U36" s="164" t="s">
        <v>985</v>
      </c>
      <c r="V36" s="165"/>
      <c r="W36" s="164" t="s">
        <v>985</v>
      </c>
      <c r="X36" s="163"/>
      <c r="Y36" s="163">
        <v>90000</v>
      </c>
      <c r="Z36" s="164" t="str">
        <f t="shared" si="3"/>
        <v>OK</v>
      </c>
      <c r="AA36" s="165"/>
      <c r="AB36" s="164"/>
      <c r="AC36" s="163">
        <f t="shared" si="4"/>
        <v>0</v>
      </c>
      <c r="AD36" s="163">
        <f t="shared" si="5"/>
        <v>0</v>
      </c>
      <c r="AE36" s="164" t="str">
        <f t="shared" si="6"/>
        <v>OK</v>
      </c>
      <c r="AF36" s="165"/>
      <c r="AG36" s="164" t="str">
        <f t="shared" si="7"/>
        <v>세입없음</v>
      </c>
      <c r="AH36" s="165"/>
      <c r="AI36" s="166">
        <f t="shared" si="8"/>
        <v>56</v>
      </c>
      <c r="AJ36" s="167" t="str">
        <f t="shared" si="9"/>
        <v>OK</v>
      </c>
      <c r="AK36" s="165"/>
      <c r="AL36" s="164" t="str">
        <f t="array" ref="AL36">IF(C36="","",INDEX(구분표!$I$2:$I$313, MATCH(1,(구분표!$E$2:$E$313='17년일출'!B36)*(구분표!$F$2:$F$313='17년일출'!C36)*(구분표!$G$2:$G$313='17년일출'!A36),0)))</f>
        <v>0232</v>
      </c>
      <c r="AM36" s="165"/>
      <c r="AN36" s="153"/>
    </row>
    <row r="37" spans="1:40" s="156" customFormat="1" ht="50.1" customHeight="1">
      <c r="A37" s="127" t="str">
        <f>IFERROR(VLOOKUP($C37,[4]구분표!$A$2:$C$313,2,FALSE),"")</f>
        <v>농정해양위원회</v>
      </c>
      <c r="B37" s="143" t="str">
        <f>IFERROR(VLOOKUP($C37,[4]구분표!$A$2:$C$313,3,FALSE),"")</f>
        <v>축산산림국</v>
      </c>
      <c r="C37" s="158" t="s">
        <v>949</v>
      </c>
      <c r="D37" s="162" t="s">
        <v>939</v>
      </c>
      <c r="E37" s="140" t="s">
        <v>983</v>
      </c>
      <c r="F37" s="184"/>
      <c r="G37" s="183"/>
      <c r="H37" s="181" t="s">
        <v>998</v>
      </c>
      <c r="I37" s="148"/>
      <c r="J37" s="149"/>
      <c r="K37" s="150">
        <v>155000</v>
      </c>
      <c r="L37" s="170">
        <f t="shared" si="2"/>
        <v>155000</v>
      </c>
      <c r="M37" s="149"/>
      <c r="N37" s="150"/>
      <c r="O37" s="152">
        <f t="shared" si="11"/>
        <v>0</v>
      </c>
      <c r="P37" s="153" t="str">
        <f>IF(AND((L37=0),(O37&gt;0)),"O",IF(AND((J37&lt;0),(L37-O37&lt;0)),"O","X"))</f>
        <v>X</v>
      </c>
      <c r="Q37" s="141" t="s">
        <v>1014</v>
      </c>
      <c r="R37" s="141"/>
      <c r="S37" s="155"/>
      <c r="U37" s="164" t="s">
        <v>985</v>
      </c>
      <c r="V37" s="165"/>
      <c r="W37" s="164" t="s">
        <v>985</v>
      </c>
      <c r="X37" s="163"/>
      <c r="Y37" s="163">
        <v>155000</v>
      </c>
      <c r="Z37" s="164" t="str">
        <f t="shared" si="3"/>
        <v>OK</v>
      </c>
      <c r="AA37" s="165"/>
      <c r="AB37" s="164"/>
      <c r="AC37" s="163">
        <f t="shared" si="4"/>
        <v>0</v>
      </c>
      <c r="AD37" s="163">
        <f t="shared" si="5"/>
        <v>0</v>
      </c>
      <c r="AE37" s="164" t="str">
        <f t="shared" si="6"/>
        <v>OK</v>
      </c>
      <c r="AF37" s="165"/>
      <c r="AG37" s="164" t="str">
        <f t="shared" si="7"/>
        <v>세입없음</v>
      </c>
      <c r="AH37" s="165"/>
      <c r="AI37" s="166">
        <f t="shared" si="8"/>
        <v>56</v>
      </c>
      <c r="AJ37" s="167" t="str">
        <f t="shared" si="9"/>
        <v>OK</v>
      </c>
      <c r="AK37" s="165"/>
      <c r="AL37" s="164" t="str">
        <f t="array" ref="AL37">IF(C37="","",INDEX(구분표!$I$2:$I$313, MATCH(1,(구분표!$E$2:$E$313='17년일출'!B37)*(구분표!$F$2:$F$313='17년일출'!C37)*(구분표!$G$2:$G$313='17년일출'!A37),0)))</f>
        <v>0232</v>
      </c>
      <c r="AM37" s="165"/>
      <c r="AN37" s="153"/>
    </row>
    <row r="38" spans="1:40" s="156" customFormat="1" ht="50.1" customHeight="1">
      <c r="A38" s="127" t="str">
        <f>IFERROR(VLOOKUP($C38,[4]구분표!$A$2:$C$313,2,FALSE),"")</f>
        <v>농정해양위원회</v>
      </c>
      <c r="B38" s="143" t="str">
        <f>IFERROR(VLOOKUP($C38,[4]구분표!$A$2:$C$313,3,FALSE),"")</f>
        <v>축산산림국</v>
      </c>
      <c r="C38" s="158" t="s">
        <v>950</v>
      </c>
      <c r="D38" s="162" t="s">
        <v>939</v>
      </c>
      <c r="E38" s="140" t="s">
        <v>983</v>
      </c>
      <c r="F38" s="184"/>
      <c r="G38" s="183"/>
      <c r="H38" s="181" t="s">
        <v>1020</v>
      </c>
      <c r="I38" s="148"/>
      <c r="J38" s="149"/>
      <c r="K38" s="150">
        <v>72000</v>
      </c>
      <c r="L38" s="170">
        <f t="shared" si="2"/>
        <v>72000</v>
      </c>
      <c r="M38" s="149"/>
      <c r="N38" s="150"/>
      <c r="O38" s="152">
        <f t="shared" si="11"/>
        <v>0</v>
      </c>
      <c r="P38" s="153" t="str">
        <f>IF(AND((L38=0),(O38&gt;0)),"O",IF(AND((J38&lt;0),(L38-O38&lt;0)),"O","X"))</f>
        <v>X</v>
      </c>
      <c r="Q38" s="141" t="s">
        <v>1016</v>
      </c>
      <c r="R38" s="141"/>
      <c r="S38" s="155"/>
      <c r="U38" s="164" t="s">
        <v>985</v>
      </c>
      <c r="V38" s="165"/>
      <c r="W38" s="164" t="s">
        <v>985</v>
      </c>
      <c r="X38" s="163"/>
      <c r="Y38" s="163">
        <v>72000</v>
      </c>
      <c r="Z38" s="164" t="str">
        <f t="shared" si="3"/>
        <v>OK</v>
      </c>
      <c r="AA38" s="165"/>
      <c r="AB38" s="164"/>
      <c r="AC38" s="163">
        <f t="shared" si="4"/>
        <v>0</v>
      </c>
      <c r="AD38" s="163">
        <f t="shared" si="5"/>
        <v>0</v>
      </c>
      <c r="AE38" s="164" t="str">
        <f t="shared" si="6"/>
        <v>OK</v>
      </c>
      <c r="AF38" s="165"/>
      <c r="AG38" s="164" t="str">
        <f t="shared" si="7"/>
        <v>세입없음</v>
      </c>
      <c r="AH38" s="165"/>
      <c r="AI38" s="166">
        <f t="shared" si="8"/>
        <v>56</v>
      </c>
      <c r="AJ38" s="167" t="str">
        <f t="shared" si="9"/>
        <v>OK</v>
      </c>
      <c r="AK38" s="165"/>
      <c r="AL38" s="164" t="str">
        <f t="array" ref="AL38">IF(C38="","",INDEX(구분표!$I$2:$I$313, MATCH(1,(구분표!$E$2:$E$313='17년일출'!B38)*(구분표!$F$2:$F$313='17년일출'!C38)*(구분표!$G$2:$G$313='17년일출'!A38),0)))</f>
        <v>0230</v>
      </c>
      <c r="AM38" s="165"/>
      <c r="AN38" s="153"/>
    </row>
    <row r="39" spans="1:40" s="156" customFormat="1" ht="50.1" customHeight="1">
      <c r="A39" s="127" t="str">
        <f>IFERROR(VLOOKUP($C39,[4]구분표!$A$2:$C$313,2,FALSE),"")</f>
        <v>농정해양위원회</v>
      </c>
      <c r="B39" s="143" t="str">
        <f>IFERROR(VLOOKUP($C39,[4]구분표!$A$2:$C$313,3,FALSE),"")</f>
        <v>축산산림국</v>
      </c>
      <c r="C39" s="158" t="s">
        <v>951</v>
      </c>
      <c r="D39" s="162" t="s">
        <v>939</v>
      </c>
      <c r="E39" s="140" t="s">
        <v>983</v>
      </c>
      <c r="F39" s="184"/>
      <c r="G39" s="183"/>
      <c r="H39" s="185" t="s">
        <v>996</v>
      </c>
      <c r="I39" s="148"/>
      <c r="J39" s="149"/>
      <c r="K39" s="150">
        <v>700000</v>
      </c>
      <c r="L39" s="170">
        <f t="shared" ref="L39:L70" si="12">I39+J39+K39</f>
        <v>700000</v>
      </c>
      <c r="M39" s="149"/>
      <c r="N39" s="150"/>
      <c r="O39" s="152"/>
      <c r="P39" s="153"/>
      <c r="Q39" s="141" t="s">
        <v>1015</v>
      </c>
      <c r="R39" s="141"/>
      <c r="S39" s="155"/>
      <c r="U39" s="164" t="s">
        <v>985</v>
      </c>
      <c r="V39" s="165"/>
      <c r="W39" s="164" t="s">
        <v>985</v>
      </c>
      <c r="X39" s="163"/>
      <c r="Y39" s="163">
        <v>700000</v>
      </c>
      <c r="Z39" s="164" t="str">
        <f t="shared" ref="Z39:Z70" si="13">IF(SUM($J39:$K39)=SUM($X39:$Y39),"OK","검토")</f>
        <v>OK</v>
      </c>
      <c r="AA39" s="165"/>
      <c r="AB39" s="164"/>
      <c r="AC39" s="163">
        <f t="shared" ref="AC39:AC70" si="14">IF($W39&lt;&gt;"도비",IF($U39="국도비","직접입력",SUM($M39:$N39)),)</f>
        <v>0</v>
      </c>
      <c r="AD39" s="163">
        <f t="shared" ref="AD39:AD70" si="15">IF($W39="도비",SUM(M39:N39),IF($U39="국도비","직접입력",SUM(M39:N39)-AC39))</f>
        <v>0</v>
      </c>
      <c r="AE39" s="164" t="str">
        <f t="shared" ref="AE39:AE70" si="16">IF(SUM(M39:N39)=SUM(AC39:AD39),"OK","검토")</f>
        <v>OK</v>
      </c>
      <c r="AF39" s="165"/>
      <c r="AG39" s="164" t="str">
        <f t="shared" ref="AG39:AG56" si="17">IF(W39="","",IF(W39="도비","세입없음","직접입력"))</f>
        <v>세입없음</v>
      </c>
      <c r="AH39" s="165"/>
      <c r="AI39" s="166">
        <f t="shared" ref="AI39:AI66" si="18">IF(AG39="","",COUNTIF($AG$6:$AG$166,AG39))</f>
        <v>56</v>
      </c>
      <c r="AJ39" s="167" t="str">
        <f t="shared" si="9"/>
        <v>OK</v>
      </c>
      <c r="AK39" s="165"/>
      <c r="AL39" s="164" t="str">
        <f t="array" ref="AL39">IF(C39="","",INDEX(구분표!$I$2:$I$313, MATCH(1,(구분표!$E$2:$E$313='17년일출'!B39)*(구분표!$F$2:$F$313='17년일출'!C39)*(구분표!$G$2:$G$313='17년일출'!A39),0)))</f>
        <v>0229</v>
      </c>
      <c r="AM39" s="165"/>
      <c r="AN39" s="153"/>
    </row>
    <row r="40" spans="1:40" s="156" customFormat="1" ht="50.1" customHeight="1">
      <c r="A40" s="127" t="str">
        <f>IFERROR(VLOOKUP($C40,[4]구분표!$A$2:$C$313,2,FALSE),"")</f>
        <v>농정해양위원회</v>
      </c>
      <c r="B40" s="143" t="str">
        <f>IFERROR(VLOOKUP($C40,[4]구분표!$A$2:$C$313,3,FALSE),"")</f>
        <v>축산산림국</v>
      </c>
      <c r="C40" s="158" t="s">
        <v>951</v>
      </c>
      <c r="D40" s="162" t="s">
        <v>796</v>
      </c>
      <c r="E40" s="140" t="s">
        <v>983</v>
      </c>
      <c r="F40" s="184"/>
      <c r="G40" s="183"/>
      <c r="H40" s="181" t="s">
        <v>997</v>
      </c>
      <c r="I40" s="148"/>
      <c r="J40" s="149"/>
      <c r="K40" s="150">
        <v>2500000</v>
      </c>
      <c r="L40" s="170">
        <f t="shared" si="12"/>
        <v>2500000</v>
      </c>
      <c r="M40" s="149"/>
      <c r="N40" s="150"/>
      <c r="O40" s="152">
        <f t="shared" ref="O40:O69" si="19">I40+M40+N40</f>
        <v>0</v>
      </c>
      <c r="P40" s="153"/>
      <c r="Q40" s="136" t="s">
        <v>1017</v>
      </c>
      <c r="R40" s="135" t="s">
        <v>955</v>
      </c>
      <c r="S40" s="155"/>
      <c r="U40" s="164" t="s">
        <v>985</v>
      </c>
      <c r="V40" s="165"/>
      <c r="W40" s="164" t="s">
        <v>985</v>
      </c>
      <c r="X40" s="163"/>
      <c r="Y40" s="163">
        <v>2500000</v>
      </c>
      <c r="Z40" s="164" t="str">
        <f t="shared" si="13"/>
        <v>OK</v>
      </c>
      <c r="AA40" s="165"/>
      <c r="AB40" s="164"/>
      <c r="AC40" s="163">
        <f t="shared" si="14"/>
        <v>0</v>
      </c>
      <c r="AD40" s="163">
        <f t="shared" si="15"/>
        <v>0</v>
      </c>
      <c r="AE40" s="164" t="str">
        <f t="shared" si="16"/>
        <v>OK</v>
      </c>
      <c r="AF40" s="165"/>
      <c r="AG40" s="164" t="str">
        <f t="shared" si="17"/>
        <v>세입없음</v>
      </c>
      <c r="AH40" s="165"/>
      <c r="AI40" s="166">
        <f t="shared" si="18"/>
        <v>56</v>
      </c>
      <c r="AJ40" s="167" t="str">
        <f t="shared" si="9"/>
        <v>OK</v>
      </c>
      <c r="AK40" s="165"/>
      <c r="AL40" s="164" t="str">
        <f t="array" ref="AL40">IF(C40="","",INDEX(구분표!$I$2:$I$313, MATCH(1,(구분표!$E$2:$E$313='17년일출'!B40)*(구분표!$F$2:$F$313='17년일출'!C40)*(구분표!$G$2:$G$313='17년일출'!A40),0)))</f>
        <v>0229</v>
      </c>
      <c r="AM40" s="165"/>
      <c r="AN40" s="153"/>
    </row>
    <row r="41" spans="1:40" s="156" customFormat="1" ht="50.1" customHeight="1">
      <c r="A41" s="127" t="str">
        <f>IFERROR(VLOOKUP($C41,[4]구분표!$A$2:$C$313,2,FALSE),"")</f>
        <v>농정해양위원회</v>
      </c>
      <c r="B41" s="143" t="str">
        <f>IFERROR(VLOOKUP($C41,[4]구분표!$A$2:$C$313,3,FALSE),"")</f>
        <v>농업기술원</v>
      </c>
      <c r="C41" s="158" t="s">
        <v>832</v>
      </c>
      <c r="D41" s="162" t="s">
        <v>788</v>
      </c>
      <c r="E41" s="140" t="s">
        <v>983</v>
      </c>
      <c r="F41" s="184">
        <v>790</v>
      </c>
      <c r="G41" s="183">
        <v>30</v>
      </c>
      <c r="H41" s="181" t="s">
        <v>989</v>
      </c>
      <c r="I41" s="148">
        <v>100000</v>
      </c>
      <c r="J41" s="149"/>
      <c r="K41" s="150">
        <v>100000</v>
      </c>
      <c r="L41" s="170">
        <f t="shared" si="12"/>
        <v>200000</v>
      </c>
      <c r="M41" s="149"/>
      <c r="N41" s="150"/>
      <c r="O41" s="152">
        <f t="shared" si="19"/>
        <v>100000</v>
      </c>
      <c r="P41" s="153" t="str">
        <f>IF(AND((L41=0),(O41&gt;0)),"O",IF(AND((J41&lt;0),(L41-O41&lt;0)),"O","X"))</f>
        <v>X</v>
      </c>
      <c r="Q41" s="180" t="s">
        <v>1072</v>
      </c>
      <c r="R41" s="141"/>
      <c r="S41" s="155"/>
      <c r="U41" s="164" t="s">
        <v>985</v>
      </c>
      <c r="V41" s="165"/>
      <c r="W41" s="164" t="s">
        <v>985</v>
      </c>
      <c r="X41" s="163"/>
      <c r="Y41" s="163">
        <v>100000</v>
      </c>
      <c r="Z41" s="164" t="str">
        <f t="shared" si="13"/>
        <v>OK</v>
      </c>
      <c r="AA41" s="165"/>
      <c r="AB41" s="164"/>
      <c r="AC41" s="163">
        <f t="shared" si="14"/>
        <v>0</v>
      </c>
      <c r="AD41" s="163">
        <f t="shared" si="15"/>
        <v>0</v>
      </c>
      <c r="AE41" s="164" t="str">
        <f t="shared" si="16"/>
        <v>OK</v>
      </c>
      <c r="AF41" s="165"/>
      <c r="AG41" s="164" t="str">
        <f t="shared" si="17"/>
        <v>세입없음</v>
      </c>
      <c r="AH41" s="165"/>
      <c r="AI41" s="166">
        <f t="shared" si="18"/>
        <v>56</v>
      </c>
      <c r="AJ41" s="167" t="str">
        <f t="shared" si="9"/>
        <v>OK</v>
      </c>
      <c r="AK41" s="165"/>
      <c r="AL41" s="164" t="str">
        <f t="array" ref="AL41">IF(C41="","",INDEX(구분표!$I$2:$I$313, MATCH(1,(구분표!$E$2:$E$313='17년일출'!B41)*(구분표!$F$2:$F$313='17년일출'!C41)*(구분표!$G$2:$G$313='17년일출'!A41),0)))</f>
        <v>0234</v>
      </c>
      <c r="AM41" s="165"/>
      <c r="AN41" s="153"/>
    </row>
    <row r="42" spans="1:40" s="156" customFormat="1" ht="50.1" customHeight="1">
      <c r="A42" s="127" t="str">
        <f>IFERROR(VLOOKUP($C42,[4]구분표!$A$2:$C$313,2,FALSE),"")</f>
        <v>농정해양위원회</v>
      </c>
      <c r="B42" s="143" t="str">
        <f>IFERROR(VLOOKUP($C42,[4]구분표!$A$2:$C$313,3,FALSE),"")</f>
        <v>농업기술원</v>
      </c>
      <c r="C42" s="158" t="s">
        <v>952</v>
      </c>
      <c r="D42" s="162" t="s">
        <v>748</v>
      </c>
      <c r="E42" s="140" t="s">
        <v>983</v>
      </c>
      <c r="F42" s="184">
        <v>810</v>
      </c>
      <c r="G42" s="183">
        <v>187</v>
      </c>
      <c r="H42" s="181" t="s">
        <v>1064</v>
      </c>
      <c r="I42" s="148">
        <v>23531</v>
      </c>
      <c r="J42" s="149"/>
      <c r="K42" s="150">
        <v>23531</v>
      </c>
      <c r="L42" s="170">
        <f t="shared" si="12"/>
        <v>47062</v>
      </c>
      <c r="M42" s="149"/>
      <c r="N42" s="150"/>
      <c r="O42" s="152">
        <f t="shared" si="19"/>
        <v>23531</v>
      </c>
      <c r="P42" s="153"/>
      <c r="Q42" s="180" t="s">
        <v>1071</v>
      </c>
      <c r="R42" s="141"/>
      <c r="S42" s="155"/>
      <c r="U42" s="164" t="s">
        <v>985</v>
      </c>
      <c r="V42" s="165"/>
      <c r="W42" s="164" t="s">
        <v>985</v>
      </c>
      <c r="X42" s="163"/>
      <c r="Y42" s="163">
        <v>23531</v>
      </c>
      <c r="Z42" s="164" t="str">
        <f t="shared" si="13"/>
        <v>OK</v>
      </c>
      <c r="AA42" s="165"/>
      <c r="AB42" s="164"/>
      <c r="AC42" s="163">
        <f t="shared" si="14"/>
        <v>0</v>
      </c>
      <c r="AD42" s="163">
        <f t="shared" si="15"/>
        <v>0</v>
      </c>
      <c r="AE42" s="164" t="str">
        <f t="shared" si="16"/>
        <v>OK</v>
      </c>
      <c r="AF42" s="165"/>
      <c r="AG42" s="164" t="str">
        <f t="shared" si="17"/>
        <v>세입없음</v>
      </c>
      <c r="AH42" s="165"/>
      <c r="AI42" s="166">
        <f t="shared" si="18"/>
        <v>56</v>
      </c>
      <c r="AJ42" s="167" t="str">
        <f t="shared" si="9"/>
        <v>OK</v>
      </c>
      <c r="AK42" s="165"/>
      <c r="AL42" s="164" t="str">
        <f t="array" ref="AL42">IF(C42="","",INDEX(구분표!$I$2:$I$313, MATCH(1,(구분표!$E$2:$E$313='17년일출'!B42)*(구분표!$F$2:$F$313='17년일출'!C42)*(구분표!$G$2:$G$313='17년일출'!A42),0)))</f>
        <v>0237</v>
      </c>
      <c r="AM42" s="165"/>
      <c r="AN42" s="153"/>
    </row>
    <row r="43" spans="1:40" s="156" customFormat="1" ht="50.1" customHeight="1">
      <c r="A43" s="127" t="str">
        <f>IFERROR(VLOOKUP($C43,[4]구분표!$A$2:$C$313,2,FALSE),"")</f>
        <v>농정해양위원회</v>
      </c>
      <c r="B43" s="143" t="str">
        <f>IFERROR(VLOOKUP($C43,[4]구분표!$A$2:$C$313,3,FALSE),"")</f>
        <v>농업기술원</v>
      </c>
      <c r="C43" s="158" t="s">
        <v>958</v>
      </c>
      <c r="D43" s="162" t="s">
        <v>748</v>
      </c>
      <c r="E43" s="140" t="s">
        <v>983</v>
      </c>
      <c r="F43" s="184">
        <v>810</v>
      </c>
      <c r="G43" s="183">
        <v>187</v>
      </c>
      <c r="H43" s="181" t="s">
        <v>990</v>
      </c>
      <c r="I43" s="148">
        <v>69900</v>
      </c>
      <c r="J43" s="149"/>
      <c r="K43" s="150">
        <v>45000</v>
      </c>
      <c r="L43" s="170">
        <f t="shared" si="12"/>
        <v>114900</v>
      </c>
      <c r="M43" s="149"/>
      <c r="N43" s="150"/>
      <c r="O43" s="152">
        <f t="shared" si="19"/>
        <v>69900</v>
      </c>
      <c r="P43" s="153"/>
      <c r="Q43" s="180" t="s">
        <v>1071</v>
      </c>
      <c r="R43" s="141"/>
      <c r="S43" s="155"/>
      <c r="U43" s="164" t="s">
        <v>985</v>
      </c>
      <c r="V43" s="165"/>
      <c r="W43" s="164" t="s">
        <v>985</v>
      </c>
      <c r="X43" s="163"/>
      <c r="Y43" s="163">
        <v>45000</v>
      </c>
      <c r="Z43" s="164" t="str">
        <f t="shared" si="13"/>
        <v>OK</v>
      </c>
      <c r="AA43" s="165"/>
      <c r="AB43" s="164"/>
      <c r="AC43" s="163">
        <f t="shared" si="14"/>
        <v>0</v>
      </c>
      <c r="AD43" s="163">
        <f t="shared" si="15"/>
        <v>0</v>
      </c>
      <c r="AE43" s="164" t="str">
        <f t="shared" si="16"/>
        <v>OK</v>
      </c>
      <c r="AF43" s="165"/>
      <c r="AG43" s="164" t="str">
        <f t="shared" si="17"/>
        <v>세입없음</v>
      </c>
      <c r="AH43" s="165"/>
      <c r="AI43" s="166">
        <f t="shared" si="18"/>
        <v>56</v>
      </c>
      <c r="AJ43" s="167" t="str">
        <f t="shared" si="9"/>
        <v>OK</v>
      </c>
      <c r="AK43" s="165"/>
      <c r="AL43" s="164" t="str">
        <f t="array" ref="AL43">IF(C43="","",INDEX(구분표!$I$2:$I$313, MATCH(1,(구분표!$E$2:$E$313='17년일출'!B43)*(구분표!$F$2:$F$313='17년일출'!C43)*(구분표!$G$2:$G$313='17년일출'!A43),0)))</f>
        <v>0237</v>
      </c>
      <c r="AM43" s="165"/>
      <c r="AN43" s="153"/>
    </row>
    <row r="44" spans="1:40" s="156" customFormat="1" ht="50.1" customHeight="1">
      <c r="A44" s="127" t="str">
        <f>IFERROR(VLOOKUP($C44,[4]구분표!$A$2:$C$313,2,FALSE),"")</f>
        <v>농정해양위원회</v>
      </c>
      <c r="B44" s="143" t="str">
        <f>IFERROR(VLOOKUP($C44,[4]구분표!$A$2:$C$313,3,FALSE),"")</f>
        <v>농업기술원</v>
      </c>
      <c r="C44" s="158" t="s">
        <v>959</v>
      </c>
      <c r="D44" s="162" t="s">
        <v>957</v>
      </c>
      <c r="E44" s="140" t="s">
        <v>983</v>
      </c>
      <c r="F44" s="184">
        <v>835</v>
      </c>
      <c r="G44" s="183">
        <v>401</v>
      </c>
      <c r="H44" s="181" t="s">
        <v>1075</v>
      </c>
      <c r="I44" s="148"/>
      <c r="J44" s="149"/>
      <c r="K44" s="150">
        <v>120000</v>
      </c>
      <c r="L44" s="170">
        <f t="shared" si="12"/>
        <v>120000</v>
      </c>
      <c r="M44" s="149"/>
      <c r="N44" s="150"/>
      <c r="O44" s="152">
        <f t="shared" si="19"/>
        <v>0</v>
      </c>
      <c r="P44" s="153" t="str">
        <f>IF(AND((L44=0),(O44&gt;0)),"O",IF(AND((J44&lt;0),(L44-O44&lt;0)),"O","X"))</f>
        <v>X</v>
      </c>
      <c r="Q44" s="141" t="s">
        <v>1065</v>
      </c>
      <c r="R44" s="141"/>
      <c r="S44" s="155"/>
      <c r="U44" s="164" t="s">
        <v>985</v>
      </c>
      <c r="V44" s="165"/>
      <c r="W44" s="164" t="s">
        <v>985</v>
      </c>
      <c r="X44" s="163"/>
      <c r="Y44" s="163">
        <v>120000</v>
      </c>
      <c r="Z44" s="164" t="str">
        <f t="shared" si="13"/>
        <v>OK</v>
      </c>
      <c r="AA44" s="165"/>
      <c r="AB44" s="164"/>
      <c r="AC44" s="163">
        <f t="shared" si="14"/>
        <v>0</v>
      </c>
      <c r="AD44" s="163">
        <f t="shared" si="15"/>
        <v>0</v>
      </c>
      <c r="AE44" s="164" t="str">
        <f t="shared" si="16"/>
        <v>OK</v>
      </c>
      <c r="AF44" s="165"/>
      <c r="AG44" s="164" t="str">
        <f t="shared" si="17"/>
        <v>세입없음</v>
      </c>
      <c r="AH44" s="165"/>
      <c r="AI44" s="166">
        <f t="shared" si="18"/>
        <v>56</v>
      </c>
      <c r="AJ44" s="167" t="str">
        <f t="shared" si="9"/>
        <v>OK</v>
      </c>
      <c r="AK44" s="165"/>
      <c r="AL44" s="164" t="str">
        <f t="array" ref="AL44">IF(C44="","",INDEX(구분표!$I$2:$I$313, MATCH(1,(구분표!$E$2:$E$313='17년일출'!B44)*(구분표!$F$2:$F$313='17년일출'!C44)*(구분표!$G$2:$G$313='17년일출'!A44),0)))</f>
        <v>0239</v>
      </c>
      <c r="AM44" s="165"/>
      <c r="AN44" s="153"/>
    </row>
    <row r="45" spans="1:40" s="156" customFormat="1" ht="50.1" customHeight="1">
      <c r="A45" s="127" t="str">
        <f>IFERROR(VLOOKUP($C45,[4]구분표!$A$2:$C$313,2,FALSE),"")</f>
        <v>농정해양위원회</v>
      </c>
      <c r="B45" s="143" t="str">
        <f>IFERROR(VLOOKUP($C45,[4]구분표!$A$2:$C$313,3,FALSE),"")</f>
        <v>농업기술원</v>
      </c>
      <c r="C45" s="158" t="s">
        <v>967</v>
      </c>
      <c r="D45" s="162" t="s">
        <v>956</v>
      </c>
      <c r="E45" s="140" t="s">
        <v>983</v>
      </c>
      <c r="F45" s="184">
        <v>837</v>
      </c>
      <c r="G45" s="183">
        <v>421</v>
      </c>
      <c r="H45" s="181" t="s">
        <v>1076</v>
      </c>
      <c r="I45" s="148">
        <v>36000</v>
      </c>
      <c r="J45" s="149"/>
      <c r="K45" s="150">
        <v>252000</v>
      </c>
      <c r="L45" s="170">
        <f t="shared" si="12"/>
        <v>288000</v>
      </c>
      <c r="M45" s="149"/>
      <c r="N45" s="150"/>
      <c r="O45" s="152">
        <f t="shared" si="19"/>
        <v>36000</v>
      </c>
      <c r="P45" s="153" t="str">
        <f>IF(AND((L45=0),(O45&gt;0)),"O",IF(AND((J45&lt;0),(L45-O45&lt;0)),"O","X"))</f>
        <v>X</v>
      </c>
      <c r="Q45" s="141"/>
      <c r="R45" s="141"/>
      <c r="S45" s="155"/>
      <c r="U45" s="164" t="s">
        <v>985</v>
      </c>
      <c r="V45" s="165"/>
      <c r="W45" s="164" t="s">
        <v>985</v>
      </c>
      <c r="X45" s="163"/>
      <c r="Y45" s="163">
        <v>252000</v>
      </c>
      <c r="Z45" s="164" t="str">
        <f t="shared" si="13"/>
        <v>OK</v>
      </c>
      <c r="AA45" s="165"/>
      <c r="AB45" s="164"/>
      <c r="AC45" s="163">
        <f t="shared" si="14"/>
        <v>0</v>
      </c>
      <c r="AD45" s="163">
        <f t="shared" si="15"/>
        <v>0</v>
      </c>
      <c r="AE45" s="164" t="str">
        <f t="shared" si="16"/>
        <v>OK</v>
      </c>
      <c r="AF45" s="165"/>
      <c r="AG45" s="164" t="str">
        <f t="shared" si="17"/>
        <v>세입없음</v>
      </c>
      <c r="AH45" s="165"/>
      <c r="AI45" s="166">
        <f t="shared" si="18"/>
        <v>56</v>
      </c>
      <c r="AJ45" s="167" t="str">
        <f t="shared" si="9"/>
        <v>OK</v>
      </c>
      <c r="AK45" s="165"/>
      <c r="AL45" s="164" t="str">
        <f t="array" ref="AL45">IF(C45="","",INDEX(구분표!$I$2:$I$313, MATCH(1,(구분표!$E$2:$E$313='17년일출'!B45)*(구분표!$F$2:$F$313='17년일출'!C45)*(구분표!$G$2:$G$313='17년일출'!A45),0)))</f>
        <v>0239</v>
      </c>
      <c r="AM45" s="165"/>
      <c r="AN45" s="153"/>
    </row>
    <row r="46" spans="1:40" s="156" customFormat="1" ht="50.1" customHeight="1">
      <c r="A46" s="127" t="str">
        <f>IFERROR(VLOOKUP($C46,[4]구분표!$A$2:$C$313,2,FALSE),"")</f>
        <v>농정해양위원회</v>
      </c>
      <c r="B46" s="143" t="str">
        <f>IFERROR(VLOOKUP($C46,[4]구분표!$A$2:$C$313,3,FALSE),"")</f>
        <v>농업기술원</v>
      </c>
      <c r="C46" s="158" t="s">
        <v>967</v>
      </c>
      <c r="D46" s="162" t="s">
        <v>956</v>
      </c>
      <c r="E46" s="140" t="s">
        <v>983</v>
      </c>
      <c r="F46" s="184">
        <v>836</v>
      </c>
      <c r="G46" s="183">
        <v>413</v>
      </c>
      <c r="H46" s="181" t="s">
        <v>1077</v>
      </c>
      <c r="I46" s="148">
        <v>12000</v>
      </c>
      <c r="J46" s="149"/>
      <c r="K46" s="150">
        <v>108000</v>
      </c>
      <c r="L46" s="170">
        <f t="shared" si="12"/>
        <v>120000</v>
      </c>
      <c r="M46" s="149"/>
      <c r="N46" s="150"/>
      <c r="O46" s="152">
        <f t="shared" si="19"/>
        <v>12000</v>
      </c>
      <c r="P46" s="153" t="str">
        <f>IF(AND((L46=0),(O46&gt;0)),"O",IF(AND((J46&lt;0),(L46-O46&lt;0)),"O","X"))</f>
        <v>X</v>
      </c>
      <c r="Q46" s="141"/>
      <c r="R46" s="141"/>
      <c r="S46" s="155"/>
      <c r="U46" s="164" t="s">
        <v>985</v>
      </c>
      <c r="V46" s="165"/>
      <c r="W46" s="164" t="s">
        <v>985</v>
      </c>
      <c r="X46" s="163"/>
      <c r="Y46" s="163">
        <v>108000</v>
      </c>
      <c r="Z46" s="164" t="str">
        <f t="shared" si="13"/>
        <v>OK</v>
      </c>
      <c r="AA46" s="165"/>
      <c r="AB46" s="164"/>
      <c r="AC46" s="163">
        <f t="shared" si="14"/>
        <v>0</v>
      </c>
      <c r="AD46" s="163">
        <f t="shared" si="15"/>
        <v>0</v>
      </c>
      <c r="AE46" s="164" t="str">
        <f t="shared" si="16"/>
        <v>OK</v>
      </c>
      <c r="AF46" s="165"/>
      <c r="AG46" s="164" t="str">
        <f t="shared" si="17"/>
        <v>세입없음</v>
      </c>
      <c r="AH46" s="165"/>
      <c r="AI46" s="166">
        <f t="shared" si="18"/>
        <v>56</v>
      </c>
      <c r="AJ46" s="167" t="str">
        <f t="shared" si="9"/>
        <v>OK</v>
      </c>
      <c r="AK46" s="165"/>
      <c r="AL46" s="164" t="str">
        <f t="array" ref="AL46">IF(C46="","",INDEX(구분표!$I$2:$I$313, MATCH(1,(구분표!$E$2:$E$313='17년일출'!B46)*(구분표!$F$2:$F$313='17년일출'!C46)*(구분표!$G$2:$G$313='17년일출'!A46),0)))</f>
        <v>0239</v>
      </c>
      <c r="AM46" s="165"/>
      <c r="AN46" s="153"/>
    </row>
    <row r="47" spans="1:40" s="156" customFormat="1" ht="50.1" customHeight="1">
      <c r="A47" s="127" t="str">
        <f>IFERROR(VLOOKUP($C47,[4]구분표!$A$2:$C$313,2,FALSE),"")</f>
        <v>농정해양위원회</v>
      </c>
      <c r="B47" s="143" t="str">
        <f>IFERROR(VLOOKUP($C47,[4]구분표!$A$2:$C$313,3,FALSE),"")</f>
        <v>농업기술원</v>
      </c>
      <c r="C47" s="158" t="s">
        <v>967</v>
      </c>
      <c r="D47" s="162" t="s">
        <v>968</v>
      </c>
      <c r="E47" s="140" t="s">
        <v>983</v>
      </c>
      <c r="F47" s="184">
        <v>836</v>
      </c>
      <c r="G47" s="183">
        <v>421</v>
      </c>
      <c r="H47" s="181" t="s">
        <v>1078</v>
      </c>
      <c r="I47" s="148">
        <v>162000</v>
      </c>
      <c r="J47" s="149"/>
      <c r="K47" s="150">
        <v>378000</v>
      </c>
      <c r="L47" s="170">
        <f t="shared" si="12"/>
        <v>540000</v>
      </c>
      <c r="M47" s="149"/>
      <c r="N47" s="150"/>
      <c r="O47" s="152">
        <f t="shared" si="19"/>
        <v>162000</v>
      </c>
      <c r="P47" s="153" t="str">
        <f>IF(AND((L47=0),(O47&gt;0)),"O",IF(AND((J47&lt;0),(L47-O47&lt;0)),"O","X"))</f>
        <v>X</v>
      </c>
      <c r="Q47" s="141"/>
      <c r="R47" s="141"/>
      <c r="S47" s="155"/>
      <c r="U47" s="164" t="s">
        <v>985</v>
      </c>
      <c r="V47" s="165"/>
      <c r="W47" s="164" t="s">
        <v>985</v>
      </c>
      <c r="X47" s="163"/>
      <c r="Y47" s="163">
        <v>378000</v>
      </c>
      <c r="Z47" s="164" t="str">
        <f t="shared" si="13"/>
        <v>OK</v>
      </c>
      <c r="AA47" s="165"/>
      <c r="AB47" s="164"/>
      <c r="AC47" s="163">
        <f t="shared" si="14"/>
        <v>0</v>
      </c>
      <c r="AD47" s="163">
        <f t="shared" si="15"/>
        <v>0</v>
      </c>
      <c r="AE47" s="164" t="str">
        <f t="shared" si="16"/>
        <v>OK</v>
      </c>
      <c r="AF47" s="165"/>
      <c r="AG47" s="164" t="str">
        <f t="shared" si="17"/>
        <v>세입없음</v>
      </c>
      <c r="AH47" s="165"/>
      <c r="AI47" s="166">
        <f t="shared" si="18"/>
        <v>56</v>
      </c>
      <c r="AJ47" s="167" t="str">
        <f t="shared" si="9"/>
        <v>OK</v>
      </c>
      <c r="AK47" s="165"/>
      <c r="AL47" s="164" t="str">
        <f t="array" ref="AL47">IF(C47="","",INDEX(구분표!$I$2:$I$313, MATCH(1,(구분표!$E$2:$E$313='17년일출'!B47)*(구분표!$F$2:$F$313='17년일출'!C47)*(구분표!$G$2:$G$313='17년일출'!A47),0)))</f>
        <v>0239</v>
      </c>
      <c r="AM47" s="165"/>
      <c r="AN47" s="153"/>
    </row>
    <row r="48" spans="1:40" s="156" customFormat="1" ht="50.1" customHeight="1">
      <c r="A48" s="127" t="str">
        <f>IFERROR(VLOOKUP($C48,[4]구분표!$A$2:$C$313,2,FALSE),"")</f>
        <v>농정해양위원회</v>
      </c>
      <c r="B48" s="143" t="str">
        <f>IFERROR(VLOOKUP($C48,[4]구분표!$A$2:$C$313,3,FALSE),"")</f>
        <v>농업기술원</v>
      </c>
      <c r="C48" s="158" t="s">
        <v>969</v>
      </c>
      <c r="D48" s="162" t="s">
        <v>956</v>
      </c>
      <c r="E48" s="140" t="s">
        <v>983</v>
      </c>
      <c r="F48" s="184">
        <v>837</v>
      </c>
      <c r="G48" s="183">
        <v>424</v>
      </c>
      <c r="H48" s="181" t="s">
        <v>1079</v>
      </c>
      <c r="I48" s="148">
        <v>36000</v>
      </c>
      <c r="J48" s="149"/>
      <c r="K48" s="150">
        <v>24000</v>
      </c>
      <c r="L48" s="170">
        <f t="shared" si="12"/>
        <v>60000</v>
      </c>
      <c r="M48" s="149"/>
      <c r="N48" s="150"/>
      <c r="O48" s="152">
        <f t="shared" si="19"/>
        <v>36000</v>
      </c>
      <c r="P48" s="153"/>
      <c r="Q48" s="141"/>
      <c r="R48" s="141"/>
      <c r="S48" s="155"/>
      <c r="U48" s="164" t="s">
        <v>985</v>
      </c>
      <c r="V48" s="165"/>
      <c r="W48" s="164" t="s">
        <v>985</v>
      </c>
      <c r="X48" s="163"/>
      <c r="Y48" s="163">
        <v>24000</v>
      </c>
      <c r="Z48" s="164" t="str">
        <f t="shared" si="13"/>
        <v>OK</v>
      </c>
      <c r="AA48" s="165"/>
      <c r="AB48" s="164"/>
      <c r="AC48" s="163">
        <f t="shared" si="14"/>
        <v>0</v>
      </c>
      <c r="AD48" s="163">
        <f t="shared" si="15"/>
        <v>0</v>
      </c>
      <c r="AE48" s="164" t="str">
        <f t="shared" si="16"/>
        <v>OK</v>
      </c>
      <c r="AF48" s="165"/>
      <c r="AG48" s="164" t="str">
        <f t="shared" si="17"/>
        <v>세입없음</v>
      </c>
      <c r="AH48" s="165"/>
      <c r="AI48" s="166">
        <f t="shared" si="18"/>
        <v>56</v>
      </c>
      <c r="AJ48" s="167" t="str">
        <f t="shared" si="9"/>
        <v>OK</v>
      </c>
      <c r="AK48" s="165"/>
      <c r="AL48" s="164" t="str">
        <f t="array" ref="AL48">IF(C48="","",INDEX(구분표!$I$2:$I$313, MATCH(1,(구분표!$E$2:$E$313='17년일출'!B48)*(구분표!$F$2:$F$313='17년일출'!C48)*(구분표!$G$2:$G$313='17년일출'!A48),0)))</f>
        <v>0239</v>
      </c>
      <c r="AM48" s="165"/>
      <c r="AN48" s="153"/>
    </row>
    <row r="49" spans="1:40" s="156" customFormat="1" ht="50.1" customHeight="1">
      <c r="A49" s="127" t="str">
        <f>IFERROR(VLOOKUP($C49,[4]구분표!$A$2:$C$313,2,FALSE),"")</f>
        <v>농정해양위원회</v>
      </c>
      <c r="B49" s="143" t="str">
        <f>IFERROR(VLOOKUP($C49,[4]구분표!$A$2:$C$313,3,FALSE),"")</f>
        <v>농업기술원</v>
      </c>
      <c r="C49" s="158" t="s">
        <v>967</v>
      </c>
      <c r="D49" s="162" t="s">
        <v>968</v>
      </c>
      <c r="E49" s="140" t="s">
        <v>983</v>
      </c>
      <c r="F49" s="184">
        <v>837</v>
      </c>
      <c r="G49" s="183">
        <v>424</v>
      </c>
      <c r="H49" s="181" t="s">
        <v>1080</v>
      </c>
      <c r="I49" s="148">
        <v>36000</v>
      </c>
      <c r="J49" s="149"/>
      <c r="K49" s="150">
        <v>24000</v>
      </c>
      <c r="L49" s="170">
        <f t="shared" si="12"/>
        <v>60000</v>
      </c>
      <c r="M49" s="149"/>
      <c r="N49" s="150"/>
      <c r="O49" s="152">
        <f t="shared" si="19"/>
        <v>36000</v>
      </c>
      <c r="P49" s="153"/>
      <c r="Q49" s="141"/>
      <c r="R49" s="141"/>
      <c r="S49" s="155"/>
      <c r="U49" s="164" t="s">
        <v>985</v>
      </c>
      <c r="V49" s="165"/>
      <c r="W49" s="164" t="s">
        <v>985</v>
      </c>
      <c r="X49" s="163"/>
      <c r="Y49" s="163">
        <v>24000</v>
      </c>
      <c r="Z49" s="164" t="str">
        <f t="shared" si="13"/>
        <v>OK</v>
      </c>
      <c r="AA49" s="165"/>
      <c r="AB49" s="164"/>
      <c r="AC49" s="163">
        <f t="shared" si="14"/>
        <v>0</v>
      </c>
      <c r="AD49" s="163">
        <f t="shared" si="15"/>
        <v>0</v>
      </c>
      <c r="AE49" s="164" t="str">
        <f t="shared" si="16"/>
        <v>OK</v>
      </c>
      <c r="AF49" s="165"/>
      <c r="AG49" s="164" t="str">
        <f t="shared" si="17"/>
        <v>세입없음</v>
      </c>
      <c r="AH49" s="165"/>
      <c r="AI49" s="166">
        <f t="shared" si="18"/>
        <v>56</v>
      </c>
      <c r="AJ49" s="167" t="str">
        <f t="shared" si="9"/>
        <v>OK</v>
      </c>
      <c r="AK49" s="165"/>
      <c r="AL49" s="164" t="str">
        <f t="array" ref="AL49">IF(C49="","",INDEX(구분표!$I$2:$I$313, MATCH(1,(구분표!$E$2:$E$313='17년일출'!B49)*(구분표!$F$2:$F$313='17년일출'!C49)*(구분표!$G$2:$G$313='17년일출'!A49),0)))</f>
        <v>0239</v>
      </c>
      <c r="AM49" s="165"/>
      <c r="AN49" s="153"/>
    </row>
    <row r="50" spans="1:40" s="156" customFormat="1" ht="50.1" customHeight="1">
      <c r="A50" s="127" t="str">
        <f>IFERROR(VLOOKUP($C50,[4]구분표!$A$2:$C$313,2,FALSE),"")</f>
        <v>농정해양위원회</v>
      </c>
      <c r="B50" s="143" t="str">
        <f>IFERROR(VLOOKUP($C50,[4]구분표!$A$2:$C$313,3,FALSE),"")</f>
        <v>농업기술원</v>
      </c>
      <c r="C50" s="158" t="s">
        <v>970</v>
      </c>
      <c r="D50" s="162" t="s">
        <v>971</v>
      </c>
      <c r="E50" s="140" t="s">
        <v>983</v>
      </c>
      <c r="F50" s="184">
        <v>843</v>
      </c>
      <c r="G50" s="183">
        <v>485</v>
      </c>
      <c r="H50" s="181" t="s">
        <v>1058</v>
      </c>
      <c r="I50" s="148">
        <v>30000</v>
      </c>
      <c r="J50" s="149"/>
      <c r="K50" s="150">
        <v>30000</v>
      </c>
      <c r="L50" s="170">
        <f t="shared" si="12"/>
        <v>60000</v>
      </c>
      <c r="M50" s="149"/>
      <c r="N50" s="150"/>
      <c r="O50" s="152">
        <f t="shared" si="19"/>
        <v>30000</v>
      </c>
      <c r="P50" s="153" t="str">
        <f>IF(AND((L50=0),(O50&gt;0)),"O",IF(AND((J50&lt;0),(L50-O50&lt;0)),"O","X"))</f>
        <v>X</v>
      </c>
      <c r="Q50" s="141"/>
      <c r="R50" s="141"/>
      <c r="S50" s="155"/>
      <c r="U50" s="164" t="s">
        <v>985</v>
      </c>
      <c r="V50" s="165"/>
      <c r="W50" s="164" t="s">
        <v>985</v>
      </c>
      <c r="X50" s="163"/>
      <c r="Y50" s="163">
        <v>30000</v>
      </c>
      <c r="Z50" s="164" t="str">
        <f t="shared" si="13"/>
        <v>OK</v>
      </c>
      <c r="AA50" s="165"/>
      <c r="AB50" s="164"/>
      <c r="AC50" s="163">
        <f t="shared" si="14"/>
        <v>0</v>
      </c>
      <c r="AD50" s="163">
        <f t="shared" si="15"/>
        <v>0</v>
      </c>
      <c r="AE50" s="164" t="str">
        <f t="shared" si="16"/>
        <v>OK</v>
      </c>
      <c r="AF50" s="165"/>
      <c r="AG50" s="164" t="str">
        <f t="shared" si="17"/>
        <v>세입없음</v>
      </c>
      <c r="AH50" s="165"/>
      <c r="AI50" s="166">
        <f t="shared" si="18"/>
        <v>56</v>
      </c>
      <c r="AJ50" s="167" t="str">
        <f t="shared" si="9"/>
        <v>OK</v>
      </c>
      <c r="AK50" s="165"/>
      <c r="AL50" s="164" t="str">
        <f t="array" ref="AL50">IF(C50="","",INDEX(구분표!$I$2:$I$313, MATCH(1,(구분표!$E$2:$E$313='17년일출'!B50)*(구분표!$F$2:$F$313='17년일출'!C50)*(구분표!$G$2:$G$313='17년일출'!A50),0)))</f>
        <v>0240</v>
      </c>
      <c r="AM50" s="165"/>
      <c r="AN50" s="153"/>
    </row>
    <row r="51" spans="1:40" s="156" customFormat="1" ht="50.1" customHeight="1">
      <c r="A51" s="127" t="str">
        <f>IFERROR(VLOOKUP($C51,[4]구분표!$A$2:$C$313,2,FALSE),"")</f>
        <v>농정해양위원회</v>
      </c>
      <c r="B51" s="143" t="str">
        <f>IFERROR(VLOOKUP($C51,[4]구분표!$A$2:$C$313,3,FALSE),"")</f>
        <v>농업기술원</v>
      </c>
      <c r="C51" s="158" t="s">
        <v>960</v>
      </c>
      <c r="D51" s="162" t="s">
        <v>956</v>
      </c>
      <c r="E51" s="140" t="s">
        <v>983</v>
      </c>
      <c r="F51" s="184">
        <v>826</v>
      </c>
      <c r="G51" s="183">
        <v>307</v>
      </c>
      <c r="H51" s="181" t="s">
        <v>1081</v>
      </c>
      <c r="I51" s="148">
        <v>45000</v>
      </c>
      <c r="J51" s="149"/>
      <c r="K51" s="150">
        <v>60000</v>
      </c>
      <c r="L51" s="170">
        <f t="shared" si="12"/>
        <v>105000</v>
      </c>
      <c r="M51" s="149"/>
      <c r="N51" s="150"/>
      <c r="O51" s="152">
        <f t="shared" si="19"/>
        <v>45000</v>
      </c>
      <c r="P51" s="153" t="str">
        <f>IF(AND((L51=0),(O51&gt;0)),"O",IF(AND((J51&lt;0),(L51-O51&lt;0)),"O","X"))</f>
        <v>X</v>
      </c>
      <c r="Q51" s="141"/>
      <c r="R51" s="141"/>
      <c r="S51" s="155"/>
      <c r="U51" s="164" t="s">
        <v>985</v>
      </c>
      <c r="V51" s="165"/>
      <c r="W51" s="164" t="s">
        <v>985</v>
      </c>
      <c r="X51" s="163"/>
      <c r="Y51" s="163">
        <v>60000</v>
      </c>
      <c r="Z51" s="164" t="str">
        <f t="shared" si="13"/>
        <v>OK</v>
      </c>
      <c r="AA51" s="165"/>
      <c r="AB51" s="164"/>
      <c r="AC51" s="163">
        <f t="shared" si="14"/>
        <v>0</v>
      </c>
      <c r="AD51" s="163">
        <f t="shared" si="15"/>
        <v>0</v>
      </c>
      <c r="AE51" s="164" t="str">
        <f t="shared" si="16"/>
        <v>OK</v>
      </c>
      <c r="AF51" s="165"/>
      <c r="AG51" s="164" t="str">
        <f t="shared" si="17"/>
        <v>세입없음</v>
      </c>
      <c r="AH51" s="165"/>
      <c r="AI51" s="166">
        <f t="shared" si="18"/>
        <v>56</v>
      </c>
      <c r="AJ51" s="167" t="str">
        <f t="shared" si="9"/>
        <v>OK</v>
      </c>
      <c r="AK51" s="165"/>
      <c r="AL51" s="164" t="str">
        <f t="array" ref="AL51">IF(C51="","",INDEX(구분표!$I$2:$I$313, MATCH(1,(구분표!$E$2:$E$313='17년일출'!B51)*(구분표!$F$2:$F$313='17년일출'!C51)*(구분표!$G$2:$G$313='17년일출'!A51),0)))</f>
        <v>0238</v>
      </c>
      <c r="AM51" s="165"/>
      <c r="AN51" s="153"/>
    </row>
    <row r="52" spans="1:40" s="156" customFormat="1" ht="50.1" customHeight="1">
      <c r="A52" s="127" t="str">
        <f>IFERROR(VLOOKUP($C52,[4]구분표!$A$2:$C$313,2,FALSE),"")</f>
        <v>농정해양위원회</v>
      </c>
      <c r="B52" s="143" t="str">
        <f>IFERROR(VLOOKUP($C52,[4]구분표!$A$2:$C$313,3,FALSE),"")</f>
        <v>농업기술원</v>
      </c>
      <c r="C52" s="158" t="s">
        <v>972</v>
      </c>
      <c r="D52" s="162" t="s">
        <v>973</v>
      </c>
      <c r="E52" s="140" t="s">
        <v>983</v>
      </c>
      <c r="F52" s="184">
        <v>844</v>
      </c>
      <c r="G52" s="183">
        <v>488</v>
      </c>
      <c r="H52" s="181" t="s">
        <v>1059</v>
      </c>
      <c r="I52" s="148">
        <v>230000</v>
      </c>
      <c r="J52" s="149"/>
      <c r="K52" s="150">
        <v>170000</v>
      </c>
      <c r="L52" s="170">
        <f t="shared" si="12"/>
        <v>400000</v>
      </c>
      <c r="M52" s="149"/>
      <c r="N52" s="150"/>
      <c r="O52" s="152">
        <f t="shared" si="19"/>
        <v>230000</v>
      </c>
      <c r="P52" s="153" t="str">
        <f>IF(AND((L52=0),(O52&gt;0)),"O",IF(AND((J52&lt;0),(L52-O52&lt;0)),"O","X"))</f>
        <v>X</v>
      </c>
      <c r="Q52" s="141"/>
      <c r="R52" s="141"/>
      <c r="S52" s="155"/>
      <c r="U52" s="164" t="s">
        <v>985</v>
      </c>
      <c r="V52" s="165"/>
      <c r="W52" s="164" t="s">
        <v>985</v>
      </c>
      <c r="X52" s="163"/>
      <c r="Y52" s="163">
        <v>170000</v>
      </c>
      <c r="Z52" s="164" t="str">
        <f t="shared" si="13"/>
        <v>OK</v>
      </c>
      <c r="AA52" s="165"/>
      <c r="AB52" s="164"/>
      <c r="AC52" s="163">
        <f t="shared" si="14"/>
        <v>0</v>
      </c>
      <c r="AD52" s="163">
        <f t="shared" si="15"/>
        <v>0</v>
      </c>
      <c r="AE52" s="164" t="str">
        <f t="shared" si="16"/>
        <v>OK</v>
      </c>
      <c r="AF52" s="165"/>
      <c r="AG52" s="164" t="str">
        <f t="shared" si="17"/>
        <v>세입없음</v>
      </c>
      <c r="AH52" s="165"/>
      <c r="AI52" s="166">
        <f t="shared" si="18"/>
        <v>56</v>
      </c>
      <c r="AJ52" s="167" t="str">
        <f t="shared" si="9"/>
        <v>OK</v>
      </c>
      <c r="AK52" s="165"/>
      <c r="AL52" s="164" t="str">
        <f t="array" ref="AL52">IF(C52="","",INDEX(구분표!$I$2:$I$313, MATCH(1,(구분표!$E$2:$E$313='17년일출'!B52)*(구분표!$F$2:$F$313='17년일출'!C52)*(구분표!$G$2:$G$313='17년일출'!A52),0)))</f>
        <v>0240</v>
      </c>
      <c r="AM52" s="165"/>
      <c r="AN52" s="153"/>
    </row>
    <row r="53" spans="1:40" s="156" customFormat="1" ht="50.1" customHeight="1">
      <c r="A53" s="127" t="str">
        <f>IFERROR(VLOOKUP($C53,[4]구분표!$A$2:$C$313,2,FALSE),"")</f>
        <v>농정해양위원회</v>
      </c>
      <c r="B53" s="143" t="str">
        <f>IFERROR(VLOOKUP($C53,[4]구분표!$A$2:$C$313,3,FALSE),"")</f>
        <v>농업기술원</v>
      </c>
      <c r="C53" s="158" t="s">
        <v>974</v>
      </c>
      <c r="D53" s="162" t="s">
        <v>975</v>
      </c>
      <c r="E53" s="140" t="s">
        <v>983</v>
      </c>
      <c r="F53" s="184"/>
      <c r="G53" s="183"/>
      <c r="H53" s="181" t="s">
        <v>953</v>
      </c>
      <c r="I53" s="148"/>
      <c r="J53" s="149"/>
      <c r="K53" s="150">
        <v>36600</v>
      </c>
      <c r="L53" s="170">
        <f t="shared" si="12"/>
        <v>36600</v>
      </c>
      <c r="M53" s="149"/>
      <c r="N53" s="150"/>
      <c r="O53" s="152">
        <f t="shared" si="19"/>
        <v>0</v>
      </c>
      <c r="P53" s="153" t="str">
        <f>IF(AND((L53=0),(O53&gt;0)),"O",IF(AND((J53&lt;0),(L53-O53&lt;0)),"O","X"))</f>
        <v>X</v>
      </c>
      <c r="Q53" s="189" t="s">
        <v>1073</v>
      </c>
      <c r="R53" s="189"/>
      <c r="S53" s="155"/>
      <c r="U53" s="164" t="s">
        <v>985</v>
      </c>
      <c r="V53" s="165"/>
      <c r="W53" s="164" t="s">
        <v>985</v>
      </c>
      <c r="X53" s="163"/>
      <c r="Y53" s="163">
        <v>36600</v>
      </c>
      <c r="Z53" s="164" t="str">
        <f t="shared" si="13"/>
        <v>OK</v>
      </c>
      <c r="AA53" s="165"/>
      <c r="AB53" s="164"/>
      <c r="AC53" s="163">
        <f t="shared" si="14"/>
        <v>0</v>
      </c>
      <c r="AD53" s="163">
        <f t="shared" si="15"/>
        <v>0</v>
      </c>
      <c r="AE53" s="164" t="str">
        <f t="shared" si="16"/>
        <v>OK</v>
      </c>
      <c r="AF53" s="165"/>
      <c r="AG53" s="164" t="str">
        <f t="shared" si="17"/>
        <v>세입없음</v>
      </c>
      <c r="AH53" s="165"/>
      <c r="AI53" s="166">
        <f t="shared" si="18"/>
        <v>56</v>
      </c>
      <c r="AJ53" s="167" t="str">
        <f t="shared" si="9"/>
        <v>OK</v>
      </c>
      <c r="AK53" s="165"/>
      <c r="AL53" s="164" t="str">
        <f t="array" ref="AL53">IF(C53="","",INDEX(구분표!$I$2:$I$313, MATCH(1,(구분표!$E$2:$E$313='17년일출'!B53)*(구분표!$F$2:$F$313='17년일출'!C53)*(구분표!$G$2:$G$313='17년일출'!A53),0)))</f>
        <v>0237</v>
      </c>
      <c r="AM53" s="165"/>
      <c r="AN53" s="153"/>
    </row>
    <row r="54" spans="1:40" s="156" customFormat="1" ht="50.1" customHeight="1">
      <c r="A54" s="127" t="str">
        <f>IFERROR(VLOOKUP($C54,[4]구분표!$A$2:$C$313,2,FALSE),"")</f>
        <v>농정해양위원회</v>
      </c>
      <c r="B54" s="143" t="str">
        <f>IFERROR(VLOOKUP($C54,[4]구분표!$A$2:$C$313,3,FALSE),"")</f>
        <v>농업기술원</v>
      </c>
      <c r="C54" s="158" t="s">
        <v>976</v>
      </c>
      <c r="D54" s="162" t="s">
        <v>977</v>
      </c>
      <c r="E54" s="140" t="s">
        <v>983</v>
      </c>
      <c r="F54" s="184"/>
      <c r="G54" s="183"/>
      <c r="H54" s="181" t="s">
        <v>978</v>
      </c>
      <c r="I54" s="148"/>
      <c r="J54" s="149"/>
      <c r="K54" s="150">
        <v>10000</v>
      </c>
      <c r="L54" s="170">
        <f t="shared" si="12"/>
        <v>10000</v>
      </c>
      <c r="M54" s="149"/>
      <c r="N54" s="150"/>
      <c r="O54" s="152">
        <f t="shared" si="19"/>
        <v>0</v>
      </c>
      <c r="P54" s="153"/>
      <c r="Q54" s="189" t="s">
        <v>1073</v>
      </c>
      <c r="R54" s="189"/>
      <c r="S54" s="155"/>
      <c r="U54" s="164" t="s">
        <v>985</v>
      </c>
      <c r="V54" s="165"/>
      <c r="W54" s="164" t="s">
        <v>985</v>
      </c>
      <c r="X54" s="163"/>
      <c r="Y54" s="163">
        <v>10000</v>
      </c>
      <c r="Z54" s="164" t="str">
        <f t="shared" si="13"/>
        <v>OK</v>
      </c>
      <c r="AA54" s="165"/>
      <c r="AB54" s="164"/>
      <c r="AC54" s="163">
        <f t="shared" si="14"/>
        <v>0</v>
      </c>
      <c r="AD54" s="163">
        <f t="shared" si="15"/>
        <v>0</v>
      </c>
      <c r="AE54" s="164" t="str">
        <f t="shared" si="16"/>
        <v>OK</v>
      </c>
      <c r="AF54" s="165"/>
      <c r="AG54" s="164" t="str">
        <f t="shared" si="17"/>
        <v>세입없음</v>
      </c>
      <c r="AH54" s="165"/>
      <c r="AI54" s="166">
        <f t="shared" si="18"/>
        <v>56</v>
      </c>
      <c r="AJ54" s="167" t="str">
        <f t="shared" si="9"/>
        <v>OK</v>
      </c>
      <c r="AK54" s="165"/>
      <c r="AL54" s="164" t="str">
        <f t="array" ref="AL54">IF(C54="","",INDEX(구분표!$I$2:$I$313, MATCH(1,(구분표!$E$2:$E$313='17년일출'!B54)*(구분표!$F$2:$F$313='17년일출'!C54)*(구분표!$G$2:$G$313='17년일출'!A54),0)))</f>
        <v>0237</v>
      </c>
      <c r="AM54" s="165"/>
      <c r="AN54" s="153"/>
    </row>
    <row r="55" spans="1:40" s="156" customFormat="1" ht="50.1" customHeight="1">
      <c r="A55" s="127" t="str">
        <f>IFERROR(VLOOKUP($C55,[4]구분표!$A$2:$C$313,2,FALSE),"")</f>
        <v>농정해양위원회</v>
      </c>
      <c r="B55" s="143" t="str">
        <f>IFERROR(VLOOKUP($C55,[4]구분표!$A$2:$C$313,3,FALSE),"")</f>
        <v>농업기술원</v>
      </c>
      <c r="C55" s="158" t="s">
        <v>976</v>
      </c>
      <c r="D55" s="162" t="s">
        <v>796</v>
      </c>
      <c r="E55" s="140" t="s">
        <v>983</v>
      </c>
      <c r="F55" s="184"/>
      <c r="G55" s="183"/>
      <c r="H55" s="181" t="s">
        <v>954</v>
      </c>
      <c r="I55" s="148"/>
      <c r="J55" s="149"/>
      <c r="K55" s="150">
        <v>30000</v>
      </c>
      <c r="L55" s="170">
        <f t="shared" si="12"/>
        <v>30000</v>
      </c>
      <c r="M55" s="149"/>
      <c r="N55" s="150"/>
      <c r="O55" s="152">
        <f t="shared" si="19"/>
        <v>0</v>
      </c>
      <c r="P55" s="153"/>
      <c r="Q55" s="189" t="s">
        <v>1073</v>
      </c>
      <c r="R55" s="189"/>
      <c r="S55" s="155"/>
      <c r="U55" s="164" t="s">
        <v>985</v>
      </c>
      <c r="V55" s="165"/>
      <c r="W55" s="164" t="s">
        <v>985</v>
      </c>
      <c r="X55" s="163"/>
      <c r="Y55" s="163">
        <v>30000</v>
      </c>
      <c r="Z55" s="164" t="str">
        <f t="shared" si="13"/>
        <v>OK</v>
      </c>
      <c r="AA55" s="165"/>
      <c r="AB55" s="164"/>
      <c r="AC55" s="163">
        <f t="shared" si="14"/>
        <v>0</v>
      </c>
      <c r="AD55" s="163">
        <f t="shared" si="15"/>
        <v>0</v>
      </c>
      <c r="AE55" s="164" t="str">
        <f t="shared" si="16"/>
        <v>OK</v>
      </c>
      <c r="AF55" s="165"/>
      <c r="AG55" s="164" t="str">
        <f t="shared" si="17"/>
        <v>세입없음</v>
      </c>
      <c r="AH55" s="165"/>
      <c r="AI55" s="166">
        <f t="shared" si="18"/>
        <v>56</v>
      </c>
      <c r="AJ55" s="167" t="str">
        <f t="shared" si="9"/>
        <v>OK</v>
      </c>
      <c r="AK55" s="165"/>
      <c r="AL55" s="164" t="str">
        <f t="array" ref="AL55">IF(C55="","",INDEX(구분표!$I$2:$I$313, MATCH(1,(구분표!$E$2:$E$313='17년일출'!B55)*(구분표!$F$2:$F$313='17년일출'!C55)*(구분표!$G$2:$G$313='17년일출'!A55),0)))</f>
        <v>0237</v>
      </c>
      <c r="AM55" s="165"/>
      <c r="AN55" s="153"/>
    </row>
    <row r="56" spans="1:40" s="156" customFormat="1" ht="50.1" customHeight="1">
      <c r="A56" s="127" t="str">
        <f>IFERROR(VLOOKUP($C56,[4]구분표!$A$2:$C$313,2,FALSE),"")</f>
        <v>농정해양위원회</v>
      </c>
      <c r="B56" s="143" t="str">
        <f>IFERROR(VLOOKUP($C56,[4]구분표!$A$2:$C$313,3,FALSE),"")</f>
        <v>농업기술원</v>
      </c>
      <c r="C56" s="158" t="s">
        <v>976</v>
      </c>
      <c r="D56" s="162" t="s">
        <v>977</v>
      </c>
      <c r="E56" s="140" t="s">
        <v>983</v>
      </c>
      <c r="F56" s="184"/>
      <c r="G56" s="183"/>
      <c r="H56" s="181" t="s">
        <v>979</v>
      </c>
      <c r="I56" s="148"/>
      <c r="J56" s="149"/>
      <c r="K56" s="150">
        <v>73400</v>
      </c>
      <c r="L56" s="170">
        <f t="shared" si="12"/>
        <v>73400</v>
      </c>
      <c r="M56" s="149"/>
      <c r="N56" s="150"/>
      <c r="O56" s="152">
        <f t="shared" si="19"/>
        <v>0</v>
      </c>
      <c r="P56" s="153"/>
      <c r="Q56" s="189" t="s">
        <v>1073</v>
      </c>
      <c r="R56" s="189"/>
      <c r="S56" s="155"/>
      <c r="U56" s="164" t="s">
        <v>985</v>
      </c>
      <c r="V56" s="165"/>
      <c r="W56" s="164" t="s">
        <v>985</v>
      </c>
      <c r="X56" s="163"/>
      <c r="Y56" s="163">
        <v>73400</v>
      </c>
      <c r="Z56" s="164" t="str">
        <f t="shared" si="13"/>
        <v>OK</v>
      </c>
      <c r="AA56" s="165"/>
      <c r="AB56" s="164"/>
      <c r="AC56" s="163">
        <f t="shared" si="14"/>
        <v>0</v>
      </c>
      <c r="AD56" s="163">
        <f t="shared" si="15"/>
        <v>0</v>
      </c>
      <c r="AE56" s="164" t="str">
        <f t="shared" si="16"/>
        <v>OK</v>
      </c>
      <c r="AF56" s="165"/>
      <c r="AG56" s="164" t="str">
        <f t="shared" si="17"/>
        <v>세입없음</v>
      </c>
      <c r="AH56" s="165"/>
      <c r="AI56" s="166">
        <f t="shared" si="18"/>
        <v>56</v>
      </c>
      <c r="AJ56" s="167" t="str">
        <f t="shared" ref="AJ56:AJ102" si="20">IF(W56="","",IF(AND(W56="도비",AG56="세입없음"),"OK",IF(AND(W56&lt;&gt;"도비",AG56&lt;&gt;""),"OK","@@")))</f>
        <v>OK</v>
      </c>
      <c r="AK56" s="165"/>
      <c r="AL56" s="164" t="str">
        <f t="array" ref="AL56">IF(C56="","",INDEX(구분표!$I$2:$I$313, MATCH(1,(구분표!$E$2:$E$313='17년일출'!B56)*(구분표!$F$2:$F$313='17년일출'!C56)*(구분표!$G$2:$G$313='17년일출'!A56),0)))</f>
        <v>0237</v>
      </c>
      <c r="AM56" s="165"/>
      <c r="AN56" s="153"/>
    </row>
    <row r="57" spans="1:40" s="156" customFormat="1" ht="50.1" customHeight="1">
      <c r="A57" s="127" t="str">
        <f>IFERROR(VLOOKUP($C57,[4]구분표!$A$2:$C$313,2,FALSE),"")</f>
        <v>농정해양위원회</v>
      </c>
      <c r="B57" s="143" t="str">
        <f>IFERROR(VLOOKUP($C57,[4]구분표!$A$2:$C$313,3,FALSE),"")</f>
        <v>농정해양국</v>
      </c>
      <c r="C57" s="158" t="s">
        <v>888</v>
      </c>
      <c r="D57" s="162" t="s">
        <v>748</v>
      </c>
      <c r="E57" s="140" t="s">
        <v>983</v>
      </c>
      <c r="F57" s="184">
        <v>618</v>
      </c>
      <c r="G57" s="186">
        <v>55</v>
      </c>
      <c r="H57" s="181" t="s">
        <v>1023</v>
      </c>
      <c r="I57" s="148">
        <v>50000</v>
      </c>
      <c r="J57" s="149">
        <v>-25000</v>
      </c>
      <c r="K57" s="150"/>
      <c r="L57" s="170">
        <f t="shared" si="12"/>
        <v>25000</v>
      </c>
      <c r="M57" s="149"/>
      <c r="N57" s="150"/>
      <c r="O57" s="152">
        <f t="shared" si="19"/>
        <v>50000</v>
      </c>
      <c r="P57" s="153" t="str">
        <f t="shared" ref="P57:P69" si="21">IF(AND((L57=0),(O57&gt;0)),"O",IF(AND((J57&lt;0),(L57-O57&lt;0)),"O","X"))</f>
        <v>O</v>
      </c>
      <c r="Q57" s="161" t="s">
        <v>1018</v>
      </c>
      <c r="R57" s="161"/>
      <c r="S57" s="155"/>
      <c r="U57" s="164" t="s">
        <v>751</v>
      </c>
      <c r="V57" s="165"/>
      <c r="W57" s="164" t="s">
        <v>775</v>
      </c>
      <c r="X57" s="163">
        <v>-25000</v>
      </c>
      <c r="Y57" s="163">
        <v>0</v>
      </c>
      <c r="Z57" s="164" t="str">
        <f t="shared" si="13"/>
        <v>OK</v>
      </c>
      <c r="AA57" s="165"/>
      <c r="AB57" s="164"/>
      <c r="AC57" s="163" t="str">
        <f t="shared" si="14"/>
        <v>직접입력</v>
      </c>
      <c r="AD57" s="163" t="str">
        <f t="shared" si="15"/>
        <v>직접입력</v>
      </c>
      <c r="AE57" s="164" t="str">
        <f t="shared" si="16"/>
        <v>OK</v>
      </c>
      <c r="AF57" s="165"/>
      <c r="AG57" s="164" t="s">
        <v>922</v>
      </c>
      <c r="AH57" s="165"/>
      <c r="AI57" s="166">
        <f t="shared" si="18"/>
        <v>1</v>
      </c>
      <c r="AJ57" s="167" t="str">
        <f t="shared" si="20"/>
        <v>OK</v>
      </c>
      <c r="AK57" s="165"/>
      <c r="AL57" s="164" t="str">
        <f t="array" ref="AL57">IF(C57="","",INDEX(구분표!$I$2:$I$313, MATCH(1,(구분표!$E$2:$E$313='17년일출'!B57)*(구분표!$F$2:$F$313='17년일출'!C57)*(구분표!$G$2:$G$313='17년일출'!A57),0)))</f>
        <v>0220</v>
      </c>
      <c r="AM57" s="165"/>
      <c r="AN57" s="153"/>
    </row>
    <row r="58" spans="1:40" s="156" customFormat="1" ht="50.1" customHeight="1">
      <c r="A58" s="127" t="str">
        <f>IFERROR(VLOOKUP($C58,[4]구분표!$A$2:$C$313,2,FALSE),"")</f>
        <v>농정해양위원회</v>
      </c>
      <c r="B58" s="143" t="str">
        <f>IFERROR(VLOOKUP($C58,[4]구분표!$A$2:$C$313,3,FALSE),"")</f>
        <v>농정해양국</v>
      </c>
      <c r="C58" s="158" t="s">
        <v>889</v>
      </c>
      <c r="D58" s="162" t="s">
        <v>890</v>
      </c>
      <c r="E58" s="140" t="s">
        <v>983</v>
      </c>
      <c r="F58" s="184">
        <v>647</v>
      </c>
      <c r="G58" s="186">
        <v>514</v>
      </c>
      <c r="H58" s="181" t="s">
        <v>891</v>
      </c>
      <c r="I58" s="148">
        <v>510000</v>
      </c>
      <c r="J58" s="149">
        <v>-41000</v>
      </c>
      <c r="K58" s="150"/>
      <c r="L58" s="170">
        <f t="shared" si="12"/>
        <v>469000</v>
      </c>
      <c r="M58" s="149"/>
      <c r="N58" s="150"/>
      <c r="O58" s="152">
        <f t="shared" si="19"/>
        <v>510000</v>
      </c>
      <c r="P58" s="153" t="str">
        <f t="shared" si="21"/>
        <v>O</v>
      </c>
      <c r="Q58" s="161" t="s">
        <v>892</v>
      </c>
      <c r="R58" s="161"/>
      <c r="S58" s="155"/>
      <c r="U58" s="164" t="s">
        <v>751</v>
      </c>
      <c r="V58" s="165"/>
      <c r="W58" s="164" t="s">
        <v>752</v>
      </c>
      <c r="X58" s="163">
        <v>-41000</v>
      </c>
      <c r="Y58" s="163">
        <v>0</v>
      </c>
      <c r="Z58" s="164" t="str">
        <f t="shared" si="13"/>
        <v>OK</v>
      </c>
      <c r="AA58" s="165"/>
      <c r="AB58" s="164"/>
      <c r="AC58" s="163" t="str">
        <f t="shared" si="14"/>
        <v>직접입력</v>
      </c>
      <c r="AD58" s="163" t="str">
        <f t="shared" si="15"/>
        <v>직접입력</v>
      </c>
      <c r="AE58" s="164" t="str">
        <f t="shared" si="16"/>
        <v>OK</v>
      </c>
      <c r="AF58" s="165"/>
      <c r="AG58" s="164" t="s">
        <v>893</v>
      </c>
      <c r="AH58" s="165"/>
      <c r="AI58" s="166">
        <f t="shared" si="18"/>
        <v>1</v>
      </c>
      <c r="AJ58" s="167" t="str">
        <f t="shared" si="20"/>
        <v>OK</v>
      </c>
      <c r="AK58" s="165"/>
      <c r="AL58" s="164" t="str">
        <f t="array" ref="AL58">IF(C58="","",INDEX(구분표!$I$2:$I$313, MATCH(1,(구분표!$E$2:$E$313='17년일출'!B58)*(구분표!$F$2:$F$313='17년일출'!C58)*(구분표!$G$2:$G$313='17년일출'!A58),0)))</f>
        <v>0223</v>
      </c>
      <c r="AM58" s="165"/>
      <c r="AN58" s="153"/>
    </row>
    <row r="59" spans="1:40" s="156" customFormat="1" ht="50.1" customHeight="1">
      <c r="A59" s="127" t="str">
        <f>IFERROR(VLOOKUP($C59,[4]구분표!$A$2:$C$313,2,FALSE),"")</f>
        <v>농정해양위원회</v>
      </c>
      <c r="B59" s="143" t="str">
        <f>IFERROR(VLOOKUP($C59,[4]구분표!$A$2:$C$313,3,FALSE),"")</f>
        <v>농정해양국</v>
      </c>
      <c r="C59" s="158" t="s">
        <v>889</v>
      </c>
      <c r="D59" s="162" t="s">
        <v>890</v>
      </c>
      <c r="E59" s="140" t="s">
        <v>983</v>
      </c>
      <c r="F59" s="184">
        <v>647</v>
      </c>
      <c r="G59" s="186">
        <v>517</v>
      </c>
      <c r="H59" s="181" t="s">
        <v>894</v>
      </c>
      <c r="I59" s="148">
        <v>14000</v>
      </c>
      <c r="J59" s="149">
        <v>-2000</v>
      </c>
      <c r="K59" s="150"/>
      <c r="L59" s="170">
        <f t="shared" si="12"/>
        <v>12000</v>
      </c>
      <c r="M59" s="149"/>
      <c r="N59" s="150"/>
      <c r="O59" s="152">
        <f t="shared" si="19"/>
        <v>14000</v>
      </c>
      <c r="P59" s="153" t="str">
        <f t="shared" si="21"/>
        <v>O</v>
      </c>
      <c r="Q59" s="161" t="s">
        <v>892</v>
      </c>
      <c r="R59" s="161"/>
      <c r="S59" s="155"/>
      <c r="U59" s="164" t="s">
        <v>751</v>
      </c>
      <c r="V59" s="165"/>
      <c r="W59" s="164" t="s">
        <v>752</v>
      </c>
      <c r="X59" s="163">
        <v>-2000</v>
      </c>
      <c r="Y59" s="163">
        <v>0</v>
      </c>
      <c r="Z59" s="164" t="str">
        <f t="shared" si="13"/>
        <v>OK</v>
      </c>
      <c r="AA59" s="165"/>
      <c r="AB59" s="164"/>
      <c r="AC59" s="163" t="str">
        <f t="shared" si="14"/>
        <v>직접입력</v>
      </c>
      <c r="AD59" s="163" t="str">
        <f t="shared" si="15"/>
        <v>직접입력</v>
      </c>
      <c r="AE59" s="164" t="str">
        <f t="shared" si="16"/>
        <v>OK</v>
      </c>
      <c r="AF59" s="165"/>
      <c r="AG59" s="164" t="s">
        <v>895</v>
      </c>
      <c r="AH59" s="165"/>
      <c r="AI59" s="166">
        <f t="shared" si="18"/>
        <v>1</v>
      </c>
      <c r="AJ59" s="167" t="str">
        <f t="shared" si="20"/>
        <v>OK</v>
      </c>
      <c r="AK59" s="165"/>
      <c r="AL59" s="164" t="str">
        <f t="array" ref="AL59">IF(C59="","",INDEX(구분표!$I$2:$I$313, MATCH(1,(구분표!$E$2:$E$313='17년일출'!B59)*(구분표!$F$2:$F$313='17년일출'!C59)*(구분표!$G$2:$G$313='17년일출'!A59),0)))</f>
        <v>0223</v>
      </c>
      <c r="AM59" s="165"/>
      <c r="AN59" s="153"/>
    </row>
    <row r="60" spans="1:40" s="156" customFormat="1" ht="50.1" customHeight="1">
      <c r="A60" s="127" t="str">
        <f>IFERROR(VLOOKUP($C60,[4]구분표!$A$2:$C$313,2,FALSE),"")</f>
        <v>농정해양위원회</v>
      </c>
      <c r="B60" s="143" t="str">
        <f>IFERROR(VLOOKUP($C60,[4]구분표!$A$2:$C$313,3,FALSE),"")</f>
        <v>농정해양국</v>
      </c>
      <c r="C60" s="158" t="s">
        <v>889</v>
      </c>
      <c r="D60" s="162" t="s">
        <v>749</v>
      </c>
      <c r="E60" s="140" t="s">
        <v>983</v>
      </c>
      <c r="F60" s="184"/>
      <c r="G60" s="186"/>
      <c r="H60" s="181" t="s">
        <v>1022</v>
      </c>
      <c r="I60" s="148"/>
      <c r="J60" s="149"/>
      <c r="K60" s="150">
        <v>1811994</v>
      </c>
      <c r="L60" s="170">
        <f t="shared" si="12"/>
        <v>1811994</v>
      </c>
      <c r="M60" s="149"/>
      <c r="N60" s="150"/>
      <c r="O60" s="152">
        <f t="shared" si="19"/>
        <v>0</v>
      </c>
      <c r="P60" s="153" t="str">
        <f t="shared" si="21"/>
        <v>X</v>
      </c>
      <c r="Q60" s="161" t="s">
        <v>896</v>
      </c>
      <c r="R60" s="161"/>
      <c r="S60" s="155"/>
      <c r="U60" s="164" t="s">
        <v>751</v>
      </c>
      <c r="V60" s="165"/>
      <c r="W60" s="164" t="s">
        <v>752</v>
      </c>
      <c r="X60" s="163">
        <v>1811994</v>
      </c>
      <c r="Y60" s="163">
        <v>0</v>
      </c>
      <c r="Z60" s="164" t="str">
        <f t="shared" si="13"/>
        <v>OK</v>
      </c>
      <c r="AA60" s="165"/>
      <c r="AB60" s="164"/>
      <c r="AC60" s="163" t="str">
        <f t="shared" si="14"/>
        <v>직접입력</v>
      </c>
      <c r="AD60" s="163" t="str">
        <f t="shared" si="15"/>
        <v>직접입력</v>
      </c>
      <c r="AE60" s="164" t="str">
        <f t="shared" si="16"/>
        <v>OK</v>
      </c>
      <c r="AF60" s="165"/>
      <c r="AG60" s="164" t="s">
        <v>897</v>
      </c>
      <c r="AH60" s="165"/>
      <c r="AI60" s="166">
        <f t="shared" si="18"/>
        <v>1</v>
      </c>
      <c r="AJ60" s="167" t="str">
        <f t="shared" si="20"/>
        <v>OK</v>
      </c>
      <c r="AK60" s="165"/>
      <c r="AL60" s="164" t="str">
        <f t="array" ref="AL60">IF(C60="","",INDEX(구분표!$I$2:$I$313, MATCH(1,(구분표!$E$2:$E$313='17년일출'!B60)*(구분표!$F$2:$F$313='17년일출'!C60)*(구분표!$G$2:$G$313='17년일출'!A60),0)))</f>
        <v>0223</v>
      </c>
      <c r="AM60" s="165"/>
      <c r="AN60" s="153"/>
    </row>
    <row r="61" spans="1:40" s="156" customFormat="1" ht="50.1" customHeight="1">
      <c r="A61" s="127" t="str">
        <f>IFERROR(VLOOKUP($C61,[4]구분표!$A$2:$C$313,2,FALSE),"")</f>
        <v>농정해양위원회</v>
      </c>
      <c r="B61" s="143" t="str">
        <f>IFERROR(VLOOKUP($C61,[4]구분표!$A$2:$C$313,3,FALSE),"")</f>
        <v>농정해양국</v>
      </c>
      <c r="C61" s="158" t="s">
        <v>898</v>
      </c>
      <c r="D61" s="162" t="s">
        <v>890</v>
      </c>
      <c r="E61" s="140" t="s">
        <v>983</v>
      </c>
      <c r="F61" s="184">
        <v>651</v>
      </c>
      <c r="G61" s="186">
        <v>576</v>
      </c>
      <c r="H61" s="181" t="s">
        <v>1021</v>
      </c>
      <c r="I61" s="148">
        <v>72000</v>
      </c>
      <c r="J61" s="149">
        <v>-36000</v>
      </c>
      <c r="K61" s="150"/>
      <c r="L61" s="170">
        <f t="shared" si="12"/>
        <v>36000</v>
      </c>
      <c r="M61" s="149"/>
      <c r="N61" s="150"/>
      <c r="O61" s="152">
        <f t="shared" si="19"/>
        <v>72000</v>
      </c>
      <c r="P61" s="153" t="str">
        <f t="shared" si="21"/>
        <v>O</v>
      </c>
      <c r="Q61" s="161" t="s">
        <v>899</v>
      </c>
      <c r="R61" s="161"/>
      <c r="S61" s="155"/>
      <c r="U61" s="164" t="s">
        <v>751</v>
      </c>
      <c r="V61" s="165"/>
      <c r="W61" s="164" t="s">
        <v>775</v>
      </c>
      <c r="X61" s="163">
        <v>-36000</v>
      </c>
      <c r="Y61" s="163">
        <v>0</v>
      </c>
      <c r="Z61" s="164" t="str">
        <f t="shared" si="13"/>
        <v>OK</v>
      </c>
      <c r="AA61" s="165"/>
      <c r="AB61" s="164"/>
      <c r="AC61" s="163" t="str">
        <f t="shared" si="14"/>
        <v>직접입력</v>
      </c>
      <c r="AD61" s="163" t="str">
        <f t="shared" si="15"/>
        <v>직접입력</v>
      </c>
      <c r="AE61" s="164" t="str">
        <f t="shared" si="16"/>
        <v>OK</v>
      </c>
      <c r="AF61" s="165"/>
      <c r="AG61" s="164" t="s">
        <v>900</v>
      </c>
      <c r="AH61" s="165"/>
      <c r="AI61" s="166">
        <f t="shared" si="18"/>
        <v>1</v>
      </c>
      <c r="AJ61" s="167" t="str">
        <f t="shared" si="20"/>
        <v>OK</v>
      </c>
      <c r="AK61" s="165"/>
      <c r="AL61" s="164" t="str">
        <f t="array" ref="AL61">IF(C61="","",INDEX(구분표!$I$2:$I$313, MATCH(1,(구분표!$E$2:$E$313='17년일출'!B61)*(구분표!$F$2:$F$313='17년일출'!C61)*(구분표!$G$2:$G$313='17년일출'!A61),0)))</f>
        <v>0224</v>
      </c>
      <c r="AM61" s="165"/>
      <c r="AN61" s="153"/>
    </row>
    <row r="62" spans="1:40" s="156" customFormat="1" ht="50.1" customHeight="1">
      <c r="A62" s="127" t="str">
        <f>IFERROR(VLOOKUP($C62,[4]구분표!$A$2:$C$313,2,FALSE),"")</f>
        <v>농정해양위원회</v>
      </c>
      <c r="B62" s="143" t="str">
        <f>IFERROR(VLOOKUP($C62,[4]구분표!$A$2:$C$313,3,FALSE),"")</f>
        <v>농정해양국</v>
      </c>
      <c r="C62" s="158" t="s">
        <v>901</v>
      </c>
      <c r="D62" s="162" t="s">
        <v>890</v>
      </c>
      <c r="E62" s="140" t="s">
        <v>983</v>
      </c>
      <c r="F62" s="184">
        <v>666</v>
      </c>
      <c r="G62" s="186">
        <v>752</v>
      </c>
      <c r="H62" s="181" t="s">
        <v>1024</v>
      </c>
      <c r="I62" s="148">
        <v>70000</v>
      </c>
      <c r="J62" s="149">
        <v>-10000</v>
      </c>
      <c r="K62" s="150"/>
      <c r="L62" s="170">
        <f t="shared" si="12"/>
        <v>60000</v>
      </c>
      <c r="M62" s="149"/>
      <c r="N62" s="150"/>
      <c r="O62" s="152">
        <f t="shared" si="19"/>
        <v>70000</v>
      </c>
      <c r="P62" s="153" t="str">
        <f t="shared" si="21"/>
        <v>O</v>
      </c>
      <c r="Q62" s="161" t="s">
        <v>902</v>
      </c>
      <c r="R62" s="161"/>
      <c r="S62" s="155"/>
      <c r="U62" s="164" t="s">
        <v>751</v>
      </c>
      <c r="V62" s="165"/>
      <c r="W62" s="164" t="s">
        <v>775</v>
      </c>
      <c r="X62" s="163">
        <v>-5000</v>
      </c>
      <c r="Y62" s="163">
        <v>-5000</v>
      </c>
      <c r="Z62" s="164" t="str">
        <f t="shared" si="13"/>
        <v>OK</v>
      </c>
      <c r="AA62" s="165"/>
      <c r="AB62" s="164"/>
      <c r="AC62" s="163" t="str">
        <f t="shared" si="14"/>
        <v>직접입력</v>
      </c>
      <c r="AD62" s="163" t="str">
        <f t="shared" si="15"/>
        <v>직접입력</v>
      </c>
      <c r="AE62" s="164" t="str">
        <f t="shared" si="16"/>
        <v>OK</v>
      </c>
      <c r="AF62" s="165"/>
      <c r="AG62" s="164" t="s">
        <v>903</v>
      </c>
      <c r="AH62" s="165"/>
      <c r="AI62" s="166">
        <f t="shared" si="18"/>
        <v>1</v>
      </c>
      <c r="AJ62" s="167" t="str">
        <f t="shared" si="20"/>
        <v>OK</v>
      </c>
      <c r="AK62" s="165"/>
      <c r="AL62" s="164" t="str">
        <f t="array" ref="AL62">IF(C62="","",INDEX(구분표!$I$2:$I$313, MATCH(1,(구분표!$E$2:$E$313='17년일출'!B62)*(구분표!$F$2:$F$313='17년일출'!C62)*(구분표!$G$2:$G$313='17년일출'!A62),0)))</f>
        <v>0225</v>
      </c>
      <c r="AM62" s="165"/>
      <c r="AN62" s="153"/>
    </row>
    <row r="63" spans="1:40" s="156" customFormat="1" ht="50.1" customHeight="1">
      <c r="A63" s="127" t="str">
        <f>IFERROR(VLOOKUP($C63,[4]구분표!$A$2:$C$313,2,FALSE),"")</f>
        <v>농정해양위원회</v>
      </c>
      <c r="B63" s="143" t="str">
        <f>IFERROR(VLOOKUP($C63,[4]구분표!$A$2:$C$313,3,FALSE),"")</f>
        <v>농정해양국</v>
      </c>
      <c r="C63" s="158" t="s">
        <v>904</v>
      </c>
      <c r="D63" s="162" t="s">
        <v>905</v>
      </c>
      <c r="E63" s="140" t="s">
        <v>983</v>
      </c>
      <c r="F63" s="184">
        <v>666</v>
      </c>
      <c r="G63" s="186">
        <v>740</v>
      </c>
      <c r="H63" s="192" t="s">
        <v>1085</v>
      </c>
      <c r="I63" s="148">
        <v>1266</v>
      </c>
      <c r="J63" s="149">
        <v>-1266</v>
      </c>
      <c r="K63" s="150"/>
      <c r="L63" s="170">
        <f t="shared" si="12"/>
        <v>0</v>
      </c>
      <c r="M63" s="149"/>
      <c r="N63" s="150"/>
      <c r="O63" s="152">
        <f t="shared" si="19"/>
        <v>1266</v>
      </c>
      <c r="P63" s="153" t="str">
        <f t="shared" si="21"/>
        <v>O</v>
      </c>
      <c r="Q63" s="161" t="s">
        <v>906</v>
      </c>
      <c r="R63" s="161"/>
      <c r="S63" s="155"/>
      <c r="U63" s="164" t="s">
        <v>751</v>
      </c>
      <c r="V63" s="165"/>
      <c r="W63" s="164" t="s">
        <v>775</v>
      </c>
      <c r="X63" s="163">
        <v>-700</v>
      </c>
      <c r="Y63" s="163">
        <v>-566</v>
      </c>
      <c r="Z63" s="164" t="str">
        <f t="shared" si="13"/>
        <v>OK</v>
      </c>
      <c r="AA63" s="165"/>
      <c r="AB63" s="164"/>
      <c r="AC63" s="163" t="str">
        <f t="shared" si="14"/>
        <v>직접입력</v>
      </c>
      <c r="AD63" s="163" t="str">
        <f t="shared" si="15"/>
        <v>직접입력</v>
      </c>
      <c r="AE63" s="164" t="str">
        <f t="shared" si="16"/>
        <v>OK</v>
      </c>
      <c r="AF63" s="165"/>
      <c r="AG63" s="164" t="s">
        <v>907</v>
      </c>
      <c r="AH63" s="165"/>
      <c r="AI63" s="166">
        <f t="shared" si="18"/>
        <v>2</v>
      </c>
      <c r="AJ63" s="167" t="str">
        <f t="shared" si="20"/>
        <v>OK</v>
      </c>
      <c r="AK63" s="165"/>
      <c r="AL63" s="164" t="str">
        <f t="array" ref="AL63">IF(C63="","",INDEX(구분표!$I$2:$I$313, MATCH(1,(구분표!$E$2:$E$313='17년일출'!B63)*(구분표!$F$2:$F$313='17년일출'!C63)*(구분표!$G$2:$G$313='17년일출'!A63),0)))</f>
        <v>0225</v>
      </c>
      <c r="AM63" s="165"/>
      <c r="AN63" s="153"/>
    </row>
    <row r="64" spans="1:40" s="156" customFormat="1" ht="50.1" customHeight="1">
      <c r="A64" s="127" t="str">
        <f>IFERROR(VLOOKUP($C64,[4]구분표!$A$2:$C$313,2,FALSE),"")</f>
        <v>농정해양위원회</v>
      </c>
      <c r="B64" s="143" t="str">
        <f>IFERROR(VLOOKUP($C64,[4]구분표!$A$2:$C$313,3,FALSE),"")</f>
        <v>농정해양국</v>
      </c>
      <c r="C64" s="158" t="s">
        <v>908</v>
      </c>
      <c r="D64" s="162" t="s">
        <v>909</v>
      </c>
      <c r="E64" s="140" t="s">
        <v>983</v>
      </c>
      <c r="F64" s="184">
        <v>666</v>
      </c>
      <c r="G64" s="186">
        <v>740</v>
      </c>
      <c r="H64" s="192" t="s">
        <v>1086</v>
      </c>
      <c r="I64" s="148">
        <v>36000</v>
      </c>
      <c r="J64" s="149">
        <v>-9000</v>
      </c>
      <c r="K64" s="150"/>
      <c r="L64" s="170">
        <f t="shared" si="12"/>
        <v>27000</v>
      </c>
      <c r="M64" s="149"/>
      <c r="N64" s="150"/>
      <c r="O64" s="152">
        <f t="shared" si="19"/>
        <v>36000</v>
      </c>
      <c r="P64" s="153" t="str">
        <f t="shared" si="21"/>
        <v>O</v>
      </c>
      <c r="Q64" s="161" t="s">
        <v>910</v>
      </c>
      <c r="R64" s="161"/>
      <c r="S64" s="169"/>
      <c r="U64" s="164" t="s">
        <v>751</v>
      </c>
      <c r="V64" s="165"/>
      <c r="W64" s="164" t="s">
        <v>911</v>
      </c>
      <c r="X64" s="163">
        <v>-6300</v>
      </c>
      <c r="Y64" s="163">
        <v>-2700</v>
      </c>
      <c r="Z64" s="164" t="str">
        <f t="shared" si="13"/>
        <v>OK</v>
      </c>
      <c r="AA64" s="165"/>
      <c r="AB64" s="164"/>
      <c r="AC64" s="163" t="str">
        <f t="shared" si="14"/>
        <v>직접입력</v>
      </c>
      <c r="AD64" s="163" t="str">
        <f t="shared" si="15"/>
        <v>직접입력</v>
      </c>
      <c r="AE64" s="164" t="str">
        <f t="shared" si="16"/>
        <v>OK</v>
      </c>
      <c r="AF64" s="165"/>
      <c r="AG64" s="164" t="s">
        <v>907</v>
      </c>
      <c r="AH64" s="165"/>
      <c r="AI64" s="166">
        <f t="shared" si="18"/>
        <v>2</v>
      </c>
      <c r="AJ64" s="167" t="str">
        <f t="shared" si="20"/>
        <v>OK</v>
      </c>
      <c r="AK64" s="165"/>
      <c r="AL64" s="164" t="str">
        <f t="array" ref="AL64">IF(C64="","",INDEX(구분표!$I$2:$I$313, MATCH(1,(구분표!$E$2:$E$313='17년일출'!B64)*(구분표!$F$2:$F$313='17년일출'!C64)*(구분표!$G$2:$G$313='17년일출'!A64),0)))</f>
        <v>0225</v>
      </c>
      <c r="AM64" s="165"/>
      <c r="AN64" s="153"/>
    </row>
    <row r="65" spans="1:40" s="156" customFormat="1" ht="50.1" customHeight="1">
      <c r="A65" s="127" t="str">
        <f>IFERROR(VLOOKUP($C65,[4]구분표!$A$2:$C$313,2,FALSE),"")</f>
        <v>농정해양위원회</v>
      </c>
      <c r="B65" s="143" t="str">
        <f>IFERROR(VLOOKUP($C65,[4]구분표!$A$2:$C$313,3,FALSE),"")</f>
        <v>농정해양국</v>
      </c>
      <c r="C65" s="158" t="s">
        <v>912</v>
      </c>
      <c r="D65" s="162" t="s">
        <v>748</v>
      </c>
      <c r="E65" s="140" t="s">
        <v>983</v>
      </c>
      <c r="F65" s="184">
        <v>624</v>
      </c>
      <c r="G65" s="186">
        <v>146</v>
      </c>
      <c r="H65" s="181" t="s">
        <v>913</v>
      </c>
      <c r="I65" s="148">
        <v>1250000</v>
      </c>
      <c r="J65" s="149">
        <v>-120000</v>
      </c>
      <c r="K65" s="150"/>
      <c r="L65" s="170">
        <f t="shared" si="12"/>
        <v>1130000</v>
      </c>
      <c r="M65" s="149"/>
      <c r="N65" s="150"/>
      <c r="O65" s="152">
        <f t="shared" si="19"/>
        <v>1250000</v>
      </c>
      <c r="P65" s="153" t="str">
        <f t="shared" si="21"/>
        <v>O</v>
      </c>
      <c r="Q65" s="161" t="s">
        <v>914</v>
      </c>
      <c r="R65" s="161"/>
      <c r="S65" s="169"/>
      <c r="U65" s="164" t="s">
        <v>751</v>
      </c>
      <c r="V65" s="165"/>
      <c r="W65" s="164" t="s">
        <v>775</v>
      </c>
      <c r="X65" s="163">
        <v>-60000</v>
      </c>
      <c r="Y65" s="163">
        <v>-60000</v>
      </c>
      <c r="Z65" s="164" t="str">
        <f t="shared" si="13"/>
        <v>OK</v>
      </c>
      <c r="AA65" s="165"/>
      <c r="AB65" s="164"/>
      <c r="AC65" s="163" t="str">
        <f t="shared" si="14"/>
        <v>직접입력</v>
      </c>
      <c r="AD65" s="163" t="str">
        <f t="shared" si="15"/>
        <v>직접입력</v>
      </c>
      <c r="AE65" s="164" t="str">
        <f t="shared" si="16"/>
        <v>OK</v>
      </c>
      <c r="AF65" s="165"/>
      <c r="AG65" s="164" t="s">
        <v>915</v>
      </c>
      <c r="AH65" s="165"/>
      <c r="AI65" s="166">
        <f t="shared" si="18"/>
        <v>2</v>
      </c>
      <c r="AJ65" s="167" t="str">
        <f t="shared" si="20"/>
        <v>OK</v>
      </c>
      <c r="AK65" s="165"/>
      <c r="AL65" s="164" t="str">
        <f t="array" ref="AL65">IF(C65="","",INDEX(구분표!$I$2:$I$313, MATCH(1,(구분표!$E$2:$E$313='17년일출'!B65)*(구분표!$F$2:$F$313='17년일출'!C65)*(구분표!$G$2:$G$313='17년일출'!A65),0)))</f>
        <v>0220</v>
      </c>
      <c r="AM65" s="165"/>
      <c r="AN65" s="153"/>
    </row>
    <row r="66" spans="1:40" s="156" customFormat="1" ht="50.1" customHeight="1">
      <c r="A66" s="127" t="str">
        <f>IFERROR(VLOOKUP($C66,[4]구분표!$A$2:$C$313,2,FALSE),"")</f>
        <v>농정해양위원회</v>
      </c>
      <c r="B66" s="143" t="str">
        <f>IFERROR(VLOOKUP($C66,[4]구분표!$A$2:$C$313,3,FALSE),"")</f>
        <v>농정해양국</v>
      </c>
      <c r="C66" s="158" t="s">
        <v>916</v>
      </c>
      <c r="D66" s="162" t="s">
        <v>917</v>
      </c>
      <c r="E66" s="140" t="s">
        <v>983</v>
      </c>
      <c r="F66" s="184">
        <v>624</v>
      </c>
      <c r="G66" s="186">
        <v>149</v>
      </c>
      <c r="H66" s="181" t="s">
        <v>1025</v>
      </c>
      <c r="I66" s="148">
        <v>75000</v>
      </c>
      <c r="J66" s="149"/>
      <c r="K66" s="150">
        <v>150000</v>
      </c>
      <c r="L66" s="170">
        <f t="shared" si="12"/>
        <v>225000</v>
      </c>
      <c r="M66" s="149"/>
      <c r="N66" s="150"/>
      <c r="O66" s="152">
        <f t="shared" si="19"/>
        <v>75000</v>
      </c>
      <c r="P66" s="153" t="str">
        <f t="shared" si="21"/>
        <v>X</v>
      </c>
      <c r="Q66" s="161" t="s">
        <v>918</v>
      </c>
      <c r="R66" s="161"/>
      <c r="S66" s="169"/>
      <c r="U66" s="164" t="s">
        <v>919</v>
      </c>
      <c r="V66" s="165"/>
      <c r="W66" s="164" t="s">
        <v>920</v>
      </c>
      <c r="X66" s="163">
        <v>150000</v>
      </c>
      <c r="Y66" s="163">
        <v>0</v>
      </c>
      <c r="Z66" s="164" t="str">
        <f t="shared" si="13"/>
        <v>OK</v>
      </c>
      <c r="AA66" s="165"/>
      <c r="AB66" s="164"/>
      <c r="AC66" s="163" t="str">
        <f t="shared" si="14"/>
        <v>직접입력</v>
      </c>
      <c r="AD66" s="163" t="str">
        <f t="shared" si="15"/>
        <v>직접입력</v>
      </c>
      <c r="AE66" s="164" t="str">
        <f t="shared" si="16"/>
        <v>OK</v>
      </c>
      <c r="AF66" s="165"/>
      <c r="AG66" s="164" t="s">
        <v>921</v>
      </c>
      <c r="AH66" s="165"/>
      <c r="AI66" s="166">
        <f t="shared" si="18"/>
        <v>2</v>
      </c>
      <c r="AJ66" s="167" t="str">
        <f t="shared" si="20"/>
        <v>OK</v>
      </c>
      <c r="AK66" s="165"/>
      <c r="AL66" s="164" t="str">
        <f t="array" ref="AL66">IF(C66="","",INDEX(구분표!$I$2:$I$313, MATCH(1,(구분표!$E$2:$E$313='17년일출'!B66)*(구분표!$F$2:$F$313='17년일출'!C66)*(구분표!$G$2:$G$313='17년일출'!A66),0)))</f>
        <v>0220</v>
      </c>
      <c r="AM66" s="165"/>
      <c r="AN66" s="153"/>
    </row>
    <row r="67" spans="1:40" s="156" customFormat="1" ht="50.1" customHeight="1">
      <c r="A67" s="127" t="str">
        <f>IFERROR(VLOOKUP($C67,[4]구분표!$A$2:$C$313,2,FALSE),"")</f>
        <v>농정해양위원회</v>
      </c>
      <c r="B67" s="143" t="str">
        <f>IFERROR(VLOOKUP($C67,[4]구분표!$A$2:$C$313,3,FALSE),"")</f>
        <v>축산산림국</v>
      </c>
      <c r="C67" s="158" t="s">
        <v>750</v>
      </c>
      <c r="D67" s="162" t="s">
        <v>748</v>
      </c>
      <c r="E67" s="140" t="s">
        <v>983</v>
      </c>
      <c r="F67" s="184">
        <v>690</v>
      </c>
      <c r="G67" s="186">
        <v>39</v>
      </c>
      <c r="H67" s="181" t="s">
        <v>1026</v>
      </c>
      <c r="I67" s="148">
        <v>690000</v>
      </c>
      <c r="J67" s="149"/>
      <c r="K67" s="150">
        <v>92000</v>
      </c>
      <c r="L67" s="170">
        <f t="shared" si="12"/>
        <v>782000</v>
      </c>
      <c r="M67" s="149"/>
      <c r="N67" s="150"/>
      <c r="O67" s="152">
        <f t="shared" si="19"/>
        <v>690000</v>
      </c>
      <c r="P67" s="153" t="str">
        <f t="shared" si="21"/>
        <v>X</v>
      </c>
      <c r="Q67" s="161" t="s">
        <v>799</v>
      </c>
      <c r="R67" s="161"/>
      <c r="S67" s="155"/>
      <c r="U67" s="164" t="s">
        <v>751</v>
      </c>
      <c r="V67" s="165"/>
      <c r="W67" s="164" t="s">
        <v>752</v>
      </c>
      <c r="X67" s="163">
        <v>80000</v>
      </c>
      <c r="Y67" s="163">
        <v>12000</v>
      </c>
      <c r="Z67" s="164" t="str">
        <f t="shared" si="13"/>
        <v>OK</v>
      </c>
      <c r="AA67" s="165"/>
      <c r="AB67" s="164"/>
      <c r="AC67" s="163" t="str">
        <f t="shared" si="14"/>
        <v>직접입력</v>
      </c>
      <c r="AD67" s="163" t="str">
        <f t="shared" si="15"/>
        <v>직접입력</v>
      </c>
      <c r="AE67" s="164" t="str">
        <f t="shared" si="16"/>
        <v>OK</v>
      </c>
      <c r="AF67" s="165"/>
      <c r="AG67" s="164" t="s">
        <v>753</v>
      </c>
      <c r="AH67" s="165"/>
      <c r="AI67" s="166">
        <f t="shared" ref="AI67:AI90" si="22">IF(AG67="","",COUNTIF($AG$6:$AG$92,AG67))</f>
        <v>1</v>
      </c>
      <c r="AJ67" s="167" t="str">
        <f t="shared" si="20"/>
        <v>OK</v>
      </c>
      <c r="AK67" s="165"/>
      <c r="AL67" s="164" t="str">
        <f t="array" ref="AL67">IF(C67="","",INDEX(구분표!$I$2:$I$313, MATCH(1,(구분표!$E$2:$E$313='17년일출'!B67)*(구분표!$F$2:$F$313='17년일출'!C67)*(구분표!$G$2:$G$313='17년일출'!A67),0)))</f>
        <v>0227</v>
      </c>
      <c r="AM67" s="165"/>
      <c r="AN67" s="153"/>
    </row>
    <row r="68" spans="1:40" s="156" customFormat="1" ht="50.1" customHeight="1">
      <c r="A68" s="127" t="str">
        <f>IFERROR(VLOOKUP($C68,[4]구분표!$A$2:$C$313,2,FALSE),"")</f>
        <v>농정해양위원회</v>
      </c>
      <c r="B68" s="143" t="str">
        <f>IFERROR(VLOOKUP($C68,[4]구분표!$A$2:$C$313,3,FALSE),"")</f>
        <v>축산산림국</v>
      </c>
      <c r="C68" s="158" t="s">
        <v>750</v>
      </c>
      <c r="D68" s="162" t="s">
        <v>748</v>
      </c>
      <c r="E68" s="140" t="s">
        <v>983</v>
      </c>
      <c r="F68" s="184">
        <v>691</v>
      </c>
      <c r="G68" s="186">
        <v>41</v>
      </c>
      <c r="H68" s="181" t="s">
        <v>1027</v>
      </c>
      <c r="I68" s="148">
        <v>767568</v>
      </c>
      <c r="J68" s="149">
        <v>-77568</v>
      </c>
      <c r="K68" s="150"/>
      <c r="L68" s="170">
        <f t="shared" si="12"/>
        <v>690000</v>
      </c>
      <c r="M68" s="149"/>
      <c r="N68" s="150"/>
      <c r="O68" s="152">
        <f t="shared" si="19"/>
        <v>767568</v>
      </c>
      <c r="P68" s="153" t="str">
        <f t="shared" si="21"/>
        <v>O</v>
      </c>
      <c r="Q68" s="161" t="s">
        <v>799</v>
      </c>
      <c r="R68" s="161"/>
      <c r="S68" s="155"/>
      <c r="U68" s="164" t="s">
        <v>751</v>
      </c>
      <c r="V68" s="165"/>
      <c r="W68" s="164" t="s">
        <v>752</v>
      </c>
      <c r="X68" s="163">
        <v>-67450</v>
      </c>
      <c r="Y68" s="163">
        <v>-10118</v>
      </c>
      <c r="Z68" s="164" t="str">
        <f t="shared" si="13"/>
        <v>OK</v>
      </c>
      <c r="AA68" s="165"/>
      <c r="AB68" s="164"/>
      <c r="AC68" s="163" t="str">
        <f t="shared" si="14"/>
        <v>직접입력</v>
      </c>
      <c r="AD68" s="163" t="str">
        <f t="shared" si="15"/>
        <v>직접입력</v>
      </c>
      <c r="AE68" s="164" t="str">
        <f t="shared" si="16"/>
        <v>OK</v>
      </c>
      <c r="AF68" s="165"/>
      <c r="AG68" s="164" t="s">
        <v>754</v>
      </c>
      <c r="AH68" s="165"/>
      <c r="AI68" s="166">
        <f t="shared" si="22"/>
        <v>1</v>
      </c>
      <c r="AJ68" s="167" t="str">
        <f t="shared" si="20"/>
        <v>OK</v>
      </c>
      <c r="AK68" s="165"/>
      <c r="AL68" s="164" t="str">
        <f t="array" ref="AL68">IF(C68="","",INDEX(구분표!$I$2:$I$313, MATCH(1,(구분표!$E$2:$E$313='17년일출'!B68)*(구분표!$F$2:$F$313='17년일출'!C68)*(구분표!$G$2:$G$313='17년일출'!A68),0)))</f>
        <v>0227</v>
      </c>
      <c r="AM68" s="165"/>
      <c r="AN68" s="153"/>
    </row>
    <row r="69" spans="1:40" s="156" customFormat="1" ht="50.1" customHeight="1">
      <c r="A69" s="127" t="str">
        <f>IFERROR(VLOOKUP($C69,[4]구분표!$A$2:$C$313,2,FALSE),"")</f>
        <v>농정해양위원회</v>
      </c>
      <c r="B69" s="143" t="str">
        <f>IFERROR(VLOOKUP($C69,[4]구분표!$A$2:$C$313,3,FALSE),"")</f>
        <v>축산산림국</v>
      </c>
      <c r="C69" s="158" t="s">
        <v>750</v>
      </c>
      <c r="D69" s="162" t="s">
        <v>748</v>
      </c>
      <c r="E69" s="140" t="s">
        <v>983</v>
      </c>
      <c r="F69" s="184">
        <v>691</v>
      </c>
      <c r="G69" s="186">
        <v>43</v>
      </c>
      <c r="H69" s="181" t="s">
        <v>1028</v>
      </c>
      <c r="I69" s="148">
        <v>568100</v>
      </c>
      <c r="J69" s="149">
        <v>-338100</v>
      </c>
      <c r="K69" s="150"/>
      <c r="L69" s="170">
        <f t="shared" si="12"/>
        <v>230000</v>
      </c>
      <c r="M69" s="149"/>
      <c r="N69" s="150"/>
      <c r="O69" s="152">
        <f t="shared" si="19"/>
        <v>568100</v>
      </c>
      <c r="P69" s="153" t="str">
        <f t="shared" si="21"/>
        <v>O</v>
      </c>
      <c r="Q69" s="161" t="s">
        <v>799</v>
      </c>
      <c r="R69" s="161"/>
      <c r="S69" s="155"/>
      <c r="U69" s="164" t="s">
        <v>751</v>
      </c>
      <c r="V69" s="165"/>
      <c r="W69" s="164" t="s">
        <v>752</v>
      </c>
      <c r="X69" s="163">
        <v>-294000</v>
      </c>
      <c r="Y69" s="163">
        <v>-44100</v>
      </c>
      <c r="Z69" s="164" t="str">
        <f t="shared" si="13"/>
        <v>OK</v>
      </c>
      <c r="AA69" s="165"/>
      <c r="AB69" s="164"/>
      <c r="AC69" s="163" t="str">
        <f t="shared" si="14"/>
        <v>직접입력</v>
      </c>
      <c r="AD69" s="163" t="str">
        <f t="shared" si="15"/>
        <v>직접입력</v>
      </c>
      <c r="AE69" s="164" t="str">
        <f t="shared" si="16"/>
        <v>OK</v>
      </c>
      <c r="AF69" s="165"/>
      <c r="AG69" s="164" t="s">
        <v>755</v>
      </c>
      <c r="AH69" s="165"/>
      <c r="AI69" s="166">
        <f t="shared" si="22"/>
        <v>1</v>
      </c>
      <c r="AJ69" s="167" t="str">
        <f t="shared" si="20"/>
        <v>OK</v>
      </c>
      <c r="AK69" s="165"/>
      <c r="AL69" s="164" t="str">
        <f t="array" ref="AL69">IF(C69="","",INDEX(구분표!$I$2:$I$313, MATCH(1,(구분표!$E$2:$E$313='17년일출'!B69)*(구분표!$F$2:$F$313='17년일출'!C69)*(구분표!$G$2:$G$313='17년일출'!A69),0)))</f>
        <v>0227</v>
      </c>
      <c r="AM69" s="165"/>
      <c r="AN69" s="153"/>
    </row>
    <row r="70" spans="1:40" s="156" customFormat="1" ht="50.1" customHeight="1">
      <c r="A70" s="127" t="str">
        <f>IFERROR(VLOOKUP($C70,[4]구분표!$A$2:$C$313,2,FALSE),"")</f>
        <v>농정해양위원회</v>
      </c>
      <c r="B70" s="143" t="str">
        <f>IFERROR(VLOOKUP($C70,[4]구분표!$A$2:$C$313,3,FALSE),"")</f>
        <v>축산산림국</v>
      </c>
      <c r="C70" s="158" t="s">
        <v>750</v>
      </c>
      <c r="D70" s="162" t="s">
        <v>748</v>
      </c>
      <c r="E70" s="140" t="s">
        <v>983</v>
      </c>
      <c r="F70" s="184">
        <v>691</v>
      </c>
      <c r="G70" s="186">
        <v>45</v>
      </c>
      <c r="H70" s="181" t="s">
        <v>1029</v>
      </c>
      <c r="I70" s="148">
        <v>41400</v>
      </c>
      <c r="J70" s="149">
        <v>-41400</v>
      </c>
      <c r="K70" s="150"/>
      <c r="L70" s="170">
        <f t="shared" si="12"/>
        <v>0</v>
      </c>
      <c r="M70" s="149"/>
      <c r="N70" s="150"/>
      <c r="O70" s="152"/>
      <c r="P70" s="153"/>
      <c r="Q70" s="161" t="s">
        <v>799</v>
      </c>
      <c r="R70" s="161"/>
      <c r="S70" s="155"/>
      <c r="U70" s="164" t="s">
        <v>751</v>
      </c>
      <c r="V70" s="165"/>
      <c r="W70" s="164" t="s">
        <v>752</v>
      </c>
      <c r="X70" s="163">
        <v>-36000</v>
      </c>
      <c r="Y70" s="163">
        <v>-5400</v>
      </c>
      <c r="Z70" s="164" t="str">
        <f t="shared" si="13"/>
        <v>OK</v>
      </c>
      <c r="AA70" s="165"/>
      <c r="AB70" s="164"/>
      <c r="AC70" s="163" t="str">
        <f t="shared" si="14"/>
        <v>직접입력</v>
      </c>
      <c r="AD70" s="163" t="str">
        <f t="shared" si="15"/>
        <v>직접입력</v>
      </c>
      <c r="AE70" s="164" t="str">
        <f t="shared" si="16"/>
        <v>OK</v>
      </c>
      <c r="AF70" s="165"/>
      <c r="AG70" s="164" t="s">
        <v>756</v>
      </c>
      <c r="AH70" s="165"/>
      <c r="AI70" s="166">
        <f t="shared" si="22"/>
        <v>1</v>
      </c>
      <c r="AJ70" s="167" t="str">
        <f t="shared" si="20"/>
        <v>OK</v>
      </c>
      <c r="AK70" s="165"/>
      <c r="AL70" s="164" t="str">
        <f t="array" ref="AL70">IF(C70="","",INDEX(구분표!$I$2:$I$313, MATCH(1,(구분표!$E$2:$E$313='17년일출'!B70)*(구분표!$F$2:$F$313='17년일출'!C70)*(구분표!$G$2:$G$313='17년일출'!A70),0)))</f>
        <v>0227</v>
      </c>
      <c r="AM70" s="165"/>
      <c r="AN70" s="153"/>
    </row>
    <row r="71" spans="1:40" s="156" customFormat="1" ht="50.1" customHeight="1">
      <c r="A71" s="127" t="str">
        <f>IFERROR(VLOOKUP($C71,[4]구분표!$A$2:$C$313,2,FALSE),"")</f>
        <v>농정해양위원회</v>
      </c>
      <c r="B71" s="143" t="str">
        <f>IFERROR(VLOOKUP($C71,[4]구분표!$A$2:$C$313,3,FALSE),"")</f>
        <v>축산산림국</v>
      </c>
      <c r="C71" s="158" t="s">
        <v>750</v>
      </c>
      <c r="D71" s="162" t="s">
        <v>748</v>
      </c>
      <c r="E71" s="140" t="s">
        <v>983</v>
      </c>
      <c r="F71" s="184">
        <v>692</v>
      </c>
      <c r="G71" s="186">
        <v>49</v>
      </c>
      <c r="H71" s="181" t="s">
        <v>1030</v>
      </c>
      <c r="I71" s="148">
        <v>920975</v>
      </c>
      <c r="J71" s="149">
        <v>-644600</v>
      </c>
      <c r="K71" s="150"/>
      <c r="L71" s="170">
        <f t="shared" ref="L71:L102" si="23">I71+J71+K71</f>
        <v>276375</v>
      </c>
      <c r="M71" s="149"/>
      <c r="N71" s="150"/>
      <c r="O71" s="152"/>
      <c r="P71" s="153"/>
      <c r="Q71" s="161" t="s">
        <v>799</v>
      </c>
      <c r="R71" s="161"/>
      <c r="S71" s="155"/>
      <c r="U71" s="164" t="s">
        <v>751</v>
      </c>
      <c r="V71" s="165"/>
      <c r="W71" s="164" t="s">
        <v>752</v>
      </c>
      <c r="X71" s="163">
        <v>-468800</v>
      </c>
      <c r="Y71" s="163">
        <v>-175800</v>
      </c>
      <c r="Z71" s="164" t="str">
        <f t="shared" ref="Z71:Z102" si="24">IF(SUM($J71:$K71)=SUM($X71:$Y71),"OK","검토")</f>
        <v>OK</v>
      </c>
      <c r="AA71" s="165"/>
      <c r="AB71" s="164"/>
      <c r="AC71" s="163" t="str">
        <f t="shared" ref="AC71:AC85" si="25">IF($W71&lt;&gt;"도비",IF($U71="국도비","직접입력",SUM($M71:$N71)),)</f>
        <v>직접입력</v>
      </c>
      <c r="AD71" s="163" t="str">
        <f t="shared" ref="AD71:AD85" si="26">IF($W71="도비",SUM(M71:N71),IF($U71="국도비","직접입력",SUM(M71:N71)-AC71))</f>
        <v>직접입력</v>
      </c>
      <c r="AE71" s="164" t="str">
        <f t="shared" ref="AE71:AE85" si="27">IF(SUM(M71:N71)=SUM(AC71:AD71),"OK","검토")</f>
        <v>OK</v>
      </c>
      <c r="AF71" s="165"/>
      <c r="AG71" s="164" t="s">
        <v>757</v>
      </c>
      <c r="AH71" s="165"/>
      <c r="AI71" s="166">
        <f t="shared" si="22"/>
        <v>1</v>
      </c>
      <c r="AJ71" s="167" t="str">
        <f t="shared" si="20"/>
        <v>OK</v>
      </c>
      <c r="AK71" s="165"/>
      <c r="AL71" s="164" t="str">
        <f t="array" ref="AL71">IF(C71="","",INDEX(구분표!$I$2:$I$313, MATCH(1,(구분표!$E$2:$E$313='17년일출'!B71)*(구분표!$F$2:$F$313='17년일출'!C71)*(구분표!$G$2:$G$313='17년일출'!A71),0)))</f>
        <v>0227</v>
      </c>
      <c r="AM71" s="165"/>
      <c r="AN71" s="153"/>
    </row>
    <row r="72" spans="1:40" s="156" customFormat="1" ht="50.1" customHeight="1">
      <c r="A72" s="127" t="str">
        <f>IFERROR(VLOOKUP($C72,[4]구분표!$A$2:$C$313,2,FALSE),"")</f>
        <v>농정해양위원회</v>
      </c>
      <c r="B72" s="143" t="str">
        <f>IFERROR(VLOOKUP($C72,[4]구분표!$A$2:$C$313,3,FALSE),"")</f>
        <v>축산산림국</v>
      </c>
      <c r="C72" s="158" t="s">
        <v>750</v>
      </c>
      <c r="D72" s="162" t="s">
        <v>748</v>
      </c>
      <c r="E72" s="140" t="s">
        <v>983</v>
      </c>
      <c r="F72" s="184">
        <v>692</v>
      </c>
      <c r="G72" s="186">
        <v>53</v>
      </c>
      <c r="H72" s="181" t="s">
        <v>1031</v>
      </c>
      <c r="I72" s="148">
        <v>48300</v>
      </c>
      <c r="J72" s="149">
        <v>-17250</v>
      </c>
      <c r="K72" s="150"/>
      <c r="L72" s="170">
        <f t="shared" si="23"/>
        <v>31050</v>
      </c>
      <c r="M72" s="149"/>
      <c r="N72" s="150"/>
      <c r="O72" s="152"/>
      <c r="P72" s="153"/>
      <c r="Q72" s="161" t="s">
        <v>799</v>
      </c>
      <c r="R72" s="161"/>
      <c r="S72" s="155"/>
      <c r="U72" s="164" t="s">
        <v>751</v>
      </c>
      <c r="V72" s="165"/>
      <c r="W72" s="164" t="s">
        <v>752</v>
      </c>
      <c r="X72" s="163">
        <v>-15000</v>
      </c>
      <c r="Y72" s="163">
        <v>-2250</v>
      </c>
      <c r="Z72" s="164" t="str">
        <f t="shared" si="24"/>
        <v>OK</v>
      </c>
      <c r="AA72" s="165"/>
      <c r="AB72" s="164"/>
      <c r="AC72" s="163" t="str">
        <f t="shared" si="25"/>
        <v>직접입력</v>
      </c>
      <c r="AD72" s="163" t="str">
        <f t="shared" si="26"/>
        <v>직접입력</v>
      </c>
      <c r="AE72" s="164" t="str">
        <f t="shared" si="27"/>
        <v>OK</v>
      </c>
      <c r="AF72" s="165"/>
      <c r="AG72" s="164" t="s">
        <v>758</v>
      </c>
      <c r="AH72" s="165"/>
      <c r="AI72" s="166">
        <f t="shared" si="22"/>
        <v>1</v>
      </c>
      <c r="AJ72" s="167" t="str">
        <f t="shared" si="20"/>
        <v>OK</v>
      </c>
      <c r="AK72" s="165"/>
      <c r="AL72" s="164" t="str">
        <f t="array" ref="AL72">IF(C72="","",INDEX(구분표!$I$2:$I$313, MATCH(1,(구분표!$E$2:$E$313='17년일출'!B72)*(구분표!$F$2:$F$313='17년일출'!C72)*(구분표!$G$2:$G$313='17년일출'!A72),0)))</f>
        <v>0227</v>
      </c>
      <c r="AM72" s="165"/>
      <c r="AN72" s="153"/>
    </row>
    <row r="73" spans="1:40" s="63" customFormat="1" ht="50.1" customHeight="1">
      <c r="A73" s="145" t="str">
        <f>IFERROR(VLOOKUP($C73,[4]구분표!$A$2:$C$313,2,FALSE),"")</f>
        <v>농정해양위원회</v>
      </c>
      <c r="B73" s="144" t="str">
        <f>IFERROR(VLOOKUP($C73,[4]구분표!$A$2:$C$313,3,FALSE),"")</f>
        <v>축산산림국</v>
      </c>
      <c r="C73" s="64" t="s">
        <v>750</v>
      </c>
      <c r="D73" s="112" t="s">
        <v>749</v>
      </c>
      <c r="E73" s="147" t="s">
        <v>983</v>
      </c>
      <c r="F73" s="184"/>
      <c r="G73" s="186"/>
      <c r="H73" s="181" t="s">
        <v>1032</v>
      </c>
      <c r="I73" s="57"/>
      <c r="J73" s="58"/>
      <c r="K73" s="59">
        <v>70850</v>
      </c>
      <c r="L73" s="170">
        <f t="shared" si="23"/>
        <v>70850</v>
      </c>
      <c r="M73" s="58"/>
      <c r="N73" s="59"/>
      <c r="O73" s="60"/>
      <c r="P73" s="61"/>
      <c r="Q73" s="161" t="s">
        <v>799</v>
      </c>
      <c r="R73" s="161"/>
      <c r="S73" s="62"/>
      <c r="U73" s="119" t="s">
        <v>751</v>
      </c>
      <c r="V73" s="120"/>
      <c r="W73" s="119" t="s">
        <v>752</v>
      </c>
      <c r="X73" s="118">
        <v>65000</v>
      </c>
      <c r="Y73" s="118">
        <v>5850</v>
      </c>
      <c r="Z73" s="119" t="str">
        <f t="shared" si="24"/>
        <v>OK</v>
      </c>
      <c r="AA73" s="120"/>
      <c r="AB73" s="119"/>
      <c r="AC73" s="118" t="str">
        <f t="shared" si="25"/>
        <v>직접입력</v>
      </c>
      <c r="AD73" s="118" t="str">
        <f t="shared" si="26"/>
        <v>직접입력</v>
      </c>
      <c r="AE73" s="119" t="str">
        <f t="shared" si="27"/>
        <v>OK</v>
      </c>
      <c r="AF73" s="120"/>
      <c r="AG73" s="119" t="s">
        <v>759</v>
      </c>
      <c r="AH73" s="120"/>
      <c r="AI73" s="121">
        <f t="shared" si="22"/>
        <v>1</v>
      </c>
      <c r="AJ73" s="122" t="str">
        <f t="shared" si="20"/>
        <v>OK</v>
      </c>
      <c r="AK73" s="120"/>
      <c r="AL73" s="119" t="str">
        <f t="array" ref="AL73">IF(C73="","",INDEX(구분표!$I$2:$I$313, MATCH(1,(구분표!$E$2:$E$313='17년일출'!B73)*(구분표!$F$2:$F$313='17년일출'!C73)*(구분표!$G$2:$G$313='17년일출'!A73),0)))</f>
        <v>0227</v>
      </c>
      <c r="AM73" s="120"/>
      <c r="AN73" s="61"/>
    </row>
    <row r="74" spans="1:40" s="63" customFormat="1" ht="50.1" customHeight="1">
      <c r="A74" s="145" t="str">
        <f>IFERROR(VLOOKUP($C74,[4]구분표!$A$2:$C$313,2,FALSE),"")</f>
        <v>농정해양위원회</v>
      </c>
      <c r="B74" s="144" t="str">
        <f>IFERROR(VLOOKUP($C74,[4]구분표!$A$2:$C$313,3,FALSE),"")</f>
        <v>축산산림국</v>
      </c>
      <c r="C74" s="64" t="s">
        <v>750</v>
      </c>
      <c r="D74" s="112" t="s">
        <v>748</v>
      </c>
      <c r="E74" s="147" t="s">
        <v>983</v>
      </c>
      <c r="F74" s="184">
        <v>695</v>
      </c>
      <c r="G74" s="186">
        <v>101</v>
      </c>
      <c r="H74" s="181" t="s">
        <v>1033</v>
      </c>
      <c r="I74" s="57">
        <v>66000</v>
      </c>
      <c r="J74" s="58">
        <v>-6000</v>
      </c>
      <c r="K74" s="59"/>
      <c r="L74" s="170">
        <f t="shared" si="23"/>
        <v>60000</v>
      </c>
      <c r="M74" s="58"/>
      <c r="N74" s="59"/>
      <c r="O74" s="60"/>
      <c r="P74" s="61"/>
      <c r="Q74" s="161" t="s">
        <v>800</v>
      </c>
      <c r="R74" s="161"/>
      <c r="S74" s="62"/>
      <c r="U74" s="119" t="s">
        <v>751</v>
      </c>
      <c r="V74" s="120"/>
      <c r="W74" s="119" t="s">
        <v>752</v>
      </c>
      <c r="X74" s="118">
        <v>-6000</v>
      </c>
      <c r="Y74" s="118">
        <v>0</v>
      </c>
      <c r="Z74" s="119" t="str">
        <f t="shared" si="24"/>
        <v>OK</v>
      </c>
      <c r="AA74" s="120"/>
      <c r="AB74" s="119"/>
      <c r="AC74" s="118" t="str">
        <f t="shared" si="25"/>
        <v>직접입력</v>
      </c>
      <c r="AD74" s="118" t="str">
        <f t="shared" si="26"/>
        <v>직접입력</v>
      </c>
      <c r="AE74" s="119" t="str">
        <f t="shared" si="27"/>
        <v>OK</v>
      </c>
      <c r="AF74" s="120"/>
      <c r="AG74" s="119" t="s">
        <v>760</v>
      </c>
      <c r="AH74" s="120"/>
      <c r="AI74" s="121">
        <f t="shared" si="22"/>
        <v>1</v>
      </c>
      <c r="AJ74" s="122" t="str">
        <f t="shared" si="20"/>
        <v>OK</v>
      </c>
      <c r="AK74" s="120"/>
      <c r="AL74" s="119" t="str">
        <f t="array" ref="AL74">IF(C74="","",INDEX(구분표!$I$2:$I$313, MATCH(1,(구분표!$E$2:$E$313='17년일출'!B74)*(구분표!$F$2:$F$313='17년일출'!C74)*(구분표!$G$2:$G$313='17년일출'!A74),0)))</f>
        <v>0227</v>
      </c>
      <c r="AM74" s="120"/>
      <c r="AN74" s="61"/>
    </row>
    <row r="75" spans="1:40" s="63" customFormat="1" ht="50.1" customHeight="1">
      <c r="A75" s="145" t="str">
        <f>IFERROR(VLOOKUP($C75,[4]구분표!$A$2:$C$313,2,FALSE),"")</f>
        <v>농정해양위원회</v>
      </c>
      <c r="B75" s="144" t="str">
        <f>IFERROR(VLOOKUP($C75,[4]구분표!$A$2:$C$313,3,FALSE),"")</f>
        <v>축산산림국</v>
      </c>
      <c r="C75" s="64" t="s">
        <v>750</v>
      </c>
      <c r="D75" s="112" t="s">
        <v>748</v>
      </c>
      <c r="E75" s="147" t="s">
        <v>983</v>
      </c>
      <c r="F75" s="184">
        <v>695</v>
      </c>
      <c r="G75" s="186">
        <v>104</v>
      </c>
      <c r="H75" s="181" t="s">
        <v>801</v>
      </c>
      <c r="I75" s="148">
        <v>248500</v>
      </c>
      <c r="J75" s="58">
        <v>-98500</v>
      </c>
      <c r="K75" s="150"/>
      <c r="L75" s="170">
        <f t="shared" si="23"/>
        <v>150000</v>
      </c>
      <c r="M75" s="58"/>
      <c r="N75" s="150"/>
      <c r="O75" s="152"/>
      <c r="P75" s="61"/>
      <c r="Q75" s="161" t="s">
        <v>800</v>
      </c>
      <c r="R75" s="161"/>
      <c r="S75" s="62"/>
      <c r="U75" s="164" t="s">
        <v>751</v>
      </c>
      <c r="V75" s="165"/>
      <c r="W75" s="164" t="s">
        <v>752</v>
      </c>
      <c r="X75" s="163">
        <v>-98500</v>
      </c>
      <c r="Y75" s="163">
        <v>0</v>
      </c>
      <c r="Z75" s="164" t="str">
        <f t="shared" si="24"/>
        <v>OK</v>
      </c>
      <c r="AA75" s="165"/>
      <c r="AB75" s="164"/>
      <c r="AC75" s="163" t="str">
        <f t="shared" si="25"/>
        <v>직접입력</v>
      </c>
      <c r="AD75" s="163" t="str">
        <f t="shared" si="26"/>
        <v>직접입력</v>
      </c>
      <c r="AE75" s="164" t="str">
        <f t="shared" si="27"/>
        <v>OK</v>
      </c>
      <c r="AF75" s="165"/>
      <c r="AG75" s="164" t="s">
        <v>761</v>
      </c>
      <c r="AH75" s="165"/>
      <c r="AI75" s="166">
        <f t="shared" si="22"/>
        <v>1</v>
      </c>
      <c r="AJ75" s="167" t="str">
        <f t="shared" si="20"/>
        <v>OK</v>
      </c>
      <c r="AK75" s="165"/>
      <c r="AL75" s="164" t="str">
        <f t="array" ref="AL75">IF(C75="","",INDEX(구분표!$I$2:$I$313, MATCH(1,(구분표!$E$2:$E$313='17년일출'!B75)*(구분표!$F$2:$F$313='17년일출'!C75)*(구분표!$G$2:$G$313='17년일출'!A75),0)))</f>
        <v>0227</v>
      </c>
      <c r="AM75" s="165"/>
      <c r="AN75" s="61"/>
    </row>
    <row r="76" spans="1:40" s="63" customFormat="1" ht="50.1" customHeight="1">
      <c r="A76" s="145" t="str">
        <f>IFERROR(VLOOKUP($C76,[4]구분표!$A$2:$C$313,2,FALSE),"")</f>
        <v>농정해양위원회</v>
      </c>
      <c r="B76" s="144" t="str">
        <f>IFERROR(VLOOKUP($C76,[4]구분표!$A$2:$C$313,3,FALSE),"")</f>
        <v>축산산림국</v>
      </c>
      <c r="C76" s="64" t="s">
        <v>750</v>
      </c>
      <c r="D76" s="112" t="s">
        <v>748</v>
      </c>
      <c r="E76" s="147" t="s">
        <v>983</v>
      </c>
      <c r="F76" s="184">
        <v>695</v>
      </c>
      <c r="G76" s="186">
        <v>107</v>
      </c>
      <c r="H76" s="181" t="s">
        <v>1034</v>
      </c>
      <c r="I76" s="57">
        <v>22000</v>
      </c>
      <c r="J76" s="58"/>
      <c r="K76" s="59">
        <v>2000</v>
      </c>
      <c r="L76" s="170">
        <f t="shared" si="23"/>
        <v>24000</v>
      </c>
      <c r="M76" s="58"/>
      <c r="N76" s="59"/>
      <c r="O76" s="60">
        <f>I76+M76+N76</f>
        <v>22000</v>
      </c>
      <c r="P76" s="61" t="str">
        <f>IF(AND((L76=0),(O76&gt;0)),"O",IF(AND((J76&lt;0),(L76-O76&lt;0)),"O","X"))</f>
        <v>X</v>
      </c>
      <c r="Q76" s="161" t="s">
        <v>800</v>
      </c>
      <c r="R76" s="161"/>
      <c r="S76" s="62"/>
      <c r="U76" s="164" t="s">
        <v>751</v>
      </c>
      <c r="V76" s="165"/>
      <c r="W76" s="164" t="s">
        <v>752</v>
      </c>
      <c r="X76" s="163">
        <v>2000</v>
      </c>
      <c r="Y76" s="163">
        <v>0</v>
      </c>
      <c r="Z76" s="164" t="str">
        <f t="shared" si="24"/>
        <v>OK</v>
      </c>
      <c r="AA76" s="165"/>
      <c r="AB76" s="164"/>
      <c r="AC76" s="163" t="str">
        <f t="shared" si="25"/>
        <v>직접입력</v>
      </c>
      <c r="AD76" s="163" t="str">
        <f t="shared" si="26"/>
        <v>직접입력</v>
      </c>
      <c r="AE76" s="164" t="str">
        <f t="shared" si="27"/>
        <v>OK</v>
      </c>
      <c r="AF76" s="165"/>
      <c r="AG76" s="164" t="s">
        <v>762</v>
      </c>
      <c r="AH76" s="165"/>
      <c r="AI76" s="166">
        <f t="shared" si="22"/>
        <v>1</v>
      </c>
      <c r="AJ76" s="167" t="str">
        <f t="shared" si="20"/>
        <v>OK</v>
      </c>
      <c r="AK76" s="165"/>
      <c r="AL76" s="164" t="str">
        <f t="array" ref="AL76">IF(C76="","",INDEX(구분표!$I$2:$I$313, MATCH(1,(구분표!$E$2:$E$313='17년일출'!B76)*(구분표!$F$2:$F$313='17년일출'!C76)*(구분표!$G$2:$G$313='17년일출'!A76),0)))</f>
        <v>0227</v>
      </c>
      <c r="AM76" s="165"/>
      <c r="AN76" s="61"/>
    </row>
    <row r="77" spans="1:40" s="63" customFormat="1" ht="50.1" customHeight="1">
      <c r="A77" s="145" t="str">
        <f>IFERROR(VLOOKUP($C77,[4]구분표!$A$2:$C$313,2,FALSE),"")</f>
        <v>농정해양위원회</v>
      </c>
      <c r="B77" s="144" t="str">
        <f>IFERROR(VLOOKUP($C77,[4]구분표!$A$2:$C$313,3,FALSE),"")</f>
        <v>축산산림국</v>
      </c>
      <c r="C77" s="64" t="s">
        <v>750</v>
      </c>
      <c r="D77" s="112" t="s">
        <v>748</v>
      </c>
      <c r="E77" s="147" t="s">
        <v>983</v>
      </c>
      <c r="F77" s="184">
        <v>695</v>
      </c>
      <c r="G77" s="186">
        <v>110</v>
      </c>
      <c r="H77" s="181" t="s">
        <v>1035</v>
      </c>
      <c r="I77" s="57">
        <v>120000</v>
      </c>
      <c r="J77" s="58"/>
      <c r="K77" s="59">
        <v>45000</v>
      </c>
      <c r="L77" s="170">
        <f t="shared" si="23"/>
        <v>165000</v>
      </c>
      <c r="M77" s="58"/>
      <c r="N77" s="59"/>
      <c r="O77" s="60"/>
      <c r="P77" s="61"/>
      <c r="Q77" s="161" t="s">
        <v>800</v>
      </c>
      <c r="R77" s="161"/>
      <c r="S77" s="62"/>
      <c r="U77" s="164" t="s">
        <v>751</v>
      </c>
      <c r="V77" s="165"/>
      <c r="W77" s="164" t="s">
        <v>752</v>
      </c>
      <c r="X77" s="163">
        <v>45000</v>
      </c>
      <c r="Y77" s="163">
        <v>0</v>
      </c>
      <c r="Z77" s="164" t="str">
        <f t="shared" si="24"/>
        <v>OK</v>
      </c>
      <c r="AA77" s="165"/>
      <c r="AB77" s="164"/>
      <c r="AC77" s="163" t="str">
        <f t="shared" si="25"/>
        <v>직접입력</v>
      </c>
      <c r="AD77" s="163" t="str">
        <f t="shared" si="26"/>
        <v>직접입력</v>
      </c>
      <c r="AE77" s="164" t="str">
        <f t="shared" si="27"/>
        <v>OK</v>
      </c>
      <c r="AF77" s="165"/>
      <c r="AG77" s="164" t="s">
        <v>763</v>
      </c>
      <c r="AH77" s="165"/>
      <c r="AI77" s="166">
        <f t="shared" si="22"/>
        <v>1</v>
      </c>
      <c r="AJ77" s="167" t="str">
        <f t="shared" si="20"/>
        <v>OK</v>
      </c>
      <c r="AK77" s="165"/>
      <c r="AL77" s="164" t="str">
        <f t="array" ref="AL77">IF(C77="","",INDEX(구분표!$I$2:$I$313, MATCH(1,(구분표!$E$2:$E$313='17년일출'!B77)*(구분표!$F$2:$F$313='17년일출'!C77)*(구분표!$G$2:$G$313='17년일출'!A77),0)))</f>
        <v>0227</v>
      </c>
      <c r="AM77" s="165"/>
      <c r="AN77" s="61"/>
    </row>
    <row r="78" spans="1:40" s="63" customFormat="1" ht="50.1" customHeight="1">
      <c r="A78" s="145" t="str">
        <f>IFERROR(VLOOKUP($C78,[4]구분표!$A$2:$C$313,2,FALSE),"")</f>
        <v>농정해양위원회</v>
      </c>
      <c r="B78" s="144" t="str">
        <f>IFERROR(VLOOKUP($C78,[4]구분표!$A$2:$C$313,3,FALSE),"")</f>
        <v>축산산림국</v>
      </c>
      <c r="C78" s="64" t="s">
        <v>750</v>
      </c>
      <c r="D78" s="112" t="s">
        <v>748</v>
      </c>
      <c r="E78" s="147" t="s">
        <v>983</v>
      </c>
      <c r="F78" s="184">
        <v>696</v>
      </c>
      <c r="G78" s="186">
        <v>113</v>
      </c>
      <c r="H78" s="181" t="s">
        <v>802</v>
      </c>
      <c r="I78" s="57">
        <v>2216208</v>
      </c>
      <c r="J78" s="58"/>
      <c r="K78" s="59">
        <v>283792</v>
      </c>
      <c r="L78" s="170">
        <f t="shared" si="23"/>
        <v>2500000</v>
      </c>
      <c r="M78" s="58"/>
      <c r="N78" s="59"/>
      <c r="O78" s="60"/>
      <c r="P78" s="61"/>
      <c r="Q78" s="161" t="s">
        <v>800</v>
      </c>
      <c r="R78" s="161"/>
      <c r="S78" s="62"/>
      <c r="U78" s="119" t="s">
        <v>751</v>
      </c>
      <c r="V78" s="120"/>
      <c r="W78" s="119" t="s">
        <v>752</v>
      </c>
      <c r="X78" s="118">
        <v>283792</v>
      </c>
      <c r="Y78" s="118">
        <v>0</v>
      </c>
      <c r="Z78" s="119" t="str">
        <f t="shared" si="24"/>
        <v>OK</v>
      </c>
      <c r="AA78" s="120"/>
      <c r="AB78" s="119"/>
      <c r="AC78" s="118" t="str">
        <f t="shared" si="25"/>
        <v>직접입력</v>
      </c>
      <c r="AD78" s="118" t="str">
        <f t="shared" si="26"/>
        <v>직접입력</v>
      </c>
      <c r="AE78" s="119" t="str">
        <f t="shared" si="27"/>
        <v>OK</v>
      </c>
      <c r="AF78" s="120"/>
      <c r="AG78" s="119" t="s">
        <v>764</v>
      </c>
      <c r="AH78" s="120"/>
      <c r="AI78" s="121">
        <f t="shared" si="22"/>
        <v>1</v>
      </c>
      <c r="AJ78" s="122" t="str">
        <f t="shared" si="20"/>
        <v>OK</v>
      </c>
      <c r="AK78" s="120"/>
      <c r="AL78" s="119" t="str">
        <f t="array" ref="AL78">IF(C78="","",INDEX(구분표!$I$2:$I$313, MATCH(1,(구분표!$E$2:$E$313='17년일출'!B78)*(구분표!$F$2:$F$313='17년일출'!C78)*(구분표!$G$2:$G$313='17년일출'!A78),0)))</f>
        <v>0227</v>
      </c>
      <c r="AM78" s="120"/>
      <c r="AN78" s="61"/>
    </row>
    <row r="79" spans="1:40" s="63" customFormat="1" ht="50.1" customHeight="1">
      <c r="A79" s="145" t="str">
        <f>IFERROR(VLOOKUP($C79,[4]구분표!$A$2:$C$313,2,FALSE),"")</f>
        <v>농정해양위원회</v>
      </c>
      <c r="B79" s="144" t="str">
        <f>IFERROR(VLOOKUP($C79,[4]구분표!$A$2:$C$313,3,FALSE),"")</f>
        <v>축산산림국</v>
      </c>
      <c r="C79" s="64" t="s">
        <v>750</v>
      </c>
      <c r="D79" s="112" t="s">
        <v>748</v>
      </c>
      <c r="E79" s="147" t="s">
        <v>983</v>
      </c>
      <c r="F79" s="184">
        <v>696</v>
      </c>
      <c r="G79" s="186">
        <v>116</v>
      </c>
      <c r="H79" s="181" t="s">
        <v>803</v>
      </c>
      <c r="I79" s="57">
        <v>620900</v>
      </c>
      <c r="J79" s="58"/>
      <c r="K79" s="59">
        <v>39100</v>
      </c>
      <c r="L79" s="170">
        <f t="shared" si="23"/>
        <v>660000</v>
      </c>
      <c r="M79" s="58"/>
      <c r="N79" s="59"/>
      <c r="O79" s="60"/>
      <c r="P79" s="61"/>
      <c r="Q79" s="161" t="s">
        <v>800</v>
      </c>
      <c r="R79" s="161"/>
      <c r="S79" s="62"/>
      <c r="U79" s="119" t="s">
        <v>751</v>
      </c>
      <c r="V79" s="120"/>
      <c r="W79" s="119" t="s">
        <v>752</v>
      </c>
      <c r="X79" s="118">
        <v>39100</v>
      </c>
      <c r="Y79" s="118">
        <v>0</v>
      </c>
      <c r="Z79" s="119" t="str">
        <f t="shared" si="24"/>
        <v>OK</v>
      </c>
      <c r="AA79" s="120"/>
      <c r="AB79" s="119"/>
      <c r="AC79" s="118" t="str">
        <f t="shared" si="25"/>
        <v>직접입력</v>
      </c>
      <c r="AD79" s="118" t="str">
        <f t="shared" si="26"/>
        <v>직접입력</v>
      </c>
      <c r="AE79" s="119" t="str">
        <f t="shared" si="27"/>
        <v>OK</v>
      </c>
      <c r="AF79" s="120"/>
      <c r="AG79" s="119" t="s">
        <v>765</v>
      </c>
      <c r="AH79" s="120"/>
      <c r="AI79" s="121">
        <f t="shared" si="22"/>
        <v>1</v>
      </c>
      <c r="AJ79" s="122" t="str">
        <f t="shared" si="20"/>
        <v>OK</v>
      </c>
      <c r="AK79" s="120"/>
      <c r="AL79" s="119" t="str">
        <f t="array" ref="AL79">IF(C79="","",INDEX(구분표!$I$2:$I$313, MATCH(1,(구분표!$E$2:$E$313='17년일출'!B79)*(구분표!$F$2:$F$313='17년일출'!C79)*(구분표!$G$2:$G$313='17년일출'!A79),0)))</f>
        <v>0227</v>
      </c>
      <c r="AM79" s="120"/>
      <c r="AN79" s="61"/>
    </row>
    <row r="80" spans="1:40" s="63" customFormat="1" ht="50.1" customHeight="1">
      <c r="A80" s="145" t="str">
        <f>IFERROR(VLOOKUP($C80,[4]구분표!$A$2:$C$313,2,FALSE),"")</f>
        <v>농정해양위원회</v>
      </c>
      <c r="B80" s="144" t="str">
        <f>IFERROR(VLOOKUP($C80,[4]구분표!$A$2:$C$313,3,FALSE),"")</f>
        <v>축산산림국</v>
      </c>
      <c r="C80" s="64" t="s">
        <v>750</v>
      </c>
      <c r="D80" s="112" t="s">
        <v>748</v>
      </c>
      <c r="E80" s="147" t="s">
        <v>983</v>
      </c>
      <c r="F80" s="184">
        <v>696</v>
      </c>
      <c r="G80" s="186">
        <v>119</v>
      </c>
      <c r="H80" s="181" t="s">
        <v>1036</v>
      </c>
      <c r="I80" s="57">
        <v>647100</v>
      </c>
      <c r="J80" s="58">
        <v>-647100</v>
      </c>
      <c r="K80" s="59"/>
      <c r="L80" s="170">
        <f t="shared" si="23"/>
        <v>0</v>
      </c>
      <c r="M80" s="58"/>
      <c r="N80" s="59"/>
      <c r="O80" s="60"/>
      <c r="P80" s="61"/>
      <c r="Q80" s="161" t="s">
        <v>800</v>
      </c>
      <c r="R80" s="161"/>
      <c r="S80" s="62"/>
      <c r="U80" s="119" t="s">
        <v>751</v>
      </c>
      <c r="V80" s="120"/>
      <c r="W80" s="119" t="s">
        <v>752</v>
      </c>
      <c r="X80" s="118">
        <v>-647100</v>
      </c>
      <c r="Y80" s="118">
        <v>0</v>
      </c>
      <c r="Z80" s="119" t="str">
        <f t="shared" si="24"/>
        <v>OK</v>
      </c>
      <c r="AA80" s="120"/>
      <c r="AB80" s="119"/>
      <c r="AC80" s="118" t="str">
        <f t="shared" si="25"/>
        <v>직접입력</v>
      </c>
      <c r="AD80" s="118" t="str">
        <f t="shared" si="26"/>
        <v>직접입력</v>
      </c>
      <c r="AE80" s="119" t="str">
        <f t="shared" si="27"/>
        <v>OK</v>
      </c>
      <c r="AF80" s="120"/>
      <c r="AG80" s="119" t="s">
        <v>766</v>
      </c>
      <c r="AH80" s="120"/>
      <c r="AI80" s="121">
        <f t="shared" si="22"/>
        <v>1</v>
      </c>
      <c r="AJ80" s="122" t="str">
        <f t="shared" si="20"/>
        <v>OK</v>
      </c>
      <c r="AK80" s="120"/>
      <c r="AL80" s="119" t="str">
        <f t="array" ref="AL80">IF(C80="","",INDEX(구분표!$I$2:$I$313, MATCH(1,(구분표!$E$2:$E$313='17년일출'!B80)*(구분표!$F$2:$F$313='17년일출'!C80)*(구분표!$G$2:$G$313='17년일출'!A80),0)))</f>
        <v>0227</v>
      </c>
      <c r="AM80" s="120"/>
      <c r="AN80" s="61"/>
    </row>
    <row r="81" spans="1:40" s="63" customFormat="1" ht="50.1" customHeight="1">
      <c r="A81" s="145" t="str">
        <f>IFERROR(VLOOKUP($C81,[4]구분표!$A$2:$C$313,2,FALSE),"")</f>
        <v>농정해양위원회</v>
      </c>
      <c r="B81" s="144" t="str">
        <f>IFERROR(VLOOKUP($C81,[4]구분표!$A$2:$C$313,3,FALSE),"")</f>
        <v>축산산림국</v>
      </c>
      <c r="C81" s="64" t="s">
        <v>750</v>
      </c>
      <c r="D81" s="112" t="s">
        <v>748</v>
      </c>
      <c r="E81" s="147" t="s">
        <v>983</v>
      </c>
      <c r="F81" s="184">
        <v>696</v>
      </c>
      <c r="G81" s="186">
        <v>122</v>
      </c>
      <c r="H81" s="181" t="s">
        <v>1037</v>
      </c>
      <c r="I81" s="57">
        <v>74000</v>
      </c>
      <c r="J81" s="58">
        <v>-11000</v>
      </c>
      <c r="K81" s="59"/>
      <c r="L81" s="170">
        <f t="shared" si="23"/>
        <v>63000</v>
      </c>
      <c r="M81" s="58"/>
      <c r="N81" s="59"/>
      <c r="O81" s="60">
        <f t="shared" ref="O81:O91" si="28">I81+M81+N81</f>
        <v>74000</v>
      </c>
      <c r="P81" s="61" t="str">
        <f t="shared" ref="P81:P91" si="29">IF(AND((L81=0),(O81&gt;0)),"O",IF(AND((J81&lt;0),(L81-O81&lt;0)),"O","X"))</f>
        <v>O</v>
      </c>
      <c r="Q81" s="161" t="s">
        <v>800</v>
      </c>
      <c r="R81" s="161"/>
      <c r="S81" s="62"/>
      <c r="U81" s="119" t="s">
        <v>751</v>
      </c>
      <c r="V81" s="120"/>
      <c r="W81" s="119" t="s">
        <v>752</v>
      </c>
      <c r="X81" s="118">
        <v>-11000</v>
      </c>
      <c r="Y81" s="118">
        <v>0</v>
      </c>
      <c r="Z81" s="119" t="str">
        <f t="shared" si="24"/>
        <v>OK</v>
      </c>
      <c r="AA81" s="120"/>
      <c r="AB81" s="119"/>
      <c r="AC81" s="118" t="str">
        <f t="shared" si="25"/>
        <v>직접입력</v>
      </c>
      <c r="AD81" s="118" t="str">
        <f t="shared" si="26"/>
        <v>직접입력</v>
      </c>
      <c r="AE81" s="119" t="str">
        <f t="shared" si="27"/>
        <v>OK</v>
      </c>
      <c r="AF81" s="120"/>
      <c r="AG81" s="119" t="s">
        <v>767</v>
      </c>
      <c r="AH81" s="120"/>
      <c r="AI81" s="121">
        <f t="shared" si="22"/>
        <v>1</v>
      </c>
      <c r="AJ81" s="122" t="str">
        <f t="shared" si="20"/>
        <v>OK</v>
      </c>
      <c r="AK81" s="120"/>
      <c r="AL81" s="119" t="str">
        <f t="array" ref="AL81">IF(C81="","",INDEX(구분표!$I$2:$I$313, MATCH(1,(구분표!$E$2:$E$313='17년일출'!B81)*(구분표!$F$2:$F$313='17년일출'!C81)*(구분표!$G$2:$G$313='17년일출'!A81),0)))</f>
        <v>0227</v>
      </c>
      <c r="AM81" s="120"/>
      <c r="AN81" s="61"/>
    </row>
    <row r="82" spans="1:40" s="63" customFormat="1" ht="50.1" customHeight="1">
      <c r="A82" s="145" t="str">
        <f>IFERROR(VLOOKUP($C82,[4]구분표!$A$2:$C$313,2,FALSE),"")</f>
        <v>농정해양위원회</v>
      </c>
      <c r="B82" s="144" t="str">
        <f>IFERROR(VLOOKUP($C82,[4]구분표!$A$2:$C$313,3,FALSE),"")</f>
        <v>축산산림국</v>
      </c>
      <c r="C82" s="64" t="s">
        <v>750</v>
      </c>
      <c r="D82" s="112" t="s">
        <v>748</v>
      </c>
      <c r="E82" s="147" t="s">
        <v>983</v>
      </c>
      <c r="F82" s="184">
        <v>696</v>
      </c>
      <c r="G82" s="186">
        <v>125</v>
      </c>
      <c r="H82" s="181" t="s">
        <v>1038</v>
      </c>
      <c r="I82" s="57">
        <v>83240</v>
      </c>
      <c r="J82" s="58">
        <v>-62640</v>
      </c>
      <c r="K82" s="59"/>
      <c r="L82" s="170">
        <f t="shared" si="23"/>
        <v>20600</v>
      </c>
      <c r="M82" s="58"/>
      <c r="N82" s="59"/>
      <c r="O82" s="60">
        <f t="shared" si="28"/>
        <v>83240</v>
      </c>
      <c r="P82" s="61" t="str">
        <f t="shared" si="29"/>
        <v>O</v>
      </c>
      <c r="Q82" s="161" t="s">
        <v>800</v>
      </c>
      <c r="R82" s="161"/>
      <c r="S82" s="62"/>
      <c r="U82" s="119" t="s">
        <v>751</v>
      </c>
      <c r="V82" s="120"/>
      <c r="W82" s="119" t="s">
        <v>752</v>
      </c>
      <c r="X82" s="118">
        <v>-62640</v>
      </c>
      <c r="Y82" s="118">
        <v>0</v>
      </c>
      <c r="Z82" s="119" t="str">
        <f t="shared" si="24"/>
        <v>OK</v>
      </c>
      <c r="AA82" s="120"/>
      <c r="AB82" s="119"/>
      <c r="AC82" s="118" t="str">
        <f t="shared" si="25"/>
        <v>직접입력</v>
      </c>
      <c r="AD82" s="118" t="str">
        <f t="shared" si="26"/>
        <v>직접입력</v>
      </c>
      <c r="AE82" s="119" t="str">
        <f t="shared" si="27"/>
        <v>OK</v>
      </c>
      <c r="AF82" s="120"/>
      <c r="AG82" s="119" t="s">
        <v>768</v>
      </c>
      <c r="AH82" s="120"/>
      <c r="AI82" s="121">
        <f t="shared" si="22"/>
        <v>1</v>
      </c>
      <c r="AJ82" s="122" t="str">
        <f t="shared" si="20"/>
        <v>OK</v>
      </c>
      <c r="AK82" s="120"/>
      <c r="AL82" s="119" t="str">
        <f t="array" ref="AL82">IF(C82="","",INDEX(구분표!$I$2:$I$313, MATCH(1,(구분표!$E$2:$E$313='17년일출'!B82)*(구분표!$F$2:$F$313='17년일출'!C82)*(구분표!$G$2:$G$313='17년일출'!A82),0)))</f>
        <v>0227</v>
      </c>
      <c r="AM82" s="120"/>
      <c r="AN82" s="61"/>
    </row>
    <row r="83" spans="1:40" s="63" customFormat="1" ht="90" customHeight="1">
      <c r="A83" s="145" t="str">
        <f>IFERROR(VLOOKUP($C83,[4]구분표!$A$2:$C$313,2,FALSE),"")</f>
        <v>농정해양위원회</v>
      </c>
      <c r="B83" s="144" t="str">
        <f>IFERROR(VLOOKUP($C83,[4]구분표!$A$2:$C$313,3,FALSE),"")</f>
        <v>축산산림국</v>
      </c>
      <c r="C83" s="64" t="s">
        <v>770</v>
      </c>
      <c r="D83" s="112" t="s">
        <v>749</v>
      </c>
      <c r="E83" s="147" t="s">
        <v>983</v>
      </c>
      <c r="F83" s="184"/>
      <c r="G83" s="186"/>
      <c r="H83" s="181" t="s">
        <v>1039</v>
      </c>
      <c r="I83" s="57"/>
      <c r="J83" s="58"/>
      <c r="K83" s="59">
        <v>3600</v>
      </c>
      <c r="L83" s="170">
        <f t="shared" si="23"/>
        <v>3600</v>
      </c>
      <c r="M83" s="58"/>
      <c r="N83" s="59"/>
      <c r="O83" s="60">
        <f t="shared" si="28"/>
        <v>0</v>
      </c>
      <c r="P83" s="61" t="str">
        <f t="shared" si="29"/>
        <v>X</v>
      </c>
      <c r="Q83" s="161" t="s">
        <v>771</v>
      </c>
      <c r="R83" s="161"/>
      <c r="S83" s="62"/>
      <c r="U83" s="119" t="s">
        <v>772</v>
      </c>
      <c r="V83" s="120"/>
      <c r="W83" s="119" t="s">
        <v>772</v>
      </c>
      <c r="X83" s="118">
        <f>IF($W83&lt;&gt;"도비",IF($U83="국도비","직접입력",SUM($J83:$K83)),)</f>
        <v>0</v>
      </c>
      <c r="Y83" s="118">
        <f>IF($W83="도비",SUM($J83:$K83),IF($U83="국도비","직접입력",SUM($J83:$K83)-$X83))</f>
        <v>3600</v>
      </c>
      <c r="Z83" s="119" t="str">
        <f t="shared" si="24"/>
        <v>OK</v>
      </c>
      <c r="AA83" s="120"/>
      <c r="AB83" s="119"/>
      <c r="AC83" s="118">
        <f t="shared" si="25"/>
        <v>0</v>
      </c>
      <c r="AD83" s="118">
        <f t="shared" si="26"/>
        <v>0</v>
      </c>
      <c r="AE83" s="119" t="str">
        <f t="shared" si="27"/>
        <v>OK</v>
      </c>
      <c r="AF83" s="120"/>
      <c r="AG83" s="119" t="str">
        <f>IF(W83="","",IF(W83="도비","세입없음","직접입력"))</f>
        <v>세입없음</v>
      </c>
      <c r="AH83" s="120"/>
      <c r="AI83" s="121">
        <f t="shared" si="22"/>
        <v>52</v>
      </c>
      <c r="AJ83" s="122" t="str">
        <f t="shared" si="20"/>
        <v>OK</v>
      </c>
      <c r="AK83" s="120"/>
      <c r="AL83" s="119" t="str">
        <f t="array" ref="AL83">IF(C83="","",INDEX(구분표!$I$2:$I$313, MATCH(1,(구분표!$E$2:$E$313='17년일출'!B83)*(구분표!$F$2:$F$313='17년일출'!C83)*(구분표!$G$2:$G$313='17년일출'!A83),0)))</f>
        <v>0228</v>
      </c>
      <c r="AM83" s="120"/>
      <c r="AN83" s="61"/>
    </row>
    <row r="84" spans="1:40" s="63" customFormat="1" ht="69.75" customHeight="1">
      <c r="A84" s="145" t="str">
        <f>IFERROR(VLOOKUP($C84,[4]구분표!$A$2:$C$313,2,FALSE),"")</f>
        <v>농정해양위원회</v>
      </c>
      <c r="B84" s="144" t="str">
        <f>IFERROR(VLOOKUP($C84,[4]구분표!$A$2:$C$313,3,FALSE),"")</f>
        <v>축산산림국</v>
      </c>
      <c r="C84" s="64" t="s">
        <v>773</v>
      </c>
      <c r="D84" s="112" t="s">
        <v>749</v>
      </c>
      <c r="E84" s="147" t="s">
        <v>983</v>
      </c>
      <c r="F84" s="184"/>
      <c r="G84" s="186"/>
      <c r="H84" s="181" t="s">
        <v>1040</v>
      </c>
      <c r="I84" s="57"/>
      <c r="J84" s="58"/>
      <c r="K84" s="59">
        <v>594936</v>
      </c>
      <c r="L84" s="170">
        <f t="shared" si="23"/>
        <v>594936</v>
      </c>
      <c r="M84" s="58"/>
      <c r="N84" s="59"/>
      <c r="O84" s="60">
        <f t="shared" si="28"/>
        <v>0</v>
      </c>
      <c r="P84" s="61" t="str">
        <f t="shared" si="29"/>
        <v>X</v>
      </c>
      <c r="Q84" s="161" t="s">
        <v>774</v>
      </c>
      <c r="R84" s="161"/>
      <c r="S84" s="62"/>
      <c r="U84" s="119" t="s">
        <v>751</v>
      </c>
      <c r="V84" s="120"/>
      <c r="W84" s="119" t="s">
        <v>775</v>
      </c>
      <c r="X84" s="118">
        <v>466624</v>
      </c>
      <c r="Y84" s="118">
        <v>128312</v>
      </c>
      <c r="Z84" s="119" t="str">
        <f t="shared" si="24"/>
        <v>OK</v>
      </c>
      <c r="AA84" s="120"/>
      <c r="AB84" s="119"/>
      <c r="AC84" s="118" t="str">
        <f t="shared" si="25"/>
        <v>직접입력</v>
      </c>
      <c r="AD84" s="118" t="str">
        <f t="shared" si="26"/>
        <v>직접입력</v>
      </c>
      <c r="AE84" s="119" t="str">
        <f t="shared" si="27"/>
        <v>OK</v>
      </c>
      <c r="AF84" s="120"/>
      <c r="AG84" s="119" t="s">
        <v>777</v>
      </c>
      <c r="AH84" s="120"/>
      <c r="AI84" s="121">
        <f t="shared" si="22"/>
        <v>1</v>
      </c>
      <c r="AJ84" s="122" t="str">
        <f t="shared" si="20"/>
        <v>OK</v>
      </c>
      <c r="AK84" s="120"/>
      <c r="AL84" s="119" t="str">
        <f t="array" ref="AL84">IF(C84="","",INDEX(구분표!$I$2:$I$313, MATCH(1,(구분표!$E$2:$E$313='17년일출'!B84)*(구분표!$F$2:$F$313='17년일출'!C84)*(구분표!$G$2:$G$313='17년일출'!A84),0)))</f>
        <v>0229</v>
      </c>
      <c r="AM84" s="120"/>
      <c r="AN84" s="61"/>
    </row>
    <row r="85" spans="1:40" s="63" customFormat="1" ht="50.1" customHeight="1">
      <c r="A85" s="145" t="str">
        <f>IFERROR(VLOOKUP($C85,[4]구분표!$A$2:$C$313,2,FALSE),"")</f>
        <v>농정해양위원회</v>
      </c>
      <c r="B85" s="144" t="str">
        <f>IFERROR(VLOOKUP($C85,[4]구분표!$A$2:$C$313,3,FALSE),"")</f>
        <v>축산산림국</v>
      </c>
      <c r="C85" s="64" t="s">
        <v>773</v>
      </c>
      <c r="D85" s="112" t="s">
        <v>749</v>
      </c>
      <c r="E85" s="147" t="s">
        <v>983</v>
      </c>
      <c r="F85" s="184"/>
      <c r="G85" s="186"/>
      <c r="H85" s="187" t="s">
        <v>1041</v>
      </c>
      <c r="I85" s="168"/>
      <c r="J85" s="163"/>
      <c r="K85" s="59">
        <v>858871</v>
      </c>
      <c r="L85" s="170">
        <f t="shared" si="23"/>
        <v>858871</v>
      </c>
      <c r="M85" s="58"/>
      <c r="N85" s="59"/>
      <c r="O85" s="60">
        <f t="shared" si="28"/>
        <v>0</v>
      </c>
      <c r="P85" s="61" t="str">
        <f t="shared" si="29"/>
        <v>X</v>
      </c>
      <c r="Q85" s="161" t="s">
        <v>774</v>
      </c>
      <c r="R85" s="161"/>
      <c r="S85" s="62"/>
      <c r="U85" s="119" t="s">
        <v>751</v>
      </c>
      <c r="V85" s="120"/>
      <c r="W85" s="119" t="s">
        <v>775</v>
      </c>
      <c r="X85" s="118">
        <v>572580</v>
      </c>
      <c r="Y85" s="118">
        <v>286291</v>
      </c>
      <c r="Z85" s="119" t="str">
        <f t="shared" si="24"/>
        <v>OK</v>
      </c>
      <c r="AA85" s="120"/>
      <c r="AB85" s="119"/>
      <c r="AC85" s="118" t="str">
        <f t="shared" si="25"/>
        <v>직접입력</v>
      </c>
      <c r="AD85" s="118" t="str">
        <f t="shared" si="26"/>
        <v>직접입력</v>
      </c>
      <c r="AE85" s="119" t="str">
        <f t="shared" si="27"/>
        <v>OK</v>
      </c>
      <c r="AF85" s="120"/>
      <c r="AG85" s="119" t="s">
        <v>798</v>
      </c>
      <c r="AH85" s="120"/>
      <c r="AI85" s="121">
        <f t="shared" si="22"/>
        <v>1</v>
      </c>
      <c r="AJ85" s="122" t="str">
        <f t="shared" si="20"/>
        <v>OK</v>
      </c>
      <c r="AK85" s="120"/>
      <c r="AL85" s="119" t="str">
        <f t="array" ref="AL85">IF(C85="","",INDEX(구분표!$I$2:$I$313, MATCH(1,(구분표!$E$2:$E$313='17년일출'!B85)*(구분표!$F$2:$F$313='17년일출'!C85)*(구분표!$G$2:$G$313='17년일출'!A85),0)))</f>
        <v>0229</v>
      </c>
      <c r="AM85" s="120"/>
      <c r="AN85" s="61"/>
    </row>
    <row r="86" spans="1:40" s="63" customFormat="1" ht="50.1" customHeight="1">
      <c r="A86" s="145" t="str">
        <f>IFERROR(VLOOKUP($C86,[4]구분표!$A$2:$C$313,2,FALSE),"")</f>
        <v>농정해양위원회</v>
      </c>
      <c r="B86" s="144" t="str">
        <f>IFERROR(VLOOKUP($C86,[4]구분표!$A$2:$C$313,3,FALSE),"")</f>
        <v>축산산림국</v>
      </c>
      <c r="C86" s="64" t="s">
        <v>924</v>
      </c>
      <c r="D86" s="112" t="s">
        <v>925</v>
      </c>
      <c r="E86" s="147" t="s">
        <v>983</v>
      </c>
      <c r="F86" s="184">
        <v>740</v>
      </c>
      <c r="G86" s="186">
        <v>453</v>
      </c>
      <c r="H86" s="181" t="s">
        <v>993</v>
      </c>
      <c r="I86" s="168">
        <v>16800</v>
      </c>
      <c r="J86" s="163"/>
      <c r="K86" s="59"/>
      <c r="L86" s="170">
        <f t="shared" si="23"/>
        <v>16800</v>
      </c>
      <c r="M86" s="58"/>
      <c r="N86" s="59"/>
      <c r="O86" s="60">
        <f t="shared" si="28"/>
        <v>16800</v>
      </c>
      <c r="P86" s="61" t="str">
        <f t="shared" si="29"/>
        <v>X</v>
      </c>
      <c r="Q86" s="134" t="s">
        <v>994</v>
      </c>
      <c r="R86" s="134"/>
      <c r="S86" s="62"/>
      <c r="U86" s="119" t="s">
        <v>926</v>
      </c>
      <c r="V86" s="120"/>
      <c r="W86" s="119" t="s">
        <v>926</v>
      </c>
      <c r="X86" s="118"/>
      <c r="Y86" s="118"/>
      <c r="Z86" s="119" t="str">
        <f t="shared" si="24"/>
        <v>OK</v>
      </c>
      <c r="AA86" s="120"/>
      <c r="AB86" s="119"/>
      <c r="AC86" s="118"/>
      <c r="AD86" s="118"/>
      <c r="AE86" s="119"/>
      <c r="AF86" s="120"/>
      <c r="AG86" s="119" t="s">
        <v>995</v>
      </c>
      <c r="AH86" s="120"/>
      <c r="AI86" s="166">
        <f t="shared" si="22"/>
        <v>52</v>
      </c>
      <c r="AJ86" s="167" t="str">
        <f t="shared" si="20"/>
        <v>OK</v>
      </c>
      <c r="AK86" s="120"/>
      <c r="AL86" s="119"/>
      <c r="AM86" s="120"/>
      <c r="AN86" s="61"/>
    </row>
    <row r="87" spans="1:40" s="63" customFormat="1" ht="50.1" customHeight="1">
      <c r="A87" s="145" t="str">
        <f>IFERROR(VLOOKUP($C87,[4]구분표!$A$2:$C$313,2,FALSE),"")</f>
        <v>농정해양위원회</v>
      </c>
      <c r="B87" s="144" t="str">
        <f>IFERROR(VLOOKUP($C87,[4]구분표!$A$2:$C$313,3,FALSE),"")</f>
        <v>축산산림국</v>
      </c>
      <c r="C87" s="64" t="s">
        <v>779</v>
      </c>
      <c r="D87" s="112" t="s">
        <v>748</v>
      </c>
      <c r="E87" s="147" t="s">
        <v>983</v>
      </c>
      <c r="F87" s="184">
        <v>745</v>
      </c>
      <c r="G87" s="186">
        <v>474</v>
      </c>
      <c r="H87" s="188" t="s">
        <v>1042</v>
      </c>
      <c r="I87" s="168">
        <v>45000</v>
      </c>
      <c r="J87" s="163"/>
      <c r="K87" s="59">
        <v>40000</v>
      </c>
      <c r="L87" s="170">
        <f t="shared" si="23"/>
        <v>85000</v>
      </c>
      <c r="M87" s="58"/>
      <c r="N87" s="59"/>
      <c r="O87" s="60">
        <f t="shared" si="28"/>
        <v>45000</v>
      </c>
      <c r="P87" s="61" t="str">
        <f t="shared" si="29"/>
        <v>X</v>
      </c>
      <c r="Q87" s="161" t="s">
        <v>780</v>
      </c>
      <c r="R87" s="161"/>
      <c r="S87" s="62"/>
      <c r="U87" s="119" t="s">
        <v>776</v>
      </c>
      <c r="V87" s="120"/>
      <c r="W87" s="119" t="s">
        <v>752</v>
      </c>
      <c r="X87" s="118">
        <v>40000</v>
      </c>
      <c r="Y87" s="118">
        <v>0</v>
      </c>
      <c r="Z87" s="119" t="str">
        <f t="shared" si="24"/>
        <v>OK</v>
      </c>
      <c r="AA87" s="120"/>
      <c r="AB87" s="119"/>
      <c r="AC87" s="118" t="str">
        <f>IF($W87&lt;&gt;"도비",IF($U87="국도비","직접입력",SUM($M87:$N87)),)</f>
        <v>직접입력</v>
      </c>
      <c r="AD87" s="118" t="str">
        <f>IF($W87="도비",SUM(M87:N87),IF($U87="국도비","직접입력",SUM(M87:N87)-AC87))</f>
        <v>직접입력</v>
      </c>
      <c r="AE87" s="119" t="str">
        <f>IF(SUM(M87:N87)=SUM(AC87:AD87),"OK","검토")</f>
        <v>OK</v>
      </c>
      <c r="AF87" s="120"/>
      <c r="AG87" s="119" t="s">
        <v>785</v>
      </c>
      <c r="AH87" s="120"/>
      <c r="AI87" s="121">
        <f t="shared" si="22"/>
        <v>1</v>
      </c>
      <c r="AJ87" s="122" t="str">
        <f t="shared" si="20"/>
        <v>OK</v>
      </c>
      <c r="AK87" s="120"/>
      <c r="AL87" s="119" t="str">
        <f t="array" ref="AL87">IF(C87="","",INDEX(구분표!$I$2:$I$313, MATCH(1,(구분표!$E$2:$E$313='17년일출'!B87)*(구분표!$F$2:$F$313='17년일출'!C87)*(구분표!$G$2:$G$313='17년일출'!A87),0)))</f>
        <v>0231</v>
      </c>
      <c r="AM87" s="120"/>
      <c r="AN87" s="61"/>
    </row>
    <row r="88" spans="1:40" s="63" customFormat="1" ht="50.1" customHeight="1">
      <c r="A88" s="145" t="str">
        <f>IFERROR(VLOOKUP($C88,[4]구분표!$A$2:$C$313,2,FALSE),"")</f>
        <v>농정해양위원회</v>
      </c>
      <c r="B88" s="144" t="str">
        <f>IFERROR(VLOOKUP($C88,[4]구분표!$A$2:$C$313,3,FALSE),"")</f>
        <v>축산산림국</v>
      </c>
      <c r="C88" s="64" t="s">
        <v>783</v>
      </c>
      <c r="D88" s="112" t="s">
        <v>749</v>
      </c>
      <c r="E88" s="147" t="s">
        <v>983</v>
      </c>
      <c r="F88" s="184">
        <v>0</v>
      </c>
      <c r="G88" s="186"/>
      <c r="H88" s="181" t="s">
        <v>923</v>
      </c>
      <c r="I88" s="168"/>
      <c r="J88" s="163"/>
      <c r="K88" s="150">
        <v>26500</v>
      </c>
      <c r="L88" s="170">
        <f t="shared" si="23"/>
        <v>26500</v>
      </c>
      <c r="M88" s="58"/>
      <c r="N88" s="150"/>
      <c r="O88" s="152">
        <f t="shared" si="28"/>
        <v>0</v>
      </c>
      <c r="P88" s="61" t="str">
        <f t="shared" si="29"/>
        <v>X</v>
      </c>
      <c r="Q88" s="161" t="s">
        <v>789</v>
      </c>
      <c r="R88" s="161"/>
      <c r="S88" s="62"/>
      <c r="U88" s="119" t="s">
        <v>751</v>
      </c>
      <c r="V88" s="120"/>
      <c r="W88" s="119" t="s">
        <v>752</v>
      </c>
      <c r="X88" s="118">
        <v>13250</v>
      </c>
      <c r="Y88" s="118">
        <v>13250</v>
      </c>
      <c r="Z88" s="119" t="str">
        <f t="shared" si="24"/>
        <v>OK</v>
      </c>
      <c r="AA88" s="120"/>
      <c r="AB88" s="119"/>
      <c r="AC88" s="118" t="str">
        <f>IF($W88&lt;&gt;"도비",IF($U88="국도비","직접입력",SUM($M88:$N88)),)</f>
        <v>직접입력</v>
      </c>
      <c r="AD88" s="118" t="str">
        <f>IF($W88="도비",SUM(M88:N88),IF($U88="국도비","직접입력",SUM(M88:N88)-AC88))</f>
        <v>직접입력</v>
      </c>
      <c r="AE88" s="119" t="str">
        <f>IF(SUM(M88:N88)=SUM(AC88:AD88),"OK","검토")</f>
        <v>OK</v>
      </c>
      <c r="AF88" s="120"/>
      <c r="AG88" s="119" t="s">
        <v>791</v>
      </c>
      <c r="AH88" s="120"/>
      <c r="AI88" s="121">
        <f t="shared" si="22"/>
        <v>3</v>
      </c>
      <c r="AJ88" s="122" t="str">
        <f t="shared" si="20"/>
        <v>OK</v>
      </c>
      <c r="AK88" s="120"/>
      <c r="AL88" s="119" t="str">
        <f t="array" ref="AL88">IF(C88="","",INDEX(구분표!$I$2:$I$313, MATCH(1,(구분표!$E$2:$E$313='17년일출'!B88)*(구분표!$F$2:$F$313='17년일출'!C88)*(구분표!$G$2:$G$313='17년일출'!A88),0)))</f>
        <v>0233</v>
      </c>
      <c r="AM88" s="120"/>
      <c r="AN88" s="61"/>
    </row>
    <row r="89" spans="1:40" s="63" customFormat="1" ht="55.5" customHeight="1">
      <c r="A89" s="145" t="str">
        <f>IFERROR(VLOOKUP($C89,[4]구분표!$A$2:$C$313,2,FALSE),"")</f>
        <v>농정해양위원회</v>
      </c>
      <c r="B89" s="144" t="str">
        <f>IFERROR(VLOOKUP($C89,[4]구분표!$A$2:$C$313,3,FALSE),"")</f>
        <v>축산산림국</v>
      </c>
      <c r="C89" s="64" t="s">
        <v>783</v>
      </c>
      <c r="D89" s="112" t="s">
        <v>788</v>
      </c>
      <c r="E89" s="147" t="s">
        <v>983</v>
      </c>
      <c r="F89" s="184">
        <v>777</v>
      </c>
      <c r="G89" s="186">
        <v>640</v>
      </c>
      <c r="H89" s="181" t="s">
        <v>821</v>
      </c>
      <c r="I89" s="168">
        <v>4300</v>
      </c>
      <c r="J89" s="163">
        <v>-300</v>
      </c>
      <c r="K89" s="59"/>
      <c r="L89" s="170">
        <f t="shared" si="23"/>
        <v>4000</v>
      </c>
      <c r="M89" s="58"/>
      <c r="N89" s="59"/>
      <c r="O89" s="60">
        <f t="shared" si="28"/>
        <v>4300</v>
      </c>
      <c r="P89" s="61" t="str">
        <f t="shared" si="29"/>
        <v>O</v>
      </c>
      <c r="Q89" s="161" t="s">
        <v>790</v>
      </c>
      <c r="R89" s="161"/>
      <c r="S89" s="62"/>
      <c r="U89" s="164" t="s">
        <v>751</v>
      </c>
      <c r="V89" s="165"/>
      <c r="W89" s="164" t="s">
        <v>752</v>
      </c>
      <c r="X89" s="163">
        <v>-150</v>
      </c>
      <c r="Y89" s="163">
        <v>-150</v>
      </c>
      <c r="Z89" s="164" t="str">
        <f t="shared" si="24"/>
        <v>OK</v>
      </c>
      <c r="AA89" s="165"/>
      <c r="AB89" s="164"/>
      <c r="AC89" s="163" t="str">
        <f>IF($W89&lt;&gt;"도비",IF($U89="국도비","직접입력",SUM($M89:$N89)),)</f>
        <v>직접입력</v>
      </c>
      <c r="AD89" s="163" t="str">
        <f>IF($W89="도비",SUM(M89:N89),IF($U89="국도비","직접입력",SUM(M89:N89)-AC89))</f>
        <v>직접입력</v>
      </c>
      <c r="AE89" s="164" t="str">
        <f>IF(SUM(M89:N89)=SUM(AC89:AD89),"OK","검토")</f>
        <v>OK</v>
      </c>
      <c r="AF89" s="165"/>
      <c r="AG89" s="164" t="s">
        <v>791</v>
      </c>
      <c r="AH89" s="165"/>
      <c r="AI89" s="166">
        <f t="shared" si="22"/>
        <v>3</v>
      </c>
      <c r="AJ89" s="167" t="str">
        <f t="shared" si="20"/>
        <v>OK</v>
      </c>
      <c r="AK89" s="165"/>
      <c r="AL89" s="164" t="str">
        <f t="array" ref="AL89">IF(C89="","",INDEX(구분표!$I$2:$I$313, MATCH(1,(구분표!$E$2:$E$313='17년일출'!B89)*(구분표!$F$2:$F$313='17년일출'!C89)*(구분표!$G$2:$G$313='17년일출'!A89),0)))</f>
        <v>0233</v>
      </c>
      <c r="AM89" s="165"/>
      <c r="AN89" s="61"/>
    </row>
    <row r="90" spans="1:40" s="63" customFormat="1" ht="50.1" customHeight="1">
      <c r="A90" s="145" t="str">
        <f>IFERROR(VLOOKUP($C90,[4]구분표!$A$2:$C$313,2,FALSE),"")</f>
        <v>농정해양위원회</v>
      </c>
      <c r="B90" s="144" t="str">
        <f>IFERROR(VLOOKUP($C90,[4]구분표!$A$2:$C$313,3,FALSE),"")</f>
        <v>축산산림국</v>
      </c>
      <c r="C90" s="64" t="s">
        <v>783</v>
      </c>
      <c r="D90" s="112" t="s">
        <v>748</v>
      </c>
      <c r="E90" s="147" t="s">
        <v>983</v>
      </c>
      <c r="F90" s="184">
        <v>777</v>
      </c>
      <c r="G90" s="186">
        <v>640</v>
      </c>
      <c r="H90" s="181" t="s">
        <v>822</v>
      </c>
      <c r="I90" s="57">
        <v>25978</v>
      </c>
      <c r="J90" s="58">
        <v>-25978</v>
      </c>
      <c r="K90" s="59"/>
      <c r="L90" s="170">
        <f t="shared" si="23"/>
        <v>0</v>
      </c>
      <c r="M90" s="58"/>
      <c r="N90" s="59"/>
      <c r="O90" s="60">
        <f t="shared" si="28"/>
        <v>25978</v>
      </c>
      <c r="P90" s="61" t="str">
        <f t="shared" si="29"/>
        <v>O</v>
      </c>
      <c r="Q90" s="161" t="s">
        <v>790</v>
      </c>
      <c r="R90" s="161"/>
      <c r="S90" s="62"/>
      <c r="U90" s="164" t="s">
        <v>751</v>
      </c>
      <c r="V90" s="165"/>
      <c r="W90" s="164" t="s">
        <v>752</v>
      </c>
      <c r="X90" s="163">
        <v>-12989</v>
      </c>
      <c r="Y90" s="163">
        <v>-12989</v>
      </c>
      <c r="Z90" s="164" t="str">
        <f t="shared" si="24"/>
        <v>OK</v>
      </c>
      <c r="AA90" s="165"/>
      <c r="AB90" s="164"/>
      <c r="AC90" s="163" t="str">
        <f>IF($W90&lt;&gt;"도비",IF($U90="국도비","직접입력",SUM($M90:$N90)),)</f>
        <v>직접입력</v>
      </c>
      <c r="AD90" s="163" t="str">
        <f>IF($W90="도비",SUM(M90:N90),IF($U90="국도비","직접입력",SUM(M90:N90)-AC90))</f>
        <v>직접입력</v>
      </c>
      <c r="AE90" s="164" t="str">
        <f>IF(SUM(M90:N90)=SUM(AC90:AD90),"OK","검토")</f>
        <v>OK</v>
      </c>
      <c r="AF90" s="165"/>
      <c r="AG90" s="164" t="s">
        <v>820</v>
      </c>
      <c r="AH90" s="165"/>
      <c r="AI90" s="166">
        <f t="shared" si="22"/>
        <v>3</v>
      </c>
      <c r="AJ90" s="167" t="str">
        <f t="shared" si="20"/>
        <v>OK</v>
      </c>
      <c r="AK90" s="165"/>
      <c r="AL90" s="164" t="str">
        <f t="array" ref="AL90">IF(C90="","",INDEX(구분표!$I$2:$I$313, MATCH(1,(구분표!$E$2:$E$313='17년일출'!B90)*(구분표!$F$2:$F$313='17년일출'!C90)*(구분표!$G$2:$G$313='17년일출'!A90),0)))</f>
        <v>0233</v>
      </c>
      <c r="AM90" s="165"/>
      <c r="AN90" s="61"/>
    </row>
    <row r="91" spans="1:40" s="63" customFormat="1" ht="50.1" customHeight="1">
      <c r="A91" s="145" t="str">
        <f>IFERROR(VLOOKUP($C91,[4]구분표!$A$2:$C$313,2,FALSE),"")</f>
        <v>농정해양위원회</v>
      </c>
      <c r="B91" s="144" t="str">
        <f>IFERROR(VLOOKUP($C91,[4]구분표!$A$2:$C$313,3,FALSE),"")</f>
        <v>농업기술원</v>
      </c>
      <c r="C91" s="64" t="s">
        <v>828</v>
      </c>
      <c r="D91" s="112" t="s">
        <v>749</v>
      </c>
      <c r="E91" s="147" t="s">
        <v>983</v>
      </c>
      <c r="F91" s="184"/>
      <c r="G91" s="186"/>
      <c r="H91" s="181" t="s">
        <v>1043</v>
      </c>
      <c r="I91" s="148"/>
      <c r="J91" s="149"/>
      <c r="K91" s="59">
        <v>20000</v>
      </c>
      <c r="L91" s="170">
        <f t="shared" si="23"/>
        <v>20000</v>
      </c>
      <c r="M91" s="58"/>
      <c r="N91" s="59"/>
      <c r="O91" s="60">
        <f t="shared" si="28"/>
        <v>0</v>
      </c>
      <c r="P91" s="61" t="str">
        <f t="shared" si="29"/>
        <v>X</v>
      </c>
      <c r="Q91" s="161" t="s">
        <v>824</v>
      </c>
      <c r="R91" s="161"/>
      <c r="S91" s="62"/>
      <c r="U91" s="119" t="s">
        <v>751</v>
      </c>
      <c r="V91" s="120"/>
      <c r="W91" s="119" t="s">
        <v>775</v>
      </c>
      <c r="X91" s="118">
        <v>10000</v>
      </c>
      <c r="Y91" s="118">
        <v>10000</v>
      </c>
      <c r="Z91" s="119" t="str">
        <f t="shared" si="24"/>
        <v>OK</v>
      </c>
      <c r="AA91" s="120"/>
      <c r="AB91" s="119"/>
      <c r="AC91" s="118" t="str">
        <f>IF($W91&lt;&gt;"도비",IF($U91="국도비","직접입력",SUM($M91:$N91)),)</f>
        <v>직접입력</v>
      </c>
      <c r="AD91" s="118" t="str">
        <f>IF($W91="도비",SUM(M91:N91),IF($U91="국도비","직접입력",SUM(M91:N91)-AC91))</f>
        <v>직접입력</v>
      </c>
      <c r="AE91" s="119" t="str">
        <f>IF(SUM(M91:N91)=SUM(AC91:AD91),"OK","검토")</f>
        <v>OK</v>
      </c>
      <c r="AF91" s="120"/>
      <c r="AG91" s="119" t="s">
        <v>838</v>
      </c>
      <c r="AH91" s="120"/>
      <c r="AI91" s="121">
        <f t="shared" ref="AI91:AI102" si="30">IF(AG91="","",COUNTIF($AG$6:$AG$127,AG91))</f>
        <v>8</v>
      </c>
      <c r="AJ91" s="122" t="str">
        <f t="shared" si="20"/>
        <v>OK</v>
      </c>
      <c r="AK91" s="120"/>
      <c r="AL91" s="119" t="str">
        <f t="array" ref="AL91">IF(C91="","",INDEX(구분표!$I$2:$I$313, MATCH(1,(구분표!$E$2:$E$313='17년일출'!B91)*(구분표!$F$2:$F$313='17년일출'!C91)*(구분표!$G$2:$G$313='17년일출'!A91),0)))</f>
        <v>0235</v>
      </c>
      <c r="AM91" s="120"/>
      <c r="AN91" s="61"/>
    </row>
    <row r="92" spans="1:40" s="63" customFormat="1" ht="50.1" customHeight="1">
      <c r="A92" s="145" t="str">
        <f>IFERROR(VLOOKUP($C92,[4]구분표!$A$2:$C$313,2,FALSE),"")</f>
        <v>농정해양위원회</v>
      </c>
      <c r="B92" s="144" t="str">
        <f>IFERROR(VLOOKUP($C92,[4]구분표!$A$2:$C$313,3,FALSE),"")</f>
        <v>농업기술원</v>
      </c>
      <c r="C92" s="64" t="s">
        <v>828</v>
      </c>
      <c r="D92" s="112" t="s">
        <v>749</v>
      </c>
      <c r="E92" s="147" t="s">
        <v>983</v>
      </c>
      <c r="F92" s="184"/>
      <c r="G92" s="186"/>
      <c r="H92" s="181" t="s">
        <v>1044</v>
      </c>
      <c r="I92" s="148"/>
      <c r="J92" s="149"/>
      <c r="K92" s="59">
        <v>10000</v>
      </c>
      <c r="L92" s="170">
        <f t="shared" si="23"/>
        <v>10000</v>
      </c>
      <c r="M92" s="58"/>
      <c r="N92" s="59"/>
      <c r="O92" s="60"/>
      <c r="P92" s="61"/>
      <c r="Q92" s="161" t="s">
        <v>824</v>
      </c>
      <c r="R92" s="161"/>
      <c r="S92" s="62"/>
      <c r="U92" s="119" t="s">
        <v>751</v>
      </c>
      <c r="V92" s="120"/>
      <c r="W92" s="119" t="s">
        <v>775</v>
      </c>
      <c r="X92" s="118">
        <v>5000</v>
      </c>
      <c r="Y92" s="118">
        <v>5000</v>
      </c>
      <c r="Z92" s="119" t="str">
        <f t="shared" si="24"/>
        <v>OK</v>
      </c>
      <c r="AA92" s="120"/>
      <c r="AB92" s="119"/>
      <c r="AC92" s="118"/>
      <c r="AD92" s="118"/>
      <c r="AE92" s="119"/>
      <c r="AF92" s="120"/>
      <c r="AG92" s="119" t="s">
        <v>838</v>
      </c>
      <c r="AH92" s="120"/>
      <c r="AI92" s="121">
        <f t="shared" si="30"/>
        <v>8</v>
      </c>
      <c r="AJ92" s="122" t="str">
        <f t="shared" si="20"/>
        <v>OK</v>
      </c>
      <c r="AK92" s="120"/>
      <c r="AL92" s="119" t="str">
        <f t="array" ref="AL92">IF(C92="","",INDEX(구분표!$I$2:$I$313, MATCH(1,(구분표!$E$2:$E$313='17년일출'!B92)*(구분표!$F$2:$F$313='17년일출'!C92)*(구분표!$G$2:$G$313='17년일출'!A92),0)))</f>
        <v>0235</v>
      </c>
      <c r="AM92" s="120"/>
      <c r="AN92" s="61"/>
    </row>
    <row r="93" spans="1:40" s="63" customFormat="1" ht="50.1" customHeight="1">
      <c r="A93" s="145" t="str">
        <f>IFERROR(VLOOKUP($C93,[4]구분표!$A$2:$C$313,2,FALSE),"")</f>
        <v>농정해양위원회</v>
      </c>
      <c r="B93" s="144" t="str">
        <f>IFERROR(VLOOKUP($C93,[4]구분표!$A$2:$C$313,3,FALSE),"")</f>
        <v>농업기술원</v>
      </c>
      <c r="C93" s="64" t="s">
        <v>829</v>
      </c>
      <c r="D93" s="112" t="s">
        <v>749</v>
      </c>
      <c r="E93" s="147" t="s">
        <v>983</v>
      </c>
      <c r="F93" s="184"/>
      <c r="G93" s="186"/>
      <c r="H93" s="181" t="s">
        <v>1045</v>
      </c>
      <c r="I93" s="57"/>
      <c r="J93" s="58"/>
      <c r="K93" s="59">
        <v>40000</v>
      </c>
      <c r="L93" s="170">
        <f t="shared" si="23"/>
        <v>40000</v>
      </c>
      <c r="M93" s="58"/>
      <c r="N93" s="59"/>
      <c r="O93" s="60"/>
      <c r="P93" s="61"/>
      <c r="Q93" s="161" t="s">
        <v>824</v>
      </c>
      <c r="R93" s="161"/>
      <c r="S93" s="62"/>
      <c r="U93" s="119" t="s">
        <v>751</v>
      </c>
      <c r="V93" s="120"/>
      <c r="W93" s="119" t="s">
        <v>775</v>
      </c>
      <c r="X93" s="118">
        <v>20000</v>
      </c>
      <c r="Y93" s="118">
        <v>20000</v>
      </c>
      <c r="Z93" s="119" t="str">
        <f t="shared" si="24"/>
        <v>OK</v>
      </c>
      <c r="AA93" s="120"/>
      <c r="AB93" s="119"/>
      <c r="AC93" s="118"/>
      <c r="AD93" s="118"/>
      <c r="AE93" s="119"/>
      <c r="AF93" s="120"/>
      <c r="AG93" s="119" t="s">
        <v>838</v>
      </c>
      <c r="AH93" s="120"/>
      <c r="AI93" s="121">
        <f t="shared" si="30"/>
        <v>8</v>
      </c>
      <c r="AJ93" s="122" t="str">
        <f t="shared" si="20"/>
        <v>OK</v>
      </c>
      <c r="AK93" s="120"/>
      <c r="AL93" s="119" t="str">
        <f t="array" ref="AL93">IF(C93="","",INDEX(구분표!$I$2:$I$313, MATCH(1,(구분표!$E$2:$E$313='17년일출'!B93)*(구분표!$F$2:$F$313='17년일출'!C93)*(구분표!$G$2:$G$313='17년일출'!A93),0)))</f>
        <v>0235</v>
      </c>
      <c r="AM93" s="120"/>
      <c r="AN93" s="61"/>
    </row>
    <row r="94" spans="1:40" s="63" customFormat="1" ht="50.1" customHeight="1">
      <c r="A94" s="145" t="str">
        <f>IFERROR(VLOOKUP($C94,[4]구분표!$A$2:$C$313,2,FALSE),"")</f>
        <v>농정해양위원회</v>
      </c>
      <c r="B94" s="144" t="str">
        <f>IFERROR(VLOOKUP($C94,[4]구분표!$A$2:$C$313,3,FALSE),"")</f>
        <v>농업기술원</v>
      </c>
      <c r="C94" s="64" t="s">
        <v>828</v>
      </c>
      <c r="D94" s="112" t="s">
        <v>749</v>
      </c>
      <c r="E94" s="147" t="s">
        <v>983</v>
      </c>
      <c r="F94" s="184"/>
      <c r="G94" s="186"/>
      <c r="H94" s="181" t="s">
        <v>1046</v>
      </c>
      <c r="I94" s="148"/>
      <c r="J94" s="149"/>
      <c r="K94" s="59">
        <v>10000</v>
      </c>
      <c r="L94" s="170">
        <f t="shared" si="23"/>
        <v>10000</v>
      </c>
      <c r="M94" s="58"/>
      <c r="N94" s="59"/>
      <c r="O94" s="60"/>
      <c r="P94" s="61"/>
      <c r="Q94" s="161" t="s">
        <v>823</v>
      </c>
      <c r="R94" s="161"/>
      <c r="S94" s="62"/>
      <c r="U94" s="119" t="s">
        <v>751</v>
      </c>
      <c r="V94" s="120"/>
      <c r="W94" s="119" t="s">
        <v>775</v>
      </c>
      <c r="X94" s="118">
        <v>5000</v>
      </c>
      <c r="Y94" s="118">
        <v>5000</v>
      </c>
      <c r="Z94" s="119" t="str">
        <f t="shared" si="24"/>
        <v>OK</v>
      </c>
      <c r="AA94" s="120"/>
      <c r="AB94" s="119"/>
      <c r="AC94" s="118"/>
      <c r="AD94" s="118"/>
      <c r="AE94" s="119"/>
      <c r="AF94" s="120"/>
      <c r="AG94" s="119" t="s">
        <v>838</v>
      </c>
      <c r="AH94" s="120"/>
      <c r="AI94" s="121">
        <f t="shared" si="30"/>
        <v>8</v>
      </c>
      <c r="AJ94" s="122" t="str">
        <f t="shared" si="20"/>
        <v>OK</v>
      </c>
      <c r="AK94" s="120"/>
      <c r="AL94" s="119" t="str">
        <f t="array" ref="AL94">IF(C94="","",INDEX(구분표!$I$2:$I$313, MATCH(1,(구분표!$E$2:$E$313='17년일출'!B94)*(구분표!$F$2:$F$313='17년일출'!C94)*(구분표!$G$2:$G$313='17년일출'!A94),0)))</f>
        <v>0235</v>
      </c>
      <c r="AM94" s="120"/>
      <c r="AN94" s="61"/>
    </row>
    <row r="95" spans="1:40" s="63" customFormat="1" ht="50.1" customHeight="1">
      <c r="A95" s="145" t="str">
        <f>IFERROR(VLOOKUP($C95,[4]구분표!$A$2:$C$313,2,FALSE),"")</f>
        <v>농정해양위원회</v>
      </c>
      <c r="B95" s="144" t="str">
        <f>IFERROR(VLOOKUP($C95,[4]구분표!$A$2:$C$313,3,FALSE),"")</f>
        <v>농업기술원</v>
      </c>
      <c r="C95" s="64" t="s">
        <v>828</v>
      </c>
      <c r="D95" s="112" t="s">
        <v>749</v>
      </c>
      <c r="E95" s="147" t="s">
        <v>983</v>
      </c>
      <c r="F95" s="184"/>
      <c r="G95" s="186"/>
      <c r="H95" s="181" t="s">
        <v>1047</v>
      </c>
      <c r="I95" s="57"/>
      <c r="J95" s="58"/>
      <c r="K95" s="59">
        <v>18000</v>
      </c>
      <c r="L95" s="170">
        <f t="shared" si="23"/>
        <v>18000</v>
      </c>
      <c r="M95" s="58"/>
      <c r="N95" s="59"/>
      <c r="O95" s="60"/>
      <c r="P95" s="61"/>
      <c r="Q95" s="161" t="s">
        <v>824</v>
      </c>
      <c r="R95" s="161"/>
      <c r="S95" s="62"/>
      <c r="U95" s="119" t="s">
        <v>751</v>
      </c>
      <c r="V95" s="120"/>
      <c r="W95" s="119" t="s">
        <v>775</v>
      </c>
      <c r="X95" s="118">
        <v>9000</v>
      </c>
      <c r="Y95" s="118">
        <v>9000</v>
      </c>
      <c r="Z95" s="119" t="str">
        <f t="shared" si="24"/>
        <v>OK</v>
      </c>
      <c r="AA95" s="120"/>
      <c r="AB95" s="119"/>
      <c r="AC95" s="118"/>
      <c r="AD95" s="118"/>
      <c r="AE95" s="119"/>
      <c r="AF95" s="120"/>
      <c r="AG95" s="119" t="s">
        <v>838</v>
      </c>
      <c r="AH95" s="120"/>
      <c r="AI95" s="121">
        <f t="shared" si="30"/>
        <v>8</v>
      </c>
      <c r="AJ95" s="122" t="str">
        <f t="shared" si="20"/>
        <v>OK</v>
      </c>
      <c r="AK95" s="120"/>
      <c r="AL95" s="119" t="str">
        <f t="array" ref="AL95">IF(C95="","",INDEX(구분표!$I$2:$I$313, MATCH(1,(구분표!$E$2:$E$313='17년일출'!B95)*(구분표!$F$2:$F$313='17년일출'!C95)*(구분표!$G$2:$G$313='17년일출'!A95),0)))</f>
        <v>0235</v>
      </c>
      <c r="AM95" s="120"/>
      <c r="AN95" s="61"/>
    </row>
    <row r="96" spans="1:40" s="63" customFormat="1" ht="50.1" customHeight="1">
      <c r="A96" s="145" t="str">
        <f>IFERROR(VLOOKUP($C96,[4]구분표!$A$2:$C$313,2,FALSE),"")</f>
        <v>농정해양위원회</v>
      </c>
      <c r="B96" s="144" t="str">
        <f>IFERROR(VLOOKUP($C96,[4]구분표!$A$2:$C$313,3,FALSE),"")</f>
        <v>농업기술원</v>
      </c>
      <c r="C96" s="64" t="s">
        <v>828</v>
      </c>
      <c r="D96" s="112" t="s">
        <v>749</v>
      </c>
      <c r="E96" s="147" t="s">
        <v>983</v>
      </c>
      <c r="F96" s="184"/>
      <c r="G96" s="186"/>
      <c r="H96" s="181" t="s">
        <v>1048</v>
      </c>
      <c r="I96" s="57"/>
      <c r="J96" s="58"/>
      <c r="K96" s="59">
        <v>10000</v>
      </c>
      <c r="L96" s="170">
        <f t="shared" si="23"/>
        <v>10000</v>
      </c>
      <c r="M96" s="58"/>
      <c r="N96" s="59"/>
      <c r="O96" s="60"/>
      <c r="P96" s="61"/>
      <c r="Q96" s="161" t="s">
        <v>823</v>
      </c>
      <c r="R96" s="161"/>
      <c r="S96" s="62"/>
      <c r="U96" s="119" t="s">
        <v>751</v>
      </c>
      <c r="V96" s="120"/>
      <c r="W96" s="119" t="s">
        <v>775</v>
      </c>
      <c r="X96" s="118">
        <v>5000</v>
      </c>
      <c r="Y96" s="118">
        <v>5000</v>
      </c>
      <c r="Z96" s="119" t="str">
        <f t="shared" si="24"/>
        <v>OK</v>
      </c>
      <c r="AA96" s="120"/>
      <c r="AB96" s="119"/>
      <c r="AC96" s="118"/>
      <c r="AD96" s="118"/>
      <c r="AE96" s="119"/>
      <c r="AF96" s="120"/>
      <c r="AG96" s="164" t="s">
        <v>838</v>
      </c>
      <c r="AH96" s="120"/>
      <c r="AI96" s="121">
        <f t="shared" si="30"/>
        <v>8</v>
      </c>
      <c r="AJ96" s="122" t="str">
        <f t="shared" si="20"/>
        <v>OK</v>
      </c>
      <c r="AK96" s="120"/>
      <c r="AL96" s="119" t="str">
        <f t="array" ref="AL96">IF(C96="","",INDEX(구분표!$I$2:$I$313, MATCH(1,(구분표!$E$2:$E$313='17년일출'!B96)*(구분표!$F$2:$F$313='17년일출'!C96)*(구분표!$G$2:$G$313='17년일출'!A96),0)))</f>
        <v>0235</v>
      </c>
      <c r="AM96" s="120"/>
      <c r="AN96" s="61"/>
    </row>
    <row r="97" spans="1:40" s="63" customFormat="1" ht="50.1" customHeight="1">
      <c r="A97" s="145" t="str">
        <f>IFERROR(VLOOKUP($C97,[4]구분표!$A$2:$C$313,2,FALSE),"")</f>
        <v>농정해양위원회</v>
      </c>
      <c r="B97" s="144" t="str">
        <f>IFERROR(VLOOKUP($C97,[4]구분표!$A$2:$C$313,3,FALSE),"")</f>
        <v>농업기술원</v>
      </c>
      <c r="C97" s="64" t="s">
        <v>828</v>
      </c>
      <c r="D97" s="112" t="s">
        <v>749</v>
      </c>
      <c r="E97" s="147" t="s">
        <v>983</v>
      </c>
      <c r="F97" s="184"/>
      <c r="G97" s="186"/>
      <c r="H97" s="181" t="s">
        <v>1049</v>
      </c>
      <c r="I97" s="57"/>
      <c r="J97" s="58"/>
      <c r="K97" s="59">
        <v>40000</v>
      </c>
      <c r="L97" s="170">
        <f t="shared" si="23"/>
        <v>40000</v>
      </c>
      <c r="M97" s="58"/>
      <c r="N97" s="59"/>
      <c r="O97" s="60"/>
      <c r="P97" s="61"/>
      <c r="Q97" s="161" t="s">
        <v>824</v>
      </c>
      <c r="R97" s="161"/>
      <c r="S97" s="62"/>
      <c r="U97" s="153" t="s">
        <v>751</v>
      </c>
      <c r="V97" s="156"/>
      <c r="W97" s="153" t="s">
        <v>775</v>
      </c>
      <c r="X97" s="149">
        <v>20000</v>
      </c>
      <c r="Y97" s="149">
        <v>20000</v>
      </c>
      <c r="Z97" s="153" t="str">
        <f t="shared" si="24"/>
        <v>OK</v>
      </c>
      <c r="AA97" s="156"/>
      <c r="AB97" s="153"/>
      <c r="AC97" s="149"/>
      <c r="AD97" s="149"/>
      <c r="AE97" s="153"/>
      <c r="AF97" s="156"/>
      <c r="AG97" s="164" t="s">
        <v>838</v>
      </c>
      <c r="AH97" s="156"/>
      <c r="AI97" s="157">
        <f t="shared" si="30"/>
        <v>8</v>
      </c>
      <c r="AJ97" s="154" t="str">
        <f t="shared" si="20"/>
        <v>OK</v>
      </c>
      <c r="AK97" s="156"/>
      <c r="AL97" s="153" t="str">
        <f t="array" ref="AL97">IF(C97="","",INDEX(구분표!$I$2:$I$313, MATCH(1,(구분표!$E$2:$E$313='17년일출'!B97)*(구분표!$F$2:$F$313='17년일출'!C97)*(구분표!$G$2:$G$313='17년일출'!A97),0)))</f>
        <v>0235</v>
      </c>
      <c r="AM97" s="156"/>
      <c r="AN97" s="61"/>
    </row>
    <row r="98" spans="1:40" s="63" customFormat="1" ht="50.1" customHeight="1">
      <c r="A98" s="145" t="str">
        <f>IFERROR(VLOOKUP($C98,[4]구분표!$A$2:$C$313,2,FALSE),"")</f>
        <v>농정해양위원회</v>
      </c>
      <c r="B98" s="144" t="str">
        <f>IFERROR(VLOOKUP($C98,[4]구분표!$A$2:$C$313,3,FALSE),"")</f>
        <v>농업기술원</v>
      </c>
      <c r="C98" s="64" t="s">
        <v>828</v>
      </c>
      <c r="D98" s="112" t="s">
        <v>749</v>
      </c>
      <c r="E98" s="147" t="s">
        <v>983</v>
      </c>
      <c r="F98" s="184"/>
      <c r="G98" s="186"/>
      <c r="H98" s="181" t="s">
        <v>1050</v>
      </c>
      <c r="I98" s="57"/>
      <c r="J98" s="58"/>
      <c r="K98" s="59">
        <v>2000</v>
      </c>
      <c r="L98" s="170">
        <f t="shared" si="23"/>
        <v>2000</v>
      </c>
      <c r="M98" s="58"/>
      <c r="N98" s="59"/>
      <c r="O98" s="60"/>
      <c r="P98" s="61"/>
      <c r="Q98" s="161" t="s">
        <v>824</v>
      </c>
      <c r="R98" s="161"/>
      <c r="S98" s="62"/>
      <c r="U98" s="153" t="s">
        <v>751</v>
      </c>
      <c r="V98" s="156"/>
      <c r="W98" s="153" t="s">
        <v>775</v>
      </c>
      <c r="X98" s="149">
        <v>1000</v>
      </c>
      <c r="Y98" s="149">
        <v>1000</v>
      </c>
      <c r="Z98" s="153" t="str">
        <f t="shared" si="24"/>
        <v>OK</v>
      </c>
      <c r="AA98" s="156"/>
      <c r="AB98" s="153"/>
      <c r="AC98" s="149"/>
      <c r="AD98" s="149"/>
      <c r="AE98" s="153"/>
      <c r="AF98" s="156"/>
      <c r="AG98" s="164" t="s">
        <v>1129</v>
      </c>
      <c r="AH98" s="156"/>
      <c r="AI98" s="157">
        <f t="shared" si="30"/>
        <v>8</v>
      </c>
      <c r="AJ98" s="154" t="str">
        <f t="shared" si="20"/>
        <v>OK</v>
      </c>
      <c r="AK98" s="156"/>
      <c r="AL98" s="153" t="str">
        <f t="array" ref="AL98">IF(C98="","",INDEX(구분표!$I$2:$I$313, MATCH(1,(구분표!$E$2:$E$313='17년일출'!B98)*(구분표!$F$2:$F$313='17년일출'!C98)*(구분표!$G$2:$G$313='17년일출'!A98),0)))</f>
        <v>0235</v>
      </c>
      <c r="AM98" s="156"/>
      <c r="AN98" s="61"/>
    </row>
    <row r="99" spans="1:40" s="63" customFormat="1" ht="50.1" customHeight="1">
      <c r="A99" s="20" t="str">
        <f>IFERROR(VLOOKUP($C99,[4]구분표!$A$2:$C$313,2,FALSE),"")</f>
        <v>농정해양위원회</v>
      </c>
      <c r="B99" s="17" t="str">
        <f>IFERROR(VLOOKUP($C99,[4]구분표!$A$2:$C$313,3,FALSE),"")</f>
        <v>농업기술원</v>
      </c>
      <c r="C99" s="64" t="s">
        <v>829</v>
      </c>
      <c r="D99" s="112" t="s">
        <v>748</v>
      </c>
      <c r="E99" s="117" t="s">
        <v>983</v>
      </c>
      <c r="F99" s="184">
        <v>792</v>
      </c>
      <c r="G99" s="186">
        <v>51</v>
      </c>
      <c r="H99" s="181" t="s">
        <v>1051</v>
      </c>
      <c r="I99" s="57">
        <v>22200</v>
      </c>
      <c r="J99" s="58">
        <v>-5000</v>
      </c>
      <c r="K99" s="59"/>
      <c r="L99" s="170">
        <f t="shared" si="23"/>
        <v>17200</v>
      </c>
      <c r="M99" s="58"/>
      <c r="N99" s="59"/>
      <c r="O99" s="60">
        <f>I99+M99+N99</f>
        <v>22200</v>
      </c>
      <c r="P99" s="61" t="str">
        <f>IF(AND((L99=0),(O99&gt;0)),"O",IF(AND((J99&lt;0),(L99-O99&lt;0)),"O","X"))</f>
        <v>O</v>
      </c>
      <c r="Q99" s="161" t="s">
        <v>825</v>
      </c>
      <c r="R99" s="161"/>
      <c r="S99" s="62"/>
      <c r="U99" s="153" t="s">
        <v>751</v>
      </c>
      <c r="V99" s="156"/>
      <c r="W99" s="153" t="s">
        <v>775</v>
      </c>
      <c r="X99" s="149">
        <v>-5000</v>
      </c>
      <c r="Y99" s="149">
        <v>0</v>
      </c>
      <c r="Z99" s="153" t="str">
        <f t="shared" si="24"/>
        <v>OK</v>
      </c>
      <c r="AA99" s="156"/>
      <c r="AB99" s="153"/>
      <c r="AC99" s="149" t="str">
        <f>IF($W99&lt;&gt;"도비",IF($U99="국도비","직접입력",SUM($M99:$N99)),)</f>
        <v>직접입력</v>
      </c>
      <c r="AD99" s="149" t="str">
        <f>IF($W99="도비",SUM(M99:N99),IF($U99="국도비","직접입력",SUM(M99:N99)-AC99))</f>
        <v>직접입력</v>
      </c>
      <c r="AE99" s="153" t="str">
        <f>IF(SUM(M99:N99)=SUM(AC99:AD99),"OK","검토")</f>
        <v>OK</v>
      </c>
      <c r="AF99" s="156"/>
      <c r="AG99" s="164" t="s">
        <v>1130</v>
      </c>
      <c r="AH99" s="156"/>
      <c r="AI99" s="157">
        <f t="shared" si="30"/>
        <v>56</v>
      </c>
      <c r="AJ99" s="154" t="str">
        <f t="shared" si="20"/>
        <v>OK</v>
      </c>
      <c r="AK99" s="156"/>
      <c r="AL99" s="153" t="str">
        <f t="array" ref="AL99">IF(C99="","",INDEX(구분표!$I$2:$I$313, MATCH(1,(구분표!$E$2:$E$313='17년일출'!B99)*(구분표!$F$2:$F$313='17년일출'!C99)*(구분표!$G$2:$G$313='17년일출'!A99),0)))</f>
        <v>0235</v>
      </c>
      <c r="AM99" s="156"/>
      <c r="AN99" s="61"/>
    </row>
    <row r="100" spans="1:40" s="63" customFormat="1" ht="50.1" customHeight="1">
      <c r="A100" s="20" t="str">
        <f>IFERROR(VLOOKUP($C100,[4]구분표!$A$2:$C$313,2,FALSE),"")</f>
        <v>농정해양위원회</v>
      </c>
      <c r="B100" s="17" t="str">
        <f>IFERROR(VLOOKUP($C100,[4]구분표!$A$2:$C$313,3,FALSE),"")</f>
        <v>농업기술원</v>
      </c>
      <c r="C100" s="64" t="s">
        <v>828</v>
      </c>
      <c r="D100" s="112" t="s">
        <v>748</v>
      </c>
      <c r="E100" s="117" t="s">
        <v>983</v>
      </c>
      <c r="F100" s="184">
        <v>792</v>
      </c>
      <c r="G100" s="186">
        <v>51</v>
      </c>
      <c r="H100" s="181" t="s">
        <v>1052</v>
      </c>
      <c r="I100" s="57">
        <v>11500</v>
      </c>
      <c r="J100" s="58">
        <v>-500</v>
      </c>
      <c r="K100" s="59"/>
      <c r="L100" s="170">
        <f t="shared" si="23"/>
        <v>11000</v>
      </c>
      <c r="M100" s="58"/>
      <c r="N100" s="59"/>
      <c r="O100" s="60">
        <f>I100+M100+N100</f>
        <v>11500</v>
      </c>
      <c r="P100" s="61" t="str">
        <f>IF(AND((L100=0),(O100&gt;0)),"O",IF(AND((J100&lt;0),(L100-O100&lt;0)),"O","X"))</f>
        <v>O</v>
      </c>
      <c r="Q100" s="161" t="s">
        <v>825</v>
      </c>
      <c r="R100" s="161"/>
      <c r="S100" s="62"/>
      <c r="U100" s="153" t="s">
        <v>751</v>
      </c>
      <c r="V100" s="156"/>
      <c r="W100" s="153" t="s">
        <v>775</v>
      </c>
      <c r="X100" s="149">
        <v>-500</v>
      </c>
      <c r="Y100" s="149">
        <v>0</v>
      </c>
      <c r="Z100" s="153" t="str">
        <f t="shared" si="24"/>
        <v>OK</v>
      </c>
      <c r="AA100" s="156"/>
      <c r="AB100" s="153"/>
      <c r="AC100" s="149" t="str">
        <f>IF($W100&lt;&gt;"도비",IF($U100="국도비","직접입력",SUM($M100:$N100)),)</f>
        <v>직접입력</v>
      </c>
      <c r="AD100" s="149" t="str">
        <f>IF($W100="도비",SUM(M100:N100),IF($U100="국도비","직접입력",SUM(M100:N100)-AC100))</f>
        <v>직접입력</v>
      </c>
      <c r="AE100" s="153" t="str">
        <f>IF(SUM(M100:N100)=SUM(AC100:AD100),"OK","검토")</f>
        <v>OK</v>
      </c>
      <c r="AF100" s="156"/>
      <c r="AG100" s="164" t="s">
        <v>1130</v>
      </c>
      <c r="AH100" s="156"/>
      <c r="AI100" s="157">
        <f t="shared" si="30"/>
        <v>56</v>
      </c>
      <c r="AJ100" s="154" t="str">
        <f t="shared" si="20"/>
        <v>OK</v>
      </c>
      <c r="AK100" s="156"/>
      <c r="AL100" s="153" t="str">
        <f t="array" ref="AL100">IF(C100="","",INDEX(구분표!$I$2:$I$313, MATCH(1,(구분표!$E$2:$E$313='17년일출'!B100)*(구분표!$F$2:$F$313='17년일출'!C100)*(구분표!$G$2:$G$313='17년일출'!A100),0)))</f>
        <v>0235</v>
      </c>
      <c r="AM100" s="156"/>
      <c r="AN100" s="61"/>
    </row>
    <row r="101" spans="1:40" s="63" customFormat="1" ht="50.1" customHeight="1">
      <c r="A101" s="20" t="str">
        <f>IFERROR(VLOOKUP($C101,[4]구분표!$A$2:$C$313,2,FALSE),"")</f>
        <v>농정해양위원회</v>
      </c>
      <c r="B101" s="17" t="str">
        <f>IFERROR(VLOOKUP($C101,[4]구분표!$A$2:$C$313,3,FALSE),"")</f>
        <v>농업기술원</v>
      </c>
      <c r="C101" s="64" t="s">
        <v>830</v>
      </c>
      <c r="D101" s="112" t="s">
        <v>748</v>
      </c>
      <c r="E101" s="117" t="s">
        <v>983</v>
      </c>
      <c r="F101" s="184">
        <v>860</v>
      </c>
      <c r="G101" s="186">
        <v>610</v>
      </c>
      <c r="H101" s="181" t="s">
        <v>1053</v>
      </c>
      <c r="I101" s="57">
        <v>4000</v>
      </c>
      <c r="J101" s="58">
        <v>-4000</v>
      </c>
      <c r="K101" s="59"/>
      <c r="L101" s="170">
        <f t="shared" si="23"/>
        <v>0</v>
      </c>
      <c r="M101" s="58"/>
      <c r="N101" s="59"/>
      <c r="O101" s="60">
        <f>I101+M101+N101</f>
        <v>4000</v>
      </c>
      <c r="P101" s="61" t="str">
        <f>IF(AND((L101=0),(O101&gt;0)),"O",IF(AND((J101&lt;0),(L101-O101&lt;0)),"O","X"))</f>
        <v>O</v>
      </c>
      <c r="Q101" s="134" t="s">
        <v>831</v>
      </c>
      <c r="R101" s="134"/>
      <c r="S101" s="62"/>
      <c r="U101" s="153" t="s">
        <v>751</v>
      </c>
      <c r="V101" s="156"/>
      <c r="W101" s="153" t="s">
        <v>775</v>
      </c>
      <c r="X101" s="149">
        <v>-4000</v>
      </c>
      <c r="Y101" s="149">
        <v>0</v>
      </c>
      <c r="Z101" s="153" t="str">
        <f t="shared" si="24"/>
        <v>OK</v>
      </c>
      <c r="AA101" s="156"/>
      <c r="AB101" s="153"/>
      <c r="AC101" s="149" t="str">
        <f>IF($W101&lt;&gt;"도비",IF($U101="국도비","직접입력",SUM($M101:$N101)),)</f>
        <v>직접입력</v>
      </c>
      <c r="AD101" s="149" t="str">
        <f>IF($W101="도비",SUM(M101:N101),IF($U101="국도비","직접입력",SUM(M101:N101)-AC101))</f>
        <v>직접입력</v>
      </c>
      <c r="AE101" s="153" t="str">
        <f>IF(SUM(M101:N101)=SUM(AC101:AD101),"OK","검토")</f>
        <v>OK</v>
      </c>
      <c r="AF101" s="156"/>
      <c r="AG101" s="164" t="s">
        <v>1130</v>
      </c>
      <c r="AH101" s="156"/>
      <c r="AI101" s="157">
        <f t="shared" si="30"/>
        <v>56</v>
      </c>
      <c r="AJ101" s="154" t="str">
        <f t="shared" si="20"/>
        <v>OK</v>
      </c>
      <c r="AK101" s="156"/>
      <c r="AL101" s="153" t="str">
        <f t="array" ref="AL101">IF(C101="","",INDEX(구분표!$I$2:$I$313, MATCH(1,(구분표!$E$2:$E$313='17년일출'!B101)*(구분표!$F$2:$F$313='17년일출'!C101)*(구분표!$G$2:$G$313='17년일출'!A101),0)))</f>
        <v>0242</v>
      </c>
      <c r="AM101" s="156"/>
      <c r="AN101" s="61"/>
    </row>
    <row r="102" spans="1:40" s="63" customFormat="1" ht="50.1" customHeight="1">
      <c r="A102" s="20" t="str">
        <f>IFERROR(VLOOKUP($C102,[4]구분표!$A$2:$C$313,2,FALSE),"")</f>
        <v>농정해양위원회</v>
      </c>
      <c r="B102" s="17" t="str">
        <f>IFERROR(VLOOKUP($C102,[4]구분표!$A$2:$C$313,3,FALSE),"")</f>
        <v>농업기술원</v>
      </c>
      <c r="C102" s="64" t="s">
        <v>830</v>
      </c>
      <c r="D102" s="112" t="s">
        <v>748</v>
      </c>
      <c r="E102" s="117" t="s">
        <v>983</v>
      </c>
      <c r="F102" s="184">
        <v>860</v>
      </c>
      <c r="G102" s="186">
        <v>610</v>
      </c>
      <c r="H102" s="181" t="s">
        <v>1054</v>
      </c>
      <c r="I102" s="148"/>
      <c r="J102" s="149"/>
      <c r="K102" s="59">
        <v>4000</v>
      </c>
      <c r="L102" s="170">
        <f t="shared" si="23"/>
        <v>4000</v>
      </c>
      <c r="M102" s="58"/>
      <c r="N102" s="59"/>
      <c r="O102" s="60">
        <f>I102+M102+N102</f>
        <v>0</v>
      </c>
      <c r="P102" s="61" t="str">
        <f>IF(AND((L102=0),(O102&gt;0)),"O",IF(AND((J102&lt;0),(L102-O102&lt;0)),"O","X"))</f>
        <v>X</v>
      </c>
      <c r="Q102" s="134" t="s">
        <v>831</v>
      </c>
      <c r="R102" s="134"/>
      <c r="S102" s="62"/>
      <c r="U102" s="153" t="s">
        <v>751</v>
      </c>
      <c r="V102" s="156"/>
      <c r="W102" s="153" t="s">
        <v>775</v>
      </c>
      <c r="X102" s="149">
        <v>4000</v>
      </c>
      <c r="Y102" s="149">
        <v>0</v>
      </c>
      <c r="Z102" s="153" t="str">
        <f t="shared" si="24"/>
        <v>OK</v>
      </c>
      <c r="AA102" s="156"/>
      <c r="AB102" s="153"/>
      <c r="AC102" s="149" t="str">
        <f>IF($W102&lt;&gt;"도비",IF($U102="국도비","직접입력",SUM($M102:$N102)),)</f>
        <v>직접입력</v>
      </c>
      <c r="AD102" s="149" t="str">
        <f>IF($W102="도비",SUM(M102:N102),IF($U102="국도비","직접입력",SUM(M102:N102)-AC102))</f>
        <v>직접입력</v>
      </c>
      <c r="AE102" s="153" t="str">
        <f>IF(SUM(M102:N102)=SUM(AC102:AD102),"OK","검토")</f>
        <v>OK</v>
      </c>
      <c r="AF102" s="156"/>
      <c r="AG102" s="164" t="s">
        <v>1130</v>
      </c>
      <c r="AH102" s="156"/>
      <c r="AI102" s="157">
        <f t="shared" si="30"/>
        <v>56</v>
      </c>
      <c r="AJ102" s="154" t="str">
        <f t="shared" si="20"/>
        <v>OK</v>
      </c>
      <c r="AK102" s="156"/>
      <c r="AL102" s="153" t="str">
        <f t="array" ref="AL102">IF(C102="","",INDEX(구분표!$I$2:$I$313, MATCH(1,(구분표!$E$2:$E$313='17년일출'!B102)*(구분표!$F$2:$F$313='17년일출'!C102)*(구분표!$G$2:$G$313='17년일출'!A102),0)))</f>
        <v>0242</v>
      </c>
      <c r="AM102" s="156"/>
      <c r="AN102" s="61"/>
    </row>
    <row r="103" spans="1:40" s="63" customFormat="1" ht="50.1" customHeight="1">
      <c r="D103" s="123"/>
      <c r="E103" s="123"/>
      <c r="F103" s="171"/>
      <c r="G103" s="123"/>
      <c r="Q103" s="172"/>
      <c r="R103" s="129"/>
    </row>
    <row r="104" spans="1:40" s="63" customFormat="1" ht="50.1" customHeight="1">
      <c r="D104" s="123"/>
      <c r="E104" s="123"/>
      <c r="F104" s="171"/>
      <c r="G104" s="123"/>
      <c r="Q104" s="172"/>
      <c r="R104" s="129"/>
    </row>
    <row r="105" spans="1:40" s="63" customFormat="1" ht="50.1" customHeight="1">
      <c r="D105" s="123"/>
      <c r="E105" s="123"/>
      <c r="F105" s="171"/>
      <c r="G105" s="123"/>
      <c r="Q105" s="172"/>
      <c r="R105" s="129"/>
    </row>
    <row r="106" spans="1:40" s="63" customFormat="1" ht="50.1" customHeight="1">
      <c r="D106" s="123"/>
      <c r="E106" s="123"/>
      <c r="F106" s="171"/>
      <c r="G106" s="123"/>
      <c r="Q106" s="172"/>
      <c r="R106" s="129"/>
    </row>
    <row r="107" spans="1:40" s="63" customFormat="1" ht="50.1" customHeight="1">
      <c r="D107" s="123"/>
      <c r="E107" s="123"/>
      <c r="F107" s="171"/>
      <c r="G107" s="123"/>
      <c r="Q107" s="172"/>
      <c r="R107" s="129"/>
    </row>
    <row r="108" spans="1:40" ht="50.1" customHeight="1">
      <c r="Q108" s="160"/>
    </row>
    <row r="109" spans="1:40" ht="50.1" customHeight="1">
      <c r="Q109" s="160"/>
    </row>
    <row r="110" spans="1:40" ht="50.1" customHeight="1">
      <c r="Q110" s="160"/>
    </row>
    <row r="111" spans="1:40" ht="50.1" customHeight="1">
      <c r="Q111" s="160"/>
    </row>
  </sheetData>
  <mergeCells count="28">
    <mergeCell ref="M4:N4"/>
    <mergeCell ref="A4:A5"/>
    <mergeCell ref="B4:B5"/>
    <mergeCell ref="C4:C5"/>
    <mergeCell ref="D4:D5"/>
    <mergeCell ref="H4:H5"/>
    <mergeCell ref="I4:I5"/>
    <mergeCell ref="J4:K4"/>
    <mergeCell ref="L4:L5"/>
    <mergeCell ref="E4:E5"/>
    <mergeCell ref="F4:F5"/>
    <mergeCell ref="G4:G5"/>
    <mergeCell ref="A1:R1"/>
    <mergeCell ref="AL4:AL5"/>
    <mergeCell ref="AN4:AN5"/>
    <mergeCell ref="O4:O5"/>
    <mergeCell ref="P4:P5"/>
    <mergeCell ref="S4:S5"/>
    <mergeCell ref="U4:U5"/>
    <mergeCell ref="W4:W5"/>
    <mergeCell ref="X4:Z4"/>
    <mergeCell ref="AI4:AI5"/>
    <mergeCell ref="AJ4:AJ5"/>
    <mergeCell ref="AB4:AB5"/>
    <mergeCell ref="AC4:AE4"/>
    <mergeCell ref="AG4:AG5"/>
    <mergeCell ref="Q4:Q5"/>
    <mergeCell ref="R4:R5"/>
  </mergeCells>
  <phoneticPr fontId="1" type="noConversion"/>
  <dataValidations count="5">
    <dataValidation type="list" allowBlank="1" showInputMessage="1" showErrorMessage="1" sqref="D8:D102 D6:E6">
      <formula1>"본예산,1회추경,2회추경,3회추경,신규"</formula1>
    </dataValidation>
    <dataValidation type="list" allowBlank="1" showInputMessage="1" showErrorMessage="1" sqref="D7">
      <formula1>"본예산,1회추경,신규"</formula1>
    </dataValidation>
    <dataValidation type="list" allowBlank="1" showInputMessage="1" showErrorMessage="1" sqref="E7:E102">
      <formula1>"일반,연정"</formula1>
    </dataValidation>
    <dataValidation type="list" allowBlank="1" showInputMessage="1" showErrorMessage="1" sqref="AB6:AB102 W6:W102">
      <formula1>"도비,국비,지특,기금,특교"</formula1>
    </dataValidation>
    <dataValidation type="list" allowBlank="1" showInputMessage="1" showErrorMessage="1" sqref="U6:U102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6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14"/>
  <sheetViews>
    <sheetView showGridLines="0" showZeros="0" view="pageBreakPreview" topLeftCell="B1" zoomScaleNormal="100" zoomScaleSheetLayoutView="100" workbookViewId="0">
      <pane ySplit="5" topLeftCell="A6" activePane="bottomLeft" state="frozen"/>
      <selection pane="bottomLeft" activeCell="B1" sqref="B1:N1"/>
    </sheetView>
  </sheetViews>
  <sheetFormatPr defaultRowHeight="16.5"/>
  <cols>
    <col min="1" max="1" width="19.875" hidden="1" customWidth="1"/>
    <col min="2" max="2" width="20.375" customWidth="1"/>
    <col min="3" max="3" width="10" customWidth="1"/>
    <col min="4" max="4" width="11.25" customWidth="1"/>
    <col min="5" max="5" width="11.125" customWidth="1"/>
    <col min="6" max="6" width="12.375" customWidth="1"/>
    <col min="7" max="11" width="10.125" customWidth="1"/>
    <col min="12" max="13" width="11.125" customWidth="1"/>
    <col min="14" max="14" width="8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65"/>
      <c r="B1" s="280" t="s">
        <v>862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65"/>
      <c r="P1" s="65"/>
      <c r="Q1" s="65"/>
    </row>
    <row r="2" spans="1:17" ht="18.75" customHeight="1">
      <c r="A2" s="65"/>
      <c r="B2" s="66"/>
      <c r="C2" s="67"/>
      <c r="D2" s="67"/>
      <c r="E2" s="67"/>
      <c r="F2" s="65"/>
      <c r="G2" s="68"/>
      <c r="H2" s="68"/>
      <c r="I2" s="68"/>
      <c r="J2" s="68"/>
      <c r="K2" s="65"/>
      <c r="L2" s="65"/>
      <c r="M2" s="65"/>
      <c r="N2" s="69" t="s">
        <v>863</v>
      </c>
      <c r="O2" s="69"/>
      <c r="P2" s="69"/>
      <c r="Q2" s="69"/>
    </row>
    <row r="3" spans="1:17" ht="0.75" customHeight="1" thickBot="1">
      <c r="A3" s="65"/>
      <c r="B3" s="67"/>
      <c r="C3" s="67"/>
      <c r="D3" s="67"/>
      <c r="E3" s="67"/>
      <c r="F3" s="65"/>
      <c r="G3" s="68"/>
      <c r="H3" s="68"/>
      <c r="I3" s="68"/>
      <c r="J3" s="68"/>
      <c r="K3" s="65"/>
      <c r="L3" s="65"/>
      <c r="M3" s="65"/>
      <c r="N3" s="69"/>
      <c r="O3" s="69"/>
      <c r="P3" s="69"/>
      <c r="Q3" s="69"/>
    </row>
    <row r="4" spans="1:17" s="70" customFormat="1" ht="27.75" customHeight="1">
      <c r="B4" s="281" t="s">
        <v>864</v>
      </c>
      <c r="C4" s="283" t="s">
        <v>865</v>
      </c>
      <c r="D4" s="285" t="s">
        <v>866</v>
      </c>
      <c r="E4" s="286" t="s">
        <v>867</v>
      </c>
      <c r="F4" s="287"/>
      <c r="G4" s="288"/>
      <c r="H4" s="71" t="s">
        <v>868</v>
      </c>
      <c r="I4" s="72"/>
      <c r="J4" s="73"/>
      <c r="K4" s="285">
        <v>2017</v>
      </c>
      <c r="L4" s="289">
        <v>2018</v>
      </c>
      <c r="M4" s="291" t="s">
        <v>869</v>
      </c>
      <c r="N4" s="293" t="s">
        <v>870</v>
      </c>
    </row>
    <row r="5" spans="1:17" s="74" customFormat="1" ht="27.75" customHeight="1" thickBot="1">
      <c r="B5" s="282"/>
      <c r="C5" s="284"/>
      <c r="D5" s="284"/>
      <c r="E5" s="75" t="s">
        <v>871</v>
      </c>
      <c r="F5" s="76" t="s">
        <v>872</v>
      </c>
      <c r="G5" s="77" t="s">
        <v>873</v>
      </c>
      <c r="H5" s="75" t="s">
        <v>871</v>
      </c>
      <c r="I5" s="76" t="s">
        <v>874</v>
      </c>
      <c r="J5" s="76" t="s">
        <v>873</v>
      </c>
      <c r="K5" s="284"/>
      <c r="L5" s="290"/>
      <c r="M5" s="292"/>
      <c r="N5" s="294"/>
    </row>
    <row r="6" spans="1:17" s="70" customFormat="1" ht="21.95" customHeight="1">
      <c r="A6" s="70" t="s">
        <v>875</v>
      </c>
      <c r="B6" s="78" t="s">
        <v>876</v>
      </c>
      <c r="C6" s="79" t="s">
        <v>877</v>
      </c>
      <c r="D6" s="80">
        <v>59297000</v>
      </c>
      <c r="E6" s="81">
        <v>19260000</v>
      </c>
      <c r="F6" s="81">
        <v>19260000</v>
      </c>
      <c r="G6" s="81">
        <v>0</v>
      </c>
      <c r="H6" s="80">
        <v>10000000</v>
      </c>
      <c r="I6" s="80">
        <v>10000000</v>
      </c>
      <c r="J6" s="81">
        <v>0</v>
      </c>
      <c r="K6" s="80">
        <v>30037000</v>
      </c>
      <c r="L6" s="81"/>
      <c r="M6" s="82"/>
      <c r="N6" s="83"/>
    </row>
    <row r="7" spans="1:17" s="70" customFormat="1" ht="21.95" customHeight="1">
      <c r="A7" s="70" t="s">
        <v>878</v>
      </c>
      <c r="B7" s="84" t="s">
        <v>879</v>
      </c>
      <c r="C7" s="85" t="s">
        <v>880</v>
      </c>
      <c r="D7" s="86">
        <v>56667000</v>
      </c>
      <c r="E7" s="86">
        <v>17930000</v>
      </c>
      <c r="F7" s="86">
        <v>17930000</v>
      </c>
      <c r="G7" s="87">
        <v>0</v>
      </c>
      <c r="H7" s="86">
        <v>9280000</v>
      </c>
      <c r="I7" s="86">
        <v>9280000</v>
      </c>
      <c r="J7" s="87">
        <v>0</v>
      </c>
      <c r="K7" s="86">
        <v>29457000</v>
      </c>
      <c r="L7" s="87"/>
      <c r="M7" s="88"/>
      <c r="N7" s="89"/>
    </row>
    <row r="8" spans="1:17" s="70" customFormat="1" ht="21.95" customHeight="1">
      <c r="B8" s="90" t="s">
        <v>881</v>
      </c>
      <c r="C8" s="91" t="s">
        <v>882</v>
      </c>
      <c r="D8" s="92">
        <v>2500000</v>
      </c>
      <c r="E8" s="93">
        <v>1250000</v>
      </c>
      <c r="F8" s="93">
        <v>1250000</v>
      </c>
      <c r="G8" s="94">
        <v>0</v>
      </c>
      <c r="H8" s="93">
        <v>700000</v>
      </c>
      <c r="I8" s="93">
        <v>700000</v>
      </c>
      <c r="J8" s="94">
        <v>0</v>
      </c>
      <c r="K8" s="93">
        <v>550000</v>
      </c>
      <c r="L8" s="94"/>
      <c r="M8" s="95"/>
      <c r="N8" s="89"/>
    </row>
    <row r="9" spans="1:17" s="70" customFormat="1" ht="21.95" customHeight="1">
      <c r="B9" s="96" t="s">
        <v>883</v>
      </c>
      <c r="C9" s="97" t="s">
        <v>884</v>
      </c>
      <c r="D9" s="98">
        <v>130000</v>
      </c>
      <c r="E9" s="99">
        <v>80000</v>
      </c>
      <c r="F9" s="99">
        <v>80000</v>
      </c>
      <c r="G9" s="100">
        <v>0</v>
      </c>
      <c r="H9" s="99">
        <v>20000</v>
      </c>
      <c r="I9" s="99">
        <v>20000</v>
      </c>
      <c r="J9" s="100">
        <v>0</v>
      </c>
      <c r="K9" s="99">
        <v>30000</v>
      </c>
      <c r="L9" s="100"/>
      <c r="M9" s="101"/>
      <c r="N9" s="89"/>
    </row>
    <row r="10" spans="1:17" s="70" customFormat="1" ht="21.95" customHeight="1">
      <c r="B10" s="128" t="s">
        <v>885</v>
      </c>
      <c r="C10" s="102" t="s">
        <v>886</v>
      </c>
      <c r="D10" s="103"/>
      <c r="E10" s="103"/>
      <c r="F10" s="103"/>
      <c r="G10" s="103"/>
      <c r="H10" s="103"/>
      <c r="I10" s="103"/>
      <c r="J10" s="103"/>
      <c r="K10" s="103"/>
      <c r="L10" s="103"/>
      <c r="M10" s="101"/>
      <c r="N10" s="89"/>
    </row>
    <row r="11" spans="1:17" s="70" customFormat="1" ht="21.95" customHeight="1">
      <c r="B11" s="104"/>
      <c r="C11" s="91" t="s">
        <v>880</v>
      </c>
      <c r="D11" s="87"/>
      <c r="E11" s="87"/>
      <c r="F11" s="87"/>
      <c r="G11" s="87"/>
      <c r="H11" s="87"/>
      <c r="I11" s="87"/>
      <c r="J11" s="87"/>
      <c r="K11" s="87"/>
      <c r="L11" s="87"/>
      <c r="M11" s="88"/>
      <c r="N11" s="89"/>
    </row>
    <row r="12" spans="1:17" s="70" customFormat="1" ht="21.95" customHeight="1">
      <c r="B12" s="105"/>
      <c r="C12" s="91" t="s">
        <v>882</v>
      </c>
      <c r="D12" s="94"/>
      <c r="E12" s="94"/>
      <c r="F12" s="94"/>
      <c r="G12" s="94"/>
      <c r="H12" s="94"/>
      <c r="I12" s="94"/>
      <c r="J12" s="94"/>
      <c r="K12" s="94"/>
      <c r="L12" s="94"/>
      <c r="M12" s="95"/>
      <c r="N12" s="89"/>
    </row>
    <row r="13" spans="1:17" s="70" customFormat="1" ht="21.95" customHeight="1">
      <c r="B13" s="106"/>
      <c r="C13" s="91" t="s">
        <v>884</v>
      </c>
      <c r="D13" s="94"/>
      <c r="E13" s="94"/>
      <c r="F13" s="94"/>
      <c r="G13" s="94"/>
      <c r="H13" s="94"/>
      <c r="I13" s="94"/>
      <c r="J13" s="94"/>
      <c r="K13" s="94"/>
      <c r="L13" s="94"/>
      <c r="M13" s="95"/>
      <c r="N13" s="89"/>
    </row>
    <row r="14" spans="1:17" s="70" customFormat="1" ht="21.95" customHeight="1" thickBot="1">
      <c r="B14" s="107"/>
      <c r="C14" s="108" t="s">
        <v>887</v>
      </c>
      <c r="D14" s="109"/>
      <c r="E14" s="109"/>
      <c r="F14" s="109"/>
      <c r="G14" s="109"/>
      <c r="H14" s="109"/>
      <c r="I14" s="109"/>
      <c r="J14" s="109"/>
      <c r="K14" s="109"/>
      <c r="L14" s="109"/>
      <c r="M14" s="110"/>
      <c r="N14" s="111"/>
    </row>
  </sheetData>
  <mergeCells count="9">
    <mergeCell ref="B1:N1"/>
    <mergeCell ref="B4:B5"/>
    <mergeCell ref="C4:C5"/>
    <mergeCell ref="D4:D5"/>
    <mergeCell ref="E4:G4"/>
    <mergeCell ref="K4:K5"/>
    <mergeCell ref="L4:L5"/>
    <mergeCell ref="M4:M5"/>
    <mergeCell ref="N4:N5"/>
  </mergeCells>
  <phoneticPr fontId="1" type="noConversion"/>
  <pageMargins left="0.31496062992125984" right="0.23622047244094491" top="0.6692913385826772" bottom="0.51181102362204722" header="0.35433070866141736" footer="0.27559055118110237"/>
  <pageSetup paperSize="9" scale="89" fitToHeight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구분표</vt:lpstr>
      <vt:lpstr>예결표지(세로)</vt:lpstr>
      <vt:lpstr>예결표지(가로)</vt:lpstr>
      <vt:lpstr>검증</vt:lpstr>
      <vt:lpstr>표지</vt:lpstr>
      <vt:lpstr>총괄표</vt:lpstr>
      <vt:lpstr>17년일입</vt:lpstr>
      <vt:lpstr>17년일출</vt:lpstr>
      <vt:lpstr>17년 계속비</vt:lpstr>
      <vt:lpstr>'17년 계속비'!Print_Area</vt:lpstr>
      <vt:lpstr>'17년일입'!Print_Area</vt:lpstr>
      <vt:lpstr>'17년일출'!Print_Area</vt:lpstr>
      <vt:lpstr>총괄표!Print_Area</vt:lpstr>
      <vt:lpstr>'17년 계속비'!Print_Titles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2016-11-23T01:29:27Z</cp:lastPrinted>
  <dcterms:created xsi:type="dcterms:W3CDTF">2015-06-26T00:14:49Z</dcterms:created>
  <dcterms:modified xsi:type="dcterms:W3CDTF">2017-01-12T02:38:39Z</dcterms:modified>
</cp:coreProperties>
</file>